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Creation" sheetId="1" r:id="rId4"/>
    <sheet state="visible" name="Project_Management" sheetId="2" r:id="rId5"/>
    <sheet state="visible" name="Daily Plan" sheetId="3" r:id="rId6"/>
    <sheet state="visible" name="Content Calender" sheetId="4" r:id="rId7"/>
    <sheet state="visible" name="Work_Hours" sheetId="5" r:id="rId8"/>
    <sheet state="visible" name="Ideas" sheetId="6" r:id="rId9"/>
    <sheet state="visible" name="Data_Validation" sheetId="7" r:id="rId10"/>
    <sheet state="visible" name="Dump" sheetId="8" r:id="rId11"/>
  </sheets>
  <definedNames>
    <definedName hidden="1" localSheetId="4" name="Z_FA8914D5_6FCE_4E92_9AD4_7C174EC4EFA0_.wvu.FilterData">Work_Hours!$A$2:$J$1001</definedName>
    <definedName hidden="1" localSheetId="4" name="Z_CDC669F0_840D_46F0_953A_7DF835798C0A_.wvu.FilterData">Work_Hours!$A$2:$N$1001</definedName>
    <definedName hidden="1" localSheetId="4" name="Z_B1D83FC1_F809_42E2_AB33_4EE26399C0B4_.wvu.FilterData">Work_Hours!$A$2:$I$1001</definedName>
    <definedName hidden="1" localSheetId="4" name="Z_15E1162C_D28D_48DB_845F_5BBF24BA49B0_.wvu.FilterData">Work_Hours!$A$2:$N$1001</definedName>
    <definedName hidden="1" localSheetId="4" name="Z_43224BE4_0EBB_4A62_B95F_9433A22E0F69_.wvu.FilterData">Work_Hours!$A$2:$J$1001</definedName>
    <definedName hidden="1" localSheetId="4" name="Z_5213895D_0FAE_4B14_BD63_CEE4EBABE025_.wvu.FilterData">Work_Hours!$A$2:$O$1001</definedName>
    <definedName hidden="1" localSheetId="7" name="Z_5213895D_0FAE_4B14_BD63_CEE4EBABE025_.wvu.FilterData">Dump!$A$1:$K$470</definedName>
    <definedName hidden="1" localSheetId="4" name="Z_1411A99E_CAF5_4FF9_9019_C32210338440_.wvu.FilterData">Work_Hours!$A$2:$O$1001</definedName>
  </definedNames>
  <calcPr/>
  <customWorkbookViews>
    <customWorkbookView activeSheetId="0" maximized="1" windowHeight="0" windowWidth="0" guid="{FA8914D5-6FCE-4E92-9AD4-7C174EC4EFA0}" name="Naveen"/>
    <customWorkbookView activeSheetId="0" maximized="1" windowHeight="0" windowWidth="0" guid="{CDC669F0-840D-46F0-953A-7DF835798C0A}" name="Talha"/>
    <customWorkbookView activeSheetId="0" maximized="1" windowHeight="0" windowWidth="0" guid="{B1D83FC1-F809-42E2-AB33-4EE26399C0B4}" name="Nasser"/>
    <customWorkbookView activeSheetId="0" maximized="1" windowHeight="0" windowWidth="0" guid="{1411A99E-CAF5-4FF9-9019-C32210338440}" name="Akhil"/>
    <customWorkbookView activeSheetId="0" maximized="1" windowHeight="0" windowWidth="0" guid="{5213895D-0FAE-4B14-BD63-CEE4EBABE025}" name="Filter 1"/>
    <customWorkbookView activeSheetId="0" maximized="1" windowHeight="0" windowWidth="0" guid="{15E1162C-D28D-48DB-845F-5BBF24BA49B0}" name="Tazeen"/>
    <customWorkbookView activeSheetId="0" maximized="1" windowHeight="0" windowWidth="0" guid="{43224BE4-0EBB-4A62-B95F-9433A22E0F69}" name="Jayanth"/>
  </customWorkbookViews>
</workbook>
</file>

<file path=xl/comments1.xml><?xml version="1.0" encoding="utf-8"?>
<comments xmlns:r="http://schemas.openxmlformats.org/officeDocument/2006/relationships" xmlns="http://schemas.openxmlformats.org/spreadsheetml/2006/main">
  <authors>
    <author/>
  </authors>
  <commentList>
    <comment authorId="0" ref="D448">
      <text>
        <t xml:space="preserve">Happy Diwali | Wishing you good health, wealth and happiness from Colorful
-
#diwali #diya #gpu #rtx #colorful #festival
	-Mohammed Talha</t>
      </text>
    </comment>
    <comment authorId="0" ref="D452">
      <text>
        <t xml:space="preserve">Title: POV You bought your first RTX GPU | Let us know your experience in the comments | Colorful
-
#colorful #gpus #customerexperience #custompcindia #rtx
	-Mohammed Talha</t>
      </text>
    </comment>
  </commentList>
</comments>
</file>

<file path=xl/comments2.xml><?xml version="1.0" encoding="utf-8"?>
<comments xmlns:r="http://schemas.openxmlformats.org/officeDocument/2006/relationships" xmlns="http://schemas.openxmlformats.org/spreadsheetml/2006/main">
  <authors>
    <author/>
  </authors>
  <commentList>
    <comment authorId="0" ref="D53">
      <text>
        <t xml:space="preserve">- Iconography tone down
- Change Name (ABCDEFG)
- Value Prop (Remove)
- Rack 
- About Us Section
--&gt; Service Network
--&gt; Value Prop
5 Sections
- GPU Cluster
--&gt; 8&amp;12 model
- Storage Server
--&gt; Intel &amp; AMD
- VIrtual Machines
--&gt; Available
- Workstations
--&gt; 3 different (AMD, Threadripper &amp; Intel)
--&gt; 3000D &amp; 7000D(without corsair logo) &amp; 2U/4U Chassis
	-Nasser Akber</t>
      </text>
    </comment>
  </commentList>
</comments>
</file>

<file path=xl/sharedStrings.xml><?xml version="1.0" encoding="utf-8"?>
<sst xmlns="http://schemas.openxmlformats.org/spreadsheetml/2006/main" count="8867" uniqueCount="2410">
  <si>
    <t>ID</t>
  </si>
  <si>
    <r>
      <rPr>
        <rFont val="Albert Sans"/>
        <b/>
        <color rgb="FFF3F3F3"/>
        <sz val="12.0"/>
      </rPr>
      <t xml:space="preserve">Tasks </t>
    </r>
    <r>
      <rPr>
        <rFont val="Albert Sans"/>
        <b/>
        <color rgb="FFB7B7B7"/>
        <sz val="12.0"/>
      </rPr>
      <t>/ Subtasks</t>
    </r>
  </si>
  <si>
    <r>
      <rPr>
        <rFont val="Albert Sans"/>
        <b/>
        <color rgb="FFF3F3F3"/>
        <sz val="12.0"/>
      </rPr>
      <t xml:space="preserve">Channel </t>
    </r>
    <r>
      <rPr>
        <rFont val="Albert Sans"/>
        <b/>
        <color rgb="FFB7B7B7"/>
        <sz val="12.0"/>
      </rPr>
      <t>/ Status</t>
    </r>
  </si>
  <si>
    <t>Lead</t>
  </si>
  <si>
    <r>
      <rPr>
        <rFont val="Albert Sans"/>
        <b/>
        <color rgb="FFF3F3F3"/>
        <sz val="12.0"/>
      </rPr>
      <t xml:space="preserve">Priority </t>
    </r>
    <r>
      <rPr>
        <rFont val="Albert Sans"/>
        <b/>
        <color rgb="FFC4CEDB"/>
        <sz val="12.0"/>
      </rPr>
      <t>/ Comments</t>
    </r>
  </si>
  <si>
    <t>Progress</t>
  </si>
  <si>
    <t>#</t>
  </si>
  <si>
    <t>SOP</t>
  </si>
  <si>
    <t>Start Time</t>
  </si>
  <si>
    <t>End Time</t>
  </si>
  <si>
    <t>Pause Starts</t>
  </si>
  <si>
    <t>Pause Ends</t>
  </si>
  <si>
    <t>Timer Status</t>
  </si>
  <si>
    <t>Elapsed Time</t>
  </si>
  <si>
    <t>Client Code</t>
  </si>
  <si>
    <t>Helper</t>
  </si>
  <si>
    <t xml:space="preserve">To add a new task - enter task name in 'C' and channel in 'E'   |    remaining entries automated    |    Assign Leads for tasks &amp; subtasks in 'F', Deadlines for only Subtasks in 'H' &amp; Priority for only tasks in 'G' </t>
  </si>
  <si>
    <t>Started</t>
  </si>
  <si>
    <t>TheMVP</t>
  </si>
  <si>
    <t>CC-MVP-36</t>
  </si>
  <si>
    <t>3 Ways to improve Airflow</t>
  </si>
  <si>
    <t>Shorts</t>
  </si>
  <si>
    <t>Nasser</t>
  </si>
  <si>
    <t>High</t>
  </si>
  <si>
    <t>CC-MVP-36.01</t>
  </si>
  <si>
    <t>Script</t>
  </si>
  <si>
    <t>Done</t>
  </si>
  <si>
    <t>Tazeen</t>
  </si>
  <si>
    <t>3 ways to improve Airflow</t>
  </si>
  <si>
    <t>Fri Oct 20 2023 12:52:40 GMT+0530 (India Standard Time),</t>
  </si>
  <si>
    <t>Oct 27 2023 10:09:20,</t>
  </si>
  <si>
    <t>Stopped</t>
  </si>
  <si>
    <t>CC-MVP-36.02</t>
  </si>
  <si>
    <t>Shoot</t>
  </si>
  <si>
    <t>Akhil</t>
  </si>
  <si>
    <t>Wed Nov 01 2023 15:00:15 GMT+0530 (India Standard Time),</t>
  </si>
  <si>
    <t>Nov 02 2023 19:09:00,</t>
  </si>
  <si>
    <t>CC-MVP-36.04</t>
  </si>
  <si>
    <t>Editor Notes</t>
  </si>
  <si>
    <t>CC-MVP-36.05</t>
  </si>
  <si>
    <t>Edit</t>
  </si>
  <si>
    <t>Naveen</t>
  </si>
  <si>
    <t>Thu Nov 02 2023 12:23:07 GMT+0530 (India Standard Time),Thu Nov 02 2023 13:14:52 GMT+0530 (India Standard Time),Thu Nov 02 2023 18:02:02 GMT+0530 (India Standard Time),</t>
  </si>
  <si>
    <t>Thu Nov 02 2023 12:25:05 GMT+0530 (India Standard Time),Thu Nov 02 2023 15:21:07 GMT+0530 (India Standard Time),Nov 02 2023 18:59:33,</t>
  </si>
  <si>
    <t>CC-MVP-36.06</t>
  </si>
  <si>
    <t>Thumbnail</t>
  </si>
  <si>
    <t>CC-MVP-36.07</t>
  </si>
  <si>
    <t>Upload</t>
  </si>
  <si>
    <t>Talha</t>
  </si>
  <si>
    <t>CC-MVP-80</t>
  </si>
  <si>
    <t>06102304-Build Photo</t>
  </si>
  <si>
    <t>Insta</t>
  </si>
  <si>
    <t>CC-MVP-80.01</t>
  </si>
  <si>
    <t>Fri Nov 03 2023 14:48:25 GMT+0530 (India Standard Time),</t>
  </si>
  <si>
    <t>Nov 03 2023 22:47:18,</t>
  </si>
  <si>
    <t>CC-MVP-80.02</t>
  </si>
  <si>
    <t>CC-MVP-80.03</t>
  </si>
  <si>
    <t>Fri Nov 03 2023 11:01:53 GMT+0530 (India Standard Time),</t>
  </si>
  <si>
    <t>Nov 03 2023 22:47:22,</t>
  </si>
  <si>
    <t>CC-MVP-80.04</t>
  </si>
  <si>
    <t>CC-MVP-67</t>
  </si>
  <si>
    <t>Know Your ABC - Blender</t>
  </si>
  <si>
    <t>YT Video</t>
  </si>
  <si>
    <t>Medium</t>
  </si>
  <si>
    <t>CC-MVP-67.01</t>
  </si>
  <si>
    <t>CC-MVP-67.02</t>
  </si>
  <si>
    <t>CC-MVP-67.04</t>
  </si>
  <si>
    <t>Ref. + Project Files</t>
  </si>
  <si>
    <t>Wed Oct 18 2023 11:47:25 GMT+0530 (India Standard Time),</t>
  </si>
  <si>
    <t>Oct 26 2023 21:51:13,</t>
  </si>
  <si>
    <t>CC-MVP-67.05</t>
  </si>
  <si>
    <t>Jayanth</t>
  </si>
  <si>
    <t>Fri Nov 03 2023 18:41:04 GMT+0530 (India Standard Time),</t>
  </si>
  <si>
    <t>Nov 03 2023 18:41:41,</t>
  </si>
  <si>
    <t>CC-MVP-67.06</t>
  </si>
  <si>
    <t>CC-MVP-67.07</t>
  </si>
  <si>
    <t>CC-MVP-78</t>
  </si>
  <si>
    <t>L40s GPU Server</t>
  </si>
  <si>
    <t>Blog</t>
  </si>
  <si>
    <t>Critical ⚠️️</t>
  </si>
  <si>
    <t>CC-MVP-78.01</t>
  </si>
  <si>
    <t xml:space="preserve">Blog Script - Nvidia L40s GPU Server </t>
  </si>
  <si>
    <t>Sun Oct 29 2023 23:53:23 GMT+0530 (India Standard Time),</t>
  </si>
  <si>
    <t>Oct 31 2023 19:21:15,</t>
  </si>
  <si>
    <t>CC-MVP-78.02</t>
  </si>
  <si>
    <t>Tue Nov 06 2023 19:58:39 GMT+0530 (India Standard Time),</t>
  </si>
  <si>
    <t>Nov 07 2023 09:52:33,</t>
  </si>
  <si>
    <t>CC-MVP-71</t>
  </si>
  <si>
    <t>Blender Downedit</t>
  </si>
  <si>
    <t>Low</t>
  </si>
  <si>
    <t>CC-MVP-71.05</t>
  </si>
  <si>
    <t>CC-MVP-71.06</t>
  </si>
  <si>
    <t>Mon Nov 06 2023 19:09:14 GMT+0530 (India Standard Time),</t>
  </si>
  <si>
    <t>Tue Nov 07 2023 10:44:56 GMT+0530 (India Standard Time),</t>
  </si>
  <si>
    <t>CC-MVP-71.07</t>
  </si>
  <si>
    <t>CC-MVP-98</t>
  </si>
  <si>
    <t>PC Landscape</t>
  </si>
  <si>
    <t>Linkedin</t>
  </si>
  <si>
    <t>CC-MVP-98.02</t>
  </si>
  <si>
    <t>CC-MVP-98.04</t>
  </si>
  <si>
    <t>CC-MVP-99</t>
  </si>
  <si>
    <t>180TB SSds</t>
  </si>
  <si>
    <t>Tweet</t>
  </si>
  <si>
    <t>CC-MVP-99.01</t>
  </si>
  <si>
    <t>CC-MVP-99.04</t>
  </si>
  <si>
    <t xml:space="preserve"> </t>
  </si>
  <si>
    <t>CC-MVP-44</t>
  </si>
  <si>
    <t>Ada Lovelace Power Efficiency</t>
  </si>
  <si>
    <t>CC-MVP-44.01</t>
  </si>
  <si>
    <t>Thu Nov 02 2023 16:03:06 GMT+0530 (India Standard Time),Thu Nov 02 2023 19:37:35 GMT+0530 (India Standard Time),Sat Nov 04 2023 09:35:50 GMT+0530 (India Standard Time),Mon Nov 06 2023 13:15:47 GMT+0530 (India Standard Time),Mon Nov 06 2023 14:16:15 GMT+0530 (India Standard Time),</t>
  </si>
  <si>
    <t>Thu Nov 02 2023 16:43:24 GMT+0530 (India Standard Time),Fri Nov 03 2023 17:32:50 GMT+0530 (India Standard Time),Mon Nov 06 2023 13:14:49 GMT+0530 (India Standard Time),Mon Nov 06 2023 13:45:53 GMT+0530 (India Standard Time),Nov 06 2023 19:40:20,</t>
  </si>
  <si>
    <t>CC-MVP-44.02</t>
  </si>
  <si>
    <t>Voiceover</t>
  </si>
  <si>
    <t>CC-MVP-44.05</t>
  </si>
  <si>
    <t>Tue Nov 07 2023 14:03:38 GMT+0530 (India Standard Time),Tue Nov 07 2023 19:51:51 GMT+0530 (India Standard Time),</t>
  </si>
  <si>
    <t>Tue Nov 07 2023 15:45:19 GMT+0530 (India Standard Time),Nov 08 2023 15:31:12,</t>
  </si>
  <si>
    <t>CC-MVP-44.06</t>
  </si>
  <si>
    <t>CC-MVP-44.07</t>
  </si>
  <si>
    <t>CC-MVP-87</t>
  </si>
  <si>
    <t>China Vlog 1</t>
  </si>
  <si>
    <t>CC-MVP-87.01</t>
  </si>
  <si>
    <t>Timeline</t>
  </si>
  <si>
    <t>Wed Nov 01 2023 15:39:29 GMT+0530 (India Standard Time),Wed Nov 01 2023 18:03:47 GMT+0530 (India Standard Time),</t>
  </si>
  <si>
    <t>Wed Nov 01 2023 17:26:35 GMT+0530 (India Standard Time),Nov 03 2023 11:52:33,</t>
  </si>
  <si>
    <t>CC-MVP-87.02</t>
  </si>
  <si>
    <t>Captions</t>
  </si>
  <si>
    <t>CC-MVP-87.03</t>
  </si>
  <si>
    <t>Talking Head</t>
  </si>
  <si>
    <t>Fri Nov 03 2023 14:31:40 GMT+0530 (India Standard Time),</t>
  </si>
  <si>
    <t>Fri Nov 03 2023 14:48:57 GMT+0530 (India Standard Time),</t>
  </si>
  <si>
    <t>CC-MVP-87.04</t>
  </si>
  <si>
    <t>Ahmer</t>
  </si>
  <si>
    <t>CC-MVP-87.05</t>
  </si>
  <si>
    <t>Fri Nov 03 2023 20:10:31 GMT+0530 (India Standard Time),Mon Nov 06 2023 13:23:56 GMT+0530 (India Standard Time),Mon Nov 06 2023 16:21:22 GMT+0530 (India Standard Time),Tue Nov 07 2023 10:29:10 GMT+0530 (India Standard Time),Tue Nov 07 2023 12:07:40 GMT+0530 (India Standard Time),Tue Nov 07 2023 14:46:41 GMT+0530 (India Standard Time),Tue Nov 07 2023 16:03:42 GMT+0530 (India Standard Time),Tue Nov 07 2023 17:11:54 GMT+0530 (India Standard Time),</t>
  </si>
  <si>
    <t>Mon Nov 06 2023 13:01:49 GMT+0530 (India Standard Time),Mon Nov 06 2023 15:52:23 GMT+0530 (India Standard Time),Tue Nov 07 2023 10:27:39 GMT+0530 (India Standard Time),Tue Nov 07 2023 11:05:03 GMT+0530 (India Standard Time),Tue Nov 07 2023 14:34:45 GMT+0530 (India Standard Time),Tue Nov 07 2023 15:56:29 GMT+0530 (India Standard Time),Tue Nov 07 2023 16:48:53 GMT+0530 (India Standard Time),Nov 07 2023 17:57:40,</t>
  </si>
  <si>
    <t>CC-MVP-87.06</t>
  </si>
  <si>
    <t>Tue Nov 07 2023 12:29:02 GMT+0530 (India Standard Time),Tue Nov 07 2023 12:52:44 GMT+0530 (India Standard Time),Tue Nov 07 2023 14:39:47 GMT+0530 (India Standard Time),Tue Nov 07 2023 17:57:26 GMT+0530 (India Standard Time),</t>
  </si>
  <si>
    <t>Tue Nov 07 2023 12:41:38 GMT+0530 (India Standard Time),Tue Nov 07 2023 13:37:27 GMT+0530 (India Standard Time),Tue Nov 07 2023 16:53:40 GMT+0530 (India Standard Time),Tue Nov 07 2023 19:01:10 GMT+0530 (India Standard Time),</t>
  </si>
  <si>
    <t>CC-MVP-87.07</t>
  </si>
  <si>
    <t>CC-MVP-88</t>
  </si>
  <si>
    <t>China Vlog - DownEdit</t>
  </si>
  <si>
    <t>CC-MVP-88.01</t>
  </si>
  <si>
    <t xml:space="preserve">Edit </t>
  </si>
  <si>
    <t>CC-MVP-88.02</t>
  </si>
  <si>
    <t xml:space="preserve">Thumbnail </t>
  </si>
  <si>
    <t>CC-MVP-88.03</t>
  </si>
  <si>
    <t>YT Video Thumbnail</t>
  </si>
  <si>
    <t>CC-MVP-88.04</t>
  </si>
  <si>
    <t>CC-MVP-90</t>
  </si>
  <si>
    <t>Client Reviews - Pt 3</t>
  </si>
  <si>
    <t>CC-MVP-90.01</t>
  </si>
  <si>
    <t>Client Reviews Pt.3</t>
  </si>
  <si>
    <t>Tue Nov 07 2023 17:27:04 GMT+0530 (India Standard Time),</t>
  </si>
  <si>
    <t>Nov 07 2023 17:28:25,</t>
  </si>
  <si>
    <t>CC-MVP-90.05</t>
  </si>
  <si>
    <t>Tue Nov 07 2023 14:00:16 GMT+0530 (India Standard Time),Tue Nov 07 2023 14:44:45 GMT+0530 (India Standard Time),Wed Nov 08 2023 11:30:47 GMT+0530 (India Standard Time),Wed Nov 08 2023 12:30:36 GMT+0530 (India Standard Time),Wed Nov 08 2023 13:20:11 GMT+0530 (India Standard Time),Wed Nov 08 2023 13:34:15 GMT+0530 (India Standard Time),Wed Nov 08 2023 14:05:02 GMT+0530 (India Standard Time),</t>
  </si>
  <si>
    <t>Tue Nov 07 2023 14:08:35 GMT+0530 (India Standard Time),Wed Nov 08 2023 10:55:26 GMT+0530 (India Standard Time),Wed Nov 08 2023 11:41:02 GMT+0530 (India Standard Time),Wed Nov 08 2023 12:55:52 GMT+0530 (India Standard Time),Wed Nov 08 2023 13:34:13 GMT+0530 (India Standard Time),Wed Nov 08 2023 13:51:34 GMT+0530 (India Standard Time),Nov 08 2023 16:48:02,</t>
  </si>
  <si>
    <t>CC-MVP-90.06</t>
  </si>
  <si>
    <t>CC-MVP-90.07</t>
  </si>
  <si>
    <t>CC-MVP-100</t>
  </si>
  <si>
    <t>Arm vs x86</t>
  </si>
  <si>
    <t>CC-MVP-100.04</t>
  </si>
  <si>
    <t>CC-MVP-72</t>
  </si>
  <si>
    <t>Build Photo 05102302 Suprim X</t>
  </si>
  <si>
    <t>CC-MVP-72.01</t>
  </si>
  <si>
    <t>CC-MVP-72.02</t>
  </si>
  <si>
    <t>Fri Nov 03 2023 12:50:59 GMT+0530 (India Standard Time),</t>
  </si>
  <si>
    <t>Fri Nov 03 2023 13:14:13 GMT+0530 (India Standard Time),</t>
  </si>
  <si>
    <t>CC-MVP-72.03</t>
  </si>
  <si>
    <t>AIO Cooling</t>
  </si>
  <si>
    <t>Sat Nov 04 2023 11:00:44 GMT+0530 (India Standard Time),Sat Nov 04 2023 12:18:33 GMT+0530 (India Standard Time),</t>
  </si>
  <si>
    <t>Sat Nov 04 2023 12:07:19 GMT+0530 (India Standard Time),Nov 07 2023 12:57:44,</t>
  </si>
  <si>
    <t>CC-MVP-72.04</t>
  </si>
  <si>
    <t>CC-MVP-105</t>
  </si>
  <si>
    <t>GTA 6 Launch</t>
  </si>
  <si>
    <t>CC-MVP-105.04</t>
  </si>
  <si>
    <t>CC-MVP-64</t>
  </si>
  <si>
    <t>TrueNAS Setup</t>
  </si>
  <si>
    <t>CC-MVP-64.01</t>
  </si>
  <si>
    <t>Not Started</t>
  </si>
  <si>
    <t>CC-MVP-64.04</t>
  </si>
  <si>
    <t>CC-MVP-66</t>
  </si>
  <si>
    <t>Ryzen + Radeon - All AMD</t>
  </si>
  <si>
    <t>CC-MVP-66.01</t>
  </si>
  <si>
    <t>Ryzen + Radeon Script</t>
  </si>
  <si>
    <t>CC-MVP-66.02</t>
  </si>
  <si>
    <t>Shoot (Fractal North)</t>
  </si>
  <si>
    <t>CC-MVP-66.04</t>
  </si>
  <si>
    <t>Thu Nov 09 2023 09:45:01 GMT+0530 (India Standard Time),Thu Nov 09 2023 12:01:50 GMT+0530 (India Standard Time),</t>
  </si>
  <si>
    <t>Thu Nov 09 2023 11:26:22 GMT+0530 (India Standard Time),Nov 09 2023 12:43:01,</t>
  </si>
  <si>
    <t>CC-MVP-66.05</t>
  </si>
  <si>
    <t>Thu Nov 09 2023 19:05:24 GMT+0530 (India Standard Time),</t>
  </si>
  <si>
    <t>Nov 10 2023 10:21:41,</t>
  </si>
  <si>
    <t>CC-MVP-66.06</t>
  </si>
  <si>
    <t>Thu Nov 09 2023 14:32:54 GMT+0530 (India Standard Time),</t>
  </si>
  <si>
    <t>Nov 09 2023 16:32:02,</t>
  </si>
  <si>
    <t>CC-MVP-66.07</t>
  </si>
  <si>
    <t>Thu Nov 09 2023 17:43:18 GMT+0530 (India Standard Time),</t>
  </si>
  <si>
    <t>Fri Nov 10 2023 09:52:34 GMT+0530 (India Standard Time),</t>
  </si>
  <si>
    <t>CC-MVP-92</t>
  </si>
  <si>
    <t>Build Photo - H9 White + iGame</t>
  </si>
  <si>
    <t>CC-MVP-92.01</t>
  </si>
  <si>
    <t>CC-MVP-92.02</t>
  </si>
  <si>
    <t>CC-MVP-92.03</t>
  </si>
  <si>
    <t>Thu Nov 09 2023 12:05:16 GMT+0530 (India Standard Time),Thu Nov 09 2023 13:15:01 GMT+0530 (India Standard Time),Thu Nov 09 2023 14:32:44 GMT+0530 (India Standard Time),</t>
  </si>
  <si>
    <t>Thu Nov 09 2023 13:00:30 GMT+0530 (India Standard Time),Thu Nov 09 2023 13:49:04 GMT+0530 (India Standard Time),Nov 09 2023 19:05:45,</t>
  </si>
  <si>
    <t>CC-MVP-92.04</t>
  </si>
  <si>
    <t>CC-MVP-101</t>
  </si>
  <si>
    <t>Stock Trading Setup</t>
  </si>
  <si>
    <t>CC-MVP-101.04</t>
  </si>
  <si>
    <t>Script - Stock Trading PC &amp; Monitor Setup</t>
  </si>
  <si>
    <t>CC-MVP-43</t>
  </si>
  <si>
    <t>8K Gaming - RTX 4090</t>
  </si>
  <si>
    <t>CC-MVP-43.01</t>
  </si>
  <si>
    <t>Mon Oct 23 2023 01:17:12 GMT+0530 (India Standard Time),Thu Nov 02 2023 14:06:14 GMT+0530 (India Standard Time),Mon Nov 06 2023 15:56:23 GMT+0530 (India Standard Time),</t>
  </si>
  <si>
    <t>Thu Nov 02 2023 13:25:17 GMT+0530 (India Standard Time),Mon Nov 06 2023 14:16:10 GMT+0530 (India Standard Time),Nov 07 2023 11:22:17,</t>
  </si>
  <si>
    <t>CC-MVP-43.02</t>
  </si>
  <si>
    <t>Fri Nov 10 2023 12:51:03 GMT+0530 (India Standard Time),</t>
  </si>
  <si>
    <t>Nov 10 2023 13:47:05,</t>
  </si>
  <si>
    <t>CC-MVP-43.05</t>
  </si>
  <si>
    <t>Working On it</t>
  </si>
  <si>
    <t>CC-MVP-43.06</t>
  </si>
  <si>
    <t>CC-MVP-43.07</t>
  </si>
  <si>
    <t>CC-MVP-77</t>
  </si>
  <si>
    <t>Nvidia L40s</t>
  </si>
  <si>
    <t>CC-MVP-77.01</t>
  </si>
  <si>
    <t>Video Script - Nvidia L40s GPU Server</t>
  </si>
  <si>
    <t>Tue Oct 31 2023 12:08:06 GMT+0530 (India Standard Time),Tue Oct 31 2023 13:56:55 GMT+0530 (India Standard Time),Tue Oct 31 2023 17:26:30 GMT+0530 (India Standard Time),</t>
  </si>
  <si>
    <t>Tue Oct 31 2023 12:31:19 GMT+0530 (India Standard Time),Tue Oct 31 2023 17:22:00 GMT+0530 (India Standard Time),Oct 31 2023 19:21:16,</t>
  </si>
  <si>
    <t>CC-MVP-77.02</t>
  </si>
  <si>
    <t>Fri Nov 03 2023 15:08:15 GMT+0530 (India Standard Time),</t>
  </si>
  <si>
    <t>Fri Nov 03 2023 15:15:59 GMT+0530 (India Standard Time),</t>
  </si>
  <si>
    <t>CC-MVP-77.04</t>
  </si>
  <si>
    <t>Wed Nov 08 2023 14:06:32 GMT+0530 (India Standard Time),Wed Nov 08 2023 15:08:55 GMT+0530 (India Standard Time),Wed Nov 08 2023 17:40:34 GMT+0530 (India Standard Time),Thu Nov 09 2023 13:22:54 GMT+0530 (India Standard Time),</t>
  </si>
  <si>
    <t>Wed Nov 08 2023 14:08:07 GMT+0530 (India Standard Time),Wed Nov 08 2023 16:25:35 GMT+0530 (India Standard Time),Thu Nov 09 2023 12:43:09 GMT+0530 (India Standard Time),Nov 09 2023 17:44:46,</t>
  </si>
  <si>
    <t>CC-MVP-77.05</t>
  </si>
  <si>
    <t>Freelancer</t>
  </si>
  <si>
    <t>Dipanshu</t>
  </si>
  <si>
    <t>CC-MVP-77.06</t>
  </si>
  <si>
    <t>CC-MVP-77.07</t>
  </si>
  <si>
    <t>CC-MVP-81</t>
  </si>
  <si>
    <t>Build Photo - L40s Server</t>
  </si>
  <si>
    <t>CC-MVP-81.01</t>
  </si>
  <si>
    <t>CC-MVP-81.02</t>
  </si>
  <si>
    <t>CC-MVP-81.03</t>
  </si>
  <si>
    <t>CC-MVP-81.04</t>
  </si>
  <si>
    <t>CC-MVP-106</t>
  </si>
  <si>
    <t>Idea Pending</t>
  </si>
  <si>
    <t>CC-MVP-106.01</t>
  </si>
  <si>
    <t>CC-MVP-106.04</t>
  </si>
  <si>
    <t>CC-MVP-115</t>
  </si>
  <si>
    <t>Diwali Post</t>
  </si>
  <si>
    <t>Story</t>
  </si>
  <si>
    <t>CC-MVP-115.03</t>
  </si>
  <si>
    <t>Fri Nov 10 2023 10:13:01 GMT+0530 (India Standard Time),</t>
  </si>
  <si>
    <t>Nov 10 2023 18:42:46,</t>
  </si>
  <si>
    <t>CC-MVP-115.04</t>
  </si>
  <si>
    <t>CC-MVP-76</t>
  </si>
  <si>
    <t>12 Lakh GPU - Nvidia L40s</t>
  </si>
  <si>
    <t>CC-MVP-76.01</t>
  </si>
  <si>
    <t>Reel Script - Nvidia L40s 12 Lakh GPU</t>
  </si>
  <si>
    <t>Wed Nov 08 2023 14:25:52 GMT+0530 (India Standard Time),</t>
  </si>
  <si>
    <t>Nov 08 2023 16:56:41,</t>
  </si>
  <si>
    <t>CC-MVP-76.05</t>
  </si>
  <si>
    <t>Wed Nov 08 2023 15:43:50 GMT+0530 (India Standard Time),Wed Nov 08 2023 16:30:28 GMT+0530 (India Standard Time),</t>
  </si>
  <si>
    <t>Wed Nov 08 2023 16:06:00 GMT+0530 (India Standard Time),Nov 08 2023 17:39:39,</t>
  </si>
  <si>
    <t>CC-MVP-76.06</t>
  </si>
  <si>
    <t>CC-MVP-76.07</t>
  </si>
  <si>
    <t>CC-MVP-76.08</t>
  </si>
  <si>
    <t>CC-MVP-94</t>
  </si>
  <si>
    <t>TrueNAS Setup Revamp</t>
  </si>
  <si>
    <t>CC-MVP-94.01</t>
  </si>
  <si>
    <t>CC-MVP-94.02</t>
  </si>
  <si>
    <t>CC-MVP-94.03</t>
  </si>
  <si>
    <t>Finalise</t>
  </si>
  <si>
    <t>CC-MVP-94.04</t>
  </si>
  <si>
    <t>CC-MVP-102</t>
  </si>
  <si>
    <t>Custom PC for VFX Worflow</t>
  </si>
  <si>
    <t>CC-MVP-102.02</t>
  </si>
  <si>
    <t>Ultimate PC Build for VFX &amp; CGI Workflows</t>
  </si>
  <si>
    <t>CC-MVP-102.03</t>
  </si>
  <si>
    <t>CC-MVP-102.04</t>
  </si>
  <si>
    <t>CC-MVP-82</t>
  </si>
  <si>
    <t>G613 Keyboard - Logi Offer</t>
  </si>
  <si>
    <t>CC-MVP-82.01</t>
  </si>
  <si>
    <t>CC-MVP-82.02</t>
  </si>
  <si>
    <t>CC-MVP-82.03</t>
  </si>
  <si>
    <t>CC-MVP-82.04</t>
  </si>
  <si>
    <t>CC-MVP-82.05</t>
  </si>
  <si>
    <t>CC-MVP-82.06</t>
  </si>
  <si>
    <t>CC-MVP-82.07</t>
  </si>
  <si>
    <t>CC-MVP-24</t>
  </si>
  <si>
    <t>AMD vs Intel - with GPUs</t>
  </si>
  <si>
    <t>CC-MVP-24.01</t>
  </si>
  <si>
    <t>AMD v Intel v Nvidia - Best CPU + GPU Combos for Gaming PCs in 2023</t>
  </si>
  <si>
    <t>Thu Sep 20 2023 15:06:33 GMT+0530 (India Standard Time),Thu Sep 21 2023 03:00:22 GMT+0530 (India Standard Time),</t>
  </si>
  <si>
    <t>Thu Sep 21 2023 00:07:30 GMT+0530 (India Standard Time),Sep 26 2023 07:19:08,</t>
  </si>
  <si>
    <t>CC-MVP-24.02</t>
  </si>
  <si>
    <t>Tue Oct 17 2023 16:03:22 GMT+0530 (India Standard Time),</t>
  </si>
  <si>
    <t>Tue Oct 17 2023 17:18:51 GMT+0530 (India Standard Time),</t>
  </si>
  <si>
    <t>CC-MVP-24.03</t>
  </si>
  <si>
    <t>Editor notes</t>
  </si>
  <si>
    <t>CC-MVP-24.04</t>
  </si>
  <si>
    <t>Benchmarks</t>
  </si>
  <si>
    <t>Mon Nov 06 2023 14:42:13 GMT+0530 (India Standard Time),Mon Nov 06 2023 15:53:24 GMT+0530 (India Standard Time),Wed Nov 08 2023 11:10:37 GMT+0530 (India Standard Time),Fri Nov 10 2023 11:18:58 GMT+0530 (India Standard Time),Fri Nov 10 2023 12:39:18 GMT+0530 (India Standard Time),</t>
  </si>
  <si>
    <t>Mon Nov 06 2023 15:31:33 GMT+0530 (India Standard Time),Wed Nov 08 2023 11:00:51 GMT+0530 (India Standard Time),Fri Nov 10 2023 11:18:19 GMT+0530 (India Standard Time),Fri Nov 10 2023 11:56:27 GMT+0530 (India Standard Time),Nov 10 2023 18:02:37,</t>
  </si>
  <si>
    <t>CC-MVP-24.05</t>
  </si>
  <si>
    <t>On Hold</t>
  </si>
  <si>
    <t>Fri Nov 10 2023 17:03:30 GMT+0530 (India Standard Time),</t>
  </si>
  <si>
    <t>Paused</t>
  </si>
  <si>
    <t>CC-MVP-24.06</t>
  </si>
  <si>
    <t>CC-MVP-24.07</t>
  </si>
  <si>
    <t>CC-MVP-91</t>
  </si>
  <si>
    <t>Build Photo - 2x 4090</t>
  </si>
  <si>
    <t>CC-MVP-91.01</t>
  </si>
  <si>
    <t>CC-MVP-91.02</t>
  </si>
  <si>
    <t>Mon Nov 06 2023 10:49:53 GMT+0530 (India Standard Time),</t>
  </si>
  <si>
    <t>Nov 06 2023 12:36:02,</t>
  </si>
  <si>
    <t>CC-MVP-91.03</t>
  </si>
  <si>
    <t>CC-MVP-91.04</t>
  </si>
  <si>
    <t>CC-MVP-85</t>
  </si>
  <si>
    <t>G335 Headset - Logi Offer</t>
  </si>
  <si>
    <t>CC-MVP-85.01</t>
  </si>
  <si>
    <t>Wed Nov 08 2023 16:22:05 GMT+0530 (India Standard Time),Thu Nov 09 2023 11:18:39 GMT+0530 (India Standard Time),</t>
  </si>
  <si>
    <t>Thu Nov 09 2023 10:58:00 GMT+0530 (India Standard Time),Nov 09 2023 13:34:40,</t>
  </si>
  <si>
    <t>CC-MVP-85.02</t>
  </si>
  <si>
    <t>CC-MVP-85.05</t>
  </si>
  <si>
    <t>CC-MVP-85.06</t>
  </si>
  <si>
    <t>CC-MVP-85.07</t>
  </si>
  <si>
    <t>CC-MVP-107</t>
  </si>
  <si>
    <t>CC-MVP-107.01</t>
  </si>
  <si>
    <t>CC-MVP-107.04</t>
  </si>
  <si>
    <t>CC-MVP-83</t>
  </si>
  <si>
    <t>G Pro TKL - Logi Offer</t>
  </si>
  <si>
    <t>CC-MVP-83.01</t>
  </si>
  <si>
    <t>CC-MVP-83.02</t>
  </si>
  <si>
    <t>CC-MVP-83.03</t>
  </si>
  <si>
    <t>CC-MVP-83.04</t>
  </si>
  <si>
    <t>CC-MVP-83.05</t>
  </si>
  <si>
    <t>CC-MVP-83.06</t>
  </si>
  <si>
    <t>CC-MVP-83.07</t>
  </si>
  <si>
    <t>CC-MVP-97</t>
  </si>
  <si>
    <t>Build Photo - North + ProArt</t>
  </si>
  <si>
    <t>CC-MVP-97.01</t>
  </si>
  <si>
    <t>CC-MVP-97.02</t>
  </si>
  <si>
    <t>Mon Nov 06 2023 12:35:52 GMT+0530 (India Standard Time),</t>
  </si>
  <si>
    <t>Nov 06 2023 12:45:57,</t>
  </si>
  <si>
    <t>CC-MVP-97.03</t>
  </si>
  <si>
    <t>CC-MVP-97.04</t>
  </si>
  <si>
    <t>CC-MVP-110</t>
  </si>
  <si>
    <t>CC-MVP-110.01</t>
  </si>
  <si>
    <t>CC-MVP-110.04</t>
  </si>
  <si>
    <t>CC-MVP-89</t>
  </si>
  <si>
    <t>Client Reviews - MasterCut</t>
  </si>
  <si>
    <t>CC-MVP-89.04</t>
  </si>
  <si>
    <t>CC-MVP-89.05</t>
  </si>
  <si>
    <t>CC-MVP-89.06</t>
  </si>
  <si>
    <t>CC-MVP-86</t>
  </si>
  <si>
    <t>Sneaker PC</t>
  </si>
  <si>
    <t>CC-MVP-86.01</t>
  </si>
  <si>
    <t>Follow Up</t>
  </si>
  <si>
    <t>CC-MVP-86.06</t>
  </si>
  <si>
    <t>CC-MVP-86.07</t>
  </si>
  <si>
    <t>CC-MVP-103</t>
  </si>
  <si>
    <t>CC-MVP-103.02</t>
  </si>
  <si>
    <t>Blog Script - Nvidia L40s GPU Server</t>
  </si>
  <si>
    <t>CC-MVP-103.03</t>
  </si>
  <si>
    <t>CC-MVP-103.04</t>
  </si>
  <si>
    <t>CC-MVP-114</t>
  </si>
  <si>
    <t>Build a PC for Ansys</t>
  </si>
  <si>
    <t>CC-MVP-114.01</t>
  </si>
  <si>
    <t>CC-MVP-114.02</t>
  </si>
  <si>
    <t>CC-MVP-114.05</t>
  </si>
  <si>
    <t>CC-MVP-114.06</t>
  </si>
  <si>
    <t>CC-MVP-114.07</t>
  </si>
  <si>
    <t>CC-MVP-108</t>
  </si>
  <si>
    <t>CC-MVP-108.01</t>
  </si>
  <si>
    <t>CC-MVP-108.04</t>
  </si>
  <si>
    <t>CC-MVP-111</t>
  </si>
  <si>
    <t>Workstation for AR Dev.</t>
  </si>
  <si>
    <t>CC-MVP-111.01</t>
  </si>
  <si>
    <t>CC-MVP-111.02</t>
  </si>
  <si>
    <t>CC-MVP-111.03</t>
  </si>
  <si>
    <t>CC-MVP-111.04</t>
  </si>
  <si>
    <t>CC-MVP-113</t>
  </si>
  <si>
    <t>Build Photo - Enthoo Case</t>
  </si>
  <si>
    <t>CC-MVP-113.01</t>
  </si>
  <si>
    <t>CC-MVP-113.02</t>
  </si>
  <si>
    <t>In Review</t>
  </si>
  <si>
    <t>Fri Nov 10 2023 15:49:50 GMT+0530 (India Standard Time),</t>
  </si>
  <si>
    <t>CC-MVP-113.03</t>
  </si>
  <si>
    <t>CC-MVP-113.04</t>
  </si>
  <si>
    <t>CC-MVP-112</t>
  </si>
  <si>
    <t>How CPU works in 60 seconds</t>
  </si>
  <si>
    <t>CC-MVP-112.01</t>
  </si>
  <si>
    <t>CC-MVP-112.02</t>
  </si>
  <si>
    <t>CC-MVP-112.04</t>
  </si>
  <si>
    <t>CC-MVP-112.05</t>
  </si>
  <si>
    <t>CC-MVP-112.06</t>
  </si>
  <si>
    <t>CC-MVP-112.07</t>
  </si>
  <si>
    <t>CC-MVP-104</t>
  </si>
  <si>
    <t>CC-MVP-104.02</t>
  </si>
  <si>
    <t>CC-MVP-104.04</t>
  </si>
  <si>
    <t>CC-MVP-93</t>
  </si>
  <si>
    <t>Video Editing Category Review</t>
  </si>
  <si>
    <t>CC-MVP-93.01</t>
  </si>
  <si>
    <t>CC-MVP-93.02</t>
  </si>
  <si>
    <t>CC-MVP-93.03</t>
  </si>
  <si>
    <t>CC-MVP-93.04</t>
  </si>
  <si>
    <t>CC-MVP-93.05</t>
  </si>
  <si>
    <t>CC-MVP-93.06</t>
  </si>
  <si>
    <t>CC-MVP-109</t>
  </si>
  <si>
    <t>CC-MVP-109.01</t>
  </si>
  <si>
    <t>CC-MVP-109.04</t>
  </si>
  <si>
    <t>CC-MVP-116</t>
  </si>
  <si>
    <t>Enthoo Case Review</t>
  </si>
  <si>
    <t>CC-MVP-116.01</t>
  </si>
  <si>
    <t>Enthoo Case Review - YT Video</t>
  </si>
  <si>
    <t>Fri Nov 10 2023 13:29:12 GMT+0530 (India Standard Time),Fri Nov 10 2023 15:46:28 GMT+0530 (India Standard Time),</t>
  </si>
  <si>
    <t>Fri Nov 10 2023 14:29:25 GMT+0530 (India Standard Time),Nov 10 2023 23:39:09,</t>
  </si>
  <si>
    <t>CC-MVP-116.02</t>
  </si>
  <si>
    <t>Fri Nov 10 2023 15:17:32 GMT+0530 (India Standard Time),Fri Nov 10 2023 16:59:35 GMT+0530 (India Standard Time),</t>
  </si>
  <si>
    <t>Fri Nov 10 2023 16:17:33 GMT+0530 (India Standard Time),</t>
  </si>
  <si>
    <t>CC-MVP-116.05</t>
  </si>
  <si>
    <t>CC-MVP-116.06</t>
  </si>
  <si>
    <t>CC-MVP-116.07</t>
  </si>
  <si>
    <t>CC-MVP-117</t>
  </si>
  <si>
    <t>Enthoo Case</t>
  </si>
  <si>
    <t>CC-MVP-117.01</t>
  </si>
  <si>
    <t>CC-MVP-117.02</t>
  </si>
  <si>
    <t>B-Roll Shoot</t>
  </si>
  <si>
    <t>CC-MVP-117.03</t>
  </si>
  <si>
    <t>CC-MVP-117.04</t>
  </si>
  <si>
    <t>CC-MVP-109.02</t>
  </si>
  <si>
    <t>Transcript</t>
  </si>
  <si>
    <t>CC-MVP-109.03</t>
  </si>
  <si>
    <t>CC-MVP-109.05</t>
  </si>
  <si>
    <t>CC-MVP-109.06</t>
  </si>
  <si>
    <t>CC-MVP-16</t>
  </si>
  <si>
    <t>Logi Persona Reviews</t>
  </si>
  <si>
    <t>CC-MVP-16.01</t>
  </si>
  <si>
    <t>Sat Oct 14 2023 15:06:34 GMT+0530 (India Standard Time),</t>
  </si>
  <si>
    <t>CC-MVP-16.02</t>
  </si>
  <si>
    <t>CC-MVP-16.03</t>
  </si>
  <si>
    <t>CC-MVP-16.04</t>
  </si>
  <si>
    <t>CC-MVP-16.05</t>
  </si>
  <si>
    <t>CC-MVP-16.06</t>
  </si>
  <si>
    <t>CC-MVP-16.07</t>
  </si>
  <si>
    <t>CC-MVP-118</t>
  </si>
  <si>
    <t>Editing Category Downedit</t>
  </si>
  <si>
    <t>CC-MVP-118.01</t>
  </si>
  <si>
    <t>CC-MVP-118.02</t>
  </si>
  <si>
    <t>CC-MVP-118.03</t>
  </si>
  <si>
    <t>CC-MVP-118.04</t>
  </si>
  <si>
    <t>CC-MVP-118.05</t>
  </si>
  <si>
    <t>CC-MVP-118.06</t>
  </si>
  <si>
    <t>CC-MVP-118.07</t>
  </si>
  <si>
    <t>Picture This!</t>
  </si>
  <si>
    <t>CC-PTS-07</t>
  </si>
  <si>
    <t>Startup Mistakes</t>
  </si>
  <si>
    <t>CC-PTS-07.1</t>
  </si>
  <si>
    <t>CC-PTS-07.2</t>
  </si>
  <si>
    <t>CC-PTS-07.3</t>
  </si>
  <si>
    <t>Mon Aug 28 2023 16:52:19 GMT+0530 (India Standard Time),Mon Aug 28 2023 19:45:58 GMT+0530 (India Standard Time),Tue Aug 29 2023 10:54:39 GMT+0530 (India Standard Time),Tue Aug 29 2023 11:44:45 GMT+0530 (India Standard Time),Tue Aug 29 2023 19:38:49 GMT+0530 (India Standard Time),Thu Aug 31 2023 11:03:08 GMT+0530 (India Standard Time),Thu Aug 31 2023 13:40:49 GMT+0530 (India Standard Time),Thu Aug 31 2023 14:47:46 GMT+0530 (India Standard Time),</t>
  </si>
  <si>
    <t>Mon Aug 28 2023 17:52:30 GMT+0530 (India Standard Time),Tue Aug 29 2023 09:26:48 GMT+0530 (India Standard Time),Tue Aug 29 2023 11:39:40 GMT+0530 (India Standard Time),Tue Aug 29 2023 11:53:53 GMT+0530 (India Standard Time),Thu Aug 31 2023 09:22:11 GMT+0530 (India Standard Time),Thu Aug 31 2023 12:19:03 GMT+0530 (India Standard Time),Thu Aug 31 2023 13:53:47 GMT+0530 (India Standard Time),Sep 04 2023 10:56:06,</t>
  </si>
  <si>
    <t>CC-PTS-07.4</t>
  </si>
  <si>
    <t>Sat Oct 14 2023 13:14:17 GMT+0530 (India Standard Time),Sat Oct 14 2023 14:25:25 GMT+0530 (India Standard Time),Sat Oct 14 2023 17:24:41 GMT+0530 (India Standard Time),Mon Oct 16 2023 18:36:52 GMT+0530 (India Standard Time),</t>
  </si>
  <si>
    <t>Sat Oct 14 2023 13:42:22 GMT+0530 (India Standard Time),Sat Oct 14 2023 16:53:35 GMT+0530 (India Standard Time),Mon Oct 16 2023 18:15:43 GMT+0530 (India Standard Time),Oct 17 2023 14:37:48,</t>
  </si>
  <si>
    <t>CC-PTS-07.5</t>
  </si>
  <si>
    <t>Clean Up</t>
  </si>
  <si>
    <t>CC-PTS-07.6</t>
  </si>
  <si>
    <t>CC-PTS-09</t>
  </si>
  <si>
    <t>What is Sales Funnel</t>
  </si>
  <si>
    <t>CC-PTS-09.1</t>
  </si>
  <si>
    <t>Funnel Marketing Blog</t>
  </si>
  <si>
    <t>CC-PTS-09.2</t>
  </si>
  <si>
    <t>Images</t>
  </si>
  <si>
    <t>Mon Sep 04 2023 12:21:25 GMT+0530 (India Standard Time),</t>
  </si>
  <si>
    <t>Mon Sep 04 2023 12:23:55 GMT+0530 (India Standard Time),</t>
  </si>
  <si>
    <t>CC-PTS-09.3</t>
  </si>
  <si>
    <t>Thumbanil</t>
  </si>
  <si>
    <t>Wed Oct 18 2023 11:53:52 GMT+0530 (India Standard Time),</t>
  </si>
  <si>
    <t>Wed Oct 18 2023 11:58:07 GMT+0530 (India Standard Time),</t>
  </si>
  <si>
    <t>CC-PTS-09.4</t>
  </si>
  <si>
    <t>Blog Upload</t>
  </si>
  <si>
    <t>CC-PTS-10</t>
  </si>
  <si>
    <t>Before vs After</t>
  </si>
  <si>
    <t>CC-PTS-10.01</t>
  </si>
  <si>
    <t>CC-PTS-10.06</t>
  </si>
  <si>
    <t>CC-PTS-10.07</t>
  </si>
  <si>
    <t>Nvidia</t>
  </si>
  <si>
    <t>CC-NVI-01</t>
  </si>
  <si>
    <t>Asus F15 | RTX 2050</t>
  </si>
  <si>
    <t>CC-NVI-01.02</t>
  </si>
  <si>
    <t>Asus TUF Gaming F15</t>
  </si>
  <si>
    <t>CC-NVI-01.03</t>
  </si>
  <si>
    <t>Thu Sep 21 2023 12:07:36 GMT+0530 (India Standard Time),Thu Sep 21 2023 13:45:29 GMT+0530 (India Standard Time),Thu Sep 21 2023 18:49:22 GMT+0530 (India Standard Time),</t>
  </si>
  <si>
    <t>Thu Sep 21 2023 12:28:47 GMT+0530 (India Standard Time),Thu Sep 21 2023 18:26:36 GMT+0530 (India Standard Time),Sep 22 2023 16:35:12,</t>
  </si>
  <si>
    <t>CC-NVI-01.05</t>
  </si>
  <si>
    <t>Fri Sep 22 2023 16:49:19 GMT+0530 (India Standard Time),Fri Sep 22 2023 19:47:04 GMT+0530 (India Standard Time),Sat Sep 23 2023 10:21:04 GMT+0530 (India Standard Time),Sat Sep 23 2023 14:03:10 GMT+0530 (India Standard Time),</t>
  </si>
  <si>
    <t>Fri Sep 22 2023 17:07:31 GMT+0530 (India Standard Time),Sat Sep 23 2023 09:46:25 GMT+0530 (India Standard Time),Sat Sep 23 2023 12:52:26 GMT+0530 (India Standard Time),Sep 27 2023 12:18:47,</t>
  </si>
  <si>
    <t>CC-NVI-01.06</t>
  </si>
  <si>
    <t>Ship</t>
  </si>
  <si>
    <t>CC-NVI-01.07</t>
  </si>
  <si>
    <t>CC-NVI-12</t>
  </si>
  <si>
    <t>Cyberpunk - Phantom Liberty</t>
  </si>
  <si>
    <t>CC-NVI-12.01</t>
  </si>
  <si>
    <t>Cyberpunk 2077 2.0 - Phantom Liberty</t>
  </si>
  <si>
    <t>Tue Sep 26 2023 08:32:15 GMT+0530 (India Standard Time),</t>
  </si>
  <si>
    <t>Sep 26 2023 08:34:11,</t>
  </si>
  <si>
    <t>CC-NVI-12.02</t>
  </si>
  <si>
    <t>CC-NVI-12.03</t>
  </si>
  <si>
    <t>CC-NVI-12.04</t>
  </si>
  <si>
    <t>Tue Sep 26 2023 12:16:11 GMT+0530 (India Standard Time),</t>
  </si>
  <si>
    <t>Sep 26 2023 19:55:27,</t>
  </si>
  <si>
    <t>CC-NVI-12.05</t>
  </si>
  <si>
    <t>CC-NVI-12.06</t>
  </si>
  <si>
    <t>Mon Oct 09 2023 11:26:13 GMT+0530 (India Standard Time),</t>
  </si>
  <si>
    <t>Follow Up for Laptop</t>
  </si>
  <si>
    <t>Nvidia Laptop Videos</t>
  </si>
  <si>
    <t>CC-NVI-02</t>
  </si>
  <si>
    <t>MSI Sword 15 | RTX 4060</t>
  </si>
  <si>
    <t>CC-NVI-02.01</t>
  </si>
  <si>
    <t>MSI Sword 15 Gaming Laptop</t>
  </si>
  <si>
    <t>CC-NVI-02.02</t>
  </si>
  <si>
    <t>CC-NVI-02.05</t>
  </si>
  <si>
    <t>CC-NVI-02.07</t>
  </si>
  <si>
    <t>CC-NVI-05</t>
  </si>
  <si>
    <t>Acer Predator</t>
  </si>
  <si>
    <t>CC-NVI-05.01</t>
  </si>
  <si>
    <t>Helios 16</t>
  </si>
  <si>
    <t>CC-NVI-05.02</t>
  </si>
  <si>
    <t>CC-NVI-05.04</t>
  </si>
  <si>
    <t>Project Files</t>
  </si>
  <si>
    <t>CC-NVI-05.05</t>
  </si>
  <si>
    <t>Shubham</t>
  </si>
  <si>
    <t>Thu Oct 12 2023 02:12:50 GMT+0530 (India Standard Time),</t>
  </si>
  <si>
    <t>Oct 16 2023 10:31:14,</t>
  </si>
  <si>
    <t>CC-NVI-05.06</t>
  </si>
  <si>
    <t>CC-NVI-05.07</t>
  </si>
  <si>
    <t>Revise</t>
  </si>
  <si>
    <t>CC-NVI-05.08</t>
  </si>
  <si>
    <t>CC-NVI-06</t>
  </si>
  <si>
    <t>Acer Predator Neo</t>
  </si>
  <si>
    <t>CC-NVI-06.01</t>
  </si>
  <si>
    <t>Helios Neo 16</t>
  </si>
  <si>
    <t>CC-NVI-06.02</t>
  </si>
  <si>
    <t>CC-NVI-06.04</t>
  </si>
  <si>
    <t>CC-NVI-06.05</t>
  </si>
  <si>
    <t>Thu Oct 12 2023 02:25:17 GMT+0530 (India Standard Time),</t>
  </si>
  <si>
    <t>Oct 27 2023 16:05:02,</t>
  </si>
  <si>
    <t>CC-NVI-06.06</t>
  </si>
  <si>
    <t>Mon Oct 09 2023 11:35:04 GMT+0530 (India Standard Time),</t>
  </si>
  <si>
    <t>Tue Oct 10 2023 10:17:45 GMT+0530 (India Standard Time),</t>
  </si>
  <si>
    <t>CC-NVI-06.07</t>
  </si>
  <si>
    <t>CC-NVI-08</t>
  </si>
  <si>
    <t>HP Victus 15-FA1124TX</t>
  </si>
  <si>
    <t>CC-NVI-08.01</t>
  </si>
  <si>
    <t xml:space="preserve">Victus gaming </t>
  </si>
  <si>
    <t>Wed Oct 11 2023 11:45:28 GMT+0530 (India Standard Time),</t>
  </si>
  <si>
    <t>Oct 21 2023 13:04:41,</t>
  </si>
  <si>
    <t>CC-NVI-08.02</t>
  </si>
  <si>
    <t>CC-NVI-08.04</t>
  </si>
  <si>
    <t>CC-NVI-08.05</t>
  </si>
  <si>
    <t>CC-NVI-08.06</t>
  </si>
  <si>
    <t>CC-NVI-08.07</t>
  </si>
  <si>
    <t>Tue Oct 10 2023 17:31:08 GMT+0530 (India Standard Time),</t>
  </si>
  <si>
    <t>Tue Oct 10 2023 19:14:16 GMT+0530 (India Standard Time),</t>
  </si>
  <si>
    <t>CC-NVI-08.08</t>
  </si>
  <si>
    <t>CC-NVI-04</t>
  </si>
  <si>
    <t>Lenovo Legion | RTX 4060</t>
  </si>
  <si>
    <t>CC-NVI-04.01</t>
  </si>
  <si>
    <t>Lenovo</t>
  </si>
  <si>
    <t>CC-NVI-04.02</t>
  </si>
  <si>
    <t>CC-NVI-04.05</t>
  </si>
  <si>
    <t>Tue Oct 10 2023 18:43:06 GMT+0530 (India Standard Time),</t>
  </si>
  <si>
    <t>Oct 10 2023 18:43:42,</t>
  </si>
  <si>
    <t>CC-NVI-04.06</t>
  </si>
  <si>
    <t>CC-NVI-04.07</t>
  </si>
  <si>
    <t>CC-NVI-07</t>
  </si>
  <si>
    <t>Acer Nitro V</t>
  </si>
  <si>
    <t>CC-NVI-07.01</t>
  </si>
  <si>
    <t xml:space="preserve">Script - Acer Nitro ZYP </t>
  </si>
  <si>
    <t>Mon Oct 16 2023 16:31:16 GMT+0530 (India Standard Time),</t>
  </si>
  <si>
    <t>Oct 21 2023 13:04:36,</t>
  </si>
  <si>
    <t>CC-NVI-07.02</t>
  </si>
  <si>
    <t>CC-NVI-07.04</t>
  </si>
  <si>
    <t>Tue Oct 10 2023 10:40:01 GMT+0530 (India Standard Time),</t>
  </si>
  <si>
    <t>Tue Oct 10 2023 17:11:24 GMT+0530 (India Standard Time),</t>
  </si>
  <si>
    <t>CC-NVI-07.05</t>
  </si>
  <si>
    <t>Thu Oct 12 2023 02:42:25 GMT+0530 (India Standard Time),</t>
  </si>
  <si>
    <t>Nov 03 2023 10:22:20,</t>
  </si>
  <si>
    <t>CC-NVI-07.06</t>
  </si>
  <si>
    <t>Voice Over</t>
  </si>
  <si>
    <t>Mon Oct 09 2023 11:49:15 GMT+0530 (India Standard Time),</t>
  </si>
  <si>
    <t>Oct 09 2023 13:21:21,</t>
  </si>
  <si>
    <t>CC-NVI-07.07</t>
  </si>
  <si>
    <t>CC-NVI-10</t>
  </si>
  <si>
    <t>HP Victus 15-FA0555TX</t>
  </si>
  <si>
    <t>CC-NVI-10.01</t>
  </si>
  <si>
    <t>HP Victus</t>
  </si>
  <si>
    <t>CC-NVI-10.02</t>
  </si>
  <si>
    <t>CC-NVI-10.04</t>
  </si>
  <si>
    <t>Tue Oct 10 2023 19:14:19 GMT+0530 (India Standard Time),</t>
  </si>
  <si>
    <t>Tue Oct 10 2023 19:15:36 GMT+0530 (India Standard Time),</t>
  </si>
  <si>
    <t>CC-NVI-10.05</t>
  </si>
  <si>
    <t>Thu Oct 12 2023 02:56:14 GMT+0530 (India Standard Time),</t>
  </si>
  <si>
    <t>Oct 21 2023 13:04:46,</t>
  </si>
  <si>
    <t>CC-NVI-10.06</t>
  </si>
  <si>
    <t xml:space="preserve">VoiceOver </t>
  </si>
  <si>
    <t>Mon Oct 09 2023 12:27:29 GMT+0530 (India Standard Time),</t>
  </si>
  <si>
    <t>Oct 09 2023 13:21:16,</t>
  </si>
  <si>
    <t>CC-NVI-10.07</t>
  </si>
  <si>
    <t>CC-NVI-11</t>
  </si>
  <si>
    <t>HP Omen 16-XF0060AX</t>
  </si>
  <si>
    <t>CC-NVI-11.01</t>
  </si>
  <si>
    <t>HP OMEN</t>
  </si>
  <si>
    <t>CC-NVI-11.02</t>
  </si>
  <si>
    <t>Fri Sep 29 2023 10:52:55 GMT+0530 (India Standard Time),</t>
  </si>
  <si>
    <t>Sep 29 2023 18:16:41,</t>
  </si>
  <si>
    <t>CC-NVI-11.04</t>
  </si>
  <si>
    <t>Tue Oct 10 2023 17:36:00 GMT+0530 (India Standard Time),</t>
  </si>
  <si>
    <t>Tue Oct 10 2023 18:04:36 GMT+0530 (India Standard Time),</t>
  </si>
  <si>
    <t>CC-NVI-11.05</t>
  </si>
  <si>
    <t>CC-NVI-11.06</t>
  </si>
  <si>
    <t xml:space="preserve">Voiceover </t>
  </si>
  <si>
    <t>Mon Oct 09 2023 11:52:23 GMT+0530 (India Standard Time),</t>
  </si>
  <si>
    <t>Oct 09 2023 13:21:13,Nov 07 2023 13:55:50,</t>
  </si>
  <si>
    <t>CC-NVI-11.07</t>
  </si>
  <si>
    <t xml:space="preserve">v         </t>
  </si>
  <si>
    <t>CC-NVI-13</t>
  </si>
  <si>
    <t>MSI Laptop 1</t>
  </si>
  <si>
    <t>CC-NVI-13.01</t>
  </si>
  <si>
    <t>CC-NVI-13.02</t>
  </si>
  <si>
    <t>Footage</t>
  </si>
  <si>
    <t>Fri Nov 10 2023 19:16:16 GMT+0530 (India Standard Time),</t>
  </si>
  <si>
    <t>CC-NVI-13.05</t>
  </si>
  <si>
    <t>CC-NVI-13.07</t>
  </si>
  <si>
    <t>CC-NVI-14</t>
  </si>
  <si>
    <t>MSI Laptop 2</t>
  </si>
  <si>
    <t>CC-NVI-14.01</t>
  </si>
  <si>
    <t>CC-NVI-14.02</t>
  </si>
  <si>
    <t>CC-NVI-14.05</t>
  </si>
  <si>
    <t>CC-NVI-14.07</t>
  </si>
  <si>
    <t>Colorful Tech</t>
  </si>
  <si>
    <t>CC-CTH-14</t>
  </si>
  <si>
    <t>RTX 4090 Vulcan - Build Reel</t>
  </si>
  <si>
    <t>CC-CTH-14.02</t>
  </si>
  <si>
    <t>CC-CTH-14.05</t>
  </si>
  <si>
    <t>CC-CTH-14.06</t>
  </si>
  <si>
    <t>CC-CTH-14.07</t>
  </si>
  <si>
    <t>CC-CTH-12</t>
  </si>
  <si>
    <t>STEM Studies</t>
  </si>
  <si>
    <t>CC-CTH-12.01</t>
  </si>
  <si>
    <t>Tue Nov 07 2023 18:10:48 GMT+0530 (India Standard Time),</t>
  </si>
  <si>
    <t>Tue Nov 07 2023 18:11:37 GMT+0530 (India Standard Time),</t>
  </si>
  <si>
    <t>CC-CTH-12.02</t>
  </si>
  <si>
    <t>CC-CTH-12.05</t>
  </si>
  <si>
    <t>Wed Nov 08 2023 18:40:21 GMT+0530 (India Standard Time),Wed Nov 08 2023 18:55:32 GMT+0530 (India Standard Time),Wed Nov 08 2023 19:33:08 GMT+0530 (India Standard Time),Thu Nov 09 2023 13:06:08 GMT+0530 (India Standard Time),Thu Nov 09 2023 13:30:40 GMT+0530 (India Standard Time),</t>
  </si>
  <si>
    <t>Wed Nov 08 2023 18:54:15 GMT+0530 (India Standard Time),Wed Nov 08 2023 19:06:51 GMT+0530 (India Standard Time),Thu Nov 09 2023 12:46:56 GMT+0530 (India Standard Time),Thu Nov 09 2023 13:29:35 GMT+0530 (India Standard Time),Nov 09 2023 17:10:35,</t>
  </si>
  <si>
    <t>CC-CTH-12.06</t>
  </si>
  <si>
    <t>Report</t>
  </si>
  <si>
    <t>Thu Nov 09 2023 14:28:58 GMT+0530 (India Standard Time),</t>
  </si>
  <si>
    <t>Nov 09 2023 14:29:07,</t>
  </si>
  <si>
    <t>CC-CTH-12.07</t>
  </si>
  <si>
    <t>CC-CTH-10</t>
  </si>
  <si>
    <t>iGame Center Introduction</t>
  </si>
  <si>
    <t>CC-CTH-10.01</t>
  </si>
  <si>
    <t>iGAME Center</t>
  </si>
  <si>
    <t>Tue Oct 31 2023 10:17:51 GMT+0530 (India Standard Time),Tue Oct 31 2023 11:27:22 GMT+0530 (India Standard Time),</t>
  </si>
  <si>
    <t>Tue Oct 31 2023 11:11:59 GMT+0530 (India Standard Time),Nov 01 2023 10:00:29,</t>
  </si>
  <si>
    <t>CC-CTH-10.03</t>
  </si>
  <si>
    <t>Fri Nov 03 2023 16:33:47 GMT+0530 (India Standard Time),</t>
  </si>
  <si>
    <t>Nov 04 2023 13:27:56,</t>
  </si>
  <si>
    <t>CC-CTH-10.05</t>
  </si>
  <si>
    <t>Re-Script</t>
  </si>
  <si>
    <t>Wed Nov 08 2023 14:57:30 GMT+0530 (India Standard Time),</t>
  </si>
  <si>
    <t>Nov 08 2023 15:16:15,</t>
  </si>
  <si>
    <t>CC-CTH-10.04</t>
  </si>
  <si>
    <t>Screenrecord</t>
  </si>
  <si>
    <t>CC-CTH-10.06</t>
  </si>
  <si>
    <t>Thu Nov 09 2023 19:59:01 GMT+0530 (India Standard Time),Thu Nov 09 2023 20:11:36 GMT+0530 (India Standard Time),Fri Nov 10 2023 17:12:36 GMT+0530 (India Standard Time),Fri Nov 10 2023 18:00:47 GMT+0530 (India Standard Time),Fri Nov 10 2023 18:51:38 GMT+0530 (India Standard Time),Fri Nov 10 2023 20:29:53 GMT+0530 (India Standard Time),</t>
  </si>
  <si>
    <t>Thu Nov 09 2023 20:01:08 GMT+0530 (India Standard Time),Fri Nov 10 2023 17:12:21 GMT+0530 (India Standard Time),Fri Nov 10 2023 17:22:46 GMT+0530 (India Standard Time),Fri Nov 10 2023 18:30:10 GMT+0530 (India Standard Time),Fri Nov 10 2023 19:50:59 GMT+0530 (India Standard Time),</t>
  </si>
  <si>
    <t>CC-CTH-10.07</t>
  </si>
  <si>
    <t>CC-CTH-16</t>
  </si>
  <si>
    <t>CC-CTH-16.01</t>
  </si>
  <si>
    <t>Draft</t>
  </si>
  <si>
    <t>Thu Nov 09 2023 13:50:03 GMT+0530 (India Standard Time),Thu Nov 09 2023 17:31:39 GMT+0530 (India Standard Time),Thu Nov 09 2023 18:24:05 GMT+0530 (India Standard Time),Fri Nov 10 2023 10:00:11 GMT+0530 (India Standard Time),</t>
  </si>
  <si>
    <t>Thu Nov 09 2023 14:51:52 GMT+0530 (India Standard Time),Thu Nov 09 2023 18:18:57 GMT+0530 (India Standard Time),Fri Nov 10 2023 09:48:54 GMT+0530 (India Standard Time),Nov 10 2023 16:11:04,</t>
  </si>
  <si>
    <t>CC-CTH-16.03</t>
  </si>
  <si>
    <t>CC-CTH-16.04</t>
  </si>
  <si>
    <t>CC-CTH-15</t>
  </si>
  <si>
    <t>POV: you bought your first GPU</t>
  </si>
  <si>
    <t>CC-CTH-15.05</t>
  </si>
  <si>
    <t>Example</t>
  </si>
  <si>
    <t>Tue Nov 07 2023 16:01:26 GMT+0530 (India Standard Time),Wed Nov 08 2023 15:19:33 GMT+0530 (India Standard Time),Wed Nov 08 2023 15:51:03 GMT+0530 (India Standard Time),Wed Nov 08 2023 15:52:49 GMT+0530 (India Standard Time),</t>
  </si>
  <si>
    <t>Wed Nov 08 2023 15:18:56 GMT+0530 (India Standard Time),Wed Nov 08 2023 15:49:44 GMT+0530 (India Standard Time),Wed Nov 08 2023 15:51:21 GMT+0530 (India Standard Time),</t>
  </si>
  <si>
    <t>CC-CTH-15.06</t>
  </si>
  <si>
    <t>Caption</t>
  </si>
  <si>
    <t>CC-CTH-15.07</t>
  </si>
  <si>
    <t>CC-CTH-13</t>
  </si>
  <si>
    <t>PC for Generative AI</t>
  </si>
  <si>
    <t>CC-CTH-13.01</t>
  </si>
  <si>
    <t>Custom PC for Generative AI - Colorful</t>
  </si>
  <si>
    <t>CC-CTH-13.02</t>
  </si>
  <si>
    <t>CC-CTH-13.03</t>
  </si>
  <si>
    <t>Fri Nov 03 2023 18:39:29 GMT+0530 (India Standard Time),</t>
  </si>
  <si>
    <t>CC-CTH-13.05</t>
  </si>
  <si>
    <t>CC-CTH-17</t>
  </si>
  <si>
    <t>Ada Lovelace - Power Efficiency</t>
  </si>
  <si>
    <t>CC-CTH-17.01</t>
  </si>
  <si>
    <t>CC-CTH-17.02</t>
  </si>
  <si>
    <t>CC-CTH-17.04</t>
  </si>
  <si>
    <t>CC-CTH-17.05</t>
  </si>
  <si>
    <t>CC-CTH-17.07</t>
  </si>
  <si>
    <t>CC-CTH-18</t>
  </si>
  <si>
    <t>How to Upgrade your GPU</t>
  </si>
  <si>
    <t>CC-CTH-18.01</t>
  </si>
  <si>
    <r>
      <rPr>
        <rFont val="Albert Sans"/>
        <color rgb="FF1155CC"/>
        <sz val="12.0"/>
        <u/>
      </rPr>
      <t>How to Upgrade Your Graphics Card - YouTube</t>
    </r>
    <r>
      <rPr>
        <rFont val="Albert Sans"/>
        <color rgb="FF000000"/>
        <sz val="12.0"/>
      </rPr>
      <t xml:space="preserve"> </t>
    </r>
    <r>
      <rPr>
        <rFont val="Albert Sans"/>
        <color rgb="FF1155CC"/>
        <sz val="12.0"/>
        <u/>
      </rPr>
      <t>Script</t>
    </r>
  </si>
  <si>
    <t>Fri Nov 10 2023 19:16:42 GMT+0530 (India Standard Time),</t>
  </si>
  <si>
    <t>CC-CTH-18.02</t>
  </si>
  <si>
    <t>CC-CTH-18.03</t>
  </si>
  <si>
    <t>CC-CTH-18.04</t>
  </si>
  <si>
    <t>CC-CTH-18.05</t>
  </si>
  <si>
    <t>CC-CTH-19</t>
  </si>
  <si>
    <t>Deep Learning Anti-Aliasing</t>
  </si>
  <si>
    <t>CC-CTH-19.01</t>
  </si>
  <si>
    <t>CC-CTH-19.02</t>
  </si>
  <si>
    <t>CC-CTH-19.03</t>
  </si>
  <si>
    <t>CC-CTH-19.04</t>
  </si>
  <si>
    <t>CC-CTH-20</t>
  </si>
  <si>
    <t>When can you upgrade your GPU</t>
  </si>
  <si>
    <t>CC-CTH-20.01</t>
  </si>
  <si>
    <t>CC-CTH-20.02</t>
  </si>
  <si>
    <t>CC-CTH-20.04</t>
  </si>
  <si>
    <t>CC-CTH-20.05</t>
  </si>
  <si>
    <t>CC-CTH-20.07</t>
  </si>
  <si>
    <t>CC-CTH-21</t>
  </si>
  <si>
    <t>Product Showcase</t>
  </si>
  <si>
    <t>CC-CTH-21.01</t>
  </si>
  <si>
    <t>https://en.colorful.cn/en/home/product?mid=102&amp;id=6dcb0687-c6e7-4672-805b-05fb89fca988</t>
  </si>
  <si>
    <t>CC-CTH-21.03</t>
  </si>
  <si>
    <t>CC-CTH-21.04</t>
  </si>
  <si>
    <t>MaCaw</t>
  </si>
  <si>
    <t>CC-MAC-01</t>
  </si>
  <si>
    <t>Coming Soon</t>
  </si>
  <si>
    <t>CC-MAC-01.02</t>
  </si>
  <si>
    <t>Ibraheem</t>
  </si>
  <si>
    <t>CC-MAC-01.05</t>
  </si>
  <si>
    <t>https://www.instagram.com/reel/CdAKnaBBNVc/?igshid=MzRlODBiNWFlZA==</t>
  </si>
  <si>
    <t>Wed Oct 18 2023 12:23:26 GMT+0530 (India Standard Time),Wed Oct 18 2023 13:41:42 GMT+0530 (India Standard Time),Wed Oct 18 2023 14:05:20 GMT+0530 (India Standard Time),Thu Oct 19 2023 11:50:38 GMT+0530 (India Standard Time),</t>
  </si>
  <si>
    <t>Wed Oct 18 2023 13:23:53 GMT+0530 (India Standard Time),Wed Oct 18 2023 14:03:20 GMT+0530 (India Standard Time),Thu Oct 19 2023 11:37:51 GMT+0530 (India Standard Time),Oct 19 2023 19:14:35,</t>
  </si>
  <si>
    <t>CC-MAC-01.07</t>
  </si>
  <si>
    <t>CC-MAC-10</t>
  </si>
  <si>
    <t>Utopian Academy - Classes</t>
  </si>
  <si>
    <t>CC-MAC-10.01</t>
  </si>
  <si>
    <t>Edit &amp; Caption</t>
  </si>
  <si>
    <t>Activity Center.psd</t>
  </si>
  <si>
    <t>Tue Oct 17 2023 09:54:27 GMT+0530 (India Standard Time),Tue Oct 17 2023 11:07:40 GMT+0530 (India Standard Time),</t>
  </si>
  <si>
    <t>Tue Oct 17 2023 10:16:31 GMT+0530 (India Standard Time),Oct 18 2023 15:35:57,</t>
  </si>
  <si>
    <t>CC-MAC-10.02</t>
  </si>
  <si>
    <t>CC-MAC-11</t>
  </si>
  <si>
    <t>MaCaw School - Classes</t>
  </si>
  <si>
    <t>CC-MAC-11.01</t>
  </si>
  <si>
    <t>Nursery + Preschool A4.psd</t>
  </si>
  <si>
    <t>CC-MAC-11.02</t>
  </si>
  <si>
    <t>CC-MAC-02</t>
  </si>
  <si>
    <t>Kuchipudi Teacher Intro</t>
  </si>
  <si>
    <t>CC-MAC-02.02</t>
  </si>
  <si>
    <t>Sat Oct 14 2023 14:28:44 GMT+0530 (India Standard Time),</t>
  </si>
  <si>
    <t>Oct 14 2023 17:58:55,</t>
  </si>
  <si>
    <t>CC-MAC-02.04</t>
  </si>
  <si>
    <t>Edit Template</t>
  </si>
  <si>
    <t>Teacher Intro - Template</t>
  </si>
  <si>
    <t>Sat Oct 21 2023 15:55:46 GMT+0530 (India Standard Time),Mon Oct 23 2023 11:02:52 GMT+0530 (India Standard Time),Mon Oct 23 2023 11:48:30 GMT+0530 (India Standard Time),</t>
  </si>
  <si>
    <t>Mon Oct 23 2023 10:11:19 GMT+0530 (India Standard Time),Mon Oct 23 2023 11:17:12 GMT+0530 (India Standard Time),Oct 27 2023 11:52:25,</t>
  </si>
  <si>
    <t>CC-MAC-02.05</t>
  </si>
  <si>
    <t>CC-MAC-02.07</t>
  </si>
  <si>
    <t>CC-MAC-03</t>
  </si>
  <si>
    <t>Kuchipudi Teacher Photos</t>
  </si>
  <si>
    <t>CC-MAC-03.02</t>
  </si>
  <si>
    <t>CC-MAC-03.03</t>
  </si>
  <si>
    <t>Thu Oct 26 2023 15:48:23 GMT+0530 (India Standard Time),</t>
  </si>
  <si>
    <t>Oct 27 2023 11:52:30,</t>
  </si>
  <si>
    <t>CC-MAC-03.04</t>
  </si>
  <si>
    <t>CC-MAC-06</t>
  </si>
  <si>
    <t>Yoga Teacher Intro</t>
  </si>
  <si>
    <t>CC-MAC-06.02</t>
  </si>
  <si>
    <t>CC-MAC-06.04</t>
  </si>
  <si>
    <t>CC-MAC-06.05</t>
  </si>
  <si>
    <t>Mon Oct 23 2023 16:10:03 GMT+0530 (India Standard Time),</t>
  </si>
  <si>
    <t>Oct 27 2023 11:52:35,</t>
  </si>
  <si>
    <t>CC-MAC-06.07</t>
  </si>
  <si>
    <t>CC-MAC-07</t>
  </si>
  <si>
    <t>Yoga Teacher Photos</t>
  </si>
  <si>
    <t>CC-MAC-07.02</t>
  </si>
  <si>
    <t>CC-MAC-07.03</t>
  </si>
  <si>
    <t>Edit + Captions</t>
  </si>
  <si>
    <t>CC-MAC-07.04</t>
  </si>
  <si>
    <t>CC-MAC-08</t>
  </si>
  <si>
    <t>Art &amp; Craft Teacher Intro</t>
  </si>
  <si>
    <t>CC-MAC-08.02</t>
  </si>
  <si>
    <t>CC-MAC-08.04</t>
  </si>
  <si>
    <t>CC-MAC-08.05</t>
  </si>
  <si>
    <t>Mon Oct 23 2023 16:43:06 GMT+0530 (India Standard Time),</t>
  </si>
  <si>
    <t>Oct 27 2023 11:52:39,</t>
  </si>
  <si>
    <t>CC-MAC-08.07</t>
  </si>
  <si>
    <t>CC-MAC-09</t>
  </si>
  <si>
    <t>Art &amp; Craft Teacher Photos</t>
  </si>
  <si>
    <t>CC-MAC-09.02</t>
  </si>
  <si>
    <t>CC-MAC-09.03</t>
  </si>
  <si>
    <t>CC-MAC-09.04</t>
  </si>
  <si>
    <t>CC-MAC-04</t>
  </si>
  <si>
    <t>Music Teachers Intro</t>
  </si>
  <si>
    <t>CC-MAC-04.02</t>
  </si>
  <si>
    <t>CC-MAC-04.04</t>
  </si>
  <si>
    <t>CC-MAC-04.05</t>
  </si>
  <si>
    <t>Wed Oct 25 2023 09:58:53 GMT+0530 (India Standard Time),</t>
  </si>
  <si>
    <t>Oct 28 2023 17:43:47,</t>
  </si>
  <si>
    <t>CC-MAC-04.07</t>
  </si>
  <si>
    <t>CC-MAC-05</t>
  </si>
  <si>
    <t>Music Teachers Photos</t>
  </si>
  <si>
    <t>CC-MAC-05.02</t>
  </si>
  <si>
    <t>CC-MAC-05.03</t>
  </si>
  <si>
    <t>CC-MAC-05.04</t>
  </si>
  <si>
    <t>CC-MAC-12</t>
  </si>
  <si>
    <t>CC-MAC-12.03</t>
  </si>
  <si>
    <t>Fri Nov 10 2023 14:48:54 GMT+0530 (India Standard Time),</t>
  </si>
  <si>
    <t>CC-MAC-12.04</t>
  </si>
  <si>
    <t>Inno3D</t>
  </si>
  <si>
    <t>CC-INN-13</t>
  </si>
  <si>
    <t>RTX 4070 iCHILL - Feature</t>
  </si>
  <si>
    <t>CC-INN-13.01</t>
  </si>
  <si>
    <t>Idea</t>
  </si>
  <si>
    <t>CC-INN-13.03</t>
  </si>
  <si>
    <t>Mon Oct 30 2023 12:20:32 GMT+0530 (India Standard Time),</t>
  </si>
  <si>
    <t>Oct 30 2023 14:01:59,</t>
  </si>
  <si>
    <t>CC-INN-13.04</t>
  </si>
  <si>
    <t>CC-INN-14</t>
  </si>
  <si>
    <t>Further with AI - X3 OC</t>
  </si>
  <si>
    <t>CC-INN-14.01</t>
  </si>
  <si>
    <t>CC-INN-14.03</t>
  </si>
  <si>
    <t>CC-INN-14.04</t>
  </si>
  <si>
    <t>CC-INN-15</t>
  </si>
  <si>
    <t>Build Photo</t>
  </si>
  <si>
    <t>CC-INN-15.03</t>
  </si>
  <si>
    <t>Mon Oct 30 2023 17:52:54 GMT+0530 (India Standard Time),</t>
  </si>
  <si>
    <t>Oct 30 2023 19:30:31,</t>
  </si>
  <si>
    <t>CC-INN-15.04</t>
  </si>
  <si>
    <t>CC-INN-16</t>
  </si>
  <si>
    <t>CC-INN-16.01</t>
  </si>
  <si>
    <t>Custom PC for Generative AI - Inno3D</t>
  </si>
  <si>
    <t>Mon Oct 30 2023 14:09:41 GMT+0530 (India Standard Time),</t>
  </si>
  <si>
    <t>Tue Oct 31 2023 11:32:59 GMT+0530 (India Standard Time),</t>
  </si>
  <si>
    <t>CC-INN-16.04</t>
  </si>
  <si>
    <t>Tue Oct 31 2023 12:34:26 GMT+0530 (India Standard Time),</t>
  </si>
  <si>
    <t>Oct 31 2023 12:36:50,</t>
  </si>
  <si>
    <t>CC-INN-16.05</t>
  </si>
  <si>
    <t>Tue Oct 31 2023 14:05:19 GMT+0530 (India Standard Time),Tue Oct 31 2023 16:43:47 GMT+0530 (India Standard Time),</t>
  </si>
  <si>
    <t>Tue Oct 31 2023 16:18:28 GMT+0530 (India Standard Time),Oct 31 2023 18:52:58,</t>
  </si>
  <si>
    <t>CC-INN-16.07</t>
  </si>
  <si>
    <t>CC-INN-17</t>
  </si>
  <si>
    <t>Gaming Meme</t>
  </si>
  <si>
    <t>CC-INN-17.03</t>
  </si>
  <si>
    <t>Wed Nov 01 2023 13:18:25 GMT+0530 (India Standard Time),</t>
  </si>
  <si>
    <t>Nov 01 2023 13:54:39,</t>
  </si>
  <si>
    <t>CC-INN-17.04</t>
  </si>
  <si>
    <t>Wed Nov 01 2023 13:55:04 GMT+0530 (India Standard Time),</t>
  </si>
  <si>
    <t>Nov 02 2023 10:27:54,</t>
  </si>
  <si>
    <t>CC-INN-19</t>
  </si>
  <si>
    <t>Product Photo</t>
  </si>
  <si>
    <t>CC-INN-19.05</t>
  </si>
  <si>
    <t>Thu Nov 02 2023 11:47:06 GMT+0530 (India Standard Time),</t>
  </si>
  <si>
    <t>Fri Nov 03 2023 11:21:14 GMT+0530 (India Standard Time),</t>
  </si>
  <si>
    <t>CC-INN-19.07</t>
  </si>
  <si>
    <t>CC-INN-20</t>
  </si>
  <si>
    <t>Build Reel</t>
  </si>
  <si>
    <t>CC-INN-20.05</t>
  </si>
  <si>
    <t>Fri Nov 03 2023 13:11:28 GMT+0530 (India Standard Time),</t>
  </si>
  <si>
    <t>Nov 04 2023 13:29:03,</t>
  </si>
  <si>
    <t>CC-INN-20.07</t>
  </si>
  <si>
    <t>CC-INN-21</t>
  </si>
  <si>
    <t xml:space="preserve">Call of duty 3 </t>
  </si>
  <si>
    <t>CC-INN-21.03</t>
  </si>
  <si>
    <t>Sat Nov 04 2023 09:46:03 GMT+0530 (India Standard Time),</t>
  </si>
  <si>
    <t>Nov 04 2023 13:29:13,</t>
  </si>
  <si>
    <t>CC-INN-21.04</t>
  </si>
  <si>
    <t>CC-INN-22</t>
  </si>
  <si>
    <t>This or that? - Assassins Creed Mirage</t>
  </si>
  <si>
    <t>CC-INN-22.03</t>
  </si>
  <si>
    <t>Sat Nov 04 2023 16:36:15 GMT+0530 (India Standard Time),</t>
  </si>
  <si>
    <t>Nov 06 2023 12:08:52,</t>
  </si>
  <si>
    <t>CC-INN-22.04</t>
  </si>
  <si>
    <t>CC-INN-23</t>
  </si>
  <si>
    <t>Product feature 4070 Twin</t>
  </si>
  <si>
    <t>CC-INN-23.03</t>
  </si>
  <si>
    <t>Sat Nov 04 2023 18:44:27 GMT+0530 (India Standard Time),Mon Nov 06 2023 11:45:15 GMT+0530 (India Standard Time),</t>
  </si>
  <si>
    <t>Mon Nov 06 2023 11:01:45 GMT+0530 (India Standard Time),Nov 06 2023 12:08:33,</t>
  </si>
  <si>
    <t>CC-INN-23.04</t>
  </si>
  <si>
    <t>CC-INN-26</t>
  </si>
  <si>
    <t>Build photo</t>
  </si>
  <si>
    <t>CC-INN-26.03</t>
  </si>
  <si>
    <t>CC-INN-26.04</t>
  </si>
  <si>
    <t>CC-INN-30</t>
  </si>
  <si>
    <t>COD MW3</t>
  </si>
  <si>
    <t>CC-INN-30.03</t>
  </si>
  <si>
    <t>CC-INN-30.04</t>
  </si>
  <si>
    <t>Thu Nov 09 2023 12:40:18 GMT+0530 (India Standard Time),</t>
  </si>
  <si>
    <t>Nov 09 2023 12:40:25,</t>
  </si>
  <si>
    <t>CC-INN-32</t>
  </si>
  <si>
    <t>Imagine you have limitless budget</t>
  </si>
  <si>
    <t>CC-INN-32.03</t>
  </si>
  <si>
    <t>Thu Nov 09 2023 12:43:12 GMT+0530 (India Standard Time),</t>
  </si>
  <si>
    <t>Nov 09 2023 13:13:50,</t>
  </si>
  <si>
    <t>CC-INN-32.04</t>
  </si>
  <si>
    <t>CC-INN-29</t>
  </si>
  <si>
    <t>Troubleshoot GPU issues</t>
  </si>
  <si>
    <t>CC-INN-29.01</t>
  </si>
  <si>
    <t>Reword</t>
  </si>
  <si>
    <t>Troubleshoot GPU Issues - Inno3D</t>
  </si>
  <si>
    <t>Wed Nov 08 2023 15:11:22 GMT+0530 (India Standard Time),</t>
  </si>
  <si>
    <t>Nov 08 2023 15:17:01,</t>
  </si>
  <si>
    <t>CC-INN-29.02</t>
  </si>
  <si>
    <t>Shoot &amp; VO</t>
  </si>
  <si>
    <t>Sample</t>
  </si>
  <si>
    <t>Thu Nov 09 2023 14:20:21 GMT+0530 (India Standard Time),</t>
  </si>
  <si>
    <t>Thu Nov 09 2023 17:25:37 GMT+0530 (India Standard Time),</t>
  </si>
  <si>
    <t>CC-INN-29.03</t>
  </si>
  <si>
    <t>Thu Nov 09 2023 17:13:23 GMT+0530 (India Standard Time),Thu Nov 09 2023 18:46:58 GMT+0530 (India Standard Time),Thu Nov 09 2023 20:08:24 GMT+0530 (India Standard Time),Fri Nov 10 2023 10:34:31 GMT+0530 (India Standard Time),</t>
  </si>
  <si>
    <t>Thu Nov 09 2023 18:43:39 GMT+0530 (India Standard Time),Thu Nov 09 2023 18:57:18 GMT+0530 (India Standard Time),Fri Nov 10 2023 09:57:31 GMT+0530 (India Standard Time),Nov 10 2023 11:18:41,</t>
  </si>
  <si>
    <t>CC-INN-29.04</t>
  </si>
  <si>
    <t>CC-INN-28</t>
  </si>
  <si>
    <t>CC-INN-28.03</t>
  </si>
  <si>
    <t>Fri Nov 10 2023 14:10:15 GMT+0530 (India Standard Time),</t>
  </si>
  <si>
    <t>CC-INN-28.04</t>
  </si>
  <si>
    <t>CC-INN-27</t>
  </si>
  <si>
    <t>NVIDIA RTX Video Super Resolution</t>
  </si>
  <si>
    <t>CC-INN-27.01</t>
  </si>
  <si>
    <r>
      <rPr>
        <rFont val="Albert Sans"/>
        <color rgb="FF5AADF1"/>
        <sz val="12.0"/>
        <u/>
      </rPr>
      <t>Article</t>
    </r>
    <r>
      <rPr>
        <rFont val="Albert Sans"/>
        <sz val="12.0"/>
      </rPr>
      <t xml:space="preserve"> NVIDIA RTX Video Super Resolution</t>
    </r>
  </si>
  <si>
    <t>Wed Nov 08 2023 17:36:29 GMT+0530 (India Standard Time),Wed Nov 08 2023 18:21:36 GMT+0530 (India Standard Time),</t>
  </si>
  <si>
    <t>Wed Nov 08 2023 17:44:01 GMT+0530 (India Standard Time),Nov 10 2023 09:55:37,</t>
  </si>
  <si>
    <t>CC-INN-27.02</t>
  </si>
  <si>
    <t>CC-INN-27.05</t>
  </si>
  <si>
    <t>Thu Nov 09 2023 18:05:53 GMT+0530 (India Standard Time),Thu Nov 09 2023 18:43:34 GMT+0530 (India Standard Time),</t>
  </si>
  <si>
    <t>Thu Nov 09 2023 18:34:01 GMT+0530 (India Standard Time),</t>
  </si>
  <si>
    <t>CC-INN-27.07</t>
  </si>
  <si>
    <t>CC-INN-31.03</t>
  </si>
  <si>
    <t>CC-INN-31.04</t>
  </si>
  <si>
    <t>CC-INN-33</t>
  </si>
  <si>
    <t>INNO3D TuneIT OC</t>
  </si>
  <si>
    <t>CC-INN-33.01</t>
  </si>
  <si>
    <t>CC-INN-33.02</t>
  </si>
  <si>
    <t>CC-INN-33.05</t>
  </si>
  <si>
    <t>CC-INN-33.06</t>
  </si>
  <si>
    <t>CC-INN-33.07</t>
  </si>
  <si>
    <t>Client</t>
  </si>
  <si>
    <r>
      <rPr>
        <rFont val="Albert Sans"/>
        <b/>
        <color rgb="FFF3F3F3"/>
        <sz val="12.0"/>
      </rPr>
      <t xml:space="preserve">Tasks </t>
    </r>
    <r>
      <rPr>
        <rFont val="Albert Sans"/>
        <b/>
        <color rgb="FFB4A7D6"/>
        <sz val="12.0"/>
      </rPr>
      <t>/ Subtasks</t>
    </r>
  </si>
  <si>
    <r>
      <rPr>
        <rFont val="Albert Sans"/>
        <b/>
        <color rgb="FFF3F3F3"/>
        <sz val="12.0"/>
      </rPr>
      <t xml:space="preserve">Category </t>
    </r>
    <r>
      <rPr>
        <rFont val="Albert Sans"/>
        <b/>
        <color rgb="FFB4A7D6"/>
        <sz val="12.0"/>
      </rPr>
      <t>/ Status</t>
    </r>
  </si>
  <si>
    <r>
      <rPr>
        <rFont val="Albert Sans"/>
        <b/>
        <color rgb="FFF3F3F3"/>
        <sz val="12.0"/>
      </rPr>
      <t xml:space="preserve">Priority </t>
    </r>
    <r>
      <rPr>
        <rFont val="Albert Sans"/>
        <b/>
        <color rgb="FFD0D0FF"/>
        <sz val="12.0"/>
      </rPr>
      <t>/ Files</t>
    </r>
  </si>
  <si>
    <t>Deadline</t>
  </si>
  <si>
    <t xml:space="preserve">Start Time </t>
  </si>
  <si>
    <t>PM-MVP-02</t>
  </si>
  <si>
    <t>Logitech Project</t>
  </si>
  <si>
    <t>Video</t>
  </si>
  <si>
    <t>PM-MVP-02.01</t>
  </si>
  <si>
    <t>Reel 1 - G502 X</t>
  </si>
  <si>
    <t>PM-MVP-02.02</t>
  </si>
  <si>
    <t>Reel 2 - Superlight</t>
  </si>
  <si>
    <t>PM-MVP-02.03</t>
  </si>
  <si>
    <t xml:space="preserve">Reel 3 - KB </t>
  </si>
  <si>
    <t>PM-MVP-02.04</t>
  </si>
  <si>
    <t>Reel 4 - KB 2</t>
  </si>
  <si>
    <t>PM-MVP-02.05</t>
  </si>
  <si>
    <t>Reel 5 - Headset</t>
  </si>
  <si>
    <t>PM-MVP-02.06</t>
  </si>
  <si>
    <t>Landing Page</t>
  </si>
  <si>
    <t>Wed Oct 25 2023 13:42:14 GMT+0530 (India Standard Time),</t>
  </si>
  <si>
    <t>Nov 03 2023 10:23:03,</t>
  </si>
  <si>
    <t>PM-MVP-02.07</t>
  </si>
  <si>
    <t>Promo Variants</t>
  </si>
  <si>
    <t>PM-MVP-02.08</t>
  </si>
  <si>
    <t>Steam Promo GFX Follow up</t>
  </si>
  <si>
    <t>PM-NVI-03</t>
  </si>
  <si>
    <t>Laptop Projects &amp; Shipments</t>
  </si>
  <si>
    <t>Misc</t>
  </si>
  <si>
    <t>PM-NVI-03.01</t>
  </si>
  <si>
    <t>ASUS RTX 2050</t>
  </si>
  <si>
    <t>PM-NVI-03.02</t>
  </si>
  <si>
    <t>MSI RTX 2060</t>
  </si>
  <si>
    <t>PM-NVI-03.04</t>
  </si>
  <si>
    <t>HP RTX 2050</t>
  </si>
  <si>
    <t>PM-NVI-03.05</t>
  </si>
  <si>
    <t>2050 DLSS Benchmarks</t>
  </si>
  <si>
    <t>Fri Oct 06 2023 12:32:35 GMT+0530 (India Standard Time),Fri Oct 06 2023 17:13:55 GMT+0530 (India Standard Time),</t>
  </si>
  <si>
    <t>Fri Oct 06 2023 12:45:46 GMT+0530 (India Standard Time),Oct 06 2023 19:01:19,</t>
  </si>
  <si>
    <t>PM-NVI-03.06</t>
  </si>
  <si>
    <t>4080 RTX Benchmarks</t>
  </si>
  <si>
    <t>Fri Oct 06 2023 20:34:25 GMT+0530 (India Standard Time),</t>
  </si>
  <si>
    <t>Oct 07 2023 12:13:38,</t>
  </si>
  <si>
    <t>PM-NVI-03.03</t>
  </si>
  <si>
    <t>Wed Oct 23 2023 19:48:59 GMT+0530 (India Standard Time),</t>
  </si>
  <si>
    <t>Nov 03 2023 10:26:32,</t>
  </si>
  <si>
    <t>PM-NVI-03.07</t>
  </si>
  <si>
    <t>ACER RTX 3050</t>
  </si>
  <si>
    <t>PM-MAC-01</t>
  </si>
  <si>
    <t>Web Dev + AdHoc</t>
  </si>
  <si>
    <t>Website</t>
  </si>
  <si>
    <t>PM-MAC-01.01</t>
  </si>
  <si>
    <t>Meeting</t>
  </si>
  <si>
    <t>PM-MAC-01.02</t>
  </si>
  <si>
    <t>A4 Design Change</t>
  </si>
  <si>
    <t>Wed Oct 11 2023 14:58:14 GMT+0530 (India Standard Time),</t>
  </si>
  <si>
    <t>Oct 16 2023 12:15:48,</t>
  </si>
  <si>
    <t>PM-MAC-01.03</t>
  </si>
  <si>
    <t>Write-Up</t>
  </si>
  <si>
    <t>PM-MAC-01.04</t>
  </si>
  <si>
    <t>Receipt Design</t>
  </si>
  <si>
    <t>Tue Nov 07 2023 09:55:05 GMT+0530 (India Standard Time),</t>
  </si>
  <si>
    <t>Nov 07 2023 10:40:47,</t>
  </si>
  <si>
    <t>PM-MAC-01.05</t>
  </si>
  <si>
    <t>Adonmo Ad</t>
  </si>
  <si>
    <t>PM-MAC-01.06</t>
  </si>
  <si>
    <t>Wire-Frame</t>
  </si>
  <si>
    <t>https://app.uizard.io/p/556e008f</t>
  </si>
  <si>
    <t>Tue Oct 17 2023 11:31:52 GMT+0530 (India Standard Time),Tue Oct 17 2023 12:11:18 GMT+0530 (India Standard Time),Wed Oct 18 2023 19:41:48 GMT+0530 (India Standard Time),</t>
  </si>
  <si>
    <t>Tue Oct 17 2023 11:48:14 GMT+0530 (India Standard Time),Wed Oct 18 2023 18:37:20 GMT+0530 (India Standard Time),Oct 18 2023 19:46:45,</t>
  </si>
  <si>
    <t>PM-MAC-01.07</t>
  </si>
  <si>
    <t>IG Profile</t>
  </si>
  <si>
    <t>PM-MAC-01.08</t>
  </si>
  <si>
    <t>Home</t>
  </si>
  <si>
    <t>Wed Oct 18 2023 19:54:48 GMT+0530 (India Standard Time),Sat Oct 28 2023 11:55:56 GMT+0530 (India Standard Time),Sat Oct 28 2023 12:07:28 GMT+0530 (India Standard Time),Sat Oct 28 2023 12:56:08 GMT+0530 (India Standard Time),Sat Oct 28 2023 13:26:03 GMT+0530 (India Standard Time),Sat Oct 28 2023 14:20:56 GMT+0530 (India Standard Time),Mon Oct 30 2023 14:28:35 GMT+0530 (India Standard Time),</t>
  </si>
  <si>
    <t>Oct 19 2023 14:07:22,Sat Oct 28 2023 11:26:34 GMT+0530 (India Standard Time),Sat Oct 28 2023 12:02:01 GMT+0530 (India Standard Time),Sat Oct 28 2023 12:42:40 GMT+0530 (India Standard Time),Sat Oct 28 2023 13:01:39 GMT+0530 (India Standard Time),Sat Oct 28 2023 13:48:32 GMT+0530 (India Standard Time),Mon Oct 30 2023 13:01:26 GMT+0530 (India Standard Time),</t>
  </si>
  <si>
    <t>PM-MAC-01.09</t>
  </si>
  <si>
    <t>About-Us</t>
  </si>
  <si>
    <t>Fri Oct 13 2023 13:51:02 GMT+0530 (India Standard Time),Fri Oct 20 2023 20:16:31 GMT+0530 (India Standard Time),Mon Oct 30 2023 14:39:44 GMT+0530 (India Standard Time),</t>
  </si>
  <si>
    <t>Fri Oct 20 2023 19:31:28 GMT+0530 (India Standard Time),Mon Oct 30 2023 14:28:37 GMT+0530 (India Standard Time),</t>
  </si>
  <si>
    <t>PM-MAC-01.10</t>
  </si>
  <si>
    <t>Contact</t>
  </si>
  <si>
    <t>Fri Oct 13 2023 13:51:06 GMT+0530 (India Standard Time),Fri Oct 20 2023 19:22:29 GMT+0530 (India Standard Time),</t>
  </si>
  <si>
    <t>Fri Oct 20 2023 18:50:34 GMT+0530 (India Standard Time),</t>
  </si>
  <si>
    <t>PM-MAC-01.11</t>
  </si>
  <si>
    <t>Courses</t>
  </si>
  <si>
    <t>Fri Oct 13 2023 13:51:07 GMT+0530 (India Standard Time),Sat Oct 28 2023 16:48:16 GMT+0530 (India Standard Time),Sat Oct 28 2023 17:00:09 GMT+0530 (India Standard Time),Sat Oct 28 2023 17:12:36 GMT+0530 (India Standard Time),Mon Oct 30 2023 10:59:59 GMT+0530 (India Standard Time),Mon Oct 30 2023 14:48:29 GMT+0530 (India Standard Time),Mon Oct 30 2023 16:31:03 GMT+0530 (India Standard Time),</t>
  </si>
  <si>
    <t>Sat Oct 28 2023 16:42:59 GMT+0530 (India Standard Time),Sat Oct 28 2023 16:51:41 GMT+0530 (India Standard Time),Sat Oct 28 2023 17:12:14 GMT+0530 (India Standard Time),Mon Oct 30 2023 10:41:14 GMT+0530 (India Standard Time),Mon Oct 30 2023 14:39:48 GMT+0530 (India Standard Time),Mon Oct 30 2023 15:36:02 GMT+0530 (India Standard Time),</t>
  </si>
  <si>
    <t>PM-MAC-01.12</t>
  </si>
  <si>
    <t>Blogs</t>
  </si>
  <si>
    <t>Fri Oct 13 2023 13:51:07 GMT+0530 (India Standard Time),</t>
  </si>
  <si>
    <t>Fri Oct 20 2023 20:20:06 GMT+0530 (India Standard Time),</t>
  </si>
  <si>
    <t>MotoYard</t>
  </si>
  <si>
    <t>PM-MYD-01</t>
  </si>
  <si>
    <t>Logo &amp; Branding</t>
  </si>
  <si>
    <t>Graphics</t>
  </si>
  <si>
    <t>PM-MYD-01.01</t>
  </si>
  <si>
    <t>Moodboard</t>
  </si>
  <si>
    <t>PM-MYD-01.02</t>
  </si>
  <si>
    <t>Concepts</t>
  </si>
  <si>
    <t>PM-MYD-01.03</t>
  </si>
  <si>
    <t>Options</t>
  </si>
  <si>
    <t>Tue Oct 17 2023 16:13:04 GMT+0530 (India Standard Time),Tue Oct 17 2023 17:30:20 GMT+0530 (India Standard Time),Fri Oct 27 2023 13:52:56 GMT+0530 (India Standard Time),Fri Oct 27 2023 14:21:14 GMT+0530 (India Standard Time),</t>
  </si>
  <si>
    <t>Tue Oct 17 2023 17:01:06 GMT+0530 (India Standard Time),Wed Oct 18 2023 15:55:07 GMT+0530 (India Standard Time),Fri Oct 27 2023 12:34:15 GMT+0530 (India Standard Time),Fri Oct 27 2023 14:06:31 GMT+0530 (India Standard Time),Nov 03 2023 16:42:05,</t>
  </si>
  <si>
    <t>PM-MYD-01.04</t>
  </si>
  <si>
    <t>Final Design</t>
  </si>
  <si>
    <t>PM-MYD-01.05</t>
  </si>
  <si>
    <t>Branding &amp; Delivery</t>
  </si>
  <si>
    <t>Thats No Moon</t>
  </si>
  <si>
    <t>PM-TNM-01</t>
  </si>
  <si>
    <t>GIF Design</t>
  </si>
  <si>
    <t>PM-TNM-01.03</t>
  </si>
  <si>
    <t>Tue Oct 16 2023 20:51:14 GMT+0530 (India Standard Time),</t>
  </si>
  <si>
    <t>Oct 17 2023 09:51:31,</t>
  </si>
  <si>
    <t>PM-TNM-01.04</t>
  </si>
  <si>
    <t>Quote</t>
  </si>
  <si>
    <t>PM-TNM-01.05</t>
  </si>
  <si>
    <t>Tue Oct 17 2023 14:51:14 GMT+0530 (India Standard Time),Tue Oct 17 2023 17:01:02 GMT+0530 (India Standard Time),Tue Oct 17 2023 17:11:50 GMT+0530 (India Standard Time),</t>
  </si>
  <si>
    <t>Tue Oct 17 2023 16:13:06 GMT+0530 (India Standard Time),Tue Oct 17 2023 17:45:25 GMT+0530 (India Standard Time),Oct 18 2023 09:52:23,</t>
  </si>
  <si>
    <t>PM-INN-01</t>
  </si>
  <si>
    <t>AdHoc</t>
  </si>
  <si>
    <t>PM-INN-01.01</t>
  </si>
  <si>
    <t>Wed Oct 18 2023 15:01:58 GMT+0530 (India Standard Time),Wed Oct 18 2023 15:21:48 GMT+0530 (India Standard Time),Wed Oct 18 2023 16:51:30 GMT+0530 (India Standard Time),</t>
  </si>
  <si>
    <t>Wed Oct 18 2023 15:17:31 GMT+0530 (India Standard Time),Wed Oct 18 2023 15:56:27 GMT+0530 (India Standard Time),Thu Oct 19 2023 11:15:08 GMT+0530 (India Standard Time),</t>
  </si>
  <si>
    <t>PM-INN-01.02</t>
  </si>
  <si>
    <t>Landing Page Slices</t>
  </si>
  <si>
    <t>Mon Oct 23 2023 11:20:05 GMT+0530 (India Standard Time),</t>
  </si>
  <si>
    <t>Oct 23 2023 13:20:17,</t>
  </si>
  <si>
    <t>PM-INN-01.03</t>
  </si>
  <si>
    <t>Subtask 3</t>
  </si>
  <si>
    <t>PM-INN-01.04</t>
  </si>
  <si>
    <t>Landing Pages</t>
  </si>
  <si>
    <t>Thu Nov 09 2023 11:41:43 GMT+0530 (India Standard Time),</t>
  </si>
  <si>
    <t>Thu Nov 09 2023 12:52:44 GMT+0530 (India Standard Time),</t>
  </si>
  <si>
    <t>PM-MVP-03</t>
  </si>
  <si>
    <t>Nov-AdHoc</t>
  </si>
  <si>
    <t>PM-MVP-03.01</t>
  </si>
  <si>
    <t>IGDC Banners</t>
  </si>
  <si>
    <t>Thu Nov 01 2023 20:16:11 GMT+0530 (India Standard Time),</t>
  </si>
  <si>
    <t>Thu Nov 02 2023 09:56:35 GMT+0530 (India Standard Time),</t>
  </si>
  <si>
    <t>PM-MVP-03.02</t>
  </si>
  <si>
    <t>Flipkart Labels</t>
  </si>
  <si>
    <t>PM-MVP-03.03</t>
  </si>
  <si>
    <t>Robin Wallpaper</t>
  </si>
  <si>
    <t>PM-MVP-03.04</t>
  </si>
  <si>
    <t>EDM Design</t>
  </si>
  <si>
    <t>Mon Nov 06 2023 12:36:44 GMT+0530 (India Standard Time),</t>
  </si>
  <si>
    <t>Nov 06 2023 13:46:55,</t>
  </si>
  <si>
    <t>PM-MVP-03.07</t>
  </si>
  <si>
    <t>NCR Diwali Post</t>
  </si>
  <si>
    <t>Wed Nov 08 2023 12:12:40 GMT+0530 (India Standard Time),Wed Nov 08 2023 16:15:14 GMT+0530 (India Standard Time),</t>
  </si>
  <si>
    <t>Wed Nov 08 2023 16:10:07 GMT+0530 (India Standard Time),</t>
  </si>
  <si>
    <t>PM-MVP-03.08</t>
  </si>
  <si>
    <t>Diwali Visiting Card</t>
  </si>
  <si>
    <t>Thu Nov 09 2023 09:48:25 GMT+0530 (India Standard Time),Thu Nov 09 2023 09:50:03 GMT+0530 (India Standard Time),Thu Nov 09 2023 10:05:44 GMT+0530 (India Standard Time),</t>
  </si>
  <si>
    <t>Thu Nov 09 2023 09:48:36 GMT+0530 (India Standard Time),Thu Nov 09 2023 10:05:33 GMT+0530 (India Standard Time),Nov 09 2023 19:07:01,</t>
  </si>
  <si>
    <t>PM-MVP-03.09</t>
  </si>
  <si>
    <t>Subtask 4</t>
  </si>
  <si>
    <t>Emerson</t>
  </si>
  <si>
    <t>PM-EMR-10</t>
  </si>
  <si>
    <t>Mission Possible</t>
  </si>
  <si>
    <t>PM-EMR-10.01</t>
  </si>
  <si>
    <t>Video 1</t>
  </si>
  <si>
    <t>Fri Nov 03 2023 19:13:00 GMT+0530 (India Standard Time),Mon Nov 06 2023 16:04:31 GMT+0530 (India Standard Time),</t>
  </si>
  <si>
    <t>Mon Nov 06 2023 15:38:53 GMT+0530 (India Standard Time),Nov 08 2023 02:01:11,</t>
  </si>
  <si>
    <t>PM-EMR-10.02</t>
  </si>
  <si>
    <t>Video 2</t>
  </si>
  <si>
    <t>Mon Nov 06 2023 13:45:33 GMT+0530 (India Standard Time),</t>
  </si>
  <si>
    <t>PM-PTS-06</t>
  </si>
  <si>
    <t>Bhukka Nawab</t>
  </si>
  <si>
    <t>PM-PTS-06.01</t>
  </si>
  <si>
    <t>Hidden Truth about Alchohol</t>
  </si>
  <si>
    <t>Wed Oct 18 2023 20:21:37 GMT+0530 (India Standard Time),Sat Oct 21 2023 10:03:56 GMT+0530 (India Standard Time),</t>
  </si>
  <si>
    <t>Fri Oct 20 2023 19:04:01 GMT+0530 (India Standard Time),</t>
  </si>
  <si>
    <t>PM-PTS-06.02</t>
  </si>
  <si>
    <t>AI Footage</t>
  </si>
  <si>
    <t>PM-PTS-06.05</t>
  </si>
  <si>
    <t>PM-PTS-06.06</t>
  </si>
  <si>
    <t>PM-PTS-06.07</t>
  </si>
  <si>
    <t>Deliver</t>
  </si>
  <si>
    <t>PM-PTS-07</t>
  </si>
  <si>
    <t>SP-100 - Chipkol</t>
  </si>
  <si>
    <t>PM-PTS-07.01</t>
  </si>
  <si>
    <t>Wetting Agent - Fenton's FX SP100</t>
  </si>
  <si>
    <t>Fri Oct 20 2023 14:30:37 GMT+0530 (India Standard Time),Fri Oct 20 2023 17:22:39 GMT+0530 (India Standard Time),</t>
  </si>
  <si>
    <t>Fri Oct 20 2023 16:02:55 GMT+0530 (India Standard Time),Oct 21 2023 10:06:49,</t>
  </si>
  <si>
    <t>PM-PTS-07.02</t>
  </si>
  <si>
    <t xml:space="preserve">Voice Over </t>
  </si>
  <si>
    <t>PM-PTS-07.03</t>
  </si>
  <si>
    <t>Karthik</t>
  </si>
  <si>
    <t>PM-PTS-07.04</t>
  </si>
  <si>
    <t>PM-PTS-07.05</t>
  </si>
  <si>
    <t>Thu Nov 09 2023 15:33:01 GMT+0530 (India Standard Time),</t>
  </si>
  <si>
    <t>Nov 09 2023 18:02:10,</t>
  </si>
  <si>
    <t>PM-PTS-07.06</t>
  </si>
  <si>
    <t>Thu Oct 26 2023 13:44:08 GMT+0530 (India Standard Time),</t>
  </si>
  <si>
    <t>Sat Oct 28 2023 13:40:51 GMT+0530 (India Standard Time),</t>
  </si>
  <si>
    <t>PM-PTS-07.07</t>
  </si>
  <si>
    <t>Sat Oct 28 2023 17:26:12 GMT+0530 (India Standard Time),</t>
  </si>
  <si>
    <t>PM-PTS-08</t>
  </si>
  <si>
    <t>AFK Geeks</t>
  </si>
  <si>
    <t>PM-PTS-08.01</t>
  </si>
  <si>
    <t>Aryan</t>
  </si>
  <si>
    <t>Fri Nov 10 2023 11:34:54 GMT+0530 (India Standard Time),</t>
  </si>
  <si>
    <t>PM-PTS-08.02</t>
  </si>
  <si>
    <t>Fri Nov 10 2023 19:41:50 GMT+0530 (India Standard Time),</t>
  </si>
  <si>
    <t>PM-PTS-08.03</t>
  </si>
  <si>
    <t>Script Deliver</t>
  </si>
  <si>
    <t>PM-PTS-08.04</t>
  </si>
  <si>
    <t xml:space="preserve">Edit Deliver </t>
  </si>
  <si>
    <t>PM-PTS-05</t>
  </si>
  <si>
    <t>Picture This- AdHoc</t>
  </si>
  <si>
    <t>PM-PTS-05.01</t>
  </si>
  <si>
    <t>Clients Update</t>
  </si>
  <si>
    <t>Thu Sep 21 2023 10:26:11 GMT+0530 (India Standard Time),Thu Sep 21 2023 13:29:05 GMT+0530 (India Standard Time),</t>
  </si>
  <si>
    <t>Thu Sep 21 2023 11:49:29 GMT+0530 (India Standard Time),Sep 23 2023 12:20:20,</t>
  </si>
  <si>
    <t>PM-PTS-05.02</t>
  </si>
  <si>
    <t>Testimonials</t>
  </si>
  <si>
    <t>Thu Sep 21 2023 14:06:15 GMT+0530 (India Standard Time),</t>
  </si>
  <si>
    <t>Sep 23 2023 12:20:23,</t>
  </si>
  <si>
    <t>PM-PTS-05.03</t>
  </si>
  <si>
    <t>Web Development - SOP</t>
  </si>
  <si>
    <t>Tue Sep 26 2023 11:22:57 GMT+0530 (India Standard Time),Fri Sep 29 2023 10:45:08 GMT+0530 (India Standard Time),</t>
  </si>
  <si>
    <t>Fri Sep 29 2023 10:10:44 GMT+0530 (India Standard Time),Oct 09 2023 09:49:24,</t>
  </si>
  <si>
    <t>PM-PTS-05.04</t>
  </si>
  <si>
    <t>DevOps Ads</t>
  </si>
  <si>
    <t>DevOps - Case Study</t>
  </si>
  <si>
    <t>Fri Sep 29 2023 11:52:20 GMT+0530 (India Standard Time),Fri Sep 29 2023 11:57:27 GMT+0530 (India Standard Time),</t>
  </si>
  <si>
    <t>Fri Sep 29 2023 11:52:23 GMT+0530 (India Standard Time),Oct 09 2023 09:49:25,</t>
  </si>
  <si>
    <t>PM-PTS-05.05</t>
  </si>
  <si>
    <t>Barkery Ad Campaigns</t>
  </si>
  <si>
    <t>Barkery Treats Ad Campaign - Case Study</t>
  </si>
  <si>
    <t>Thu Oct 19 2023 12:27:39 GMT+0530 (India Standard Time),Thu Oct 19 2023 13:50:15 GMT+0530 (India Standard Time),Thu Oct 19 2023 14:04:20 GMT+0530 (India Standard Time),</t>
  </si>
  <si>
    <t>Thu Oct 19 2023 13:11:12 GMT+0530 (India Standard Time),Thu Oct 19 2023 14:03:57 GMT+0530 (India Standard Time),Oct 28 2023 17:39:59,</t>
  </si>
  <si>
    <t>PM-PTS-05.06</t>
  </si>
  <si>
    <t>Aretius Branding</t>
  </si>
  <si>
    <t>Wed Oct 18 2023 10:04:49 GMT+0530 (India Standard Time),Wed Oct 18 2023 12:44:03 GMT+0530 (India Standard Time),Wed Oct 18 2023 20:06:18 GMT+0530 (India Standard Time),Fri Oct 20 2023 16:02:49 GMT+0530 (India Standard Time),</t>
  </si>
  <si>
    <t>Wed Oct 18 2023 12:07:09 GMT+0530 (India Standard Time),Wed Oct 18 2023 18:58:16 GMT+0530 (India Standard Time),Fri Oct 20 2023 15:36:18 GMT+0530 (India Standard Time),Oct 21 2023 13:19:24,</t>
  </si>
  <si>
    <t>PM-PTS-05.07</t>
  </si>
  <si>
    <t>Animation Breakdown</t>
  </si>
  <si>
    <t>PM-PTS-05.08</t>
  </si>
  <si>
    <t>Redesign Website</t>
  </si>
  <si>
    <t>PM-PTS-05.09</t>
  </si>
  <si>
    <t>ChatGPT Workshop</t>
  </si>
  <si>
    <t>https://www.udemy.com/course/complete-ai-guide/</t>
  </si>
  <si>
    <t>Fri Oct 20 2023 15:29:22 GMT+0530 (India Standard Time),</t>
  </si>
  <si>
    <t>Oct 21 2023 13:30:52,</t>
  </si>
  <si>
    <t>PM-PTS-05.10</t>
  </si>
  <si>
    <t>Adobe Subscription</t>
  </si>
  <si>
    <t>PM-PTS-05.11</t>
  </si>
  <si>
    <t>Ideation Colorful</t>
  </si>
  <si>
    <t>Sat Oct 28 2023 10:14:03 GMT+0530 (India Standard Time),Fri Nov 03 2023 15:51:02 GMT+0530 (India Standard Time),</t>
  </si>
  <si>
    <t>Fri Nov 03 2023 14:48:29 GMT+0530 (India Standard Time),Nov 07 2023 10:17:24,</t>
  </si>
  <si>
    <t>PM-PTS-05.12</t>
  </si>
  <si>
    <t>Ideation INNO3D</t>
  </si>
  <si>
    <t>Inno3D Content</t>
  </si>
  <si>
    <t>Fri Nov 03 2023 15:51:03 GMT+0530 (India Standard Time),</t>
  </si>
  <si>
    <t>Nov 07 2023 10:17:49,</t>
  </si>
  <si>
    <t>PM-PTS-05.13</t>
  </si>
  <si>
    <t>Aditya sample</t>
  </si>
  <si>
    <t>Mon Nov 06 2023 17:58:17 GMT+0530 (India Standard Time),</t>
  </si>
  <si>
    <t>Nov 07 2023 10:21:42,</t>
  </si>
  <si>
    <t>PM-PTS-05.14</t>
  </si>
  <si>
    <t>Huston sample</t>
  </si>
  <si>
    <t>Tue Nov 07 2023 11:56:52 GMT+0530 (India Standard Time),Fri Nov 10 2023 11:20:08 GMT+0530 (India Standard Time),</t>
  </si>
  <si>
    <t>Thu Nov 09 2023 19:27:51 GMT+0530 (India Standard Time),</t>
  </si>
  <si>
    <t>PM-PTS-05.15</t>
  </si>
  <si>
    <t>Clear NAS</t>
  </si>
  <si>
    <t>Wed Oct 18 2023 15:17:30 GMT+0530 (India Standard Time),</t>
  </si>
  <si>
    <t>Oct 19 2023 14:05:53,</t>
  </si>
  <si>
    <t>PM-PTS-03</t>
  </si>
  <si>
    <t>Company Profile</t>
  </si>
  <si>
    <t>Docs</t>
  </si>
  <si>
    <t>PM-PTS-03.01</t>
  </si>
  <si>
    <t>About Us</t>
  </si>
  <si>
    <t>Thu Aug 24 2023 09:53:14 GMT+0530 (India Standard Time),Sat Aug 26 2023 17:58:18 GMT+0530 (India Standard Time),</t>
  </si>
  <si>
    <t>Sat Aug 26 2023 17:43:38 GMT+0530 (India Standard Time),Sep 01 2023 10:45:57,</t>
  </si>
  <si>
    <t>PM-PTS-03.02</t>
  </si>
  <si>
    <t>Why Us</t>
  </si>
  <si>
    <t>Sat Aug 26 2023 18:11:23 GMT+0530 (India Standard Time),Wed Aug 30 2023 20:12:27 GMT+0530 (India Standard Time),</t>
  </si>
  <si>
    <t>Wed Aug 30 2023 19:31:34 GMT+0530 (India Standard Time),Sep 01 2023 10:45:59,</t>
  </si>
  <si>
    <t>PM-PTS-03.03</t>
  </si>
  <si>
    <t>Clients</t>
  </si>
  <si>
    <t>Thu Aug 31 2023 14:20:28 GMT+0530 (India Standard Time),Thu Aug 31 2023 15:53:09 GMT+0530 (India Standard Time),Thu Aug 31 2023 16:05:35 GMT+0530 (India Standard Time),</t>
  </si>
  <si>
    <t>Thu Aug 31 2023 15:52:38 GMT+0530 (India Standard Time),Thu Aug 31 2023 15:56:30 GMT+0530 (India Standard Time),Sep 01 2023 10:46:01,</t>
  </si>
  <si>
    <t>PM-PTS-03.04</t>
  </si>
  <si>
    <t>Thu Aug 31 2023 16:58:28 GMT+0530 (India Standard Time),Thu Aug 31 2023 18:34:55 GMT+0530 (India Standard Time),Fri Sep 01 2023 12:04:57 GMT+0530 (India Standard Time),</t>
  </si>
  <si>
    <t>Thu Aug 31 2023 18:33:51 GMT+0530 (India Standard Time),Fri Sep 01 2023 11:31:50 GMT+0530 (India Standard Time),Sep 01 2023 12:12:55,</t>
  </si>
  <si>
    <t>PM-PTS-03.05</t>
  </si>
  <si>
    <t>PFP</t>
  </si>
  <si>
    <t>PM-PTS-03.06</t>
  </si>
  <si>
    <t>Tue Oct 10 2023 13:41:37 GMT+0530 (India Standard Time),</t>
  </si>
  <si>
    <t>Oct 10 2023 20:21:58,</t>
  </si>
  <si>
    <t>PM-PTS-01</t>
  </si>
  <si>
    <t>SOPs</t>
  </si>
  <si>
    <t>PM-PTS-01.01</t>
  </si>
  <si>
    <t>Shares Agreement</t>
  </si>
  <si>
    <t>Talha Shares Agreement - WWMPL Naveen Shares Agreement - WWMPL</t>
  </si>
  <si>
    <t>Tue Oct 10 2023 14:46:37 GMT+0530 (India Standard Time),Tue Oct 10 2023 16:34:24 GMT+0530 (India Standard Time),Thu Oct 19 2023 18:29:13 GMT+0530 (India Standard Time),</t>
  </si>
  <si>
    <t>Tue Oct 10 2023 15:46:12 GMT+0530 (India Standard Time),Thu Oct 19 2023 14:57:42 GMT+0530 (India Standard Time),</t>
  </si>
  <si>
    <t>PM-PTS-01.02</t>
  </si>
  <si>
    <t>Logo &amp; Branding SOP</t>
  </si>
  <si>
    <t>Mon Sep 25 2023 14:21:37 GMT+0530 (India Standard Time),Mon Sep 25 2023 17:06:46 GMT+0530 (India Standard Time),</t>
  </si>
  <si>
    <t>Mon Sep 25 2023 15:18:14 GMT+0530 (India Standard Time),Oct 07 2023 12:26:29,</t>
  </si>
  <si>
    <t>PM-PTS-01.03</t>
  </si>
  <si>
    <t>Image Graphics</t>
  </si>
  <si>
    <t>PM-PTS-01.04</t>
  </si>
  <si>
    <t>TheMVP Benchmarks</t>
  </si>
  <si>
    <t>PM-PTS-01.05</t>
  </si>
  <si>
    <t xml:space="preserve">Videos </t>
  </si>
  <si>
    <t>Fri Aug 25 2023 13:13:40 GMT+0530 (India Standard Time),Fri Aug 25 2023 15:14:50 GMT+0530 (India Standard Time),Fri Aug 25 2023 19:57:36 GMT+0530 (India Standard Time),Sat Aug 26 2023 15:56:36 GMT+0530 (India Standard Time),</t>
  </si>
  <si>
    <t>Fri Aug 25 2023 13:41:45 GMT+0530 (India Standard Time),Fri Aug 25 2023 15:56:39 GMT+0530 (India Standard Time),Sat Aug 26 2023 15:30:05 GMT+0530 (India Standard Time),Aug 30 2023 11:56:17,</t>
  </si>
  <si>
    <t>PM-PTS-01.06</t>
  </si>
  <si>
    <t>WorkOS - Polish</t>
  </si>
  <si>
    <t>Sat Aug 26 2023 16:53:39 GMT+0530 (India Standard Time),Thu Oct 19 2023 20:32:12 GMT+0530 (India Standard Time),Wed Nov 08 2023 02:29:18 GMT+0530 (India Standard Time),Fri Nov 10 2023 11:20:05 GMT+0530 (India Standard Time),</t>
  </si>
  <si>
    <t>Thu Sep 07 2023 07:11:17 GMT+0530 (India Standard Time),Wed Nov 08 2023 02:02:27 GMT+0530 (India Standard Time),Wed Nov 08 2023 09:16:29 GMT+0530 (India Standard Time),</t>
  </si>
  <si>
    <t>PM-MVP-04</t>
  </si>
  <si>
    <t>Product Catalog</t>
  </si>
  <si>
    <t>PM-MVP-04.01</t>
  </si>
  <si>
    <t>GPU Cluster</t>
  </si>
  <si>
    <t>Wed Nov 08 2023 17:41:10 GMT+0530 (India Standard Time),Wed Nov 08 2023 18:38:13 GMT+0530 (India Standard Time),</t>
  </si>
  <si>
    <t>Wed Nov 08 2023 17:52:44 GMT+0530 (India Standard Time),</t>
  </si>
  <si>
    <t>PM-MVP-04.02</t>
  </si>
  <si>
    <t>Storage Server</t>
  </si>
  <si>
    <t>Wed Nov 08 2023 19:38:54 GMT+0530 (India Standard Time),</t>
  </si>
  <si>
    <t>PM-MVP-04.03</t>
  </si>
  <si>
    <t>Virtual Machines</t>
  </si>
  <si>
    <t>PM-MVP-04.04</t>
  </si>
  <si>
    <t>Workstations</t>
  </si>
  <si>
    <t>Wed Nov 08 2023 20:09:50 GMT+0530 (India Standard Time),</t>
  </si>
  <si>
    <t>PM-MVP-04.05</t>
  </si>
  <si>
    <t>Redesign</t>
  </si>
  <si>
    <t>Fri Nov 10 2023 12:45:28 GMT+0530 (India Standard Time),Fri Nov 10 2023 13:48:07 GMT+0530 (India Standard Time),Fri Nov 10 2023 15:19:29 GMT+0530 (India Standard Time),</t>
  </si>
  <si>
    <t>Fri Nov 10 2023 13:10:08 GMT+0530 (India Standard Time),Fri Nov 10 2023 14:35:19 GMT+0530 (India Standard Time),</t>
  </si>
  <si>
    <t>PM-MVP-04.06</t>
  </si>
  <si>
    <t>Fri Nov 10 2023 17:38:30 GMT+0530 (India Standard Time),Fri Nov 10 2023 19:21:36 GMT+0530 (India Standard Time),</t>
  </si>
  <si>
    <t>Fri Nov 10 2023 19:18:32 GMT+0530 (India Standard Time),</t>
  </si>
  <si>
    <t>PM-MVP-04.07</t>
  </si>
  <si>
    <t>PM-PTS-09</t>
  </si>
  <si>
    <t xml:space="preserve">Swipe Up Productions </t>
  </si>
  <si>
    <t>PM-PTS-09.01</t>
  </si>
  <si>
    <t>PM-PTS-09.02</t>
  </si>
  <si>
    <t>PM-PTS-09.03</t>
  </si>
  <si>
    <t>PM-PTS-09.04</t>
  </si>
  <si>
    <t>PM-PTS-09.05</t>
  </si>
  <si>
    <t>PM-PTS-09.06</t>
  </si>
  <si>
    <t>PM-PTS-09.07</t>
  </si>
  <si>
    <t>Select Lead</t>
  </si>
  <si>
    <t>Select Client</t>
  </si>
  <si>
    <t>Date Range</t>
  </si>
  <si>
    <t>Select Date</t>
  </si>
  <si>
    <t>Task ID</t>
  </si>
  <si>
    <t>Project Name</t>
  </si>
  <si>
    <t>Task</t>
  </si>
  <si>
    <t>Status</t>
  </si>
  <si>
    <t>Task Schedule</t>
  </si>
  <si>
    <t>Upload Date</t>
  </si>
  <si>
    <t>Today</t>
  </si>
  <si>
    <t xml:space="preserve">   </t>
  </si>
  <si>
    <t>Schedule</t>
  </si>
  <si>
    <t>Est. (HH:MM)</t>
  </si>
  <si>
    <t/>
  </si>
  <si>
    <t>CTA</t>
  </si>
  <si>
    <r>
      <rPr>
        <rFont val="Albert Sans"/>
        <b/>
        <color rgb="FFF3F3F3"/>
        <sz val="12.0"/>
      </rPr>
      <t xml:space="preserve">Channel </t>
    </r>
    <r>
      <rPr>
        <rFont val="Albert Sans"/>
        <b/>
        <color rgb="FFB7B7B7"/>
        <sz val="12.0"/>
      </rPr>
      <t>/ Status</t>
    </r>
  </si>
  <si>
    <t>Ansys PC</t>
  </si>
  <si>
    <t>Get in touch</t>
  </si>
  <si>
    <t>5 Steps to build a ML PC</t>
  </si>
  <si>
    <t>Share with ML Friend</t>
  </si>
  <si>
    <t>Share with Video Editing Friends</t>
  </si>
  <si>
    <t>10G in Custom PC?</t>
  </si>
  <si>
    <t>Comment your fastest speed</t>
  </si>
  <si>
    <t>Master Blooper Reel</t>
  </si>
  <si>
    <t>Share</t>
  </si>
  <si>
    <t>How a CPU Works in 100 Seconds</t>
  </si>
  <si>
    <t>Substance 3D modeler</t>
  </si>
  <si>
    <t xml:space="preserve">Get in touch </t>
  </si>
  <si>
    <t>How private cloud works and how it can speed up your business</t>
  </si>
  <si>
    <t>x reasons why air coolers are better than liquid coolers</t>
  </si>
  <si>
    <t>Best graphic cards for cyberpunk path tracing</t>
  </si>
  <si>
    <t>Does Vertical or Horizontal GPU make a difference</t>
  </si>
  <si>
    <t>OLD Marketing Case Study</t>
  </si>
  <si>
    <t>Is ai going to take over designing?</t>
  </si>
  <si>
    <t xml:space="preserve">Follow for more such insights </t>
  </si>
  <si>
    <t xml:space="preserve">Redbull Ad </t>
  </si>
  <si>
    <t>https://www.instagram.com/reel/CwkRN-JyVQs/?igshid=MzRlODBiNWFlZA==</t>
  </si>
  <si>
    <t xml:space="preserve">Malboro Ad </t>
  </si>
  <si>
    <t>Needs more work</t>
  </si>
  <si>
    <t>Adobe MAX</t>
  </si>
  <si>
    <t>Colorful</t>
  </si>
  <si>
    <t>INNO3D</t>
  </si>
  <si>
    <t>GPU Recc. for Games</t>
  </si>
  <si>
    <t>Random Reel</t>
  </si>
  <si>
    <t>GPU Build Photo</t>
  </si>
  <si>
    <t>Tech Explainer</t>
  </si>
  <si>
    <t>Tech News</t>
  </si>
  <si>
    <t>Channels</t>
  </si>
  <si>
    <t>Priority</t>
  </si>
  <si>
    <t>People</t>
  </si>
  <si>
    <t>Email</t>
  </si>
  <si>
    <t>Category</t>
  </si>
  <si>
    <t>Hourly Rate</t>
  </si>
  <si>
    <t>talha@picturethis.co.in</t>
  </si>
  <si>
    <t>nasser@picturethis.co.in</t>
  </si>
  <si>
    <t>Print</t>
  </si>
  <si>
    <t>tazeen@picturethis.co.in</t>
  </si>
  <si>
    <t>ahmer@themvp.in</t>
  </si>
  <si>
    <t>Delayed</t>
  </si>
  <si>
    <t>naveen@picturethis.co.in</t>
  </si>
  <si>
    <t>Pinterest</t>
  </si>
  <si>
    <t>akhilram2827@gmail.com</t>
  </si>
  <si>
    <t>jayanthkumarchintuofficial@gmail.com</t>
  </si>
  <si>
    <t>Script, Shoot, Timeline, Editor Notes, Edit, Thumbnail, Upload</t>
  </si>
  <si>
    <t>MVP</t>
  </si>
  <si>
    <t>Content_Creation</t>
  </si>
  <si>
    <t>CC-</t>
  </si>
  <si>
    <t>PTS</t>
  </si>
  <si>
    <t>Project_Management</t>
  </si>
  <si>
    <t>PM-</t>
  </si>
  <si>
    <t>Script, Edit, Finalise, Upload</t>
  </si>
  <si>
    <t>CTH</t>
  </si>
  <si>
    <t>Zedarr</t>
  </si>
  <si>
    <t>ZDR</t>
  </si>
  <si>
    <t>NVI</t>
  </si>
  <si>
    <t>Script, Shoot, Finalise, Upload</t>
  </si>
  <si>
    <t>Kommu Tech</t>
  </si>
  <si>
    <t>KOM</t>
  </si>
  <si>
    <t>Script, Shoot, Edit, Upload</t>
  </si>
  <si>
    <t>MAC</t>
  </si>
  <si>
    <t>EMR</t>
  </si>
  <si>
    <t>Script, Shoot, Timeline, Editor Notes, Edit, Finalise, Deliver</t>
  </si>
  <si>
    <t>Aretius Advisory</t>
  </si>
  <si>
    <t>ART</t>
  </si>
  <si>
    <t>Script, Shoot, Edit, Deliver</t>
  </si>
  <si>
    <t>Barkery</t>
  </si>
  <si>
    <t>BNV</t>
  </si>
  <si>
    <t>Script, Edit, Send to Print, Follow-Up, Deliver</t>
  </si>
  <si>
    <t>MYD</t>
  </si>
  <si>
    <t>Script, Edit, Finalise, Deliver</t>
  </si>
  <si>
    <t>INN</t>
  </si>
  <si>
    <t>Subtask 1, Subtask 2, Subtask 3, Subtask 4</t>
  </si>
  <si>
    <t>TNM</t>
  </si>
  <si>
    <t>Home, About, Services, Contact, FAQs, Blogs</t>
  </si>
  <si>
    <r>
      <rPr>
        <rFont val="Albert Sans"/>
        <b/>
        <color rgb="FFF3F3F3"/>
        <sz val="12.0"/>
      </rPr>
      <t xml:space="preserve">Tasks </t>
    </r>
    <r>
      <rPr>
        <rFont val="Albert Sans"/>
        <b/>
        <color rgb="FFB7B7B7"/>
        <sz val="12.0"/>
      </rPr>
      <t>/ Subtasks</t>
    </r>
  </si>
  <si>
    <r>
      <rPr>
        <rFont val="Albert Sans"/>
        <b/>
        <color rgb="FFF3F3F3"/>
        <sz val="12.0"/>
      </rPr>
      <t xml:space="preserve">Channel </t>
    </r>
    <r>
      <rPr>
        <rFont val="Albert Sans"/>
        <b/>
        <color rgb="FFB7B7B7"/>
        <sz val="12.0"/>
      </rPr>
      <t>/ Status</t>
    </r>
  </si>
  <si>
    <t>Priority / File</t>
  </si>
  <si>
    <t>Total Amount</t>
  </si>
  <si>
    <t>PM-NVI-01</t>
  </si>
  <si>
    <t>Invoice</t>
  </si>
  <si>
    <t>PM-NVI-01.01</t>
  </si>
  <si>
    <t>Ad Spend</t>
  </si>
  <si>
    <t>PM-NVI-01.02</t>
  </si>
  <si>
    <t>Talk to Zaid</t>
  </si>
  <si>
    <t>PM-NVI-01.03</t>
  </si>
  <si>
    <t>PM-NVI-01.04</t>
  </si>
  <si>
    <t>Send Invoice</t>
  </si>
  <si>
    <t>PM-PTS-04</t>
  </si>
  <si>
    <t>Invoices</t>
  </si>
  <si>
    <t>PM-PTS-04.03</t>
  </si>
  <si>
    <t>Update Sheets</t>
  </si>
  <si>
    <t>PM-PTS-04.04</t>
  </si>
  <si>
    <t>Send</t>
  </si>
  <si>
    <t>CC-MVP-13</t>
  </si>
  <si>
    <t>W7900 Review</t>
  </si>
  <si>
    <t>CC-MVP-13.1</t>
  </si>
  <si>
    <t>W7900 &amp; W7800</t>
  </si>
  <si>
    <t>CC-MVP-13.2</t>
  </si>
  <si>
    <t>W7900 - Blog</t>
  </si>
  <si>
    <t>Fri Aug 25 2023 16:09:54 GMT+0530 (India Standard Time),Fri Aug 25 2023 16:45:56 GMT+0530 (India Standard Time),Fri Aug 25 2023 17:01:26 GMT+0530 (India Standard Time),Fri Aug 25 2023 18:09:01 GMT+0530 (India Standard Time),Sat Aug 26 2023 15:46:08 GMT+0530 (India Standard Time),</t>
  </si>
  <si>
    <t>Fri Aug 25 2023 16:31:03 GMT+0530 (India Standard Time),Fri Aug 25 2023 16:50:27 GMT+0530 (India Standard Time),Fri Aug 25 2023 17:45:44 GMT+0530 (India Standard Time),Sat Aug 26 2023 15:20:18 GMT+0530 (India Standard Time),Aug 26 2023 16:13:40,</t>
  </si>
  <si>
    <t>CC-MVP-13.3</t>
  </si>
  <si>
    <t>CC-MVP-09</t>
  </si>
  <si>
    <t>Best Custom PC Store</t>
  </si>
  <si>
    <t>CC-MVP-09.1</t>
  </si>
  <si>
    <t>What do you get at the best Custom PC store</t>
  </si>
  <si>
    <t>CC-MVP-09.2</t>
  </si>
  <si>
    <t>CC-MVP-09.3</t>
  </si>
  <si>
    <t>Sat Aug 26 2023 19:24:37 GMT+0530 (India Standard Time),Tue Aug 29 2023 11:39:38 GMT+0530 (India Standard Time),</t>
  </si>
  <si>
    <t>Tue Aug 29 2023 10:54:43 GMT+0530 (India Standard Time),Aug 29 2023 11:45:41,</t>
  </si>
  <si>
    <t>CC-MVP-09.4</t>
  </si>
  <si>
    <t>CC-MVP-09.5</t>
  </si>
  <si>
    <t>PM-PTS-02</t>
  </si>
  <si>
    <t>Sales Initiatives</t>
  </si>
  <si>
    <t>PM-PTS-02.01</t>
  </si>
  <si>
    <t>Linked Helper</t>
  </si>
  <si>
    <t>PM-PTS-02.02</t>
  </si>
  <si>
    <t>Snov.io Prospecting</t>
  </si>
  <si>
    <t>PM-MVP-06</t>
  </si>
  <si>
    <t>Build Photos</t>
  </si>
  <si>
    <t>PM-MVP-06.01</t>
  </si>
  <si>
    <t>Montec</t>
  </si>
  <si>
    <t>Fri Aug 25 2023 18:26:48 GMT+0530 (India Standard Time),</t>
  </si>
  <si>
    <t>Aug 29 2023 16:41:18,</t>
  </si>
  <si>
    <t>PM-MVP-06.02</t>
  </si>
  <si>
    <t>NX200M</t>
  </si>
  <si>
    <t>PM-MVP-06.03</t>
  </si>
  <si>
    <t>Antec Silent</t>
  </si>
  <si>
    <t>Flipkart Builds</t>
  </si>
  <si>
    <t>Specs &amp; Details</t>
  </si>
  <si>
    <t>Flipkart</t>
  </si>
  <si>
    <t>Wed Aug 23 2023 18:28:00 GMT+0530 (India Standard Time),Fri Aug 25 2023 10:34:54 GMT+0530 (India Standard Time),</t>
  </si>
  <si>
    <t>Thu Aug 24 2023 11:08:01 GMT+0530 (India Standard Time),Aug 26 2023 15:33:15,</t>
  </si>
  <si>
    <t>Lancool 205M</t>
  </si>
  <si>
    <t>Fri Aug 25 2023 19:47:10 GMT+0530 (India Standard Time),</t>
  </si>
  <si>
    <t>Aug 26 2023 15:33:17,</t>
  </si>
  <si>
    <t>Lancool 216</t>
  </si>
  <si>
    <t>Fri Aug 25 2023 17:03:57 GMT+0530 (India Standard Time),</t>
  </si>
  <si>
    <t>Aug 26 2023 15:33:19,</t>
  </si>
  <si>
    <t>PM-MVP-03.05</t>
  </si>
  <si>
    <t>TD300 Mesh</t>
  </si>
  <si>
    <t>PM-MVP-03.06</t>
  </si>
  <si>
    <t>Proofread</t>
  </si>
  <si>
    <t>CC-MVP-18</t>
  </si>
  <si>
    <t>Jawaan ReTrailer</t>
  </si>
  <si>
    <t>CC-MVP-18.05</t>
  </si>
  <si>
    <t>Thu Aug 31 2023 17:19:37 GMT+0530 (India Standard Time),Thu Aug 31 2023 17:51:07 GMT+0530 (India Standard Time),Thu Aug 31 2023 18:14:41 GMT+0530 (India Standard Time),</t>
  </si>
  <si>
    <t>Thu Aug 31 2023 17:19:41 GMT+0530 (India Standard Time),Thu Aug 31 2023 17:55:37 GMT+0530 (India Standard Time),Aug 31 2023 18:33:13,</t>
  </si>
  <si>
    <t>CC-MVP-18.06</t>
  </si>
  <si>
    <t>Title, Caption</t>
  </si>
  <si>
    <t>CC-MVP-18.07</t>
  </si>
  <si>
    <t>Quick Start Guide</t>
  </si>
  <si>
    <t>QR Codes</t>
  </si>
  <si>
    <t>CC-MVP-14</t>
  </si>
  <si>
    <t>Superlight X Review</t>
  </si>
  <si>
    <t>CC-MVP-14.01</t>
  </si>
  <si>
    <t>SuperlightX</t>
  </si>
  <si>
    <t>Sat Aug 26 2023 19:23:13 GMT+0530 (India Standard Time),</t>
  </si>
  <si>
    <t>Aug 29 2023 11:45:49,</t>
  </si>
  <si>
    <t>CC-MVP-14.02</t>
  </si>
  <si>
    <t>CC-MVP-14.03</t>
  </si>
  <si>
    <t>CC-MVP-14.04</t>
  </si>
  <si>
    <t>CC-MVP-14.05</t>
  </si>
  <si>
    <t>Wed Aug 30 2023 19:30:53 GMT+0530 (India Standard Time),Fri Sep 01 2023 10:02:48 GMT+0530 (India Standard Time),</t>
  </si>
  <si>
    <t>Thu Aug 31 2023 16:56:58 GMT+0530 (India Standard Time),Sep 01 2023 12:47:28,</t>
  </si>
  <si>
    <t>CC-MVP-14.06</t>
  </si>
  <si>
    <t>Wed Aug 30 2023 13:51:13 GMT+0530 (India Standard Time),</t>
  </si>
  <si>
    <t>Sep 01 2023 10:02:55,</t>
  </si>
  <si>
    <t>CC-MVP-14.08</t>
  </si>
  <si>
    <t>Adhoc</t>
  </si>
  <si>
    <t>PM-PTS-04.01</t>
  </si>
  <si>
    <t>Setup Colorful CC</t>
  </si>
  <si>
    <t>Sat Sep 02 2023 17:46:54 GMT+0530 (India Standard Time),</t>
  </si>
  <si>
    <t>Sep 04 2023 11:14:14,</t>
  </si>
  <si>
    <t>PM-PTS-04.02</t>
  </si>
  <si>
    <t>Corsair Photos</t>
  </si>
  <si>
    <t>Send Logi Prop.</t>
  </si>
  <si>
    <t>Sat Sep 02 2023 15:10:50 GMT+0530 (India Standard Time),Sat Sep 02 2023 16:12:02 GMT+0530 (India Standard Time),</t>
  </si>
  <si>
    <t>Sat Sep 02 2023 15:49:42 GMT+0530 (India Standard Time),Sep 02 2023 16:20:45,</t>
  </si>
  <si>
    <t>CC-MVP-08</t>
  </si>
  <si>
    <t>Assasin IV</t>
  </si>
  <si>
    <t>CC-MVP-08.1</t>
  </si>
  <si>
    <t>CC-MVP-08.2</t>
  </si>
  <si>
    <t>Title + Desc.</t>
  </si>
  <si>
    <t>CC-MVP-08.3</t>
  </si>
  <si>
    <t>CC-MVP-08.4</t>
  </si>
  <si>
    <t>CC-MVP-08.5</t>
  </si>
  <si>
    <t>CC-MVP-08.6</t>
  </si>
  <si>
    <t>Shoot - Brolls</t>
  </si>
  <si>
    <t>CC-MVP-08.7</t>
  </si>
  <si>
    <t>CC-MVP-08.8</t>
  </si>
  <si>
    <t>CC-MVP-08.9</t>
  </si>
  <si>
    <t>CC-MVP-05</t>
  </si>
  <si>
    <t>G502 X Superfast Review</t>
  </si>
  <si>
    <t>CC-MVP-05.1</t>
  </si>
  <si>
    <t>G502 X - Superfast Review</t>
  </si>
  <si>
    <t>CC-MVP-05.2</t>
  </si>
  <si>
    <t>CC-MVP-05.3</t>
  </si>
  <si>
    <t>CC-MVP-05.4</t>
  </si>
  <si>
    <t>Wed Aug 23 2023 15:19:56 GMT+0530 (India Standard Time),Wed Aug 23 2023 15:47:10 GMT+0530 (India Standard Time),Thu Aug 24 2023 17:50:22 GMT+0530 (India Standard Time),</t>
  </si>
  <si>
    <t>Wed Aug 23 2023 15:45:45 GMT+0530 (India Standard Time),Thu Aug 24 2023 16:25:35 GMT+0530 (India Standard Time),</t>
  </si>
  <si>
    <t>CC-MVP-05.5</t>
  </si>
  <si>
    <t>Thu Aug 24 2023 14:36:19 GMT+0530 (India Standard Time),Thu Aug 24 2023 15:16:55 GMT+0530 (India Standard Time),</t>
  </si>
  <si>
    <t>Thu Aug 24 2023 14:57:08 GMT+0530 (India Standard Time),</t>
  </si>
  <si>
    <t>CC-MVP-05.6</t>
  </si>
  <si>
    <t>Thu Aug 24 2023 12:04:19 GMT+0530 (India Standard Time),</t>
  </si>
  <si>
    <t>Aug 24 2023 19:21:04,</t>
  </si>
  <si>
    <t>CC-MVP-13.4</t>
  </si>
  <si>
    <t>CC-MVP-06</t>
  </si>
  <si>
    <t>Build a PC for Lightroom</t>
  </si>
  <si>
    <t>CC-MVP-06.1</t>
  </si>
  <si>
    <t>Lightroom - Hardware Recommendation</t>
  </si>
  <si>
    <t>CC-MVP-06.2</t>
  </si>
  <si>
    <t>CC-MVP-06.3</t>
  </si>
  <si>
    <t>CC-MVP-06.4</t>
  </si>
  <si>
    <t>Thu Aug 24 2023 11:51:57 GMT+0530 (India Standard Time),Thu Aug 24 2023 12:20:00 GMT+0530 (India Standard Time),Thu Aug 24 2023 12:30:24 GMT+0530 (India Standard Time),Thu Aug 24 2023 12:54:58 GMT+0530 (India Standard Time),Thu Aug 24 2023 15:40:09 GMT+0530 (India Standard Time),Thu Aug 24 2023 18:58:12 GMT+0530 (India Standard Time),Thu Aug 24 2023 19:35:53 GMT+0530 (India Standard Time),Fri Aug 25 2023 09:56:17 GMT+0530 (India Standard Time),Fri Aug 25 2023 12:49:09 GMT+0530 (India Standard Time),Fri Aug 25 2023 15:24:31 GMT+0530 (India Standard Time),Fri Aug 25 2023 19:47:23 GMT+0530 (India Standard Time),</t>
  </si>
  <si>
    <t>Thu Aug 24 2023 11:59:45 GMT+0530 (India Standard Time),Thu Aug 24 2023 12:29:04 GMT+0530 (India Standard Time),Thu Aug 24 2023 12:32:47 GMT+0530 (India Standard Time),Thu Aug 24 2023 13:45:02 GMT+0530 (India Standard Time),Thu Aug 24 2023 17:50:26 GMT+0530 (India Standard Time),Thu Aug 24 2023 19:00:31 GMT+0530 (India Standard Time),Fri Aug 25 2023 09:04:29 GMT+0530 (India Standard Time),Fri Aug 25 2023 11:19:19 GMT+0530 (India Standard Time),Fri Aug 25 2023 13:16:08 GMT+0530 (India Standard Time),Fri Aug 25 2023 15:30:25 GMT+0530 (India Standard Time),Aug 26 2023 19:36:34,</t>
  </si>
  <si>
    <t>CC-MVP-06.5</t>
  </si>
  <si>
    <t>CC-MVP-06.6</t>
  </si>
  <si>
    <t>Thu Aug 24 2023 11:59:24 GMT+0530 (India Standard Time),Thu Aug 24 2023 12:11:54 GMT+0530 (India Standard Time),</t>
  </si>
  <si>
    <t>Thu Aug 24 2023 12:04:33 GMT+0530 (India Standard Time),Aug 29 2023 11:42:07,</t>
  </si>
  <si>
    <t>CC-MVP-06.7</t>
  </si>
  <si>
    <t>CC-MVP-07</t>
  </si>
  <si>
    <t>Build Photo - 2X A6000</t>
  </si>
  <si>
    <t>CC-MVP-07.1</t>
  </si>
  <si>
    <t>CC-MVP-07.2</t>
  </si>
  <si>
    <t>CC-MVP-07.3</t>
  </si>
  <si>
    <t>Title &amp; Desc.</t>
  </si>
  <si>
    <t>CC-MVP-07.4</t>
  </si>
  <si>
    <t>PM-EMR-03</t>
  </si>
  <si>
    <t>ADIPEC Rutenberg</t>
  </si>
  <si>
    <t>PM-EMR-03.05</t>
  </si>
  <si>
    <t>CC-MVP-22</t>
  </si>
  <si>
    <t>7700XT Review</t>
  </si>
  <si>
    <t>CC-MVP-22.01</t>
  </si>
  <si>
    <t>7700XT - Review</t>
  </si>
  <si>
    <t>CC-MVP-22.02</t>
  </si>
  <si>
    <t>CC-MVP-22.03</t>
  </si>
  <si>
    <t>Tue Sep 05 2023 18:07:40 GMT+0530 (India Standard Time),</t>
  </si>
  <si>
    <t>Sep 06 2023 10:20:02,</t>
  </si>
  <si>
    <t>CC-MVP-22.04</t>
  </si>
  <si>
    <t>CC-MVP-22.05</t>
  </si>
  <si>
    <t>CC-MVP-22.06</t>
  </si>
  <si>
    <t>Build Shoot</t>
  </si>
  <si>
    <t>Wed Sep 06 2023 18:04:13 GMT+0530 (India Standard Time),</t>
  </si>
  <si>
    <t>CC-MVP-22.07</t>
  </si>
  <si>
    <t>Wed Sep 06 2023 14:21:49 GMT+0530 (India Standard Time),Wed Sep 06 2023 14:48:35 GMT+0530 (India Standard Time),</t>
  </si>
  <si>
    <t>Wed Sep 06 2023 14:30:08 GMT+0530 (India Standard Time),</t>
  </si>
  <si>
    <t>CC-MVP-22.08</t>
  </si>
  <si>
    <t>PM-KOM-01</t>
  </si>
  <si>
    <t>Kommu Ad Images</t>
  </si>
  <si>
    <t>PM-KOM-01.01</t>
  </si>
  <si>
    <t>Copy</t>
  </si>
  <si>
    <t>Wezva Graphic Images Ad Copy</t>
  </si>
  <si>
    <t>Wed Aug 23 2023 14:11:36 GMT+0530 (India Standard Time),Wed Aug 23 2023 14:35:47 GMT+0530 (India Standard Time),Wed Aug 23 2023 17:09:10 GMT+0530 (India Standard Time),Fri Aug 25 2023 09:39:01 GMT+0530 (India Standard Time),Fri Aug 25 2023 09:52:48 GMT+0530 (India Standard Time),</t>
  </si>
  <si>
    <t>Wed Aug 23 2023 14:24:00 GMT+0530 (India Standard Time),Wed Aug 23 2023 15:16:16 GMT+0530 (India Standard Time),Fri Aug 25 2023 09:25:09 GMT+0530 (India Standard Time),Fri Aug 25 2023 09:45:43 GMT+0530 (India Standard Time),Aug 29 2023 11:42:15,</t>
  </si>
  <si>
    <t>PM-KOM-01.02</t>
  </si>
  <si>
    <t>Sample Designs</t>
  </si>
  <si>
    <t>Wed Aug 23 2023 17:27:38 GMT+0530 (India Standard Time),Thu Aug 24 2023 10:29:26 GMT+0530 (India Standard Time),Thu Aug 24 2023 11:35:59 GMT+0530 (India Standard Time),Thu Aug 24 2023 16:08:32 GMT+0530 (India Standard Time),</t>
  </si>
  <si>
    <t>Thu Aug 24 2023 09:55:09 GMT+0530 (India Standard Time),Thu Aug 24 2023 11:23:25 GMT+0530 (India Standard Time),Thu Aug 24 2023 15:55:41 GMT+0530 (India Standard Time),Aug 24 2023 16:47:53,</t>
  </si>
  <si>
    <t>PM-KOM-01.03</t>
  </si>
  <si>
    <t>Sat Aug 26 2023 15:12:26 GMT+0530 (India Standard Time),Sat Aug 26 2023 16:34:51 GMT+0530 (India Standard Time),Wed Aug 30 2023 13:29:26 GMT+0530 (India Standard Time),Wed Aug 30 2023 13:53:10 GMT+0530 (India Standard Time),</t>
  </si>
  <si>
    <t>Sat Aug 26 2023 16:13:53 GMT+0530 (India Standard Time),Wed Aug 30 2023 12:36:30 GMT+0530 (India Standard Time),Wed Aug 30 2023 13:52:23 GMT+0530 (India Standard Time),Sep 07 2023 10:10:25,</t>
  </si>
  <si>
    <t>PM-KOM-01.04</t>
  </si>
  <si>
    <t>CC-MVP-29</t>
  </si>
  <si>
    <t>7800XT Review</t>
  </si>
  <si>
    <t>CC-MVP-29.01</t>
  </si>
  <si>
    <t>7800XT - Review</t>
  </si>
  <si>
    <t>CC-MVP-29.02</t>
  </si>
  <si>
    <t>CC-MVP-29.03</t>
  </si>
  <si>
    <t>Wed Sep 05 2023 19:31:54 GMT+0530 (India Standard Time),</t>
  </si>
  <si>
    <t>Sep 07 2023 10:18:17,</t>
  </si>
  <si>
    <t>CC-MVP-29.04</t>
  </si>
  <si>
    <t>CC-MVP-29.05</t>
  </si>
  <si>
    <t>Thu Sep 07 2023 19:30:38 GMT+0530 (India Standard Time),</t>
  </si>
  <si>
    <t>Sep 09 2023 09:14:29,</t>
  </si>
  <si>
    <t>CC-MVP-29.06</t>
  </si>
  <si>
    <t>Sustainability Logo</t>
  </si>
  <si>
    <t>PM-EMR-03.01</t>
  </si>
  <si>
    <t>image001.png</t>
  </si>
  <si>
    <t>PM-EMR-03.02</t>
  </si>
  <si>
    <t>Samples</t>
  </si>
  <si>
    <t>Sat Sep 09 2023 11:42:59 GMT+0530 (India Standard Time),Tue Sep 12 2023 10:31:34 GMT+0530 (India Standard Time),</t>
  </si>
  <si>
    <t>Mon Sep 11 2023 10:35:02 GMT+0530 (India Standard Time),Sep 13 2023 12:07:00,</t>
  </si>
  <si>
    <t>PM-EMR-03.03</t>
  </si>
  <si>
    <t>CC-MVP-23</t>
  </si>
  <si>
    <t>Antec 1 FT Downedit</t>
  </si>
  <si>
    <t>CC-MVP-23.01</t>
  </si>
  <si>
    <t>CC-MVP-23.02</t>
  </si>
  <si>
    <t>Wed Sep 13 2023 16:47:06 GMT+0530 (India Standard Time),</t>
  </si>
  <si>
    <t>Wed Sep 13 2023 16:50:56 GMT+0530 (India Standard Time),</t>
  </si>
  <si>
    <t>CC-MVP-23.03</t>
  </si>
  <si>
    <t>CC-MVP-11</t>
  </si>
  <si>
    <t>Antec 1 FT Case Review</t>
  </si>
  <si>
    <t>CC-MVP-11.1</t>
  </si>
  <si>
    <t>Antec Performance 1 FT</t>
  </si>
  <si>
    <t>Sat Aug 26 2023 19:43:54 GMT+0530 (India Standard Time),</t>
  </si>
  <si>
    <t>Mon Aug 28 2023 11:50:27 GMT+0530 (India Standard Time),</t>
  </si>
  <si>
    <t>CC-MVP-11.2</t>
  </si>
  <si>
    <t>Thu Aug 31 2023 14:40:01 GMT+0530 (India Standard Time),Thu Aug 31 2023 15:51:22 GMT+0530 (India Standard Time),</t>
  </si>
  <si>
    <t>Thu Aug 31 2023 15:31:41 GMT+0530 (India Standard Time),Aug 31 2023 15:51:36,</t>
  </si>
  <si>
    <t>CC-MVP-11.3</t>
  </si>
  <si>
    <t>B-Roll</t>
  </si>
  <si>
    <t>Thu Aug 31 2023 15:56:51 GMT+0530 (India Standard Time),</t>
  </si>
  <si>
    <t>Aug 31 2023 16:57:00,</t>
  </si>
  <si>
    <t>CC-MVP-11.4</t>
  </si>
  <si>
    <t>Fri Sep 01 2023 20:11:40 GMT+0530 (India Standard Time),</t>
  </si>
  <si>
    <t>Sep 02 2023 11:39:50,</t>
  </si>
  <si>
    <t>CC-MVP-11.5</t>
  </si>
  <si>
    <t>CC-MVP-11.6</t>
  </si>
  <si>
    <t>Sat Sep 02 2023 19:58:20 GMT+0530 (India Standard Time),Mon Sep 04 2023 12:18:49 GMT+0530 (India Standard Time),Mon Sep 04 2023 13:58:47 GMT+0530 (India Standard Time),Mon Sep 04 2023 17:50:19 GMT+0530 (India Standard Time),Sat Sep 09 2023 17:58:00 GMT+0530 (India Standard Time),Mon Sep 11 2023 13:52:21 GMT+0530 (India Standard Time),Tue Sep 12 2023 09:29:05 GMT+0530 (India Standard Time),Tue Sep 12 2023 10:50:09 GMT+0530 (India Standard Time),Tue Sep 12 2023 12:10:47 GMT+0530 (India Standard Time),Tue Sep 12 2023 19:50:32 GMT+0530 (India Standard Time),Wed Sep 13 2023 10:48:24 GMT+0530 (India Standard Time),</t>
  </si>
  <si>
    <t>Mon Sep 04 2023 09:19:26 GMT+0530 (India Standard Time),Mon Sep 04 2023 12:29:53 GMT+0530 (India Standard Time),Mon Sep 04 2023 14:30:36 GMT+0530 (India Standard Time),Sat Sep 09 2023 16:45:33 GMT+0530 (India Standard Time),Mon Sep 11 2023 12:21:04 GMT+0530 (India Standard Time),Mon Sep 11 2023 14:32:49 GMT+0530 (India Standard Time),Tue Sep 12 2023 09:56:03 GMT+0530 (India Standard Time),Tue Sep 12 2023 11:09:46 GMT+0530 (India Standard Time),Tue Sep 12 2023 12:41:43 GMT+0530 (India Standard Time),Wed Sep 13 2023 10:48:01 GMT+0530 (India Standard Time),Sep 13 2023 13:04:18,</t>
  </si>
  <si>
    <t>CC-MVP-11.7</t>
  </si>
  <si>
    <t>Reshoot</t>
  </si>
  <si>
    <t>CC-MVP-12</t>
  </si>
  <si>
    <t>Build Photo - Antec F1</t>
  </si>
  <si>
    <t>CC-MVP-12.2</t>
  </si>
  <si>
    <t>CC-MVP-12.3</t>
  </si>
  <si>
    <t>CC-MVP-12.4</t>
  </si>
  <si>
    <t>CC-MVP-10</t>
  </si>
  <si>
    <t>Ghost Prebuilt Review</t>
  </si>
  <si>
    <t>CC-MVP-10.1</t>
  </si>
  <si>
    <t>Ghost Prebuilt - Review</t>
  </si>
  <si>
    <t>Sat Sep 02 2023 19:07:33 GMT+0530 (India Standard Time),</t>
  </si>
  <si>
    <t>Sep 13 2023 11:53:59,</t>
  </si>
  <si>
    <t>CC-MVP-10.5</t>
  </si>
  <si>
    <t>CC-MVP-10.3</t>
  </si>
  <si>
    <t>CC-MVP-10.7</t>
  </si>
  <si>
    <t>Fri Sep 15 2023 14:58:32 GMT+0530 (India Standard Time),Fri Sep 15 2023 17:21:20 GMT+0530 (India Standard Time),</t>
  </si>
  <si>
    <t>Fri Sep 15 2023 15:09:30 GMT+0530 (India Standard Time),Fri Sep 15 2023 17:42:53 GMT+0530 (India Standard Time),</t>
  </si>
  <si>
    <t>CC-MVP-10.9</t>
  </si>
  <si>
    <t>PM-EMR-03.04</t>
  </si>
  <si>
    <t>Vector</t>
  </si>
  <si>
    <t>Sat Sep 16 2023 12:11:17 GMT+0530 (India Standard Time),</t>
  </si>
  <si>
    <t>Sep 19 2023 10:47:20,</t>
  </si>
  <si>
    <t>CC-CTH-01</t>
  </si>
  <si>
    <t>Brand Introduction</t>
  </si>
  <si>
    <t>CC-CTH-01.01</t>
  </si>
  <si>
    <t>Brand Introduction - Colorful</t>
  </si>
  <si>
    <t>CC-CTH-01.05</t>
  </si>
  <si>
    <t>Wed Sep 06 2023 12:08:30 GMT+0530 (India Standard Time),Thu Sep 14 2023 11:55:32 GMT+0530 (India Standard Time),Thu Sep 14 2023 14:41:35 GMT+0530 (India Standard Time),Thu Sep 14 2023 18:11:18 GMT+0530 (India Standard Time),Fri Sep 15 2023 13:20:57 GMT+0530 (India Standard Time),Sat Sep 16 2023 12:05:26 GMT+0530 (India Standard Time),Sat Sep 16 2023 14:58:28 GMT+0530 (India Standard Time),</t>
  </si>
  <si>
    <t>Thu Sep 14 2023 11:21:53 GMT+0530 (India Standard Time),Thu Sep 14 2023 11:59:21 GMT+0530 (India Standard Time),Thu Sep 14 2023 16:01:02 GMT+0530 (India Standard Time),Fri Sep 15 2023 11:44:21 GMT+0530 (India Standard Time),Sat Sep 16 2023 10:14:28 GMT+0530 (India Standard Time),Sat Sep 16 2023 13:03:27 GMT+0530 (India Standard Time),Sat Sep 16 2023 15:27:21 GMT+0530 (India Standard Time),</t>
  </si>
  <si>
    <t>CC-CTH-01.06</t>
  </si>
  <si>
    <t>Tue Sep 19 2023 12:13:14 GMT+0530 (India Standard Time),</t>
  </si>
  <si>
    <t>Sep 20 2023 10:42:00,</t>
  </si>
  <si>
    <t>CC-CTH-01.07</t>
  </si>
  <si>
    <t>CC-MVP-19</t>
  </si>
  <si>
    <t>MX Keys Pink</t>
  </si>
  <si>
    <t>CC-MVP-19.01</t>
  </si>
  <si>
    <t>Logi MX Keys Pink</t>
  </si>
  <si>
    <t>Thu Aug 31 2023 20:19:23 GMT+0530 (India Standard Time),Mon Sep 04 2023 18:03:10 GMT+0530 (India Standard Time),Mon Sep 04 2023 20:03:55 GMT+0530 (India Standard Time),Sat Sep 09 2023 12:04:55 GMT+0530 (India Standard Time),Sat Sep 09 2023 15:07:42 GMT+0530 (India Standard Time),Mon Sep 11 2023 12:21:00 GMT+0530 (India Standard Time),</t>
  </si>
  <si>
    <t>Mon Sep 04 2023 18:02:04 GMT+0530 (India Standard Time),Mon Sep 04 2023 19:40:20 GMT+0530 (India Standard Time),Sat Sep 09 2023 11:21:39 GMT+0530 (India Standard Time),Sat Sep 09 2023 13:46:19 GMT+0530 (India Standard Time),Mon Sep 11 2023 11:32:11 GMT+0530 (India Standard Time),Sep 12 2023 19:50:45,</t>
  </si>
  <si>
    <t>CC-MVP-19.02</t>
  </si>
  <si>
    <t>Thu Sep 14 2023 18:10:35 GMT+0530 (India Standard Time),Thu Sep 14 2023 19:00:37 GMT+0530 (India Standard Time),</t>
  </si>
  <si>
    <t>Thu Sep 14 2023 18:12:57 GMT+0530 (India Standard Time),Fri Sep 15 2023 10:01:21 GMT+0530 (India Standard Time),</t>
  </si>
  <si>
    <t>CC-MVP-19.03</t>
  </si>
  <si>
    <t>Sat Sep 16 2023 15:27:24 GMT+0530 (India Standard Time),Sat Sep 16 2023 16:20:04 GMT+0530 (India Standard Time),Sat Sep 16 2023 22:40:43 GMT+0530 (India Standard Time),</t>
  </si>
  <si>
    <t>Sat Sep 16 2023 16:07:18 GMT+0530 (India Standard Time),Sat Sep 16 2023 17:37:02 GMT+0530 (India Standard Time),Sep 17 2023 16:20:28,</t>
  </si>
  <si>
    <t>CC-MVP-19.04</t>
  </si>
  <si>
    <t>CC-MVP-19.05</t>
  </si>
  <si>
    <t>Sun Sep 17 2023 16:20:25 GMT+0530 (India Standard Time),Tue Sep 19 2023 13:49:44 GMT+0530 (India Standard Time),</t>
  </si>
  <si>
    <t>Tue Sep 19 2023 12:44:05 GMT+0530 (India Standard Time),Tue Sep 19 2023 14:10:32 GMT+0530 (India Standard Time),</t>
  </si>
  <si>
    <t>CC-MVP-19.06</t>
  </si>
  <si>
    <t>Sat Sep 16 2023 22:40:36 GMT+0530 (India Standard Time),Tue Sep 19 2023 18:28:39 GMT+0530 (India Standard Time),Tue Sep 19 2023 19:51:43 GMT+0530 (India Standard Time),Wed Sep 20 2023 17:09:11 GMT+0530 (India Standard Time),Wed Sep 20 2023 17:30:13 GMT+0530 (India Standard Time),</t>
  </si>
  <si>
    <t>Tue Sep 19 2023 18:28:22 GMT+0530 (India Standard Time),Tue Sep 19 2023 18:59:27 GMT+0530 (India Standard Time),Wed Sep 20 2023 16:43:31 GMT+0530 (India Standard Time),Wed Sep 20 2023 17:15:21 GMT+0530 (India Standard Time),Sep 21 2023 00:10:12,</t>
  </si>
  <si>
    <t>CC-MVP-19.07</t>
  </si>
  <si>
    <t>Wed Sep 20 2023 16:43:16 GMT+0530 (India Standard Time),</t>
  </si>
  <si>
    <t>Wed Sep 20 2023 16:43:28 GMT+0530 (India Standard Time),</t>
  </si>
  <si>
    <t>CC-MVP-28</t>
  </si>
  <si>
    <t>Yeti Mic Review</t>
  </si>
  <si>
    <t>CC-MVP-28.01</t>
  </si>
  <si>
    <t>Yeti</t>
  </si>
  <si>
    <t>Mon Sep 04 2023 13:31:38 GMT+0530 (India Standard Time),Mon Sep 04 2023 14:01:44 GMT+0530 (India Standard Time),Mon Sep 04 2023 16:06:08 GMT+0530 (India Standard Time),Mon Sep 11 2023 13:53:16 GMT+0530 (India Standard Time),Mon Sep 11 2023 14:00:58 GMT+0530 (India Standard Time),Mon Sep 11 2023 15:38:39 GMT+0530 (India Standard Time),</t>
  </si>
  <si>
    <t>Mon Sep 04 2023 13:52:28 GMT+0530 (India Standard Time),Mon Sep 04 2023 14:59:07 GMT+0530 (India Standard Time),Mon Sep 11 2023 13:29:28 GMT+0530 (India Standard Time),Mon Sep 11 2023 13:55:32 GMT+0530 (India Standard Time),Mon Sep 11 2023 15:18:43 GMT+0530 (India Standard Time),Sep 13 2023 11:53:56,</t>
  </si>
  <si>
    <t>CC-MVP-28.04</t>
  </si>
  <si>
    <t>CC-MVP-28.02</t>
  </si>
  <si>
    <t>Sat Sep 16 2023 13:19:15 GMT+0530 (India Standard Time),Tue Sep 19 2023 15:36:07 GMT+0530 (India Standard Time),</t>
  </si>
  <si>
    <t>Tue Sep 19 2023 13:18:34 GMT+0530 (India Standard Time),Tue Sep 19 2023 19:10:46 GMT+0530 (India Standard Time),</t>
  </si>
  <si>
    <t>CC-MVP-28.03</t>
  </si>
  <si>
    <t>Wed Sep 20 2023 13:21:46 GMT+0530 (India Standard Time),</t>
  </si>
  <si>
    <t>Wed Sep 20 2023 13:50:58 GMT+0530 (India Standard Time),</t>
  </si>
  <si>
    <t>CC-MVP-28.05</t>
  </si>
  <si>
    <t>Wed Sep 20 2023 19:23:40 GMT+0530 (India Standard Time),Fri Sep 22 2023 09:58:51 GMT+0530 (India Standard Time),Fri Sep 22 2023 12:30:23 GMT+0530 (India Standard Time),Fri Sep 22 2023 14:09:39 GMT+0530 (India Standard Time),</t>
  </si>
  <si>
    <t>Fri Sep 22 2023 09:58:49 GMT+0530 (India Standard Time),Fri Sep 22 2023 11:33:50 GMT+0530 (India Standard Time),Fri Sep 22 2023 12:43:18 GMT+0530 (India Standard Time),Fri Sep 22 2023 15:22:32 GMT+0530 (India Standard Time),</t>
  </si>
  <si>
    <t>CC-MVP-28.06</t>
  </si>
  <si>
    <t>CC-MVP-28.07</t>
  </si>
  <si>
    <t>PM-EMR-02</t>
  </si>
  <si>
    <t>ADIPEC Filter</t>
  </si>
  <si>
    <t>PM-EMR-02.01</t>
  </si>
  <si>
    <t>Breif</t>
  </si>
  <si>
    <t>PM-EMR-02.02</t>
  </si>
  <si>
    <t>Design</t>
  </si>
  <si>
    <t>PM-EMR-02.03</t>
  </si>
  <si>
    <t>PM-EMR-02.04</t>
  </si>
  <si>
    <t>Filter</t>
  </si>
  <si>
    <t>Wed Sep 20 2023 18:40:26 GMT+0530 (India Standard Time),</t>
  </si>
  <si>
    <t>Sep 23 2023 10:00:20,</t>
  </si>
  <si>
    <t>PM-EMR-05</t>
  </si>
  <si>
    <t>Rewards &amp; Recog.</t>
  </si>
  <si>
    <t>PM-EMR-05.01</t>
  </si>
  <si>
    <t>Mathias</t>
  </si>
  <si>
    <t>Fri Sep 15 2023 11:01:39 GMT+0530 (India Standard Time),Fri Sep 15 2023 11:59:58 GMT+0530 (India Standard Time),Fri Sep 15 2023 12:51:47 GMT+0530 (India Standard Time),Fri Sep 15 2023 14:49:51 GMT+0530 (India Standard Time),Fri Sep 15 2023 16:15:51 GMT+0530 (India Standard Time),Fri Sep 15 2023 17:29:57 GMT+0530 (India Standard Time),Sat Sep 16 2023 11:37:11 GMT+0530 (India Standard Time),Sat Sep 16 2023 14:16:47 GMT+0530 (India Standard Time),Wed Sep 20 2023 13:02:23 GMT+0530 (India Standard Time),</t>
  </si>
  <si>
    <t>Fri Sep 15 2023 11:29:04 GMT+0530 (India Standard Time),Fri Sep 15 2023 12:26:03 GMT+0530 (India Standard Time),Fri Sep 15 2023 12:57:07 GMT+0530 (India Standard Time),Fri Sep 15 2023 15:33:50 GMT+0530 (India Standard Time),Fri Sep 15 2023 16:18:45 GMT+0530 (India Standard Time),Sat Sep 16 2023 11:29:33 GMT+0530 (India Standard Time),Sat Sep 16 2023 13:57:26 GMT+0530 (India Standard Time),Wed Sep 20 2023 12:58:11 GMT+0530 (India Standard Time),Sep 23 2023 10:22:45,</t>
  </si>
  <si>
    <t>PM-EMR-05.02</t>
  </si>
  <si>
    <t>Appreciation</t>
  </si>
  <si>
    <t>Fri Sep 15 2023 20:00:31 GMT+0530 (India Standard Time),Sat Sep 16 2023 11:29:31 GMT+0530 (India Standard Time),Sat Sep 16 2023 15:02:26 GMT+0530 (India Standard Time),Wed Sep 20 2023 14:21:03 GMT+0530 (India Standard Time),</t>
  </si>
  <si>
    <t>Sat Sep 16 2023 11:23:57 GMT+0530 (India Standard Time),Sat Sep 16 2023 14:16:50 GMT+0530 (India Standard Time),Wed Sep 20 2023 13:05:57 GMT+0530 (India Standard Time),Sep 23 2023 10:22:47,</t>
  </si>
  <si>
    <t>PM-EMR-05.03</t>
  </si>
  <si>
    <t>Achievement</t>
  </si>
  <si>
    <t>Fri Sep 15 2023 20:00:35 GMT+0530 (India Standard Time),Sat Sep 16 2023 11:51:36 GMT+0530 (India Standard Time),Sat Sep 16 2023 16:52:04 GMT+0530 (India Standard Time),Wed Sep 20 2023 15:17:21 GMT+0530 (India Standard Time),</t>
  </si>
  <si>
    <t>Sat Sep 16 2023 10:05:08 GMT+0530 (India Standard Time),Sat Sep 16 2023 16:50:40 GMT+0530 (India Standard Time),Wed Sep 20 2023 14:21:09 GMT+0530 (India Standard Time),Sep 23 2023 10:22:49,</t>
  </si>
  <si>
    <t>PM-EMR-05.04</t>
  </si>
  <si>
    <t>Excellence</t>
  </si>
  <si>
    <t>Sat Sep 16 2023 12:41:35 GMT+0530 (India Standard Time),Sat Sep 16 2023 13:57:24 GMT+0530 (India Standard Time),Sat Sep 16 2023 15:39:42 GMT+0530 (India Standard Time),Sat Sep 16 2023 16:56:24 GMT+0530 (India Standard Time),Tue Sep 19 2023 14:05:35 GMT+0530 (India Standard Time),Tue Sep 19 2023 14:53:08 GMT+0530 (India Standard Time),</t>
  </si>
  <si>
    <t>Sat Sep 16 2023 13:46:58 GMT+0530 (India Standard Time),Sat Sep 16 2023 15:06:04 GMT+0530 (India Standard Time),Sat Sep 16 2023 16:42:07 GMT+0530 (India Standard Time),Tue Sep 19 2023 12:42:48 GMT+0530 (India Standard Time),Tue Sep 19 2023 14:13:21 GMT+0530 (India Standard Time),Sep 20 2023 10:26:28,</t>
  </si>
  <si>
    <t>PM-MVP-10</t>
  </si>
  <si>
    <t>Ad Report</t>
  </si>
  <si>
    <t>PM-MVP-10.01</t>
  </si>
  <si>
    <t>CC-MVP-31</t>
  </si>
  <si>
    <t>CC-MVP-31.01</t>
  </si>
  <si>
    <t>CC-MVP-31.02</t>
  </si>
  <si>
    <t>CC-MVP-31.03</t>
  </si>
  <si>
    <t>CC-MVP-31.04</t>
  </si>
  <si>
    <t>PM-MVP-08</t>
  </si>
  <si>
    <t>Business Card</t>
  </si>
  <si>
    <t>PM-MVP-08.01</t>
  </si>
  <si>
    <t>PM-MVP-08.02</t>
  </si>
  <si>
    <t>Wed Sep 20 2023 10:34:12 GMT+0530 (India Standard Time),</t>
  </si>
  <si>
    <t>Sep 20 2023 10:38:29,</t>
  </si>
  <si>
    <t>PM-MVP-08.03</t>
  </si>
  <si>
    <t>CorelDraw</t>
  </si>
  <si>
    <t>CC-MVP-15</t>
  </si>
  <si>
    <t>Flipkart Ad</t>
  </si>
  <si>
    <t>CC-MVP-15.01</t>
  </si>
  <si>
    <t>Flipkart Style Ad</t>
  </si>
  <si>
    <t>CC-MVP-15.02</t>
  </si>
  <si>
    <t>Fri Sep 01 2023 17:25:12 GMT+0530 (India Standard Time),</t>
  </si>
  <si>
    <t>Fri Sep 01 2023 17:36:33 GMT+0530 (India Standard Time),</t>
  </si>
  <si>
    <t>CC-MVP-15.03</t>
  </si>
  <si>
    <t>Fri Sep 01 2023 18:23:20 GMT+0530 (India Standard Time),Sat Sep 16 2023 13:07:35 GMT+0530 (India Standard Time),Wed Sep 20 2023 15:43:39 GMT+0530 (India Standard Time),</t>
  </si>
  <si>
    <t>Sat Sep 16 2023 12:59:22 GMT+0530 (India Standard Time),Sat Sep 16 2023 17:02:20 GMT+0530 (India Standard Time),Wed Sep 20 2023 13:13:38 GMT+0530 (India Standard Time),Sep 23 2023 12:19:07,</t>
  </si>
  <si>
    <t>CC-MVP-15.04</t>
  </si>
  <si>
    <t>CC-MVP-15.05</t>
  </si>
  <si>
    <t>Masking</t>
  </si>
  <si>
    <t>Manoj</t>
  </si>
  <si>
    <t>CC-MVP-15.06</t>
  </si>
  <si>
    <t>Sat Sep 23 2023 15:02:52 GMT+0530 (India Standard Time),Mon Sep 25 2023 11:35:47 GMT+0530 (India Standard Time),Mon Sep 25 2023 15:30:04 GMT+0530 (India Standard Time),Mon Sep 25 2023 16:38:53 GMT+0530 (India Standard Time),</t>
  </si>
  <si>
    <t>Mon Sep 25 2023 11:15:10 GMT+0530 (India Standard Time),Mon Sep 25 2023 12:07:35 GMT+0530 (India Standard Time),Mon Sep 25 2023 15:32:14 GMT+0530 (India Standard Time),Mon Sep 25 2023 18:23:12 GMT+0530 (India Standard Time),</t>
  </si>
  <si>
    <t>CC-MVP-15.07</t>
  </si>
  <si>
    <t>CC-MVP-40</t>
  </si>
  <si>
    <t>CC-MVP-40.01</t>
  </si>
  <si>
    <t>CC-MVP-40.02</t>
  </si>
  <si>
    <t>CC-MVP-40.03</t>
  </si>
  <si>
    <t>CC-MVP-40.04</t>
  </si>
  <si>
    <t>CC-MVP-40.05</t>
  </si>
  <si>
    <t>CC-MVP-40.06</t>
  </si>
  <si>
    <t>PM-EMR-07</t>
  </si>
  <si>
    <t>LED Screen Content</t>
  </si>
  <si>
    <t>PM-EMR-07.01</t>
  </si>
  <si>
    <t>Planet</t>
  </si>
  <si>
    <t>PM-EMR-07.02</t>
  </si>
  <si>
    <t>Champion</t>
  </si>
  <si>
    <t>PM-EMR-07.03</t>
  </si>
  <si>
    <t>Humanity</t>
  </si>
  <si>
    <t>PM-EMR-07.04</t>
  </si>
  <si>
    <t>Inclusion</t>
  </si>
  <si>
    <t>PM-EMR-07.05</t>
  </si>
  <si>
    <t>Future</t>
  </si>
  <si>
    <t>PM-EMR-07.06</t>
  </si>
  <si>
    <t>Make it in Emirates</t>
  </si>
  <si>
    <t>PM-EMR-07.07</t>
  </si>
  <si>
    <t>Render</t>
  </si>
  <si>
    <t>CC-NVI-05.03</t>
  </si>
  <si>
    <t>CC-MVP-17</t>
  </si>
  <si>
    <t>Build Photo - Torrent ProArt</t>
  </si>
  <si>
    <t>CC-MVP-17.01</t>
  </si>
  <si>
    <t>CC-MVP-17.02</t>
  </si>
  <si>
    <t>CC-MVP-17.03</t>
  </si>
  <si>
    <t>CC-MVP-17.04</t>
  </si>
  <si>
    <t>CC-MVP-21</t>
  </si>
  <si>
    <t>Pop Mechanical</t>
  </si>
  <si>
    <t>CC-MVP-21.01</t>
  </si>
  <si>
    <t>Logitech POP Keys</t>
  </si>
  <si>
    <t>Thu Sep 21 2023 12:59:10 GMT+0530 (India Standard Time),</t>
  </si>
  <si>
    <t>Sep 25 2023 17:55:18,</t>
  </si>
  <si>
    <t>CC-MVP-21.02</t>
  </si>
  <si>
    <t>Sep 25 2023 19:30:18,</t>
  </si>
  <si>
    <t>CC-MVP-21.03</t>
  </si>
  <si>
    <t>CC-MVP-21.04</t>
  </si>
  <si>
    <t>CC-MVP-21.05</t>
  </si>
  <si>
    <t>Tue Sep 26 2023 16:34:56 GMT+0530 (India Standard Time),Tue Sep 26 2023 16:58:49 GMT+0530 (India Standard Time),Wed Sep 27 2023 16:08:14 GMT+0530 (India Standard Time),Wed Sep 27 2023 18:06:14 GMT+0530 (India Standard Time),Wed Sep 27 2023 20:19:32 GMT+0530 (India Standard Time),</t>
  </si>
  <si>
    <t>Tue Sep 26 2023 16:56:34 GMT+0530 (India Standard Time),Wed Sep 27 2023 15:55:32 GMT+0530 (India Standard Time),Wed Sep 27 2023 17:00:22 GMT+0530 (India Standard Time),Wed Sep 27 2023 20:12:46 GMT+0530 (India Standard Time),Sep 28 2023 21:38:28,</t>
  </si>
  <si>
    <t>CC-MVP-21.06</t>
  </si>
  <si>
    <t>Thu Sep 28 2023 16:57:33 GMT+0530 (India Standard Time),</t>
  </si>
  <si>
    <t>CC-MVP-21.07</t>
  </si>
  <si>
    <t>CC-MVP-50</t>
  </si>
  <si>
    <t>AWS vs Custom PC</t>
  </si>
  <si>
    <t>CC-MVP-50.01</t>
  </si>
  <si>
    <t>Deeplearning vs AWS</t>
  </si>
  <si>
    <t>CC-MVP-50.02</t>
  </si>
  <si>
    <t>CC-MVP-50.04</t>
  </si>
  <si>
    <t>PM-NVI-02</t>
  </si>
  <si>
    <t>Laptop Template</t>
  </si>
  <si>
    <t>PM-NVI-02.01</t>
  </si>
  <si>
    <t>SOP Doc</t>
  </si>
  <si>
    <t>Pre-Production Script SOP - Nvidia Laptops</t>
  </si>
  <si>
    <t>Tue Sep 26 2023 14:28:17 GMT+0530 (India Standard Time),</t>
  </si>
  <si>
    <t>Sep 26 2023 14:29:01,</t>
  </si>
  <si>
    <t>PM-NVI-02.07</t>
  </si>
  <si>
    <t>CC-MVP-25</t>
  </si>
  <si>
    <t>Build Photo 18082301</t>
  </si>
  <si>
    <t>CC-MVP-25.01</t>
  </si>
  <si>
    <t>CC-MVP-25.02</t>
  </si>
  <si>
    <t>CC-MVP-25.03</t>
  </si>
  <si>
    <t>CC-MVP-25.04</t>
  </si>
  <si>
    <t>Linkedin Content</t>
  </si>
  <si>
    <t>Collect Blogs</t>
  </si>
  <si>
    <t>PM-MVP-10.02</t>
  </si>
  <si>
    <t>Collect Reels</t>
  </si>
  <si>
    <t>Wed Sep 27 2023 10:44:57 GMT+0530 (India Standard Time),Wed Sep 27 2023 11:14:03 GMT+0530 (India Standard Time),</t>
  </si>
  <si>
    <t>Wed Sep 27 2023 10:56:36 GMT+0530 (India Standard Time),Sep 27 2023 12:29:26,</t>
  </si>
  <si>
    <t>PM-MVP-10.03</t>
  </si>
  <si>
    <t>Collect Photos</t>
  </si>
  <si>
    <t>PM-MVP-10.04</t>
  </si>
  <si>
    <t>Collect Videos</t>
  </si>
  <si>
    <t>CC-MVP-27</t>
  </si>
  <si>
    <t>Build Photo 21072302 - Oppenheimer</t>
  </si>
  <si>
    <t>CC-MVP-27.01</t>
  </si>
  <si>
    <t>CC-MVP-27.02</t>
  </si>
  <si>
    <t>CC-MVP-27.03</t>
  </si>
  <si>
    <t>CC-MVP-27.04</t>
  </si>
  <si>
    <t>Fri Sep 29 2023 20:07:08 GMT+0530 (India Standard Time),</t>
  </si>
  <si>
    <t>Fri Sep 29 2023 20:12:35 GMT+0530 (India Standard Time),</t>
  </si>
  <si>
    <t>CC-MVP-33</t>
  </si>
  <si>
    <t>Autocad Requirements</t>
  </si>
  <si>
    <t>CC-MVP-33.01</t>
  </si>
  <si>
    <t>AutoCAD - Know your ABC</t>
  </si>
  <si>
    <t>CC-MVP-33.02</t>
  </si>
  <si>
    <t>Auto CAD</t>
  </si>
  <si>
    <t>CC-MVP-33.03</t>
  </si>
  <si>
    <t>Thu Sep 28 2023 15:21:40 GMT+0530 (India Standard Time),</t>
  </si>
  <si>
    <t>Fri Sep 29 2023 10:19:11 GMT+0530 (India Standard Time),</t>
  </si>
  <si>
    <t>CC-MVP-33.04</t>
  </si>
  <si>
    <t>Fri Sep 29 2023 08:51:14 GMT+0530 (India Standard Time),</t>
  </si>
  <si>
    <t>Sep 29 2023 10:36:41,</t>
  </si>
  <si>
    <t>CC-MVP-33.05</t>
  </si>
  <si>
    <t>Fri Sep 29 2023 14:39:12 GMT+0530 (India Standard Time),</t>
  </si>
  <si>
    <t>Fri Sep 29 2023 15:20:08 GMT+0530 (India Standard Time),</t>
  </si>
  <si>
    <t>CC-MVP-33.06</t>
  </si>
  <si>
    <t>Fri Sep 29 2023 20:19:43 GMT+0530 (India Standard Time),</t>
  </si>
  <si>
    <t>Fri Sep 29 2023 20:24:41 GMT+0530 (India Standard Time),</t>
  </si>
  <si>
    <t>CC-MVP-35</t>
  </si>
  <si>
    <t>Hardware News</t>
  </si>
  <si>
    <t>CC-MVP-35.01</t>
  </si>
  <si>
    <t>Hardware News - 29-Sep-2023</t>
  </si>
  <si>
    <t>CC-MVP-35.02</t>
  </si>
  <si>
    <t>CC-MVP-35.03</t>
  </si>
  <si>
    <t>CC-MVP-35.04</t>
  </si>
  <si>
    <t>CC-MVP-35.05</t>
  </si>
  <si>
    <t>Sat Sep 30 2023 17:09:52 GMT+0530 (India Standard Time),Sat Sep 30 2023 18:45:44 GMT+0530 (India Standard Time),</t>
  </si>
  <si>
    <t>Sat Sep 30 2023 18:37:22 GMT+0530 (India Standard Time),Sep 30 2023 19:33:37,</t>
  </si>
  <si>
    <t>CC-MVP-35.06</t>
  </si>
  <si>
    <t>Sat Sep 30 2023 18:45:31 GMT+0530 (India Standard Time),</t>
  </si>
  <si>
    <t>Sep 30 2023 19:33:26,</t>
  </si>
  <si>
    <t>CC-MVP-35.07</t>
  </si>
  <si>
    <t>CC-MVP-53</t>
  </si>
  <si>
    <t>Current Trends - PC Market</t>
  </si>
  <si>
    <t>CC-MVP-53.01</t>
  </si>
  <si>
    <t>CC-MVP-53.02</t>
  </si>
  <si>
    <t>CC-MVP-53.04</t>
  </si>
  <si>
    <t>PM-BNV-01</t>
  </si>
  <si>
    <t>Barkery Ad Copies</t>
  </si>
  <si>
    <t>PM-BNV-01.01</t>
  </si>
  <si>
    <t>Initial Draft</t>
  </si>
  <si>
    <t>https://docs.gThe Barkery by NV - Ad Copies</t>
  </si>
  <si>
    <t>Fri Sep 08 2023 19:30:42 GMT+0530 (India Standard Time),Fri Sep 08 2023 19:43:36 GMT+0530 (India Standard Time),Sat Sep 09 2023 17:02:28 GMT+0530 (India Standard Time),Sat Sep 09 2023 17:11:43 GMT+0530 (India Standard Time),Mon Sep 11 2023 18:43:34 GMT+0530 (India Standard Time),Tue Sep 12 2023 10:29:03 GMT+0530 (India Standard Time),</t>
  </si>
  <si>
    <t>Fri Sep 08 2023 19:39:17 GMT+0530 (India Standard Time),Sat Sep 09 2023 16:38:45 GMT+0530 (India Standard Time),Sat Sep 09 2023 17:06:31 GMT+0530 (India Standard Time),Mon Sep 11 2023 18:19:58 GMT+0530 (India Standard Time),Tue Sep 12 2023 10:07:31 GMT+0530 (India Standard Time),Sep 14 2023 10:44:05,</t>
  </si>
  <si>
    <t>PM-BNV-01.02</t>
  </si>
  <si>
    <t>Thu Sep 14 2023 17:12:06 GMT+0530 (India Standard Time),</t>
  </si>
  <si>
    <t>Sep 16 2023 12:07:42,</t>
  </si>
  <si>
    <t>PM-BNV-01.03</t>
  </si>
  <si>
    <t>PM-BNV-01.04</t>
  </si>
  <si>
    <t>Diabetic Dogs</t>
  </si>
  <si>
    <t>PM-BNV-01.05</t>
  </si>
  <si>
    <t>Renal Dogs</t>
  </si>
  <si>
    <t>PM-BNV-01.06</t>
  </si>
  <si>
    <t>Flea Be Gone</t>
  </si>
  <si>
    <t>PM-BNV-01.07</t>
  </si>
  <si>
    <t>PM-EMR-06</t>
  </si>
  <si>
    <t>Chemical Injection</t>
  </si>
  <si>
    <t>PM-EMR-06.01</t>
  </si>
  <si>
    <t>PM-EMR-06.02</t>
  </si>
  <si>
    <t>PM-EMR-06.03</t>
  </si>
  <si>
    <t>Fri Sep 29 2023 10:48:22 GMT+0530 (India Standard Time),Sat Sep 30 2023 13:18:08 GMT+0530 (India Standard Time),</t>
  </si>
  <si>
    <t>Sat Sep 30 2023 06:43:45 GMT+0530 (India Standard Time),Oct 03 2023 10:46:29,</t>
  </si>
  <si>
    <t>PM-EMR-08</t>
  </si>
  <si>
    <t>Business Cards</t>
  </si>
  <si>
    <t>PM-EMR-08.01</t>
  </si>
  <si>
    <t>Template</t>
  </si>
  <si>
    <t>PM-EMR-08.02</t>
  </si>
  <si>
    <t>PPT Change</t>
  </si>
  <si>
    <t>Thu Sep 28 2023 12:08:06 GMT+0530 (India Standard Time),</t>
  </si>
  <si>
    <t>Sep 28 2023 12:08:11,</t>
  </si>
  <si>
    <t>PM-EMR-08.03</t>
  </si>
  <si>
    <t>Automation</t>
  </si>
  <si>
    <t>Sat Sep 30 2023 11:35:39 GMT+0530 (India Standard Time),</t>
  </si>
  <si>
    <t>Sat Sep 30 2023 17:23:30 GMT+0530 (India Standard Time),</t>
  </si>
  <si>
    <t>PM-EMR-08.04</t>
  </si>
  <si>
    <t>PM-EMR-08.05</t>
  </si>
  <si>
    <t>CC-MVP-55</t>
  </si>
  <si>
    <t>Build Photo - Fractal Ridge</t>
  </si>
  <si>
    <t>CC-MVP-55.01</t>
  </si>
  <si>
    <t>Script + Edit</t>
  </si>
  <si>
    <t>CC-MVP-55.02</t>
  </si>
  <si>
    <t>CC-MVP-55.05</t>
  </si>
  <si>
    <t>Thu Oct 05 2023 09:57:06 GMT+0530 (India Standard Time),</t>
  </si>
  <si>
    <t>Oct 05 2023 09:58:10,</t>
  </si>
  <si>
    <t>CC-MVP-55.07</t>
  </si>
  <si>
    <t>PM-EMR-09</t>
  </si>
  <si>
    <t>Hospitality Screen Content</t>
  </si>
  <si>
    <t>PM-EMR-09.01</t>
  </si>
  <si>
    <t>Re-Timeline</t>
  </si>
  <si>
    <t>PM-EMR-09.02</t>
  </si>
  <si>
    <t>Sat Sep 30 2023 12:10:06 GMT+0530 (India Standard Time),Sat Sep 30 2023 12:43:14 GMT+0530 (India Standard Time),</t>
  </si>
  <si>
    <t>Sat Sep 30 2023 12:36:17 GMT+0530 (India Standard Time),Sep 30 2023 19:33:30,</t>
  </si>
  <si>
    <t>PM-EMR-09.03</t>
  </si>
  <si>
    <t>Sat Sep 30 2023 20:16:31 GMT+0530 (India Standard Time),Tue Oct 03 2023 15:11:24 GMT+0530 (India Standard Time),Tue Oct 03 2023 15:35:35 GMT+0530 (India Standard Time),Tue Oct 03 2023 16:56:08 GMT+0530 (India Standard Time),</t>
  </si>
  <si>
    <t>Tue Oct 03 2023 14:53:33 GMT+0530 (India Standard Time),Tue Oct 03 2023 15:12:58 GMT+0530 (India Standard Time),Tue Oct 03 2023 16:55:55 GMT+0530 (India Standard Time),Oct 06 2023 10:42:12,</t>
  </si>
  <si>
    <t>CC-MVP-37</t>
  </si>
  <si>
    <t>Best GPUs for Unreal Engine</t>
  </si>
  <si>
    <t>CC-MVP-37.01</t>
  </si>
  <si>
    <t>GPUs for Unreal Engine</t>
  </si>
  <si>
    <t>CC-MVP-37.02</t>
  </si>
  <si>
    <t>CC-MVP-37.03</t>
  </si>
  <si>
    <t>CC-MVP-37.04</t>
  </si>
  <si>
    <t>Sat Sep 30 2023 20:31:47 GMT+0530 (India Standard Time),</t>
  </si>
  <si>
    <t>CC-MVP-37.05</t>
  </si>
  <si>
    <t>+ Dipanshu</t>
  </si>
  <si>
    <t>Tue Oct 03 2023 11:38:07 GMT+0530 (India Standard Time),</t>
  </si>
  <si>
    <t>Oct 06 2023 12:44:51,</t>
  </si>
  <si>
    <t>CC-MVP-37.06</t>
  </si>
  <si>
    <t>Thu Oct 05 2023 12:06:03 GMT+0530 (India Standard Time),</t>
  </si>
  <si>
    <t>Oct 06 2023 13:04:43,</t>
  </si>
  <si>
    <t>CC-MVP-37.07</t>
  </si>
  <si>
    <t>CC-MVP-58</t>
  </si>
  <si>
    <t>MVP is on Flipkart</t>
  </si>
  <si>
    <t>CC-MVP-58.01</t>
  </si>
  <si>
    <t xml:space="preserve">TheMVP on Flipkart </t>
  </si>
  <si>
    <t>CC-MVP-58.02</t>
  </si>
  <si>
    <t>CC-MVP-58.03</t>
  </si>
  <si>
    <t>CC-MVP-58.04</t>
  </si>
  <si>
    <t>CC-MVP-58.05</t>
  </si>
  <si>
    <t>Thu Oct 05 2023 17:25:29 GMT+0530 (India Standard Time),</t>
  </si>
  <si>
    <t>Oct 05 2023 19:38:40,</t>
  </si>
  <si>
    <t>CC-MVP-58.06</t>
  </si>
  <si>
    <t>Fri Oct 06 2023 11:41:25 GMT+0530 (India Standard Time),</t>
  </si>
  <si>
    <t>Fri Oct 06 2023 13:04:57 GMT+0530 (India Standard Time),</t>
  </si>
  <si>
    <t>CC-MVP-58.07</t>
  </si>
  <si>
    <t>Placements</t>
  </si>
  <si>
    <t>PM-ART-01</t>
  </si>
  <si>
    <t>PM-ART-01.01</t>
  </si>
  <si>
    <t>PM-ART-01.02</t>
  </si>
  <si>
    <t>Sat Sep 09 2023 10:36:04 GMT+0530 (India Standard Time),Wed Sep 13 2023 13:11:28 GMT+0530 (India Standard Time),</t>
  </si>
  <si>
    <t>Tue Sep 12 2023 11:13:22 GMT+0530 (India Standard Time),Wed Sep 13 2023 15:15:22 GMT+0530 (India Standard Time),</t>
  </si>
  <si>
    <t>PM-ART-01.03</t>
  </si>
  <si>
    <t>Sample 1</t>
  </si>
  <si>
    <t>Thu Sep 14 2023 12:57:04 GMT+0530 (India Standard Time),</t>
  </si>
  <si>
    <t>Sep 15 2023 11:21:53,</t>
  </si>
  <si>
    <t>PM-ART-01.04</t>
  </si>
  <si>
    <t>Sample 2</t>
  </si>
  <si>
    <t>Thu Sep 14 2023 12:57:06 GMT+0530 (India Standard Time),</t>
  </si>
  <si>
    <t>Sep 15 2023 11:21:54,</t>
  </si>
  <si>
    <t>PM-ART-01.05</t>
  </si>
  <si>
    <t>Sample 3</t>
  </si>
  <si>
    <t>Thu Sep 14 2023 12:57:07 GMT+0530 (India Standard Time),</t>
  </si>
  <si>
    <t>Sep 15 2023 11:21:56,</t>
  </si>
  <si>
    <t>PM-ART-01.06</t>
  </si>
  <si>
    <t>CC-MVP-34</t>
  </si>
  <si>
    <t>LGA 1700 - Contact Frame</t>
  </si>
  <si>
    <t>CC-MVP-34.01</t>
  </si>
  <si>
    <t>Mon Sep 25 2023 11:08:11 GMT+0530 (India Standard Time),</t>
  </si>
  <si>
    <t>Oct 06 2023 17:47:19,</t>
  </si>
  <si>
    <t>CC-MVP-34.02</t>
  </si>
  <si>
    <t>CC-MVP-34.03</t>
  </si>
  <si>
    <t>CC-MVP-34.04</t>
  </si>
  <si>
    <t>Sat Oct 07 2023 14:19:09 GMT+0530 (India Standard Time),</t>
  </si>
  <si>
    <t>Sat Oct 07 2023 15:01:23 GMT+0530 (India Standard Time),</t>
  </si>
  <si>
    <t>CC-MVP-34.05</t>
  </si>
  <si>
    <t>Sat Oct 07 2023 19:49:44 GMT+0530 (India Standard Time),</t>
  </si>
  <si>
    <t>Oct 07 2023 20:27:12,</t>
  </si>
  <si>
    <t>CC-MVP-34.06</t>
  </si>
  <si>
    <t>Sat Oct 07 2023 17:00:48 GMT+0530 (India Standard Time),Sat Oct 07 2023 18:10:54 GMT+0530 (India Standard Time),</t>
  </si>
  <si>
    <t>Sat Oct 07 2023 18:06:29 GMT+0530 (India Standard Time),Oct 07 2023 19:49:47,</t>
  </si>
  <si>
    <t>CC-MVP-34.07</t>
  </si>
  <si>
    <t>CC-MVP-52</t>
  </si>
  <si>
    <t>CC-MVP-52.01</t>
  </si>
  <si>
    <t>CC-MVP-52.03</t>
  </si>
  <si>
    <t>CC-CTH-03</t>
  </si>
  <si>
    <t>After-Sales Support</t>
  </si>
  <si>
    <t>CC-CTH-03.01</t>
  </si>
  <si>
    <t>Colorful - After Sales Support</t>
  </si>
  <si>
    <t>CC-CTH-03.03</t>
  </si>
  <si>
    <t>Sat Sep 30 2023 18:44:59 GMT+0530 (India Standard Time),Mon Oct 09 2023 10:40:14 GMT+0530 (India Standard Time),Mon Oct 09 2023 11:08:57 GMT+0530 (India Standard Time),</t>
  </si>
  <si>
    <t>Mon Oct 09 2023 10:15:40 GMT+0530 (India Standard Time),Mon Oct 09 2023 10:52:36 GMT+0530 (India Standard Time),Oct 09 2023 22:38:23,</t>
  </si>
  <si>
    <t>CC-CTH-03.04</t>
  </si>
  <si>
    <t>Sat Sep 30 2023 18:09:26 GMT+0530 (India Standard Time),Tue Oct 03 2023 14:44:29 GMT+0530 (India Standard Time),</t>
  </si>
  <si>
    <t>Tue Oct 03 2023 14:39:08 GMT+0530 (India Standard Time),Mon Oct 09 2023 22:38:28 GMT+0530 (India Standard Time),</t>
  </si>
  <si>
    <t>CC-MVP-61</t>
  </si>
  <si>
    <t>AutoCAD Downedit</t>
  </si>
  <si>
    <t>CC-MVP-61.05</t>
  </si>
  <si>
    <t>Fri Oct 06 2023 15:53:02 GMT+0530 (India Standard Time),</t>
  </si>
  <si>
    <t>Oct 06 2023 15:57:45,</t>
  </si>
  <si>
    <t>CC-MVP-61.06</t>
  </si>
  <si>
    <t>CC-MVP-61.07</t>
  </si>
  <si>
    <t>CC-MVP-56</t>
  </si>
  <si>
    <t>Build Photo - 25092304 - Cougar</t>
  </si>
  <si>
    <t>CC-MVP-56.01</t>
  </si>
  <si>
    <t>CC-MVP-56.02</t>
  </si>
  <si>
    <t>CC-MVP-56.03</t>
  </si>
  <si>
    <t>Fri Oct 06 2023 18:30:31 GMT+0530 (India Standard Time),Mon Oct 09 2023 11:18:09 GMT+0530 (India Standard Time),Tue Oct 10 2023 17:04:22 GMT+0530 (India Standard Time),</t>
  </si>
  <si>
    <t>Mon Oct 09 2023 11:17:46 GMT+0530 (India Standard Time),Tue Oct 10 2023 16:06:32 GMT+0530 (India Standard Time),Oct 10 2023 22:21:50,</t>
  </si>
  <si>
    <t>CC-MVP-56.04</t>
  </si>
  <si>
    <t>CC-MVP-38</t>
  </si>
  <si>
    <t>DLSS 3.5 Explained</t>
  </si>
  <si>
    <t>CC-MVP-38.01</t>
  </si>
  <si>
    <t>Tue Oct 03 2023 12:16:05 GMT+0530 (India Standard Time),Fri Oct 06 2023 13:40:10 GMT+0530 (India Standard Time),</t>
  </si>
  <si>
    <t>Fri Oct 06 2023 12:31:32 GMT+0530 (India Standard Time),Oct 06 2023 13:57:47,</t>
  </si>
  <si>
    <t>CC-MVP-38.02</t>
  </si>
  <si>
    <t>Script Finalise</t>
  </si>
  <si>
    <t>Mon Oct 09 2023 19:31:19 GMT+0530 (India Standard Time),</t>
  </si>
  <si>
    <t>Oct 11 2023 12:04:38,</t>
  </si>
  <si>
    <t>CC-MVP-38.03</t>
  </si>
  <si>
    <t>CC-MVP-38.05</t>
  </si>
  <si>
    <t>Wed Oct 11 2023 16:58:52 GMT+0530 (India Standard Time),Wed Oct 11 2023 22:05:17 GMT+0530 (India Standard Time),Thu Oct 12 2023 16:26:40 GMT+0530 (India Standard Time),</t>
  </si>
  <si>
    <t>Wed Oct 11 2023 17:51:34 GMT+0530 (India Standard Time),Thu Oct 12 2023 15:22:37 GMT+0530 (India Standard Time),Oct 12 2023 20:01:03,</t>
  </si>
  <si>
    <t>CC-MVP-38.06</t>
  </si>
  <si>
    <t>Fri Oct 13 2023 13:13:10 GMT+0530 (India Standard Time),</t>
  </si>
  <si>
    <t>Oct 13 2023 13:18:35,</t>
  </si>
  <si>
    <t>CC-MVP-38.07</t>
  </si>
  <si>
    <t>Fri Oct 13 2023 13:18:33 GMT+0530 (India Standard Time),</t>
  </si>
  <si>
    <t>Oct 13 2023 13:18:41,</t>
  </si>
  <si>
    <t>CC-CTH-04</t>
  </si>
  <si>
    <t>Setup for Streaming</t>
  </si>
  <si>
    <t>CC-CTH-04.01</t>
  </si>
  <si>
    <t>CC-CTH-04.02</t>
  </si>
  <si>
    <t>Sat Oct 07 2023 18:50:41 GMT+0530 (India Standard Time),</t>
  </si>
  <si>
    <t>Sat Oct 07 2023 19:44:10 GMT+0530 (India Standard Time),</t>
  </si>
  <si>
    <t>CC-CTH-04.04</t>
  </si>
  <si>
    <t>CC-CTH-04.05</t>
  </si>
  <si>
    <t>CC-CTH-04.07</t>
  </si>
  <si>
    <t>CC-MVP-32</t>
  </si>
  <si>
    <t xml:space="preserve">FSR 3 ft. Asrock 7800XT </t>
  </si>
  <si>
    <t>CC-MVP-32.01</t>
  </si>
  <si>
    <t>Asrock 7800XT</t>
  </si>
  <si>
    <t>CC-MVP-32.02</t>
  </si>
  <si>
    <t>Thu Oct 05 2023 18:42:47 GMT+0530 (India Standard Time),</t>
  </si>
  <si>
    <t>Oct 07 2023 12:13:16,</t>
  </si>
  <si>
    <t>CC-MVP-32.03</t>
  </si>
  <si>
    <t>CC-MVP-32.04</t>
  </si>
  <si>
    <t>Mon Oct 09 2023 15:04:00 GMT+0530 (India Standard Time),Mon Oct 09 2023 15:05:31 GMT+0530 (India Standard Time),Tue Oct 10 2023 11:18:44 GMT+0530 (India Standard Time),Tue Oct 10 2023 14:44:57 GMT+0530 (India Standard Time),Tue Oct 10 2023 17:56:13 GMT+0530 (India Standard Time),Thu Oct 12 2023 15:02:44 GMT+0530 (India Standard Time),</t>
  </si>
  <si>
    <t>Mon Oct 09 2023 15:04:56 GMT+0530 (India Standard Time),Tue Oct 10 2023 10:33:29 GMT+0530 (India Standard Time),Tue Oct 10 2023 13:44:06 GMT+0530 (India Standard Time),Tue Oct 10 2023 15:13:47 GMT+0530 (India Standard Time),Thu Oct 12 2023 12:40:51 GMT+0530 (India Standard Time),Oct 12 2023 17:20:54,</t>
  </si>
  <si>
    <t>CC-MVP-32.05</t>
  </si>
  <si>
    <t>Aman</t>
  </si>
  <si>
    <t>CC-MVP-32.07</t>
  </si>
  <si>
    <t>CC-MVP-62</t>
  </si>
  <si>
    <t>Build Photo - Flipkart Build i9 + RTX 4090</t>
  </si>
  <si>
    <t>CC-MVP-62.01</t>
  </si>
  <si>
    <t>CC-MVP-62.02</t>
  </si>
  <si>
    <t>Wed Oct 11 2023 10:29:50 GMT+0530 (India Standard Time),Wed Oct 11 2023 11:48:38 GMT+0530 (India Standard Time),</t>
  </si>
  <si>
    <t>Wed Oct 11 2023 10:34:51 GMT+0530 (India Standard Time),Wed Oct 11 2023 16:56:51 GMT+0530 (India Standard Time),</t>
  </si>
  <si>
    <t>CC-MVP-62.03</t>
  </si>
  <si>
    <t>CC-MVP-62.04</t>
  </si>
  <si>
    <t>Setup NAS for your Team</t>
  </si>
  <si>
    <t>Build a PC for VFX Workflow</t>
  </si>
  <si>
    <t>Mon Oct 09 2023 20:43:59 GMT+0530 (India Standard Time),</t>
  </si>
  <si>
    <t>Oct 10 2023 15:02:30,</t>
  </si>
  <si>
    <t>CC-MVP-31.05</t>
  </si>
  <si>
    <t>CC-MVP-31.06</t>
  </si>
  <si>
    <t>CC-MVP-31.07</t>
  </si>
  <si>
    <t>CC-MVP-59</t>
  </si>
  <si>
    <t>Arm vs x86 Architecture</t>
  </si>
  <si>
    <t>CC-MVP-59.01</t>
  </si>
  <si>
    <t xml:space="preserve">What is an ARM processor?
How does a relatively slim laptop like the Apple Silicon powered laptops - provide hours and hours of battery life - there is ONE answer - ARM. ARM aka Advanced RISC Machines. This architecture is responsible for all day battery life on mobile phones, laptops, tablets and embedded systems. Traditionally known for lower costs, lower power consumption and minimal heat generation - the misconception remained that these particular processors architecture is meant for lower power devices - cut to 2023 - things have changed and how! 
Attempting to explain this without getting technical will be tough - To contextualise this - there are two main architectures with respect to mainstream computer processing (laptop and desktop) - namely x86 and ARM. 
X86 processors are the most common and prevalent ones available in the market - to put it simply - hardware components within an x86 framework function independently ( gpu, memory storage and the CPU itself). Most components will have separate controllers - these can be changed or upgraded without affecting overall functionality. 
When it comes to the ARM architecture- it doesn’t need to have a separate “CPU” - the processing unit and all other controllers are on the same physical level - that is like an integrated circuit. Unlike x86 based computers - these ARM based chips aren’t interchangeable and are designed to be VERY application specific - what you would call a system on a chip (SOC). 
With me so far ? So x86 is more versatile, modular and vastly superior in terms of upgradability - whereas ARM is kind of limiting your “options” so to speak. So the natural conclusion that would pop in your head would be - x86 rocks &amp; ARM is “meh” - not quiet. Think of it this way - would it make more sense for a single person to travel a 2 km distance in a petrol guzzling 4x4 SUV or just take your motorbike.? Your answer to that question is what raised the need for reduced instruction set computing. You don’t need a shotgun to kill a fly. 
So - the x86 processors come with more transistors, are larger, run hotter and are typically sensible in settings where you don’t care about the power budget being spent. ARM processors makes sense when you’re constantly looking over your back to see the power draw and figure out the most sensible instruction to give to the processor to accomplish its task as efficiently as possible. That’s not to say ARM processors can’t do high performance compute - they kind of need to be re-purposed to do the task which needs high performance compute. Case in point is that - each ARM design is unique - unlike x86 processors ( trust me - regular desktop motherboards need a god damn overhaul). ARM doesn’t even sell processors - they just license you a chip design allowing you to manufacture it yourself 
So coming back to our premise - Why did Apple ditch Intel processors for their own ARM based “Apple Silicon”. Way back in 1990 - Apple was one of the founding partners for ARM - they even tried using it in products like “Newton” in 1993 ( first of its kind personal digital assistant). Apple struck gold when they started shipping iPods in 2001 - based on guess what - an ARM based processor. A music player doesn’t need a super powerful processor - it needs a processor that just sips power and does pre-defined tasks. Years of improvements and innovation led to M1 based chips - which apart from having “benefits” save them a ton of money. 
So what is better here - ARM or x86 - the answer to that question my friend - remains - it depends on what you are going to use the processor for. So what do you think? Drop a comment let's keep the conversation flowing. </t>
  </si>
  <si>
    <t>CC-MVP-59.02</t>
  </si>
  <si>
    <t>CC-MVP-63</t>
  </si>
  <si>
    <t>FSR 3 Downedit</t>
  </si>
  <si>
    <t>CC-MVP-63.02</t>
  </si>
  <si>
    <t>CC-MVP-63.03</t>
  </si>
  <si>
    <t>Script + Editor Notes</t>
  </si>
  <si>
    <t>CC-MVP-63.04</t>
  </si>
  <si>
    <t>Sat Oct 14 2023 11:29:43 GMT+0530 (India Standard Time),Sat Oct 14 2023 19:10:25 GMT+0530 (India Standard Time),</t>
  </si>
  <si>
    <t>Sat Oct 14 2023 19:10:20 GMT+0530 (India Standard Time),Sat Oct 14 2023 19:16:35 GMT+0530 (India Standard Time),</t>
  </si>
  <si>
    <t>CC-MVP-63.05</t>
  </si>
  <si>
    <t>Sat Oct 14 2023 17:17:48 GMT+0530 (India Standard Time),</t>
  </si>
  <si>
    <t>Oct 14 2023 19:21:35,</t>
  </si>
  <si>
    <t>CC-MVP-63.06</t>
  </si>
  <si>
    <t>CC-MVP-54</t>
  </si>
  <si>
    <t>Build Photo H9 White</t>
  </si>
  <si>
    <t>CC-MVP-54.01</t>
  </si>
  <si>
    <t>Mon Oct 16 2023 13:28:02 GMT+0530 (India Standard Time),</t>
  </si>
  <si>
    <t>Oct 16 2023 13:28:10,</t>
  </si>
  <si>
    <t>CC-MVP-54.02</t>
  </si>
  <si>
    <t>CC-MVP-54.03</t>
  </si>
  <si>
    <t>Mon Oct 16 2023 13:28:27 GMT+0530 (India Standard Time),</t>
  </si>
  <si>
    <t>Mon Oct 16 2023 14:46:36 GMT+0530 (India Standard Time),</t>
  </si>
  <si>
    <t>CC-MVP-54.04</t>
  </si>
  <si>
    <t>CC-CTH-08</t>
  </si>
  <si>
    <t>iGame RTX 4080 Ultra OC-V - ASMR Unboxing</t>
  </si>
  <si>
    <t>CC-CTH-05.01</t>
  </si>
  <si>
    <t>Title: Check out this iGame RTX 4080 Ultra OC-V packed in this amazing Sneaker PC
#custompc #pcmod #india #pcgaming
Colorful just collaborated with CoolerMaster - to create this amazing Sneaker PC!
-- B-Roll --
Hope you enjoyed the video, Check out Colorful GPUs at Vishal Peripherals</t>
  </si>
  <si>
    <t>CC-CTH-05.02</t>
  </si>
  <si>
    <t>CC-CTH-05.03</t>
  </si>
  <si>
    <t>Thu Oct 12 2023 19:54:50 GMT+0530 (India Standard Time),</t>
  </si>
  <si>
    <t>Oct 14 2023 11:59:23,</t>
  </si>
  <si>
    <t>CC-CTH-05.04</t>
  </si>
  <si>
    <t>CC-CTH-05.05</t>
  </si>
  <si>
    <t>CC-CTH-05.06</t>
  </si>
  <si>
    <t>CC-MVP-41</t>
  </si>
  <si>
    <t>How to update GPU drivers</t>
  </si>
  <si>
    <t>CC-MVP-41.01</t>
  </si>
  <si>
    <t>How to update GPU Drivers</t>
  </si>
  <si>
    <t>Mon Oct 16 2023 16:59:31 GMT+0530 (India Standard Time),</t>
  </si>
  <si>
    <t>Oct 17 2023 09:48:10,</t>
  </si>
  <si>
    <t>CC-MVP-41.02</t>
  </si>
  <si>
    <t>CC-MVP-41.05</t>
  </si>
  <si>
    <t>Mon Oct 16 2023 20:41:30 GMT+0530 (India Standard Time),</t>
  </si>
  <si>
    <t>Oct 17 2023 09:48:22,</t>
  </si>
  <si>
    <t>CC-MVP-41.06</t>
  </si>
  <si>
    <t>Tue Oct 17 2023 12:53:37 GMT+0530 (India Standard Time),</t>
  </si>
  <si>
    <t>Oct 17 2023 13:27:18,</t>
  </si>
  <si>
    <t>CC-MVP-41.07</t>
  </si>
  <si>
    <t>CC-INN-02</t>
  </si>
  <si>
    <t>RTX 4070 X3 OC</t>
  </si>
  <si>
    <t>CC-INN-02.01</t>
  </si>
  <si>
    <t>CC-INN-04</t>
  </si>
  <si>
    <t>Influencer Reviews</t>
  </si>
  <si>
    <t>CC-INN-04.04</t>
  </si>
  <si>
    <t>Wed Oct 18 2023 11:24:33 GMT+0530 (India Standard Time),Wed Oct 18 2023 14:19:28 GMT+0530 (India Standard Time),Wed Oct 18 2023 15:27:05 GMT+0530 (India Standard Time),Wed Oct 18 2023 15:56:16 GMT+0530 (India Standard Time),</t>
  </si>
  <si>
    <t>Wed Oct 18 2023 13:07:35 GMT+0530 (India Standard Time),Wed Oct 18 2023 15:21:59 GMT+0530 (India Standard Time),Wed Oct 18 2023 15:37:22 GMT+0530 (India Standard Time),Oct 18 2023 19:58:14,</t>
  </si>
  <si>
    <t>CC-INN-04.05</t>
  </si>
  <si>
    <t>CC-MVP-65</t>
  </si>
  <si>
    <t>Custom PC for generative AI</t>
  </si>
  <si>
    <t>CC-MVP-65.01</t>
  </si>
  <si>
    <t>Custom PC for Generative AI</t>
  </si>
  <si>
    <t>Tue Oct 17 2023 10:28:06 GMT+0530 (India Standard Time),</t>
  </si>
  <si>
    <t>Oct 17 2023 14:05:27,</t>
  </si>
  <si>
    <t>CC-MVP-65.02</t>
  </si>
  <si>
    <t>Tue Oct 17 2023 11:14:23 GMT+0530 (India Standard Time),</t>
  </si>
  <si>
    <t>Tue Oct 17 2023 17:38:26 GMT+0530 (India Standard Time),</t>
  </si>
  <si>
    <t>CC-MVP-65.04</t>
  </si>
  <si>
    <t>Tue Oct 17 2023 13:55:36 GMT+0530 (India Standard Time),Tue Oct 17 2023 15:52:38 GMT+0530 (India Standard Time),Tue Oct 17 2023 19:33:46 GMT+0530 (India Standard Time),</t>
  </si>
  <si>
    <t>Tue Oct 17 2023 15:52:17 GMT+0530 (India Standard Time),Tue Oct 17 2023 19:30:23 GMT+0530 (India Standard Time),Oct 17 2023 23:45:50,</t>
  </si>
  <si>
    <t>CC-MVP-65.05</t>
  </si>
  <si>
    <t>Tue Oct 17 2023 19:50:55 GMT+0530 (India Standard Time),</t>
  </si>
  <si>
    <t>Oct 19 2023 10:06:51,</t>
  </si>
  <si>
    <t>CC-MVP-65.06</t>
  </si>
  <si>
    <t>Wed Oct 18 2023 18:56:29 GMT+0530 (India Standard Time),</t>
  </si>
  <si>
    <t>Oct 18 2023 20:11:50,</t>
  </si>
  <si>
    <t>CC-MVP-65.07</t>
  </si>
  <si>
    <t>CC-INN-03</t>
  </si>
  <si>
    <t>Inno3D GPU Build Photo</t>
  </si>
  <si>
    <t>CC-INN-03.02</t>
  </si>
  <si>
    <t>CC-INN-03.03</t>
  </si>
  <si>
    <t>Thu Oct 19 2023 11:38:02 GMT+0530 (India Standard Time),</t>
  </si>
  <si>
    <t>Oct 19 2023 17:27:48,</t>
  </si>
  <si>
    <t>CC-INN-03.04</t>
  </si>
  <si>
    <t>CC-MVP-74</t>
  </si>
  <si>
    <t>Dillo vich tere liye</t>
  </si>
  <si>
    <t>CC-MVP-74.01</t>
  </si>
  <si>
    <t>Sat Oct 21 2023 15:25:48 GMT+0530 (India Standard Time),</t>
  </si>
  <si>
    <t>Sat Oct 21 2023 16:00:37 GMT+0530 (India Standard Time),</t>
  </si>
  <si>
    <t>CC-MVP-74.02</t>
  </si>
  <si>
    <t>CC-MVP-73</t>
  </si>
  <si>
    <t>Intel 14th Gen Launch</t>
  </si>
  <si>
    <t>CC-MVP-73.01</t>
  </si>
  <si>
    <t>Intel 14th Gen Launch - 14900K, 14700K, 14600K</t>
  </si>
  <si>
    <t>Wed Oct 18 2023 17:59:50 GMT+0530 (India Standard Time),</t>
  </si>
  <si>
    <t>Oct 19 2023 10:36:31,</t>
  </si>
  <si>
    <t>CC-MVP-73.02</t>
  </si>
  <si>
    <t>Thu Oct 19 2023 15:02:22 GMT+0530 (India Standard Time),</t>
  </si>
  <si>
    <t>Oct 19 2023 15:26:17,</t>
  </si>
  <si>
    <t>CC-MVP-73.04</t>
  </si>
  <si>
    <t>CC-MVP-73.05</t>
  </si>
  <si>
    <t>Fri Oct 20 2023 11:28:52 GMT+0530 (India Standard Time),</t>
  </si>
  <si>
    <t>Oct 20 2023 23:48:07,</t>
  </si>
  <si>
    <t>CC-MVP-73.06</t>
  </si>
  <si>
    <t>Fri Oct 20 2023 20:04:45 GMT+0530 (India Standard Time),</t>
  </si>
  <si>
    <t>Oct 20 2023 20:16:47,</t>
  </si>
  <si>
    <t>CC-MVP-73.07</t>
  </si>
  <si>
    <t>CC-INN-06</t>
  </si>
  <si>
    <t>CC-INN-06.01</t>
  </si>
  <si>
    <t>CC-INN-06.03</t>
  </si>
  <si>
    <t>Sat Oct 21 2023 18:12:54 GMT+0530 (India Standard Time),</t>
  </si>
  <si>
    <t>Oct 25 2023 10:30:37,</t>
  </si>
  <si>
    <t>CC-INN-06.04</t>
  </si>
  <si>
    <t>CC-MVP-26</t>
  </si>
  <si>
    <t>CC-MVP-26.01</t>
  </si>
  <si>
    <t>Arm vs x86 Architechture</t>
  </si>
  <si>
    <t>CC-MVP-26.02</t>
  </si>
  <si>
    <t>Tue Oct 17 2023 16:03:06 GMT+0530 (India Standard Time),</t>
  </si>
  <si>
    <t>Oct 17 2023 17:25:10,</t>
  </si>
  <si>
    <t>CC-MVP-26.04</t>
  </si>
  <si>
    <t>Tue Oct 17 2023 14:59:56 GMT+0530 (India Standard Time),Tue Oct 17 2023 15:52:11 GMT+0530 (India Standard Time),Wed Oct 18 2023 00:56:23 GMT+0530 (India Standard Time),Wed Oct 18 2023 14:15:11 GMT+0530 (India Standard Time),</t>
  </si>
  <si>
    <t>Tue Oct 17 2023 15:23:51 GMT+0530 (India Standard Time),Tue Oct 17 2023 16:05:05 GMT+0530 (India Standard Time),Wed Oct 18 2023 14:03:53 GMT+0530 (India Standard Time),Wed Oct 18 2023 15:21:48 GMT+0530 (India Standard Time),</t>
  </si>
  <si>
    <t>CC-MVP-26.05</t>
  </si>
  <si>
    <t>Fri Oct 20 2023 09:35:15 GMT+0530 (India Standard Time),</t>
  </si>
  <si>
    <t>Thu Oct 26 2023 21:04:30 GMT+0530 (India Standard Time),</t>
  </si>
  <si>
    <t>CC-MVP-26.06</t>
  </si>
  <si>
    <t>CC-MVP-26.07</t>
  </si>
  <si>
    <t>CC-INN-08</t>
  </si>
  <si>
    <t>CC-INN-08.01</t>
  </si>
  <si>
    <t>https://www.instagram.com/p/Cxchi8Mxq95/?img_index=1</t>
  </si>
  <si>
    <t>CC-INN-08.02</t>
  </si>
  <si>
    <t>CC-MVP-45</t>
  </si>
  <si>
    <t>Build Photo - Fractal Terra</t>
  </si>
  <si>
    <t>CC-MVP-45.01</t>
  </si>
  <si>
    <t>Fri Oct 27 2023 10:40:58 GMT+0530 (India Standard Time),</t>
  </si>
  <si>
    <t>Oct 27 2023 10:50:38,</t>
  </si>
  <si>
    <t>CC-MVP-45.02</t>
  </si>
  <si>
    <t>CC-MVP-45.03</t>
  </si>
  <si>
    <t>CC-MVP-45.04</t>
  </si>
  <si>
    <t>CC-CTH-09</t>
  </si>
  <si>
    <t>RTX 4060 Performance</t>
  </si>
  <si>
    <t>CC-CTH-09.01</t>
  </si>
  <si>
    <t>The RTX 4060 is finally here</t>
  </si>
  <si>
    <t>CC-CTH-09.02</t>
  </si>
  <si>
    <t>Shoot Notes</t>
  </si>
  <si>
    <t>Fri Oct 20 2023 16:23:14 GMT+0530 (India Standard Time),</t>
  </si>
  <si>
    <t>Sat Oct 21 2023 15:10:43 GMT+0530 (India Standard Time),</t>
  </si>
  <si>
    <t>CC-CTH-09.04</t>
  </si>
  <si>
    <t>CC-INN-10</t>
  </si>
  <si>
    <t>CC-INN-09</t>
  </si>
  <si>
    <t>GeForce RTX Laptops for STEM Students - YouTube</t>
  </si>
  <si>
    <t>Fri Oct 27 2023 14:06:13 GMT+0530 (India Standard Time),Fri Oct 27 2023 16:12:11 GMT+0530 (India Standard Time),Fri Oct 27 2023 16:41:11 GMT+0530 (India Standard Time),</t>
  </si>
  <si>
    <t>Fri Oct 27 2023 14:52:00 GMT+0530 (India Standard Time),Fri Oct 27 2023 16:21:16 GMT+0530 (India Standard Time),Oct 27 2023 18:39:01,</t>
  </si>
  <si>
    <t>CC-INN-11</t>
  </si>
  <si>
    <t>Fri Oct 27 2023 18:40:39 GMT+0530 (India Standard Time),</t>
  </si>
  <si>
    <t>Fri Oct 27 2023 18:57:48 GMT+0530 (India Standard Time),</t>
  </si>
  <si>
    <t>CC-MVP-60</t>
  </si>
  <si>
    <t>CC-MVP-60.01</t>
  </si>
  <si>
    <t>Fri Oct 20 2023 14:10:00 GMT+0530 (India Standard Time),</t>
  </si>
  <si>
    <t>Wed Oct 25 2023 14:40:47 GMT+0530 (India Standard Time),</t>
  </si>
  <si>
    <t>CC-MVP-60.02</t>
  </si>
  <si>
    <t>Edit &amp; Upload</t>
  </si>
  <si>
    <t>CC-CTH-08.01</t>
  </si>
  <si>
    <t>Untitled document</t>
  </si>
  <si>
    <t>Fri Oct 13 2023 15:42:12 GMT+0530 (India Standard Time),</t>
  </si>
  <si>
    <t>Oct 21 2023 14:56:31,</t>
  </si>
  <si>
    <t>CC-CTH-08.02</t>
  </si>
  <si>
    <t>Fri Oct 13 2023 15:55:16 GMT+0530 (India Standard Time),</t>
  </si>
  <si>
    <t>Oct 14 2023 15:28:00,</t>
  </si>
  <si>
    <t>CC-CTH-08.05</t>
  </si>
  <si>
    <t>Mon Oct 16 2023 15:47:42 GMT+0530 (India Standard Time),Fri Oct 20 2023 13:00:27 GMT+0530 (India Standard Time),</t>
  </si>
  <si>
    <t>Fri Oct 20 2023 12:35:17 GMT+0530 (India Standard Time),Oct 26 2023 11:26:37,</t>
  </si>
  <si>
    <t>CC-CTH-08.06</t>
  </si>
  <si>
    <t>Thu Oct 26 2023 14:18:30 GMT+0530 (India Standard Time),</t>
  </si>
  <si>
    <t>Oct 27 2023 10:17:07,</t>
  </si>
  <si>
    <t>CC-CTH-08.07</t>
  </si>
  <si>
    <t>CC-CTH-07</t>
  </si>
  <si>
    <t>GPU Recomm. for Alanwake II</t>
  </si>
  <si>
    <t>CC-CTH-07.01</t>
  </si>
  <si>
    <t>Thu Oct 19 2023 19:27:16 GMT+0530 (India Standard Time),</t>
  </si>
  <si>
    <t>Thu Oct 19 2023 19:44:41 GMT+0530 (India Standard Time),</t>
  </si>
  <si>
    <t>CC-CTH-07.04</t>
  </si>
  <si>
    <t>CC-CTH-07.06</t>
  </si>
  <si>
    <t>Fri Oct 20 2023 14:01:09 GMT+0530 (India Standard Time),</t>
  </si>
  <si>
    <t>Fri Oct 20 2023 14:33:39 GMT+0530 (India Standard Time),</t>
  </si>
  <si>
    <t>CC-CTH-07.07</t>
  </si>
  <si>
    <t>Change Script</t>
  </si>
  <si>
    <t>CC-CTH-07.08</t>
  </si>
  <si>
    <t>Re-Edit</t>
  </si>
  <si>
    <t>CC-CTH-07.09</t>
  </si>
  <si>
    <t>CC-MVP-75</t>
  </si>
  <si>
    <t>G502 Reel</t>
  </si>
  <si>
    <t>CC-MVP-75.01</t>
  </si>
  <si>
    <t>CTA Script</t>
  </si>
  <si>
    <t>CC-MVP-75.04</t>
  </si>
  <si>
    <t>CC-MVP-75.05</t>
  </si>
  <si>
    <t>CC-MVP-75.06</t>
  </si>
  <si>
    <t>CC-MVP-75.07</t>
  </si>
  <si>
    <t>CC-INN-12</t>
  </si>
  <si>
    <t>This or That, Cyberpunk</t>
  </si>
  <si>
    <t>CC-INN-12.03</t>
  </si>
  <si>
    <t>Sat Oct 28 2023 14:31:04 GMT+0530 (India Standard Time),Sat Oct 28 2023 16:05:18 GMT+0530 (India Standard Time),</t>
  </si>
  <si>
    <t>Sat Oct 28 2023 15:53:44 GMT+0530 (India Standard Time),Oct 30 2023 10:12:41,</t>
  </si>
  <si>
    <t>CC-INN-12.04</t>
  </si>
  <si>
    <t>CC-MVP-68</t>
  </si>
  <si>
    <t>Client Reviews Pt. 2</t>
  </si>
  <si>
    <t>CC-MVP-68.05</t>
  </si>
  <si>
    <t>Sat Oct 21 2023 10:23:11 GMT+0530 (India Standard Time),Fri Oct 27 2023 15:56:00 GMT+0530 (India Standard Time),Sat Oct 28 2023 10:20:00 GMT+0530 (India Standard Time),Sat Oct 28 2023 13:11:32 GMT+0530 (India Standard Time),Sat Oct 28 2023 14:55:09 GMT+0530 (India Standard Time),Sat Oct 28 2023 17:15:49 GMT+0530 (India Standard Time),Mon Oct 30 2023 12:21:31 GMT+0530 (India Standard Time),Mon Oct 30 2023 14:27:31 GMT+0530 (India Standard Time),</t>
  </si>
  <si>
    <t>Fri Oct 27 2023 15:14:15 GMT+0530 (India Standard Time),Fri Oct 27 2023 16:36:13 GMT+0530 (India Standard Time),Sat Oct 28 2023 12:09:22 GMT+0530 (India Standard Time),Sat Oct 28 2023 13:59:01 GMT+0530 (India Standard Time),Sat Oct 28 2023 16:55:59 GMT+0530 (India Standard Time),Mon Oct 30 2023 10:23:30 GMT+0530 (India Standard Time),Mon Oct 30 2023 12:33:57 GMT+0530 (India Standard Time),Oct 30 2023 19:28:41,</t>
  </si>
  <si>
    <t>CC-MVP-68.06</t>
  </si>
  <si>
    <t>Thumbnail + Captions</t>
  </si>
  <si>
    <t>CC-MVP-68.07</t>
  </si>
  <si>
    <t>CC-MVP-79</t>
  </si>
  <si>
    <t>Superlight X - Logi Offer</t>
  </si>
  <si>
    <t>CC-MVP-79.01</t>
  </si>
  <si>
    <t>Mon Oct 30 2023 12:11:37 GMT+0530 (India Standard Time),</t>
  </si>
  <si>
    <t>Oct 30 2023 12:16:53,</t>
  </si>
  <si>
    <t>CC-MVP-79.02</t>
  </si>
  <si>
    <t>Outro</t>
  </si>
  <si>
    <t>https://www.instagram.com/reel/CwpjX7dB_XB/</t>
  </si>
  <si>
    <t>Mon Oct 30 2023 19:27:18 GMT+0530 (India Standard Time),</t>
  </si>
  <si>
    <t>Oct 30 2023 19:30:15,</t>
  </si>
  <si>
    <t>CC-MVP-79.04</t>
  </si>
  <si>
    <t>PM-MVP-01</t>
  </si>
  <si>
    <t>Oct-AdHoc</t>
  </si>
  <si>
    <t>PM-MVP-01.01</t>
  </si>
  <si>
    <t>PM-MVP-01.02</t>
  </si>
  <si>
    <t>Flipkart Catalog Shoot</t>
  </si>
  <si>
    <t>Tue Oct 10 2023 11:29:23 GMT+0530 (India Standard Time),Tue Oct 10 2023 13:06:03 GMT+0530 (India Standard Time),Tue Oct 10 2023 16:06:24 GMT+0530 (India Standard Time),Thu Oct 12 2023 10:54:14 GMT+0530 (India Standard Time),Thu Oct 12 2023 14:43:39 GMT+0530 (India Standard Time),</t>
  </si>
  <si>
    <t>Tue Oct 10 2023 11:50:00 GMT+0530 (India Standard Time),Tue Oct 10 2023 15:09:35 GMT+0530 (India Standard Time),Thu Oct 12 2023 10:21:11 GMT+0530 (India Standard Time),Thu Oct 12 2023 12:27:30 GMT+0530 (India Standard Time),Thu Oct 12 2023 15:42:28 GMT+0530 (India Standard Time),</t>
  </si>
  <si>
    <t>PM-MVP-01.03</t>
  </si>
  <si>
    <t>Zotac Landing Page</t>
  </si>
  <si>
    <t>Partner Landing Page</t>
  </si>
  <si>
    <t>Wed Oct 11 2023 13:26:59 GMT+0530 (India Standard Time),Wed Oct 18 2023 11:50:40 GMT+0530 (India Standard Time),Fri Oct 20 2023 17:07:39 GMT+0530 (India Standard Time),</t>
  </si>
  <si>
    <t>Wed Oct 18 2023 11:24:51 GMT+0530 (India Standard Time),Fri Oct 20 2023 16:53:11 GMT+0530 (India Standard Time),Oct 21 2023 13:19:52,</t>
  </si>
  <si>
    <t>PM-MVP-01.04</t>
  </si>
  <si>
    <t>Flipkart Catalog Format</t>
  </si>
  <si>
    <t>Thu Oct 11 2023 20:13:27 GMT+0530 (India Standard Time),Thu Oct 12 2023 13:09:08 GMT+0530 (India Standard Time),Thu Oct 12 2023 16:09:51 GMT+0530 (India Standard Time),</t>
  </si>
  <si>
    <t>Thu Oct 12 2023 10:21:18 GMT+0530 (India Standard Time),Thu Oct 12 2023 15:42:29 GMT+0530 (India Standard Time),Fri Oct 13 2023 13:37:15 GMT+0530 (India Standard Time),</t>
  </si>
  <si>
    <t>PM-MVP-01.05</t>
  </si>
  <si>
    <t>Alanwake II Edit</t>
  </si>
  <si>
    <t>Thu Oct 12 2023 17:36:01 GMT+0530 (India Standard Time),</t>
  </si>
  <si>
    <t>Oct 12 2023 18:28:51,</t>
  </si>
  <si>
    <t>PM-MVP-01.06</t>
  </si>
  <si>
    <t>PM-MVP-01.07</t>
  </si>
  <si>
    <t>Logi Report</t>
  </si>
  <si>
    <t>PM-MVP-01.08</t>
  </si>
  <si>
    <t>Ad Report Email</t>
  </si>
  <si>
    <t>PM-MVP-01.09</t>
  </si>
  <si>
    <t>Design PDF</t>
  </si>
  <si>
    <t>Mon Oct 16 2023 13:19:52 GMT+0530 (India Standard Time),</t>
  </si>
  <si>
    <t>Oct 16 2023 13:59:15,</t>
  </si>
  <si>
    <t>PM-MVP-01.10</t>
  </si>
  <si>
    <t>Build Timelapse - 12102303</t>
  </si>
  <si>
    <t>PM-MVP-01.11</t>
  </si>
  <si>
    <t>Intro Vid Script</t>
  </si>
  <si>
    <t>Script - TheMVP Intro (Deepcool)</t>
  </si>
  <si>
    <t>PM-MVP-01.12</t>
  </si>
  <si>
    <t>Intro Vid Edit</t>
  </si>
  <si>
    <t>Thu Oct 19 2023 14:34:38 GMT+0530 (India Standard Time),Thu Oct 19 2023 18:08:13 GMT+0530 (India Standard Time),Thu Oct 19 2023 20:32:08 GMT+0530 (India Standard Time),Fri Oct 20 2023 12:26:50 GMT+0530 (India Standard Time),Fri Oct 20 2023 12:39:01 GMT+0530 (India Standard Time),Fri Oct 20 2023 13:05:03 GMT+0530 (India Standard Time),Fri Oct 20 2023 14:39:46 GMT+0530 (India Standard Time),</t>
  </si>
  <si>
    <t>Thu Oct 19 2023 14:50:40 GMT+0530 (India Standard Time),Thu Oct 19 2023 18:29:45 GMT+0530 (India Standard Time),Fri Oct 20 2023 12:22:41 GMT+0530 (India Standard Time),Fri Oct 20 2023 12:30:03 GMT+0530 (India Standard Time),Fri Oct 20 2023 12:40:12 GMT+0530 (India Standard Time),Fri Oct 20 2023 13:56:43 GMT+0530 (India Standard Time),Oct 20 2023 16:36:35,</t>
  </si>
  <si>
    <t>PM-MVP-01.13</t>
  </si>
  <si>
    <t>Inventory Audit</t>
  </si>
  <si>
    <t>Thu Oct 19 2023 18:31:35 GMT+0530 (India Standard Time),</t>
  </si>
  <si>
    <t>Oct 19 2023 18:42:05,</t>
  </si>
  <si>
    <t>PM-MVP-01.14</t>
  </si>
  <si>
    <t>Build Photo - 11102301</t>
  </si>
  <si>
    <t>PM-MVP-01.15</t>
  </si>
  <si>
    <t>Thu Oct 19 2023 10:47:05 GMT+0530 (India Standard Time),</t>
  </si>
  <si>
    <t>Oct 19 2023 11:18:17,</t>
  </si>
  <si>
    <t>CC-MVP-42</t>
  </si>
  <si>
    <t>Claim Zotac 5 Yr Warranty</t>
  </si>
  <si>
    <t>CC-MVP-42.01</t>
  </si>
  <si>
    <t>Claim Zotac 5 years Warranty</t>
  </si>
  <si>
    <t>Mon Oct 23 2023 00:32:49 GMT+0530 (India Standard Time),</t>
  </si>
  <si>
    <t>Oct 26 2023 10:12:06,</t>
  </si>
  <si>
    <t>CC-MVP-42.02</t>
  </si>
  <si>
    <t>CC-MVP-42.05</t>
  </si>
  <si>
    <t>Wed Nov 01 2023 16:23:54 GMT+0530 (India Standard Time),Thu Nov 02 2023 09:18:50 GMT+0530 (India Standard Time),</t>
  </si>
  <si>
    <t>Wed Nov 01 2023 16:56:39 GMT+0530 (India Standard Time),Nov 02 2023 12:04:34,</t>
  </si>
  <si>
    <t>CC-MVP-42.06</t>
  </si>
  <si>
    <t>Thu Nov 02 2023 10:07:52 GMT+0530 (India Standard Time),</t>
  </si>
  <si>
    <t>Nov 02 2023 12:04:38,</t>
  </si>
  <si>
    <t>CC-MVP-42.07</t>
  </si>
  <si>
    <t>CC-CTH-06</t>
  </si>
  <si>
    <t>Troubleshoot GPU Issues</t>
  </si>
  <si>
    <t>CC-CTH-06.01</t>
  </si>
  <si>
    <t>CC-CTH-06.02</t>
  </si>
  <si>
    <t>Shoot &amp; Editor Notes</t>
  </si>
  <si>
    <t>CC-CTH-06.04</t>
  </si>
  <si>
    <t>Thu Oct 19 2023 16:20:22 GMT+0530 (India Standard Time),</t>
  </si>
  <si>
    <t>Oct 20 2023 11:03:55,</t>
  </si>
  <si>
    <t>CC-CTH-06.05</t>
  </si>
  <si>
    <t>CC-CTH-06.06</t>
  </si>
  <si>
    <t>CC-CTH-06.07</t>
  </si>
  <si>
    <t>Fri Oct 20 2023 18:47:13 GMT+0530 (India Standard Time),Tue Oct 31 2023 12:17:55 GMT+0530 (India Standard Time),Tue Oct 31 2023 14:21:56 GMT+0530 (India Standard Time),Tue Oct 31 2023 15:57:23 GMT+0530 (India Standard Time),Tue Oct 31 2023 17:28:32 GMT+0530 (India Standard Time),</t>
  </si>
  <si>
    <t>Tue Oct 31 2023 11:10:32 GMT+0530 (India Standard Time),Tue Oct 31 2023 13:08:59 GMT+0530 (India Standard Time),Tue Oct 31 2023 14:48:54 GMT+0530 (India Standard Time),Tue Oct 31 2023 16:26:26 GMT+0530 (India Standard Time),Nov 02 2023 13:53:30,</t>
  </si>
  <si>
    <t>CC-CTH-06.08</t>
  </si>
  <si>
    <t>Colorful RTX 4060</t>
  </si>
  <si>
    <t>CC-CTH-09.05</t>
  </si>
  <si>
    <t>CC-CTH-09.06</t>
  </si>
  <si>
    <t>CC-CTH-09.07</t>
  </si>
  <si>
    <t>Build Photo - 05102302 Suprim X + Corsair 5000D</t>
  </si>
  <si>
    <t>Troubleshoot GPU issues - Shorts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</si>
</sst>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hh]:mm:ss"/>
    <numFmt numFmtId="165" formatCode="dd&quot;-&quot;mmm&quot;-&quot;yyyy"/>
    <numFmt numFmtId="166" formatCode="dd&quot;-&quot;mmm&quot; | &quot;hh&quot;:&quot;mm&quot; &quot;am/pm"/>
    <numFmt numFmtId="167" formatCode="hh:mm"/>
    <numFmt numFmtId="168" formatCode="mm&quot;:&quot;ss"/>
    <numFmt numFmtId="169" formatCode="dddd"/>
    <numFmt numFmtId="170" formatCode="hh&quot;:&quot;mm"/>
    <numFmt numFmtId="171" formatCode="[hh]&quot;:&quot;mm"/>
  </numFmts>
  <fonts count="58">
    <font>
      <sz val="10.0"/>
      <color rgb="FF000000"/>
      <name val="Arial"/>
      <scheme val="minor"/>
    </font>
    <font>
      <u/>
      <sz val="10.0"/>
      <color rgb="FFCCCCCC"/>
      <name val="Albert Sans"/>
    </font>
    <font>
      <b/>
      <sz val="12.0"/>
      <color rgb="FFF3F3F3"/>
      <name val="Albert Sans"/>
    </font>
    <font>
      <u/>
      <sz val="10.0"/>
      <color rgb="FFCCCCCC"/>
      <name val="Albert Sans"/>
    </font>
    <font>
      <u/>
      <sz val="12.0"/>
      <color rgb="FFCCCCCC"/>
      <name val="Albert Sans"/>
    </font>
    <font>
      <u/>
      <sz val="10.0"/>
      <color rgb="FFCCCCCC"/>
      <name val="Albert Sans"/>
    </font>
    <font>
      <u/>
      <sz val="10.0"/>
      <color rgb="FFCCCCCC"/>
      <name val="Albert Sans"/>
    </font>
    <font>
      <u/>
      <sz val="11.0"/>
      <color rgb="FFCCCCCC"/>
      <name val="Albert Sans"/>
    </font>
    <font>
      <u/>
      <sz val="11.0"/>
      <color rgb="FFCCCCCC"/>
      <name val="Albert Sans"/>
    </font>
    <font>
      <u/>
      <sz val="11.0"/>
      <color rgb="FFCCCCCC"/>
      <name val="Albert Sans"/>
    </font>
    <font>
      <u/>
      <sz val="11.0"/>
      <color rgb="FFCCCCCC"/>
      <name val="Albert Sans"/>
    </font>
    <font>
      <b/>
      <sz val="25.0"/>
      <color rgb="FF000000"/>
      <name val="Albert Sans"/>
    </font>
    <font>
      <b/>
      <sz val="16.0"/>
      <color theme="1"/>
      <name val="Albert Sans"/>
    </font>
    <font>
      <b/>
      <sz val="12.0"/>
      <color theme="1"/>
      <name val="Albert Sans"/>
    </font>
    <font>
      <b/>
      <sz val="16.0"/>
      <color rgb="FFC4CEDB"/>
      <name val="Albert Sans"/>
    </font>
    <font>
      <sz val="12.0"/>
      <color theme="1"/>
      <name val="Albert Sans"/>
    </font>
    <font>
      <b/>
      <sz val="10.0"/>
      <color theme="1"/>
      <name val="Albert Sans"/>
    </font>
    <font>
      <sz val="9.0"/>
      <color rgb="FF000000"/>
      <name val="Albert Sans"/>
    </font>
    <font>
      <sz val="12.0"/>
      <color rgb="FF000000"/>
      <name val="Albert Sans"/>
    </font>
    <font>
      <sz val="12.0"/>
      <color rgb="FFC4CEDB"/>
      <name val="Albert Sans"/>
    </font>
    <font>
      <sz val="10.0"/>
      <color theme="1"/>
      <name val="Albert Sans"/>
    </font>
    <font>
      <u/>
      <sz val="12.0"/>
      <color rgb="FF000000"/>
      <name val="Albert Sans"/>
    </font>
    <font>
      <color theme="1"/>
      <name val="Albert Sans"/>
    </font>
    <font>
      <u/>
      <color theme="1"/>
      <name val="Albert Sans"/>
    </font>
    <font>
      <u/>
      <sz val="12.0"/>
      <color rgb="FF0000FF"/>
      <name val="Albert Sans"/>
    </font>
    <font>
      <b/>
      <sz val="25.0"/>
      <color rgb="FFFFFFFF"/>
      <name val="Albert Sans"/>
    </font>
    <font>
      <b/>
      <sz val="16.0"/>
      <color rgb="FFFFFFFF"/>
      <name val="Albert Sans"/>
    </font>
    <font>
      <b/>
      <sz val="12.0"/>
      <color rgb="FFFFFFFF"/>
      <name val="Albert Sans"/>
    </font>
    <font>
      <b/>
      <sz val="10.0"/>
      <color rgb="FFFFFFFF"/>
      <name val="Albert Sans"/>
    </font>
    <font>
      <sz val="9.0"/>
      <color rgb="FFFFFFFF"/>
      <name val="Albert Sans"/>
    </font>
    <font>
      <u/>
      <sz val="12.0"/>
      <color theme="1"/>
      <name val="Albert Sans"/>
    </font>
    <font>
      <b/>
      <sz val="12.0"/>
      <color rgb="FFD9D9D9"/>
      <name val="Albert Sans"/>
    </font>
    <font>
      <u/>
      <sz val="10.0"/>
      <color rgb="FFCCCCCC"/>
      <name val="Albert Sans"/>
    </font>
    <font>
      <sz val="12.0"/>
      <color rgb="FFFFFFFF"/>
      <name val="Albert Sans"/>
    </font>
    <font>
      <sz val="12.0"/>
      <color rgb="FFD9D9D9"/>
      <name val="Albert Sans"/>
    </font>
    <font>
      <sz val="11.0"/>
      <color theme="1"/>
      <name val="Albert Sans"/>
    </font>
    <font>
      <b/>
      <sz val="13.0"/>
      <color rgb="FF000000"/>
      <name val="Albert Sans"/>
    </font>
    <font>
      <color rgb="FFFFFFFF"/>
      <name val="Albert Sans"/>
    </font>
    <font>
      <b/>
      <color theme="1"/>
      <name val="Albert Sans"/>
    </font>
    <font>
      <sz val="11.0"/>
      <color rgb="FF000000"/>
      <name val="Albert Sans"/>
    </font>
    <font>
      <b/>
      <sz val="13.0"/>
      <color rgb="FFFFFFFF"/>
      <name val="Albert Sans"/>
    </font>
    <font>
      <b/>
      <sz val="11.0"/>
      <color theme="0"/>
      <name val="Albert Sans"/>
    </font>
    <font>
      <b/>
      <sz val="16.0"/>
      <color rgb="FFFFCE00"/>
      <name val="Albert Sans"/>
    </font>
    <font>
      <b/>
      <sz val="16.0"/>
      <color rgb="FF5857FF"/>
      <name val="Albert Sans"/>
    </font>
    <font/>
    <font>
      <b/>
      <sz val="13.0"/>
      <color theme="0"/>
      <name val="Albert Sans"/>
    </font>
    <font>
      <sz val="10.0"/>
      <color rgb="FF000000"/>
      <name val="Albert Sans"/>
    </font>
    <font>
      <color theme="1"/>
      <name val="Arial"/>
      <scheme val="minor"/>
    </font>
    <font>
      <sz val="10.0"/>
      <color rgb="FFCCCCCC"/>
      <name val="Albert Sans"/>
    </font>
    <font>
      <b/>
      <sz val="24.0"/>
      <color theme="1"/>
      <name val="Albert Sans"/>
    </font>
    <font>
      <u/>
      <sz val="12.0"/>
      <color rgb="FF0000FF"/>
      <name val="Albert Sans"/>
    </font>
    <font>
      <sz val="10.0"/>
      <color rgb="FFFFFFFF"/>
      <name val="Albert Sans"/>
    </font>
    <font>
      <u/>
      <color theme="1"/>
      <name val="Albert Sans"/>
    </font>
    <font>
      <color theme="1"/>
      <name val="&quot;Albert Sans&quot;"/>
    </font>
    <font>
      <color theme="1"/>
      <name val="Arial"/>
    </font>
    <font>
      <b/>
      <sz val="12.0"/>
      <color rgb="FFC4CEDB"/>
      <name val="Albert Sans"/>
    </font>
    <font>
      <u/>
      <color theme="1"/>
      <name val="Arial"/>
      <scheme val="minor"/>
    </font>
    <font>
      <u/>
      <color rgb="FF0000FF"/>
    </font>
  </fonts>
  <fills count="25">
    <fill>
      <patternFill patternType="none"/>
    </fill>
    <fill>
      <patternFill patternType="lightGray"/>
    </fill>
    <fill>
      <patternFill patternType="solid">
        <fgColor rgb="FF4A5260"/>
        <bgColor rgb="FF4A5260"/>
      </patternFill>
    </fill>
    <fill>
      <patternFill patternType="solid">
        <fgColor rgb="FFFFCB00"/>
        <bgColor rgb="FFFFCB00"/>
      </patternFill>
    </fill>
    <fill>
      <patternFill patternType="solid">
        <fgColor rgb="FF000000"/>
        <bgColor rgb="FF000000"/>
      </patternFill>
    </fill>
    <fill>
      <patternFill patternType="solid">
        <fgColor rgb="FFEFEFEF"/>
        <bgColor rgb="FFEFEFEF"/>
      </patternFill>
    </fill>
    <fill>
      <patternFill patternType="solid">
        <fgColor rgb="FFC4CEDB"/>
        <bgColor rgb="FFC4CEDB"/>
      </patternFill>
    </fill>
    <fill>
      <patternFill patternType="solid">
        <fgColor rgb="FF5857FF"/>
        <bgColor rgb="FF5857FF"/>
      </patternFill>
    </fill>
    <fill>
      <patternFill patternType="solid">
        <fgColor rgb="FFFFFFFF"/>
        <bgColor rgb="FFFFFFFF"/>
      </patternFill>
    </fill>
    <fill>
      <patternFill patternType="solid">
        <fgColor rgb="FF34A853"/>
        <bgColor rgb="FF34A853"/>
      </patternFill>
    </fill>
    <fill>
      <patternFill patternType="solid">
        <fgColor theme="5"/>
        <bgColor theme="5"/>
      </patternFill>
    </fill>
    <fill>
      <patternFill patternType="solid">
        <fgColor rgb="FFCC0000"/>
        <bgColor rgb="FFCC0000"/>
      </patternFill>
    </fill>
    <fill>
      <patternFill patternType="solid">
        <fgColor rgb="FF46E677"/>
        <bgColor rgb="FF46E677"/>
      </patternFill>
    </fill>
    <fill>
      <patternFill patternType="solid">
        <fgColor rgb="FFFF9900"/>
        <bgColor rgb="FFFF9900"/>
      </patternFill>
    </fill>
    <fill>
      <patternFill patternType="solid">
        <fgColor rgb="FFD9D9D9"/>
        <bgColor rgb="FFD9D9D9"/>
      </patternFill>
    </fill>
    <fill>
      <patternFill patternType="solid">
        <fgColor rgb="FF2F2F2F"/>
        <bgColor rgb="FF2F2F2F"/>
      </patternFill>
    </fill>
    <fill>
      <patternFill patternType="solid">
        <fgColor theme="7"/>
        <bgColor theme="7"/>
      </patternFill>
    </fill>
    <fill>
      <patternFill patternType="solid">
        <fgColor rgb="FFF3F3F3"/>
        <bgColor rgb="FFF3F3F3"/>
      </patternFill>
    </fill>
    <fill>
      <patternFill patternType="solid">
        <fgColor rgb="FFCCCCCC"/>
        <bgColor rgb="FFCCCCCC"/>
      </patternFill>
    </fill>
    <fill>
      <patternFill patternType="solid">
        <fgColor rgb="FF78BF8B"/>
        <bgColor rgb="FF78BF8B"/>
      </patternFill>
    </fill>
    <fill>
      <patternFill patternType="solid">
        <fgColor rgb="FFFFFF00"/>
        <bgColor rgb="FFFFFF00"/>
      </patternFill>
    </fill>
    <fill>
      <patternFill patternType="solid">
        <fgColor rgb="FF333333"/>
        <bgColor rgb="FF333333"/>
      </patternFill>
    </fill>
    <fill>
      <patternFill patternType="solid">
        <fgColor rgb="FF9900FF"/>
        <bgColor rgb="FF9900FF"/>
      </patternFill>
    </fill>
    <fill>
      <patternFill patternType="solid">
        <fgColor rgb="FF4A86E8"/>
        <bgColor rgb="FF4A86E8"/>
      </patternFill>
    </fill>
    <fill>
      <patternFill patternType="solid">
        <fgColor rgb="FF6D9EEB"/>
        <bgColor rgb="FF6D9EEB"/>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medium">
        <color rgb="FF000000"/>
      </left>
    </border>
    <border>
      <left style="thick">
        <color rgb="FF000000"/>
      </left>
    </border>
    <border>
      <bottom style="thick">
        <color rgb="FF000000"/>
      </bottom>
    </border>
    <border>
      <top style="thick">
        <color rgb="FF000000"/>
      </top>
    </border>
  </borders>
  <cellStyleXfs count="1">
    <xf borderId="0" fillId="0" fontId="0" numFmtId="0" applyAlignment="1" applyFont="1"/>
  </cellStyleXfs>
  <cellXfs count="358">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Alignment="1" applyFont="1">
      <alignment horizontal="center" readingOrder="0" vertical="center"/>
    </xf>
    <xf borderId="0" fillId="2" fontId="2" numFmtId="0" xfId="0" applyAlignment="1" applyFont="1">
      <alignment horizontal="center" vertical="center"/>
    </xf>
    <xf borderId="0" fillId="2" fontId="3" numFmtId="0" xfId="0" applyAlignment="1" applyFont="1">
      <alignment horizontal="center" readingOrder="0" vertical="center"/>
    </xf>
    <xf borderId="0" fillId="2" fontId="4" numFmtId="0" xfId="0" applyAlignment="1" applyFont="1">
      <alignment horizontal="center" readingOrder="0" vertical="center"/>
    </xf>
    <xf borderId="0" fillId="2" fontId="5" numFmtId="14" xfId="0" applyAlignment="1" applyFont="1" applyNumberFormat="1">
      <alignment horizontal="center" readingOrder="0" vertical="center"/>
    </xf>
    <xf borderId="0" fillId="2" fontId="6" numFmtId="14" xfId="0" applyAlignment="1" applyFont="1" applyNumberFormat="1">
      <alignment horizontal="left" readingOrder="0" vertical="center"/>
    </xf>
    <xf borderId="0" fillId="2" fontId="7" numFmtId="0" xfId="0" applyAlignment="1" applyFont="1">
      <alignment horizontal="left" readingOrder="0" vertical="center"/>
    </xf>
    <xf borderId="0" fillId="2" fontId="8" numFmtId="0" xfId="0" applyAlignment="1" applyFont="1">
      <alignment horizontal="center" readingOrder="0" vertical="center"/>
    </xf>
    <xf borderId="0" fillId="2" fontId="9" numFmtId="164" xfId="0" applyAlignment="1" applyFont="1" applyNumberFormat="1">
      <alignment horizontal="center" readingOrder="0" vertical="center"/>
    </xf>
    <xf borderId="0" fillId="2" fontId="10" numFmtId="164" xfId="0" applyAlignment="1" applyFont="1" applyNumberFormat="1">
      <alignment horizontal="left" readingOrder="0" vertical="center"/>
    </xf>
    <xf borderId="0" fillId="3" fontId="11" numFmtId="0" xfId="0" applyAlignment="1" applyFill="1" applyFont="1">
      <alignment horizontal="left" readingOrder="0" shrinkToFit="0" textRotation="0" vertical="center" wrapText="0"/>
    </xf>
    <xf borderId="0" fillId="3" fontId="12" numFmtId="0" xfId="0" applyAlignment="1" applyFont="1">
      <alignment horizontal="left" readingOrder="0" shrinkToFit="0" textRotation="0" vertical="center" wrapText="0"/>
    </xf>
    <xf borderId="0" fillId="3" fontId="12" numFmtId="0" xfId="0" applyAlignment="1" applyFont="1">
      <alignment horizontal="center" readingOrder="0" shrinkToFit="0" textRotation="0" vertical="center" wrapText="0"/>
    </xf>
    <xf borderId="0" fillId="3" fontId="13" numFmtId="0" xfId="0" applyAlignment="1" applyFont="1">
      <alignment horizontal="center" readingOrder="0" shrinkToFit="0" textRotation="0" vertical="center" wrapText="0"/>
    </xf>
    <xf borderId="0" fillId="3" fontId="14" numFmtId="0" xfId="0" applyAlignment="1" applyFont="1">
      <alignment horizontal="left" readingOrder="0" shrinkToFit="0" textRotation="0" vertical="center" wrapText="0"/>
    </xf>
    <xf borderId="0" fillId="4" fontId="15" numFmtId="0" xfId="0" applyAlignment="1" applyFill="1" applyFont="1">
      <alignment horizontal="center" vertical="center"/>
    </xf>
    <xf borderId="0" fillId="3" fontId="16" numFmtId="0" xfId="0" applyAlignment="1" applyFont="1">
      <alignment horizontal="center" readingOrder="0" shrinkToFit="0" textRotation="0" vertical="center" wrapText="0"/>
    </xf>
    <xf borderId="0" fillId="3" fontId="16" numFmtId="0" xfId="0" applyAlignment="1" applyFont="1">
      <alignment horizontal="left" readingOrder="0" shrinkToFit="0" textRotation="0" vertical="center" wrapText="0"/>
    </xf>
    <xf borderId="0" fillId="3" fontId="17" numFmtId="0" xfId="0" applyAlignment="1" applyFont="1">
      <alignment horizontal="center" readingOrder="0" shrinkToFit="0" textRotation="0" vertical="center" wrapText="0"/>
    </xf>
    <xf borderId="0" fillId="0" fontId="15" numFmtId="0" xfId="0" applyAlignment="1" applyFont="1">
      <alignment horizontal="left" readingOrder="0" vertical="center"/>
    </xf>
    <xf borderId="0" fillId="0" fontId="15" numFmtId="0" xfId="0" applyAlignment="1" applyFont="1">
      <alignment readingOrder="0" vertical="center"/>
    </xf>
    <xf borderId="0" fillId="0" fontId="15" numFmtId="0" xfId="0" applyAlignment="1" applyFont="1">
      <alignment vertical="center"/>
    </xf>
    <xf borderId="0" fillId="0" fontId="18" numFmtId="0" xfId="0" applyAlignment="1" applyFont="1">
      <alignment horizontal="center" readingOrder="0" vertical="center"/>
    </xf>
    <xf borderId="0" fillId="0" fontId="15" numFmtId="0" xfId="0" applyAlignment="1" applyFont="1">
      <alignment horizontal="center" readingOrder="0" vertical="center"/>
    </xf>
    <xf borderId="0" fillId="5" fontId="18" numFmtId="165" xfId="0" applyAlignment="1" applyFill="1" applyFont="1" applyNumberFormat="1">
      <alignment horizontal="center" vertical="center"/>
    </xf>
    <xf borderId="0" fillId="6" fontId="19" numFmtId="49" xfId="0" applyAlignment="1" applyFill="1" applyFont="1" applyNumberFormat="1">
      <alignment horizontal="center" vertical="center"/>
    </xf>
    <xf borderId="0" fillId="6" fontId="15" numFmtId="0" xfId="0" applyAlignment="1" applyFont="1">
      <alignment horizontal="center" vertical="center"/>
    </xf>
    <xf borderId="0" fillId="6" fontId="20" numFmtId="166" xfId="0" applyAlignment="1" applyFont="1" applyNumberFormat="1">
      <alignment horizontal="center" readingOrder="0" vertical="center"/>
    </xf>
    <xf borderId="0" fillId="6" fontId="20" numFmtId="166" xfId="0" applyAlignment="1" applyFont="1" applyNumberFormat="1">
      <alignment horizontal="left" readingOrder="0" vertical="center"/>
    </xf>
    <xf borderId="0" fillId="6" fontId="20" numFmtId="167" xfId="0" applyAlignment="1" applyFont="1" applyNumberFormat="1">
      <alignment horizontal="center" readingOrder="0" vertical="center"/>
    </xf>
    <xf borderId="0" fillId="6" fontId="20" numFmtId="168" xfId="0" applyAlignment="1" applyFont="1" applyNumberFormat="1">
      <alignment horizontal="center" readingOrder="0" vertical="center"/>
    </xf>
    <xf borderId="0" fillId="6" fontId="20" numFmtId="167" xfId="0" applyAlignment="1" applyFont="1" applyNumberFormat="1">
      <alignment horizontal="left" readingOrder="0" vertical="center"/>
    </xf>
    <xf borderId="0" fillId="0" fontId="21" numFmtId="0" xfId="0" applyAlignment="1" applyFont="1">
      <alignment horizontal="center" readingOrder="0" vertical="center"/>
    </xf>
    <xf borderId="0" fillId="5" fontId="18" numFmtId="165" xfId="0" applyAlignment="1" applyFont="1" applyNumberFormat="1">
      <alignment horizontal="center" readingOrder="0" vertical="center"/>
    </xf>
    <xf borderId="0" fillId="6" fontId="20" numFmtId="0" xfId="0" applyAlignment="1" applyFont="1">
      <alignment horizontal="left" readingOrder="0" vertical="center"/>
    </xf>
    <xf borderId="0" fillId="6" fontId="20" numFmtId="0" xfId="0" applyAlignment="1" applyFont="1">
      <alignment horizontal="center" readingOrder="0" vertical="center"/>
    </xf>
    <xf borderId="0" fillId="6" fontId="22" numFmtId="0" xfId="0" applyAlignment="1" applyFont="1">
      <alignment vertical="center"/>
    </xf>
    <xf borderId="0" fillId="4" fontId="22" numFmtId="0" xfId="0" applyAlignment="1" applyFont="1">
      <alignment vertical="center"/>
    </xf>
    <xf borderId="0" fillId="6" fontId="22" numFmtId="166" xfId="0" applyAlignment="1" applyFont="1" applyNumberFormat="1">
      <alignment horizontal="center" vertical="center"/>
    </xf>
    <xf borderId="0" fillId="6" fontId="22" numFmtId="166" xfId="0" applyAlignment="1" applyFont="1" applyNumberFormat="1">
      <alignment vertical="center"/>
    </xf>
    <xf borderId="0" fillId="6" fontId="22" numFmtId="167" xfId="0" applyAlignment="1" applyFont="1" applyNumberFormat="1">
      <alignment horizontal="center" vertical="center"/>
    </xf>
    <xf borderId="0" fillId="3" fontId="22" numFmtId="0" xfId="0" applyAlignment="1" applyFont="1">
      <alignment vertical="center"/>
    </xf>
    <xf borderId="0" fillId="0" fontId="15" numFmtId="0" xfId="0" applyAlignment="1" applyFont="1">
      <alignment readingOrder="0" shrinkToFit="0" vertical="center" wrapText="0"/>
    </xf>
    <xf borderId="0" fillId="0" fontId="22" numFmtId="0" xfId="0" applyAlignment="1" applyFont="1">
      <alignment vertical="center"/>
    </xf>
    <xf borderId="0" fillId="0" fontId="15" numFmtId="0" xfId="0" applyAlignment="1" applyFont="1">
      <alignment horizontal="center" vertical="center"/>
    </xf>
    <xf borderId="0" fillId="5" fontId="15" numFmtId="165" xfId="0" applyAlignment="1" applyFont="1" applyNumberFormat="1">
      <alignment horizontal="center" vertical="center"/>
    </xf>
    <xf borderId="0" fillId="6" fontId="22" numFmtId="49" xfId="0" applyAlignment="1" applyFont="1" applyNumberFormat="1">
      <alignment vertical="center"/>
    </xf>
    <xf borderId="0" fillId="6" fontId="22" numFmtId="167" xfId="0" applyAlignment="1" applyFont="1" applyNumberFormat="1">
      <alignment vertical="center"/>
    </xf>
    <xf borderId="0" fillId="0" fontId="22" numFmtId="0" xfId="0" applyAlignment="1" applyFont="1">
      <alignment vertical="center"/>
    </xf>
    <xf borderId="0" fillId="5" fontId="15" numFmtId="0" xfId="0" applyAlignment="1" applyFont="1">
      <alignment horizontal="center" readingOrder="0" vertical="center"/>
    </xf>
    <xf borderId="0" fillId="0" fontId="23" numFmtId="0" xfId="0" applyAlignment="1" applyFont="1">
      <alignment readingOrder="0" vertical="center"/>
    </xf>
    <xf borderId="0" fillId="5" fontId="15" numFmtId="165" xfId="0" applyAlignment="1" applyFont="1" applyNumberFormat="1">
      <alignment horizontal="center" readingOrder="0" vertical="center"/>
    </xf>
    <xf borderId="0" fillId="6" fontId="22" numFmtId="166" xfId="0" applyAlignment="1" applyFont="1" applyNumberFormat="1">
      <alignment readingOrder="0" vertical="center"/>
    </xf>
    <xf borderId="0" fillId="6" fontId="22" numFmtId="0" xfId="0" applyAlignment="1" applyFont="1">
      <alignment readingOrder="0" vertical="center"/>
    </xf>
    <xf borderId="0" fillId="6" fontId="22" numFmtId="167" xfId="0" applyAlignment="1" applyFont="1" applyNumberFormat="1">
      <alignment readingOrder="0" vertical="center"/>
    </xf>
    <xf borderId="0" fillId="6" fontId="22" numFmtId="167" xfId="0" applyAlignment="1" applyFont="1" applyNumberFormat="1">
      <alignment horizontal="left" vertical="center"/>
    </xf>
    <xf borderId="0" fillId="0" fontId="24" numFmtId="0" xfId="0" applyAlignment="1" applyFont="1">
      <alignment horizontal="center" readingOrder="0" vertical="center"/>
    </xf>
    <xf borderId="0" fillId="6" fontId="20" numFmtId="167" xfId="0" applyAlignment="1" applyFont="1" applyNumberFormat="1">
      <alignment horizontal="center" readingOrder="0" vertical="center"/>
    </xf>
    <xf borderId="0" fillId="6" fontId="20" numFmtId="166" xfId="0" applyAlignment="1" applyFont="1" applyNumberFormat="1">
      <alignment horizontal="center" readingOrder="0" vertical="center"/>
    </xf>
    <xf borderId="0" fillId="6" fontId="20" numFmtId="0" xfId="0" applyAlignment="1" applyFont="1">
      <alignment horizontal="center" readingOrder="0" vertical="center"/>
    </xf>
    <xf borderId="0" fillId="0" fontId="22" numFmtId="0" xfId="0" applyAlignment="1" applyFont="1">
      <alignment readingOrder="0" vertical="center"/>
    </xf>
    <xf borderId="0" fillId="0" fontId="15" numFmtId="0" xfId="0" applyAlignment="1" applyFont="1">
      <alignment horizontal="center" readingOrder="0" vertical="center"/>
    </xf>
    <xf borderId="0" fillId="0" fontId="15" numFmtId="0" xfId="0" applyAlignment="1" applyFont="1">
      <alignment horizontal="left" vertical="center"/>
    </xf>
    <xf borderId="0" fillId="7" fontId="25" numFmtId="0" xfId="0" applyAlignment="1" applyFill="1" applyFont="1">
      <alignment horizontal="left" readingOrder="0" shrinkToFit="0" textRotation="0" vertical="center" wrapText="0"/>
    </xf>
    <xf borderId="0" fillId="7" fontId="26" numFmtId="0" xfId="0" applyAlignment="1" applyFont="1">
      <alignment horizontal="left" readingOrder="0" shrinkToFit="0" textRotation="0" vertical="center" wrapText="0"/>
    </xf>
    <xf borderId="0" fillId="7" fontId="26" numFmtId="0" xfId="0" applyAlignment="1" applyFont="1">
      <alignment horizontal="center" readingOrder="0" shrinkToFit="0" textRotation="0" vertical="center" wrapText="0"/>
    </xf>
    <xf borderId="0" fillId="7" fontId="27" numFmtId="0" xfId="0" applyAlignment="1" applyFont="1">
      <alignment horizontal="center" readingOrder="0" shrinkToFit="0" textRotation="0" vertical="center" wrapText="0"/>
    </xf>
    <xf borderId="0" fillId="7" fontId="28" numFmtId="0" xfId="0" applyAlignment="1" applyFont="1">
      <alignment horizontal="center" readingOrder="0" shrinkToFit="0" textRotation="0" vertical="center" wrapText="0"/>
    </xf>
    <xf borderId="0" fillId="7" fontId="28" numFmtId="0" xfId="0" applyAlignment="1" applyFont="1">
      <alignment horizontal="left" readingOrder="0" shrinkToFit="0" textRotation="0" vertical="center" wrapText="0"/>
    </xf>
    <xf borderId="0" fillId="7" fontId="29" numFmtId="0" xfId="0" applyAlignment="1" applyFont="1">
      <alignment horizontal="center" readingOrder="0" shrinkToFit="0" textRotation="0" vertical="center" wrapText="0"/>
    </xf>
    <xf borderId="0" fillId="6" fontId="20" numFmtId="0" xfId="0" applyAlignment="1" applyFont="1">
      <alignment horizontal="center" vertical="center"/>
    </xf>
    <xf borderId="0" fillId="6" fontId="20" numFmtId="0" xfId="0" applyAlignment="1" applyFont="1">
      <alignment horizontal="left" vertical="center"/>
    </xf>
    <xf borderId="0" fillId="0" fontId="18" numFmtId="0" xfId="0" applyAlignment="1" applyFont="1">
      <alignment horizontal="center" vertical="center"/>
    </xf>
    <xf borderId="0" fillId="6" fontId="20" numFmtId="14" xfId="0" applyAlignment="1" applyFont="1" applyNumberFormat="1">
      <alignment horizontal="center" readingOrder="0" vertical="center"/>
    </xf>
    <xf borderId="0" fillId="8" fontId="18" numFmtId="0" xfId="0" applyAlignment="1" applyFill="1" applyFont="1">
      <alignment horizontal="left" readingOrder="0" vertical="center"/>
    </xf>
    <xf borderId="0" fillId="9" fontId="25" numFmtId="0" xfId="0" applyAlignment="1" applyFill="1" applyFont="1">
      <alignment horizontal="left" readingOrder="0" shrinkToFit="0" textRotation="0" vertical="center" wrapText="0"/>
    </xf>
    <xf borderId="0" fillId="9" fontId="26" numFmtId="0" xfId="0" applyAlignment="1" applyFont="1">
      <alignment horizontal="left" readingOrder="0" shrinkToFit="0" textRotation="0" vertical="center" wrapText="0"/>
    </xf>
    <xf borderId="0" fillId="9" fontId="26" numFmtId="0" xfId="0" applyAlignment="1" applyFont="1">
      <alignment horizontal="center" readingOrder="0" shrinkToFit="0" textRotation="0" vertical="center" wrapText="0"/>
    </xf>
    <xf borderId="0" fillId="9" fontId="27" numFmtId="0" xfId="0" applyAlignment="1" applyFont="1">
      <alignment horizontal="center" readingOrder="0" shrinkToFit="0" textRotation="0" vertical="center" wrapText="0"/>
    </xf>
    <xf borderId="0" fillId="9" fontId="28" numFmtId="0" xfId="0" applyAlignment="1" applyFont="1">
      <alignment horizontal="center" readingOrder="0" shrinkToFit="0" textRotation="0" vertical="center" wrapText="0"/>
    </xf>
    <xf borderId="0" fillId="9" fontId="28" numFmtId="0" xfId="0" applyAlignment="1" applyFont="1">
      <alignment horizontal="left" readingOrder="0" shrinkToFit="0" textRotation="0" vertical="center" wrapText="0"/>
    </xf>
    <xf borderId="0" fillId="9" fontId="29" numFmtId="0" xfId="0" applyAlignment="1" applyFont="1">
      <alignment horizontal="center" readingOrder="0" shrinkToFit="0" textRotation="0" vertical="center" wrapText="0"/>
    </xf>
    <xf borderId="0" fillId="9" fontId="18" numFmtId="0" xfId="0" applyAlignment="1" applyFont="1">
      <alignment horizontal="center" textRotation="0" vertical="center"/>
    </xf>
    <xf borderId="0" fillId="10" fontId="25" numFmtId="0" xfId="0" applyAlignment="1" applyFill="1" applyFont="1">
      <alignment horizontal="left" readingOrder="0" shrinkToFit="0" textRotation="0" vertical="center" wrapText="0"/>
    </xf>
    <xf borderId="0" fillId="10" fontId="26" numFmtId="0" xfId="0" applyAlignment="1" applyFont="1">
      <alignment horizontal="left" readingOrder="0" shrinkToFit="0" textRotation="0" vertical="center" wrapText="0"/>
    </xf>
    <xf borderId="0" fillId="10" fontId="26" numFmtId="0" xfId="0" applyAlignment="1" applyFont="1">
      <alignment horizontal="center" readingOrder="0" shrinkToFit="0" textRotation="0" vertical="center" wrapText="0"/>
    </xf>
    <xf borderId="0" fillId="10" fontId="27" numFmtId="0" xfId="0" applyAlignment="1" applyFont="1">
      <alignment horizontal="center" readingOrder="0" shrinkToFit="0" textRotation="0" vertical="center" wrapText="0"/>
    </xf>
    <xf borderId="0" fillId="6" fontId="20" numFmtId="14" xfId="0" applyAlignment="1" applyFont="1" applyNumberFormat="1">
      <alignment horizontal="center" vertical="center"/>
    </xf>
    <xf borderId="0" fillId="6" fontId="20" numFmtId="167" xfId="0" applyAlignment="1" applyFont="1" applyNumberFormat="1">
      <alignment horizontal="center" vertical="center"/>
    </xf>
    <xf borderId="0" fillId="11" fontId="25" numFmtId="0" xfId="0" applyAlignment="1" applyFill="1" applyFont="1">
      <alignment horizontal="left" readingOrder="0" shrinkToFit="0" textRotation="0" vertical="center" wrapText="0"/>
    </xf>
    <xf borderId="0" fillId="11" fontId="26" numFmtId="0" xfId="0" applyAlignment="1" applyFont="1">
      <alignment horizontal="left" readingOrder="0" shrinkToFit="0" textRotation="0" vertical="center" wrapText="0"/>
    </xf>
    <xf borderId="0" fillId="11" fontId="26" numFmtId="0" xfId="0" applyAlignment="1" applyFont="1">
      <alignment horizontal="center" readingOrder="0" shrinkToFit="0" textRotation="0" vertical="center" wrapText="0"/>
    </xf>
    <xf borderId="0" fillId="11" fontId="27" numFmtId="0" xfId="0" applyAlignment="1" applyFont="1">
      <alignment horizontal="center" readingOrder="0" shrinkToFit="0" textRotation="0" vertical="center" wrapText="0"/>
    </xf>
    <xf borderId="0" fillId="11" fontId="28" numFmtId="0" xfId="0" applyAlignment="1" applyFont="1">
      <alignment horizontal="center" readingOrder="0" shrinkToFit="0" textRotation="0" vertical="center" wrapText="0"/>
    </xf>
    <xf borderId="0" fillId="11" fontId="28" numFmtId="0" xfId="0" applyAlignment="1" applyFont="1">
      <alignment horizontal="left" readingOrder="0" shrinkToFit="0" textRotation="0" vertical="center" wrapText="0"/>
    </xf>
    <xf borderId="0" fillId="11" fontId="22" numFmtId="0" xfId="0" applyAlignment="1" applyFont="1">
      <alignment vertical="center"/>
    </xf>
    <xf borderId="0" fillId="0" fontId="15" numFmtId="0" xfId="0" applyAlignment="1" applyFont="1">
      <alignment shrinkToFit="0" vertical="center" wrapText="0"/>
    </xf>
    <xf borderId="0" fillId="6" fontId="15" numFmtId="49" xfId="0" applyAlignment="1" applyFont="1" applyNumberFormat="1">
      <alignment vertical="center"/>
    </xf>
    <xf borderId="0" fillId="6" fontId="15" numFmtId="49" xfId="0" applyAlignment="1" applyFont="1" applyNumberFormat="1">
      <alignment horizontal="center" vertical="center"/>
    </xf>
    <xf borderId="0" fillId="4" fontId="15" numFmtId="0" xfId="0" applyAlignment="1" applyFont="1">
      <alignment vertical="center"/>
    </xf>
    <xf borderId="0" fillId="6" fontId="20" numFmtId="166" xfId="0" applyAlignment="1" applyFont="1" applyNumberFormat="1">
      <alignment horizontal="center" vertical="center"/>
    </xf>
    <xf borderId="0" fillId="6" fontId="20" numFmtId="0" xfId="0" applyAlignment="1" applyFont="1">
      <alignment vertical="center"/>
    </xf>
    <xf borderId="0" fillId="6" fontId="22" numFmtId="168" xfId="0" applyAlignment="1" applyFont="1" applyNumberFormat="1">
      <alignment horizontal="center" vertical="center"/>
    </xf>
    <xf borderId="0" fillId="6" fontId="22" numFmtId="0" xfId="0" applyAlignment="1" applyFont="1">
      <alignment horizontal="center" vertical="center"/>
    </xf>
    <xf borderId="0" fillId="6" fontId="15" numFmtId="0" xfId="0" applyAlignment="1" applyFont="1">
      <alignment vertical="center"/>
    </xf>
    <xf borderId="0" fillId="6" fontId="20" numFmtId="166" xfId="0" applyAlignment="1" applyFont="1" applyNumberFormat="1">
      <alignment vertical="center"/>
    </xf>
    <xf borderId="0" fillId="6" fontId="22" numFmtId="0" xfId="0" applyAlignment="1" applyFont="1">
      <alignment horizontal="left" vertical="center"/>
    </xf>
    <xf borderId="0" fillId="6" fontId="20" numFmtId="166" xfId="0" applyAlignment="1" applyFont="1" applyNumberFormat="1">
      <alignment readingOrder="0" vertical="center"/>
    </xf>
    <xf borderId="0" fillId="6" fontId="20" numFmtId="0" xfId="0" applyAlignment="1" applyFont="1">
      <alignment readingOrder="0" vertical="center"/>
    </xf>
    <xf borderId="0" fillId="0" fontId="30" numFmtId="0" xfId="0" applyAlignment="1" applyFont="1">
      <alignment horizontal="center" readingOrder="0" vertical="center"/>
    </xf>
    <xf borderId="0" fillId="6" fontId="20" numFmtId="14" xfId="0" applyAlignment="1" applyFont="1" applyNumberFormat="1">
      <alignment readingOrder="0" vertical="center"/>
    </xf>
    <xf borderId="0" fillId="12" fontId="15" numFmtId="0" xfId="0" applyAlignment="1" applyFill="1" applyFont="1">
      <alignment horizontal="center" vertical="center"/>
    </xf>
    <xf borderId="0" fillId="11" fontId="15" numFmtId="0" xfId="0" applyAlignment="1" applyFont="1">
      <alignment vertical="center"/>
    </xf>
    <xf borderId="0" fillId="6" fontId="15" numFmtId="167" xfId="0" applyAlignment="1" applyFont="1" applyNumberFormat="1">
      <alignment horizontal="center" vertical="center"/>
    </xf>
    <xf borderId="0" fillId="6" fontId="15" numFmtId="168" xfId="0" applyAlignment="1" applyFont="1" applyNumberFormat="1">
      <alignment horizontal="center" vertical="center"/>
    </xf>
    <xf borderId="0" fillId="6" fontId="15" numFmtId="0" xfId="0" applyAlignment="1" applyFont="1">
      <alignment horizontal="left" vertical="center"/>
    </xf>
    <xf borderId="0" fillId="0" fontId="22" numFmtId="0" xfId="0" applyAlignment="1" applyFont="1">
      <alignment horizontal="center" vertical="center"/>
    </xf>
    <xf borderId="0" fillId="0" fontId="15" numFmtId="0" xfId="0" applyAlignment="1" applyFont="1">
      <alignment shrinkToFit="0" vertical="center" wrapText="0"/>
    </xf>
    <xf borderId="0" fillId="0" fontId="15" numFmtId="0" xfId="0" applyAlignment="1" applyFont="1">
      <alignment vertical="center"/>
    </xf>
    <xf borderId="0" fillId="6" fontId="15" numFmtId="0" xfId="0" applyAlignment="1" applyFont="1">
      <alignment vertical="center"/>
    </xf>
    <xf borderId="0" fillId="6" fontId="20" numFmtId="0" xfId="0" applyAlignment="1" applyFont="1">
      <alignment vertical="center"/>
    </xf>
    <xf borderId="0" fillId="6" fontId="22" numFmtId="0" xfId="0" applyAlignment="1" applyFont="1">
      <alignment horizontal="left" vertical="center"/>
    </xf>
    <xf borderId="0" fillId="6" fontId="22" numFmtId="0" xfId="0" applyAlignment="1" applyFont="1">
      <alignment horizontal="center" vertical="center"/>
    </xf>
    <xf borderId="0" fillId="13" fontId="25" numFmtId="0" xfId="0" applyAlignment="1" applyFill="1" applyFont="1">
      <alignment horizontal="left" readingOrder="0" shrinkToFit="0" textRotation="0" vertical="center" wrapText="0"/>
    </xf>
    <xf borderId="0" fillId="13" fontId="26" numFmtId="0" xfId="0" applyAlignment="1" applyFont="1">
      <alignment horizontal="left" readingOrder="0" shrinkToFit="0" textRotation="0" vertical="center" wrapText="0"/>
    </xf>
    <xf borderId="0" fillId="13" fontId="26" numFmtId="0" xfId="0" applyAlignment="1" applyFont="1">
      <alignment horizontal="center" readingOrder="0" shrinkToFit="0" textRotation="0" vertical="center" wrapText="0"/>
    </xf>
    <xf borderId="0" fillId="13" fontId="27" numFmtId="0" xfId="0" applyAlignment="1" applyFont="1">
      <alignment horizontal="center" readingOrder="0" shrinkToFit="0" textRotation="0" vertical="center" wrapText="0"/>
    </xf>
    <xf borderId="0" fillId="13" fontId="28" numFmtId="0" xfId="0" applyAlignment="1" applyFont="1">
      <alignment horizontal="center" readingOrder="0" shrinkToFit="0" textRotation="0" vertical="center" wrapText="0"/>
    </xf>
    <xf borderId="0" fillId="13" fontId="28" numFmtId="0" xfId="0" applyAlignment="1" applyFont="1">
      <alignment horizontal="left" readingOrder="0" shrinkToFit="0" textRotation="0" vertical="center" wrapText="0"/>
    </xf>
    <xf borderId="0" fillId="13" fontId="22" numFmtId="0" xfId="0" applyAlignment="1" applyFont="1">
      <alignment vertical="center"/>
    </xf>
    <xf borderId="0" fillId="13" fontId="22" numFmtId="0" xfId="0" applyAlignment="1" applyFont="1">
      <alignment readingOrder="0" vertical="center"/>
    </xf>
    <xf borderId="0" fillId="0" fontId="18" numFmtId="0" xfId="0" applyAlignment="1" applyFont="1">
      <alignment horizontal="center" readingOrder="0" vertical="center"/>
    </xf>
    <xf borderId="0" fillId="0" fontId="18" numFmtId="0" xfId="0" applyAlignment="1" applyFont="1">
      <alignment horizontal="center" textRotation="0" vertical="center"/>
    </xf>
    <xf borderId="0" fillId="7" fontId="27" numFmtId="0" xfId="0" applyAlignment="1" applyFont="1">
      <alignment horizontal="center" readingOrder="0" vertical="center"/>
    </xf>
    <xf borderId="0" fillId="7" fontId="2" numFmtId="0" xfId="0" applyAlignment="1" applyFont="1">
      <alignment horizontal="left" readingOrder="0" vertical="center"/>
    </xf>
    <xf borderId="0" fillId="7" fontId="2" numFmtId="0" xfId="0" applyAlignment="1" applyFont="1">
      <alignment horizontal="center" readingOrder="0" vertical="center"/>
    </xf>
    <xf borderId="0" fillId="7" fontId="2" numFmtId="0" xfId="0" applyAlignment="1" applyFont="1">
      <alignment horizontal="center" vertical="center"/>
    </xf>
    <xf borderId="0" fillId="7" fontId="31" numFmtId="49" xfId="0" applyAlignment="1" applyFont="1" applyNumberFormat="1">
      <alignment horizontal="center" readingOrder="0" vertical="center"/>
    </xf>
    <xf borderId="0" fillId="4" fontId="32" numFmtId="0" xfId="0" applyAlignment="1" applyFont="1">
      <alignment horizontal="left" readingOrder="0" vertical="center"/>
    </xf>
    <xf borderId="0" fillId="7" fontId="27" numFmtId="0" xfId="0" applyAlignment="1" applyFont="1">
      <alignment horizontal="left" readingOrder="0" vertical="center"/>
    </xf>
    <xf borderId="0" fillId="7" fontId="33" numFmtId="0" xfId="0" applyAlignment="1" applyFont="1">
      <alignment horizontal="center" readingOrder="0" shrinkToFit="0" textRotation="0" vertical="center" wrapText="0"/>
    </xf>
    <xf borderId="0" fillId="14" fontId="34" numFmtId="49" xfId="0" applyAlignment="1" applyFill="1" applyFont="1" applyNumberFormat="1">
      <alignment horizontal="center" vertical="center"/>
    </xf>
    <xf borderId="0" fillId="14" fontId="15" numFmtId="0" xfId="0" applyAlignment="1" applyFont="1">
      <alignment horizontal="center" vertical="center"/>
    </xf>
    <xf borderId="0" fillId="14" fontId="20" numFmtId="166" xfId="0" applyAlignment="1" applyFont="1" applyNumberFormat="1">
      <alignment horizontal="center" readingOrder="0" vertical="center"/>
    </xf>
    <xf borderId="0" fillId="14" fontId="20" numFmtId="166" xfId="0" applyAlignment="1" applyFont="1" applyNumberFormat="1">
      <alignment horizontal="left" readingOrder="0" vertical="center"/>
    </xf>
    <xf borderId="0" fillId="14" fontId="20" numFmtId="167" xfId="0" applyAlignment="1" applyFont="1" applyNumberFormat="1">
      <alignment horizontal="center" readingOrder="0" vertical="center"/>
    </xf>
    <xf borderId="0" fillId="14" fontId="20" numFmtId="0" xfId="0" applyAlignment="1" applyFont="1">
      <alignment horizontal="left" readingOrder="0" vertical="center"/>
    </xf>
    <xf borderId="0" fillId="14" fontId="20" numFmtId="0" xfId="0" applyAlignment="1" applyFont="1">
      <alignment horizontal="center" readingOrder="0" vertical="center"/>
    </xf>
    <xf borderId="0" fillId="0" fontId="15" numFmtId="0" xfId="0" applyAlignment="1" applyFont="1">
      <alignment horizontal="left" readingOrder="0" shrinkToFit="0" vertical="center" wrapText="0"/>
    </xf>
    <xf borderId="0" fillId="4" fontId="26" numFmtId="0" xfId="0" applyAlignment="1" applyFont="1">
      <alignment horizontal="left" readingOrder="0" shrinkToFit="0" textRotation="0" vertical="center" wrapText="0"/>
    </xf>
    <xf borderId="0" fillId="7" fontId="18" numFmtId="0" xfId="0" applyAlignment="1" applyFont="1">
      <alignment horizontal="center" readingOrder="0" shrinkToFit="0" textRotation="0" vertical="center" wrapText="0"/>
    </xf>
    <xf borderId="0" fillId="8" fontId="18" numFmtId="0" xfId="0" applyAlignment="1" applyFont="1">
      <alignment horizontal="left" readingOrder="0"/>
    </xf>
    <xf borderId="0" fillId="14" fontId="15" numFmtId="0" xfId="0" applyAlignment="1" applyFont="1">
      <alignment horizontal="center" readingOrder="0" vertical="center"/>
    </xf>
    <xf borderId="0" fillId="7" fontId="33" numFmtId="0" xfId="0" applyAlignment="1" applyFont="1">
      <alignment horizontal="center" textRotation="0" vertical="center"/>
    </xf>
    <xf borderId="0" fillId="14" fontId="15" numFmtId="0" xfId="0" applyAlignment="1" applyFont="1">
      <alignment horizontal="left" vertical="center"/>
    </xf>
    <xf borderId="0" fillId="14" fontId="22" numFmtId="0" xfId="0" applyFont="1"/>
    <xf borderId="0" fillId="0" fontId="15" numFmtId="0" xfId="0" applyAlignment="1" applyFont="1">
      <alignment horizontal="center" readingOrder="0"/>
    </xf>
    <xf borderId="0" fillId="0" fontId="35" numFmtId="0" xfId="0" applyAlignment="1" applyFont="1">
      <alignment horizontal="right" readingOrder="0"/>
    </xf>
    <xf borderId="0" fillId="0" fontId="35" numFmtId="0" xfId="0" applyAlignment="1" applyFont="1">
      <alignment horizontal="center" readingOrder="0" vertical="center"/>
    </xf>
    <xf borderId="0" fillId="0" fontId="15" numFmtId="0" xfId="0" applyAlignment="1" applyFont="1">
      <alignment horizontal="center"/>
    </xf>
    <xf borderId="0" fillId="0" fontId="13" numFmtId="0" xfId="0" applyAlignment="1" applyFont="1">
      <alignment readingOrder="0"/>
    </xf>
    <xf borderId="0" fillId="0" fontId="36" numFmtId="0" xfId="0" applyAlignment="1" applyFont="1">
      <alignment horizontal="center" readingOrder="0" shrinkToFit="0" textRotation="0" vertical="center" wrapText="0"/>
    </xf>
    <xf borderId="0" fillId="0" fontId="37" numFmtId="0" xfId="0" applyAlignment="1" applyFont="1">
      <alignment readingOrder="0"/>
    </xf>
    <xf borderId="0" fillId="0" fontId="22" numFmtId="0" xfId="0" applyFont="1"/>
    <xf borderId="0" fillId="0" fontId="38" numFmtId="0" xfId="0" applyAlignment="1" applyFont="1">
      <alignment readingOrder="0"/>
    </xf>
    <xf borderId="0" fillId="0" fontId="15" numFmtId="14" xfId="0" applyAlignment="1" applyFont="1" applyNumberFormat="1">
      <alignment horizontal="left" readingOrder="0"/>
    </xf>
    <xf borderId="0" fillId="0" fontId="15" numFmtId="14" xfId="0" applyAlignment="1" applyFont="1" applyNumberFormat="1">
      <alignment horizontal="center" readingOrder="0"/>
    </xf>
    <xf borderId="0" fillId="5" fontId="39" numFmtId="165" xfId="0" applyAlignment="1" applyFont="1" applyNumberFormat="1">
      <alignment horizontal="center" readingOrder="0" vertical="center"/>
    </xf>
    <xf borderId="1" fillId="15" fontId="40" numFmtId="165" xfId="0" applyAlignment="1" applyBorder="1" applyFill="1" applyFont="1" applyNumberFormat="1">
      <alignment horizontal="center" readingOrder="0" vertical="center"/>
    </xf>
    <xf borderId="2" fillId="9" fontId="27" numFmtId="0" xfId="0" applyAlignment="1" applyBorder="1" applyFont="1">
      <alignment horizontal="center" readingOrder="0" vertical="center"/>
    </xf>
    <xf borderId="3" fillId="9" fontId="27" numFmtId="0" xfId="0" applyAlignment="1" applyBorder="1" applyFont="1">
      <alignment horizontal="center" readingOrder="0" vertical="center"/>
    </xf>
    <xf borderId="4" fillId="9" fontId="27" numFmtId="0" xfId="0" applyAlignment="1" applyBorder="1" applyFont="1">
      <alignment horizontal="center" readingOrder="0" vertical="center"/>
    </xf>
    <xf borderId="1" fillId="16" fontId="27" numFmtId="169" xfId="0" applyAlignment="1" applyBorder="1" applyFill="1" applyFont="1" applyNumberFormat="1">
      <alignment horizontal="center" vertical="center"/>
    </xf>
    <xf borderId="5" fillId="9" fontId="39" numFmtId="169" xfId="0" applyAlignment="1" applyBorder="1" applyFont="1" applyNumberFormat="1">
      <alignment horizontal="center" readingOrder="0" vertical="center"/>
    </xf>
    <xf borderId="0" fillId="9" fontId="39" numFmtId="169" xfId="0" applyAlignment="1" applyFont="1" applyNumberFormat="1">
      <alignment horizontal="center" readingOrder="0" vertical="center"/>
    </xf>
    <xf borderId="0" fillId="9" fontId="39" numFmtId="169" xfId="0" applyAlignment="1" applyFont="1" applyNumberFormat="1">
      <alignment horizontal="left" readingOrder="0" vertical="center"/>
    </xf>
    <xf borderId="0" fillId="8" fontId="35" numFmtId="0" xfId="0" applyAlignment="1" applyFont="1">
      <alignment horizontal="center" readingOrder="0" vertical="center"/>
    </xf>
    <xf borderId="0" fillId="5" fontId="35" numFmtId="165" xfId="0" applyAlignment="1" applyFont="1" applyNumberFormat="1">
      <alignment horizontal="center" readingOrder="0" vertical="center"/>
    </xf>
    <xf borderId="6" fillId="5" fontId="35" numFmtId="165" xfId="0" applyAlignment="1" applyBorder="1" applyFont="1" applyNumberFormat="1">
      <alignment horizontal="center" readingOrder="0" vertical="center"/>
    </xf>
    <xf borderId="1" fillId="15" fontId="41" numFmtId="165" xfId="0" applyAlignment="1" applyBorder="1" applyFont="1" applyNumberFormat="1">
      <alignment horizontal="center" vertical="center"/>
    </xf>
    <xf borderId="0" fillId="0" fontId="39" numFmtId="0" xfId="0" applyAlignment="1" applyFont="1">
      <alignment horizontal="center"/>
    </xf>
    <xf borderId="1" fillId="0" fontId="35" numFmtId="0" xfId="0" applyAlignment="1" applyBorder="1" applyFont="1">
      <alignment horizontal="center" shrinkToFit="0" vertical="center" wrapText="1"/>
    </xf>
    <xf borderId="0" fillId="0" fontId="35" numFmtId="0" xfId="0" applyAlignment="1" applyFont="1">
      <alignment horizontal="center"/>
    </xf>
    <xf borderId="1" fillId="5" fontId="35" numFmtId="0" xfId="0" applyAlignment="1" applyBorder="1" applyFont="1">
      <alignment horizontal="center" shrinkToFit="0" vertical="center" wrapText="1"/>
    </xf>
    <xf borderId="0" fillId="0" fontId="40" numFmtId="0" xfId="0" applyAlignment="1" applyFont="1">
      <alignment horizontal="center" readingOrder="0" shrinkToFit="0" textRotation="0" vertical="center" wrapText="0"/>
    </xf>
    <xf borderId="7" fillId="9" fontId="39" numFmtId="169" xfId="0" applyAlignment="1" applyBorder="1" applyFont="1" applyNumberFormat="1">
      <alignment horizontal="center" readingOrder="0" vertical="center"/>
    </xf>
    <xf borderId="8" fillId="9" fontId="39" numFmtId="169" xfId="0" applyAlignment="1" applyBorder="1" applyFont="1" applyNumberFormat="1">
      <alignment horizontal="center" readingOrder="0" vertical="center"/>
    </xf>
    <xf borderId="8" fillId="9" fontId="39" numFmtId="169" xfId="0" applyAlignment="1" applyBorder="1" applyFont="1" applyNumberFormat="1">
      <alignment horizontal="left" readingOrder="0" vertical="center"/>
    </xf>
    <xf borderId="8" fillId="8" fontId="35" numFmtId="0" xfId="0" applyAlignment="1" applyBorder="1" applyFont="1">
      <alignment horizontal="center" readingOrder="0" vertical="center"/>
    </xf>
    <xf borderId="8" fillId="5" fontId="35" numFmtId="165" xfId="0" applyAlignment="1" applyBorder="1" applyFont="1" applyNumberFormat="1">
      <alignment horizontal="center" readingOrder="0" vertical="center"/>
    </xf>
    <xf borderId="9" fillId="5" fontId="35" numFmtId="165" xfId="0" applyAlignment="1" applyBorder="1" applyFont="1" applyNumberFormat="1">
      <alignment horizontal="center" readingOrder="0" vertical="center"/>
    </xf>
    <xf borderId="0" fillId="0" fontId="15" numFmtId="0" xfId="0" applyAlignment="1" applyFont="1">
      <alignment horizontal="left"/>
    </xf>
    <xf borderId="10" fillId="15" fontId="42" numFmtId="0" xfId="0" applyAlignment="1" applyBorder="1" applyFont="1">
      <alignment horizontal="center" readingOrder="0" vertical="center"/>
    </xf>
    <xf borderId="10" fillId="17" fontId="43" numFmtId="0" xfId="0" applyAlignment="1" applyBorder="1" applyFill="1" applyFont="1">
      <alignment horizontal="center" readingOrder="0" vertical="center"/>
    </xf>
    <xf borderId="11" fillId="15" fontId="42" numFmtId="0" xfId="0" applyAlignment="1" applyBorder="1" applyFont="1">
      <alignment horizontal="left" readingOrder="0" vertical="center"/>
    </xf>
    <xf borderId="10" fillId="0" fontId="44" numFmtId="0" xfId="0" applyBorder="1" applyFont="1"/>
    <xf borderId="1" fillId="7" fontId="26" numFmtId="169" xfId="0" applyAlignment="1" applyBorder="1" applyFont="1" applyNumberFormat="1">
      <alignment horizontal="center" vertical="center"/>
    </xf>
    <xf borderId="1" fillId="15" fontId="45" numFmtId="165" xfId="0" applyAlignment="1" applyBorder="1" applyFont="1" applyNumberFormat="1">
      <alignment horizontal="center" vertical="center"/>
    </xf>
    <xf borderId="1" fillId="0" fontId="15"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6" fillId="14" fontId="22" numFmtId="0" xfId="0" applyAlignment="1" applyBorder="1" applyFont="1">
      <alignment vertical="bottom"/>
    </xf>
    <xf borderId="0" fillId="14" fontId="22" numFmtId="0" xfId="0" applyAlignment="1" applyFont="1">
      <alignment vertical="bottom"/>
    </xf>
    <xf borderId="9" fillId="15" fontId="40" numFmtId="165" xfId="0" applyAlignment="1" applyBorder="1" applyFont="1" applyNumberFormat="1">
      <alignment horizontal="center" vertical="center"/>
    </xf>
    <xf borderId="9" fillId="0" fontId="15" numFmtId="0" xfId="0" applyAlignment="1" applyBorder="1" applyFont="1">
      <alignment horizontal="center" shrinkToFit="0" vertical="center" wrapText="1"/>
    </xf>
    <xf borderId="0" fillId="18" fontId="22" numFmtId="0" xfId="0" applyAlignment="1" applyFill="1" applyFont="1">
      <alignment vertical="bottom"/>
    </xf>
    <xf borderId="0" fillId="18" fontId="15" numFmtId="0" xfId="0" applyAlignment="1" applyFont="1">
      <alignment horizontal="center" shrinkToFit="0" wrapText="1"/>
    </xf>
    <xf borderId="0" fillId="19" fontId="28" numFmtId="0" xfId="0" applyAlignment="1" applyFill="1" applyFont="1">
      <alignment horizontal="center" readingOrder="0" vertical="center"/>
    </xf>
    <xf borderId="0" fillId="19" fontId="28" numFmtId="0" xfId="0" applyAlignment="1" applyFont="1">
      <alignment horizontal="left" vertical="center"/>
    </xf>
    <xf borderId="12" fillId="19" fontId="28" numFmtId="0" xfId="0" applyAlignment="1" applyBorder="1" applyFont="1">
      <alignment horizontal="center" readingOrder="0" vertical="center"/>
    </xf>
    <xf borderId="0" fillId="19" fontId="20" numFmtId="0" xfId="0" applyAlignment="1" applyFont="1">
      <alignment readingOrder="0" vertical="center"/>
    </xf>
    <xf borderId="0" fillId="19" fontId="20" numFmtId="0" xfId="0" applyAlignment="1" applyFont="1">
      <alignment vertical="center"/>
    </xf>
    <xf borderId="0" fillId="9" fontId="28" numFmtId="0" xfId="0" applyAlignment="1" applyFont="1">
      <alignment horizontal="center" readingOrder="0" vertical="center"/>
    </xf>
    <xf borderId="12" fillId="9" fontId="28" numFmtId="0" xfId="0" applyAlignment="1" applyBorder="1" applyFont="1">
      <alignment horizontal="center" readingOrder="0" vertical="center"/>
    </xf>
    <xf borderId="0" fillId="9" fontId="20" numFmtId="0" xfId="0" applyAlignment="1" applyFont="1">
      <alignment horizontal="center" vertical="center"/>
    </xf>
    <xf borderId="0" fillId="5" fontId="22" numFmtId="0" xfId="0" applyAlignment="1" applyFont="1">
      <alignment horizontal="left" vertical="center"/>
    </xf>
    <xf borderId="0" fillId="5" fontId="20" numFmtId="0" xfId="0" applyAlignment="1" applyFont="1">
      <alignment horizontal="center" vertical="center"/>
    </xf>
    <xf borderId="0" fillId="5" fontId="46" numFmtId="0" xfId="0" applyAlignment="1" applyFont="1">
      <alignment horizontal="center" vertical="center"/>
    </xf>
    <xf borderId="0" fillId="5" fontId="20" numFmtId="0" xfId="0" applyAlignment="1" applyFont="1">
      <alignment readingOrder="0" vertical="center"/>
    </xf>
    <xf borderId="0" fillId="5" fontId="20" numFmtId="0" xfId="0" applyAlignment="1" applyFont="1">
      <alignment horizontal="left" vertical="center"/>
    </xf>
    <xf borderId="0" fillId="5" fontId="20" numFmtId="0" xfId="0" applyAlignment="1" applyFont="1">
      <alignment horizontal="center" readingOrder="0" vertical="center"/>
    </xf>
    <xf borderId="0" fillId="8" fontId="20" numFmtId="0" xfId="0" applyAlignment="1" applyFont="1">
      <alignment horizontal="center" readingOrder="0" vertical="center"/>
    </xf>
    <xf borderId="0" fillId="5" fontId="20" numFmtId="165" xfId="0" applyAlignment="1" applyFont="1" applyNumberFormat="1">
      <alignment horizontal="center" readingOrder="0" vertical="center"/>
    </xf>
    <xf borderId="12" fillId="0" fontId="35" numFmtId="170" xfId="0" applyAlignment="1" applyBorder="1" applyFont="1" applyNumberFormat="1">
      <alignment horizontal="center" readingOrder="0" vertical="center"/>
    </xf>
    <xf borderId="0" fillId="5" fontId="20" numFmtId="167" xfId="0" applyAlignment="1" applyFont="1" applyNumberFormat="1">
      <alignment horizontal="center" readingOrder="0" vertical="center"/>
    </xf>
    <xf borderId="0" fillId="0" fontId="20" numFmtId="0" xfId="0" applyAlignment="1" applyFont="1">
      <alignment vertical="center"/>
    </xf>
    <xf borderId="0" fillId="20" fontId="22" numFmtId="0" xfId="0" applyAlignment="1" applyFill="1" applyFont="1">
      <alignment horizontal="left" vertical="center"/>
    </xf>
    <xf borderId="0" fillId="20" fontId="20" numFmtId="0" xfId="0" applyAlignment="1" applyFont="1">
      <alignment horizontal="center" vertical="center"/>
    </xf>
    <xf borderId="0" fillId="20" fontId="20" numFmtId="0" xfId="0" applyAlignment="1" applyFont="1">
      <alignment readingOrder="0" vertical="center"/>
    </xf>
    <xf borderId="0" fillId="20" fontId="20" numFmtId="0" xfId="0" applyAlignment="1" applyFont="1">
      <alignment horizontal="center" readingOrder="0" vertical="center"/>
    </xf>
    <xf borderId="0" fillId="20" fontId="20" numFmtId="165" xfId="0" applyAlignment="1" applyFont="1" applyNumberFormat="1">
      <alignment horizontal="center" readingOrder="0" vertical="center"/>
    </xf>
    <xf borderId="12" fillId="20" fontId="35" numFmtId="170" xfId="0" applyAlignment="1" applyBorder="1" applyFont="1" applyNumberFormat="1">
      <alignment horizontal="center" readingOrder="0" vertical="center"/>
    </xf>
    <xf borderId="0" fillId="20" fontId="20" numFmtId="167" xfId="0" applyAlignment="1" applyFont="1" applyNumberFormat="1">
      <alignment horizontal="center" readingOrder="0" vertical="center"/>
    </xf>
    <xf borderId="0" fillId="20" fontId="20" numFmtId="0" xfId="0" applyAlignment="1" applyFont="1">
      <alignment vertical="center"/>
    </xf>
    <xf borderId="0" fillId="0" fontId="22" numFmtId="0" xfId="0" applyAlignment="1" applyFont="1">
      <alignment horizontal="left" vertical="center"/>
    </xf>
    <xf borderId="0" fillId="0" fontId="20" numFmtId="0" xfId="0" applyAlignment="1" applyFont="1">
      <alignment horizontal="center" vertical="center"/>
    </xf>
    <xf borderId="0" fillId="0" fontId="20" numFmtId="0" xfId="0" applyAlignment="1" applyFont="1">
      <alignment readingOrder="0" vertical="center"/>
    </xf>
    <xf borderId="0" fillId="0" fontId="20" numFmtId="0" xfId="0" applyAlignment="1" applyFont="1">
      <alignment horizontal="center" readingOrder="0" vertical="center"/>
    </xf>
    <xf borderId="0" fillId="0" fontId="20" numFmtId="165" xfId="0" applyAlignment="1" applyFont="1" applyNumberFormat="1">
      <alignment horizontal="center" readingOrder="0" vertical="center"/>
    </xf>
    <xf borderId="12" fillId="0" fontId="35" numFmtId="170" xfId="0" applyAlignment="1" applyBorder="1" applyFont="1" applyNumberFormat="1">
      <alignment horizontal="center" readingOrder="0" vertical="center"/>
    </xf>
    <xf borderId="0" fillId="0" fontId="20" numFmtId="167" xfId="0" applyAlignment="1" applyFont="1" applyNumberFormat="1">
      <alignment horizontal="center" readingOrder="0" vertical="center"/>
    </xf>
    <xf borderId="0" fillId="0" fontId="20" numFmtId="0" xfId="0" applyAlignment="1" applyFont="1">
      <alignment vertical="center"/>
    </xf>
    <xf borderId="0" fillId="0" fontId="46" numFmtId="0" xfId="0" applyAlignment="1" applyFont="1">
      <alignment horizontal="center" vertical="center"/>
    </xf>
    <xf borderId="0" fillId="0" fontId="20" numFmtId="0" xfId="0" applyAlignment="1" applyFont="1">
      <alignment horizontal="center" readingOrder="0" vertical="center"/>
    </xf>
    <xf borderId="0" fillId="0" fontId="20" numFmtId="0" xfId="0" applyAlignment="1" applyFont="1">
      <alignment horizontal="left" vertical="center"/>
    </xf>
    <xf borderId="0" fillId="5" fontId="20" numFmtId="49" xfId="0" applyAlignment="1" applyFont="1" applyNumberFormat="1">
      <alignment horizontal="center" vertical="center"/>
    </xf>
    <xf borderId="0" fillId="5" fontId="22" numFmtId="49" xfId="0" applyAlignment="1" applyFont="1" applyNumberFormat="1">
      <alignment horizontal="center" vertical="center"/>
    </xf>
    <xf borderId="0" fillId="5" fontId="22" numFmtId="0" xfId="0" applyAlignment="1" applyFont="1">
      <alignment horizontal="center" vertical="center"/>
    </xf>
    <xf borderId="0" fillId="0" fontId="22" numFmtId="0" xfId="0" applyAlignment="1" applyFont="1">
      <alignment vertical="center"/>
    </xf>
    <xf borderId="0" fillId="13" fontId="22" numFmtId="0" xfId="0" applyAlignment="1" applyFont="1">
      <alignment horizontal="center" vertical="center"/>
    </xf>
    <xf borderId="0" fillId="13" fontId="20" numFmtId="165" xfId="0" applyAlignment="1" applyFont="1" applyNumberFormat="1">
      <alignment horizontal="center" readingOrder="0" vertical="center"/>
    </xf>
    <xf borderId="0" fillId="13" fontId="20" numFmtId="167" xfId="0" applyAlignment="1" applyFont="1" applyNumberFormat="1">
      <alignment horizontal="center" readingOrder="0" vertical="center"/>
    </xf>
    <xf borderId="0" fillId="0" fontId="22" numFmtId="0" xfId="0" applyAlignment="1" applyFont="1">
      <alignment horizontal="center" vertical="center"/>
    </xf>
    <xf borderId="0" fillId="0" fontId="22" numFmtId="0" xfId="0" applyAlignment="1" applyFont="1">
      <alignment horizontal="center" vertical="center"/>
    </xf>
    <xf borderId="0" fillId="0" fontId="20" numFmtId="167" xfId="0" applyAlignment="1" applyFont="1" applyNumberFormat="1">
      <alignment horizontal="center" readingOrder="0" vertical="center"/>
    </xf>
    <xf borderId="0" fillId="20" fontId="46" numFmtId="0" xfId="0" applyAlignment="1" applyFont="1">
      <alignment horizontal="center" vertical="center"/>
    </xf>
    <xf borderId="0" fillId="20" fontId="20" numFmtId="0" xfId="0" applyAlignment="1" applyFont="1">
      <alignment horizontal="left" vertical="center"/>
    </xf>
    <xf borderId="0" fillId="0" fontId="46" numFmtId="0" xfId="0" applyAlignment="1" applyFont="1">
      <alignment horizontal="center" vertical="center"/>
    </xf>
    <xf borderId="0" fillId="20" fontId="46" numFmtId="0" xfId="0" applyAlignment="1" applyFont="1">
      <alignment horizontal="center" readingOrder="0" vertical="center"/>
    </xf>
    <xf borderId="0" fillId="0" fontId="20" numFmtId="0" xfId="0" applyAlignment="1" applyFont="1">
      <alignment horizontal="center" vertical="center"/>
    </xf>
    <xf borderId="0" fillId="0" fontId="22" numFmtId="0" xfId="0" applyAlignment="1" applyFont="1">
      <alignment horizontal="left" vertical="center"/>
    </xf>
    <xf borderId="0" fillId="0" fontId="20" numFmtId="0" xfId="0" applyAlignment="1" applyFont="1">
      <alignment horizontal="left" vertical="center"/>
    </xf>
    <xf borderId="0" fillId="0" fontId="20" numFmtId="165" xfId="0" applyAlignment="1" applyFont="1" applyNumberFormat="1">
      <alignment horizontal="center" readingOrder="0" vertical="center"/>
    </xf>
    <xf borderId="0" fillId="8" fontId="46" numFmtId="0" xfId="0" applyAlignment="1" applyFont="1">
      <alignment horizontal="center" readingOrder="0" vertical="center"/>
    </xf>
    <xf borderId="0" fillId="0" fontId="47" numFmtId="0" xfId="0" applyAlignment="1" applyFont="1">
      <alignment readingOrder="0"/>
    </xf>
    <xf borderId="0" fillId="0" fontId="47" numFmtId="0" xfId="0" applyFont="1"/>
    <xf borderId="0" fillId="8" fontId="20" numFmtId="167" xfId="0" applyAlignment="1" applyFont="1" applyNumberFormat="1">
      <alignment horizontal="center" vertical="center"/>
    </xf>
    <xf borderId="0" fillId="2" fontId="27" numFmtId="0" xfId="0" applyAlignment="1" applyFont="1">
      <alignment horizontal="center" readingOrder="0" vertical="center"/>
    </xf>
    <xf borderId="0" fillId="2" fontId="48" numFmtId="0" xfId="0" applyAlignment="1" applyFont="1">
      <alignment horizontal="left" readingOrder="0" vertical="center"/>
    </xf>
    <xf borderId="0" fillId="3" fontId="49" numFmtId="0" xfId="0" applyAlignment="1" applyFont="1">
      <alignment horizontal="left" readingOrder="0" shrinkToFit="0" textRotation="0" vertical="center" wrapText="0"/>
    </xf>
    <xf borderId="0" fillId="0" fontId="50" numFmtId="0" xfId="0" applyAlignment="1" applyFont="1">
      <alignment readingOrder="0" vertical="center"/>
    </xf>
    <xf borderId="0" fillId="10" fontId="29" numFmtId="0" xfId="0" applyAlignment="1" applyFont="1">
      <alignment horizontal="center" readingOrder="0" shrinkToFit="0" textRotation="0" vertical="center" wrapText="0"/>
    </xf>
    <xf borderId="0" fillId="3" fontId="18" numFmtId="0" xfId="0" applyAlignment="1" applyFont="1">
      <alignment horizontal="center" textRotation="0" vertical="center"/>
    </xf>
    <xf borderId="0" fillId="0" fontId="20" numFmtId="0" xfId="0" applyAlignment="1" applyFont="1">
      <alignment horizontal="center" readingOrder="0"/>
    </xf>
    <xf borderId="0" fillId="0" fontId="22" numFmtId="0" xfId="0" applyAlignment="1" applyFont="1">
      <alignment horizontal="center" readingOrder="0"/>
    </xf>
    <xf borderId="0" fillId="0" fontId="37" numFmtId="0" xfId="0" applyAlignment="1" applyFont="1">
      <alignment horizontal="center" readingOrder="0"/>
    </xf>
    <xf borderId="0" fillId="0" fontId="22" numFmtId="0" xfId="0" applyAlignment="1" applyFont="1">
      <alignment horizontal="center"/>
    </xf>
    <xf borderId="13" fillId="0" fontId="22" numFmtId="0" xfId="0" applyAlignment="1" applyBorder="1" applyFont="1">
      <alignment horizontal="center"/>
    </xf>
    <xf borderId="0" fillId="0" fontId="22" numFmtId="165" xfId="0" applyAlignment="1" applyFont="1" applyNumberFormat="1">
      <alignment horizontal="center"/>
    </xf>
    <xf borderId="0" fillId="0" fontId="20" numFmtId="0" xfId="0" applyAlignment="1" applyFont="1">
      <alignment readingOrder="0"/>
    </xf>
    <xf borderId="0" fillId="21" fontId="51" numFmtId="0" xfId="0" applyAlignment="1" applyFill="1" applyFont="1">
      <alignment horizontal="center" vertical="center"/>
    </xf>
    <xf borderId="0" fillId="0" fontId="22" numFmtId="0" xfId="0" applyAlignment="1" applyFont="1">
      <alignment readingOrder="0"/>
    </xf>
    <xf borderId="0" fillId="0" fontId="52" numFmtId="0" xfId="0" applyAlignment="1" applyFont="1">
      <alignment horizontal="left" readingOrder="0"/>
    </xf>
    <xf borderId="0" fillId="0" fontId="22" numFmtId="165" xfId="0" applyFont="1" applyNumberFormat="1"/>
    <xf borderId="13" fillId="0" fontId="22" numFmtId="0" xfId="0" applyBorder="1" applyFont="1"/>
    <xf borderId="0" fillId="22" fontId="51" numFmtId="0" xfId="0" applyAlignment="1" applyFill="1" applyFont="1">
      <alignment horizontal="center" vertical="center"/>
    </xf>
    <xf borderId="0" fillId="0" fontId="22" numFmtId="0" xfId="0" applyAlignment="1" applyFont="1">
      <alignment horizontal="left" readingOrder="0"/>
    </xf>
    <xf borderId="0" fillId="23" fontId="51" numFmtId="0" xfId="0" applyAlignment="1" applyFill="1" applyFont="1">
      <alignment horizontal="center" vertical="center"/>
    </xf>
    <xf borderId="0" fillId="0" fontId="37" numFmtId="1" xfId="0" applyAlignment="1" applyFont="1" applyNumberFormat="1">
      <alignment readingOrder="0"/>
    </xf>
    <xf borderId="0" fillId="24" fontId="51" numFmtId="0" xfId="0" applyAlignment="1" applyFill="1" applyFont="1">
      <alignment horizontal="center" vertical="center"/>
    </xf>
    <xf borderId="0" fillId="0" fontId="20" numFmtId="0" xfId="0" applyFont="1"/>
    <xf borderId="0" fillId="0" fontId="22" numFmtId="0" xfId="0" applyAlignment="1" applyFont="1">
      <alignment horizontal="left"/>
    </xf>
    <xf borderId="14" fillId="0" fontId="22" numFmtId="0" xfId="0" applyBorder="1" applyFont="1"/>
    <xf borderId="14" fillId="0" fontId="22" numFmtId="0" xfId="0" applyAlignment="1" applyBorder="1" applyFont="1">
      <alignment horizontal="left"/>
    </xf>
    <xf borderId="14" fillId="0" fontId="22" numFmtId="0" xfId="0" applyAlignment="1" applyBorder="1" applyFont="1">
      <alignment horizontal="center"/>
    </xf>
    <xf borderId="14" fillId="0" fontId="22" numFmtId="0" xfId="0" applyAlignment="1" applyBorder="1" applyFont="1">
      <alignment horizontal="center" readingOrder="0"/>
    </xf>
    <xf borderId="14" fillId="0" fontId="22" numFmtId="0" xfId="0" applyAlignment="1" applyBorder="1" applyFont="1">
      <alignment readingOrder="0"/>
    </xf>
    <xf borderId="14" fillId="0" fontId="22" numFmtId="165" xfId="0" applyBorder="1" applyFont="1" applyNumberFormat="1"/>
    <xf borderId="15" fillId="0" fontId="53" numFmtId="1" xfId="0" applyAlignment="1" applyBorder="1" applyFont="1" applyNumberFormat="1">
      <alignment horizontal="center" vertical="bottom"/>
    </xf>
    <xf borderId="0" fillId="0" fontId="53" numFmtId="1" xfId="0" applyAlignment="1" applyFont="1" applyNumberFormat="1">
      <alignment horizontal="center" vertical="bottom"/>
    </xf>
    <xf borderId="0" fillId="0" fontId="54" numFmtId="0" xfId="0" applyAlignment="1" applyFont="1">
      <alignment vertical="bottom"/>
    </xf>
    <xf borderId="0" fillId="2" fontId="55" numFmtId="49" xfId="0" applyAlignment="1" applyFont="1" applyNumberFormat="1">
      <alignment horizontal="center" readingOrder="0" vertical="center"/>
    </xf>
    <xf borderId="6" fillId="2" fontId="2" numFmtId="0" xfId="0" applyAlignment="1" applyBorder="1" applyFont="1">
      <alignment horizontal="center" readingOrder="0" vertical="center"/>
    </xf>
    <xf borderId="0" fillId="4" fontId="2" numFmtId="0" xfId="0" applyAlignment="1" applyFont="1">
      <alignment horizontal="center" readingOrder="0" vertical="center"/>
    </xf>
    <xf borderId="0" fillId="2" fontId="2" numFmtId="171" xfId="0" applyAlignment="1" applyFont="1" applyNumberFormat="1">
      <alignment horizontal="center" readingOrder="0" vertical="center"/>
    </xf>
    <xf borderId="0" fillId="2" fontId="2" numFmtId="4" xfId="0" applyAlignment="1" applyFont="1" applyNumberFormat="1">
      <alignment horizontal="center" readingOrder="0" vertical="center"/>
    </xf>
    <xf borderId="0" fillId="0" fontId="47" numFmtId="14" xfId="0" applyAlignment="1" applyFont="1" applyNumberFormat="1">
      <alignment readingOrder="0"/>
    </xf>
    <xf borderId="0" fillId="0" fontId="47" numFmtId="49" xfId="0" applyFont="1" applyNumberFormat="1"/>
    <xf borderId="0" fillId="0" fontId="47" numFmtId="0" xfId="0" applyAlignment="1" applyFont="1">
      <alignment readingOrder="0"/>
    </xf>
    <xf borderId="6" fillId="0" fontId="47" numFmtId="0" xfId="0" applyAlignment="1" applyBorder="1" applyFont="1">
      <alignment readingOrder="0"/>
    </xf>
    <xf borderId="0" fillId="4" fontId="47" numFmtId="0" xfId="0" applyFont="1"/>
    <xf borderId="5" fillId="0" fontId="47" numFmtId="166" xfId="0" applyAlignment="1" applyBorder="1" applyFont="1" applyNumberFormat="1">
      <alignment horizontal="center" readingOrder="0"/>
    </xf>
    <xf borderId="0" fillId="0" fontId="47" numFmtId="166" xfId="0" applyAlignment="1" applyFont="1" applyNumberFormat="1">
      <alignment horizontal="center" readingOrder="0"/>
    </xf>
    <xf borderId="0" fillId="0" fontId="47" numFmtId="0" xfId="0" applyAlignment="1" applyFont="1">
      <alignment horizontal="left" readingOrder="0"/>
    </xf>
    <xf borderId="0" fillId="0" fontId="47" numFmtId="0" xfId="0" applyAlignment="1" applyFont="1">
      <alignment horizontal="center"/>
    </xf>
    <xf borderId="0" fillId="0" fontId="20" numFmtId="171" xfId="0" applyAlignment="1" applyFont="1" applyNumberFormat="1">
      <alignment horizontal="center" readingOrder="0" vertical="center"/>
    </xf>
    <xf borderId="0" fillId="0" fontId="20" numFmtId="4" xfId="0" applyAlignment="1" applyFont="1" applyNumberFormat="1">
      <alignment horizontal="center" readingOrder="0" vertical="center"/>
    </xf>
    <xf borderId="6" fillId="0" fontId="47" numFmtId="0" xfId="0" applyBorder="1" applyFont="1"/>
    <xf borderId="0" fillId="0" fontId="47" numFmtId="0" xfId="0" applyAlignment="1" applyFont="1">
      <alignment horizontal="center" readingOrder="0"/>
    </xf>
    <xf borderId="0" fillId="0" fontId="47" numFmtId="165" xfId="0" applyFont="1" applyNumberFormat="1"/>
    <xf borderId="0" fillId="0" fontId="47" numFmtId="0" xfId="0" applyAlignment="1" applyFont="1">
      <alignment readingOrder="0"/>
    </xf>
    <xf borderId="0" fillId="0" fontId="47" numFmtId="0" xfId="0" applyFont="1"/>
    <xf borderId="0" fillId="0" fontId="47" numFmtId="0" xfId="0" applyAlignment="1" applyFont="1">
      <alignment readingOrder="0"/>
    </xf>
    <xf borderId="6" fillId="0" fontId="47" numFmtId="0" xfId="0" applyBorder="1" applyFont="1"/>
    <xf borderId="0" fillId="4" fontId="47" numFmtId="0" xfId="0" applyFont="1"/>
    <xf borderId="0" fillId="0" fontId="47" numFmtId="0" xfId="0" applyAlignment="1" applyFont="1">
      <alignment horizontal="center" readingOrder="0"/>
    </xf>
    <xf borderId="0" fillId="0" fontId="47" numFmtId="0" xfId="0" applyAlignment="1" applyFont="1">
      <alignment horizontal="center" readingOrder="0"/>
    </xf>
    <xf borderId="0" fillId="0" fontId="20" numFmtId="171" xfId="0" applyAlignment="1" applyFont="1" applyNumberFormat="1">
      <alignment horizontal="center" readingOrder="0" vertical="center"/>
    </xf>
    <xf borderId="0" fillId="0" fontId="47" numFmtId="14" xfId="0" applyAlignment="1" applyFont="1" applyNumberFormat="1">
      <alignment readingOrder="0"/>
    </xf>
    <xf borderId="6" fillId="0" fontId="47" numFmtId="0" xfId="0" applyAlignment="1" applyBorder="1" applyFont="1">
      <alignment readingOrder="0"/>
    </xf>
    <xf borderId="6" fillId="0" fontId="47" numFmtId="0" xfId="0" applyAlignment="1" applyBorder="1" applyFont="1">
      <alignment readingOrder="0"/>
    </xf>
    <xf borderId="0" fillId="0" fontId="47" numFmtId="165" xfId="0" applyAlignment="1" applyFont="1" applyNumberFormat="1">
      <alignment readingOrder="0"/>
    </xf>
    <xf borderId="0" fillId="0" fontId="56" numFmtId="0" xfId="0" applyAlignment="1" applyFont="1">
      <alignment readingOrder="0"/>
    </xf>
    <xf borderId="0" fillId="4" fontId="47" numFmtId="0" xfId="0" applyAlignment="1" applyFont="1">
      <alignment readingOrder="0"/>
    </xf>
    <xf borderId="0" fillId="0" fontId="47" numFmtId="49" xfId="0" applyAlignment="1" applyFont="1" applyNumberFormat="1">
      <alignment readingOrder="0"/>
    </xf>
    <xf borderId="0" fillId="0" fontId="47" numFmtId="0" xfId="0" applyAlignment="1" applyFont="1">
      <alignment horizontal="center"/>
    </xf>
    <xf borderId="0" fillId="0" fontId="20" numFmtId="171" xfId="0" applyAlignment="1" applyFont="1" applyNumberFormat="1">
      <alignment horizontal="center" vertical="center"/>
    </xf>
    <xf quotePrefix="1" borderId="0" fillId="0" fontId="47" numFmtId="0" xfId="0" applyAlignment="1" applyFont="1">
      <alignment readingOrder="0"/>
    </xf>
    <xf borderId="0" fillId="0" fontId="20" numFmtId="4" xfId="0" applyAlignment="1" applyFont="1" applyNumberFormat="1">
      <alignment horizontal="center" readingOrder="0" vertical="center"/>
    </xf>
    <xf borderId="0" fillId="0" fontId="47" numFmtId="165" xfId="0" applyFont="1" applyNumberFormat="1"/>
    <xf borderId="0" fillId="0" fontId="47" numFmtId="49" xfId="0" applyFont="1" applyNumberFormat="1"/>
    <xf borderId="0" fillId="0" fontId="47" numFmtId="0" xfId="0" applyFont="1"/>
    <xf borderId="0" fillId="0" fontId="47" numFmtId="0" xfId="0" applyAlignment="1" applyFont="1">
      <alignment horizontal="left"/>
    </xf>
    <xf borderId="0" fillId="0" fontId="54" numFmtId="0" xfId="0" applyAlignment="1" applyFont="1">
      <alignment shrinkToFit="0" vertical="bottom" wrapText="0"/>
    </xf>
    <xf borderId="0" fillId="0" fontId="54" numFmtId="165" xfId="0" applyAlignment="1" applyFont="1" applyNumberFormat="1">
      <alignment horizontal="right" vertical="bottom"/>
    </xf>
    <xf borderId="0" fillId="0" fontId="54" numFmtId="0" xfId="0" applyAlignment="1" applyFont="1">
      <alignment horizontal="right" vertical="bottom"/>
    </xf>
    <xf borderId="0" fillId="4" fontId="54" numFmtId="0" xfId="0" applyAlignment="1" applyFont="1">
      <alignment vertical="bottom"/>
    </xf>
    <xf borderId="0" fillId="0" fontId="54" numFmtId="166" xfId="0" applyAlignment="1" applyFont="1" applyNumberFormat="1">
      <alignment horizontal="center" vertical="bottom"/>
    </xf>
    <xf borderId="0" fillId="0" fontId="54" numFmtId="0" xfId="0" applyAlignment="1" applyFont="1">
      <alignment vertical="bottom"/>
    </xf>
    <xf borderId="0" fillId="0" fontId="22" numFmtId="171" xfId="0" applyAlignment="1" applyFont="1" applyNumberFormat="1">
      <alignment horizontal="center"/>
    </xf>
    <xf borderId="0" fillId="0" fontId="22" numFmtId="4" xfId="0" applyAlignment="1" applyFont="1" applyNumberFormat="1">
      <alignment horizontal="center"/>
    </xf>
    <xf borderId="0" fillId="0" fontId="54" numFmtId="0" xfId="0" applyAlignment="1" applyFont="1">
      <alignment horizontal="center" vertical="bottom"/>
    </xf>
    <xf borderId="0" fillId="0" fontId="54" numFmtId="14" xfId="0" applyAlignment="1" applyFont="1" applyNumberFormat="1">
      <alignment horizontal="right" vertical="bottom"/>
    </xf>
    <xf borderId="0" fillId="0" fontId="54" numFmtId="166" xfId="0" applyAlignment="1" applyFont="1" applyNumberFormat="1">
      <alignment vertical="bottom"/>
    </xf>
    <xf borderId="0" fillId="0" fontId="54" numFmtId="171" xfId="0" applyFont="1" applyNumberFormat="1"/>
    <xf borderId="0" fillId="0" fontId="54" numFmtId="4" xfId="0" applyFont="1" applyNumberFormat="1"/>
    <xf borderId="0" fillId="0" fontId="57" numFmtId="0" xfId="0" applyAlignment="1" applyFont="1">
      <alignment readingOrder="0"/>
    </xf>
  </cellXfs>
  <cellStyles count="1">
    <cellStyle xfId="0" name="Normal" builtinId="0"/>
  </cellStyles>
  <dxfs count="36">
    <dxf>
      <font/>
      <fill>
        <patternFill patternType="solid">
          <fgColor theme="6"/>
          <bgColor theme="6"/>
        </patternFill>
      </fill>
      <border/>
    </dxf>
    <dxf>
      <font/>
      <fill>
        <patternFill patternType="solid">
          <fgColor rgb="FFEFEFEF"/>
          <bgColor rgb="FFEFEFEF"/>
        </patternFill>
      </fill>
      <border/>
    </dxf>
    <dxf>
      <font/>
      <fill>
        <patternFill patternType="solid">
          <fgColor rgb="FF46E677"/>
          <bgColor rgb="FF46E677"/>
        </patternFill>
      </fill>
      <border/>
    </dxf>
    <dxf>
      <font>
        <color rgb="FFFFFFFF"/>
      </font>
      <fill>
        <patternFill patternType="solid">
          <fgColor rgb="FF3D8AFD"/>
          <bgColor rgb="FF3D8AFD"/>
        </patternFill>
      </fill>
      <border/>
    </dxf>
    <dxf>
      <font>
        <color rgb="FF000000"/>
      </font>
      <fill>
        <patternFill patternType="solid">
          <fgColor rgb="FFFFE5A0"/>
          <bgColor rgb="FFFFE5A0"/>
        </patternFill>
      </fill>
      <border/>
    </dxf>
    <dxf>
      <font/>
      <fill>
        <patternFill patternType="none"/>
      </fill>
      <border/>
    </dxf>
    <dxf>
      <font/>
      <fill>
        <patternFill patternType="solid">
          <fgColor theme="7"/>
          <bgColor theme="7"/>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FF148B"/>
          <bgColor rgb="FFFF148B"/>
        </patternFill>
      </fill>
      <border/>
    </dxf>
    <dxf>
      <font/>
      <fill>
        <patternFill patternType="solid">
          <fgColor rgb="FFFFCB00"/>
          <bgColor rgb="FFFFCB00"/>
        </patternFill>
      </fill>
      <border/>
    </dxf>
    <dxf>
      <font/>
      <fill>
        <patternFill patternType="solid">
          <fgColor rgb="FF2B76E5"/>
          <bgColor rgb="FF2B76E5"/>
        </patternFill>
      </fill>
      <border/>
    </dxf>
    <dxf>
      <font/>
      <fill>
        <patternFill patternType="solid">
          <fgColor rgb="FF66CCFF"/>
          <bgColor rgb="FF66CCFF"/>
        </patternFill>
      </fill>
      <border/>
    </dxf>
    <dxf>
      <font>
        <color rgb="FF434343"/>
      </font>
      <fill>
        <patternFill patternType="solid">
          <fgColor rgb="FF434343"/>
          <bgColor rgb="FF434343"/>
        </patternFill>
      </fill>
      <border/>
    </dxf>
    <dxf>
      <font/>
      <fill>
        <patternFill patternType="solid">
          <fgColor rgb="FF7E20FD"/>
          <bgColor rgb="FF7E20FD"/>
        </patternFill>
      </fill>
      <border/>
    </dxf>
    <dxf>
      <font/>
      <fill>
        <patternFill patternType="solid">
          <fgColor rgb="FF3E81E9"/>
          <bgColor rgb="FF3E81E9"/>
        </patternFill>
      </fill>
      <border/>
    </dxf>
    <dxf>
      <font/>
      <fill>
        <patternFill patternType="solid">
          <fgColor rgb="FF6AA4FB"/>
          <bgColor rgb="FF6AA4FB"/>
        </patternFill>
      </fill>
      <border/>
    </dxf>
    <dxf>
      <font>
        <color rgb="FFFFFFFF"/>
      </font>
      <fill>
        <patternFill patternType="solid">
          <fgColor rgb="FF46E677"/>
          <bgColor rgb="FF46E677"/>
        </patternFill>
      </fill>
      <border/>
    </dxf>
    <dxf>
      <font>
        <color rgb="FF000000"/>
      </font>
      <fill>
        <patternFill patternType="solid">
          <fgColor rgb="FFFFCB00"/>
          <bgColor rgb="FFFFCB00"/>
        </patternFill>
      </fill>
      <border/>
    </dxf>
    <dxf>
      <font>
        <color rgb="FFFFFFFF"/>
      </font>
      <fill>
        <patternFill patternType="solid">
          <fgColor theme="4"/>
          <bgColor theme="4"/>
        </patternFill>
      </fill>
      <border/>
    </dxf>
    <dxf>
      <font/>
      <fill>
        <patternFill patternType="solid">
          <fgColor rgb="FFB7E1CD"/>
          <bgColor rgb="FFB7E1CD"/>
        </patternFill>
      </fill>
      <border/>
    </dxf>
    <dxf>
      <font/>
      <fill>
        <patternFill patternType="solid">
          <fgColor rgb="FFFFD966"/>
          <bgColor rgb="FFFFD966"/>
        </patternFill>
      </fill>
      <border/>
    </dxf>
    <dxf>
      <font>
        <color rgb="FFFFFFFF"/>
      </font>
      <fill>
        <patternFill patternType="solid">
          <fgColor rgb="FF999999"/>
          <bgColor rgb="FF999999"/>
        </patternFill>
      </fill>
      <border/>
    </dxf>
    <dxf>
      <font/>
      <fill>
        <patternFill patternType="solid">
          <fgColor rgb="FF00DAFF"/>
          <bgColor rgb="FF00DAFF"/>
        </patternFill>
      </fill>
      <border/>
    </dxf>
    <dxf>
      <font/>
      <fill>
        <patternFill patternType="solid">
          <fgColor rgb="FFFF3F97"/>
          <bgColor rgb="FFFF3F97"/>
        </patternFill>
      </fill>
      <border/>
    </dxf>
    <dxf>
      <font/>
      <fill>
        <patternFill patternType="solid">
          <fgColor rgb="FFFFFF00"/>
          <bgColor rgb="FFFFFF00"/>
        </patternFill>
      </fill>
      <border/>
    </dxf>
    <dxf>
      <font/>
      <fill>
        <patternFill patternType="solid">
          <fgColor rgb="FF4A86E8"/>
          <bgColor rgb="FF4A86E8"/>
        </patternFill>
      </fill>
      <border/>
    </dxf>
    <dxf>
      <font/>
      <fill>
        <patternFill patternType="solid">
          <fgColor rgb="FF34A853"/>
          <bgColor rgb="FF34A853"/>
        </patternFill>
      </fill>
      <border/>
    </dxf>
    <dxf>
      <font>
        <color rgb="FFF3F3F3"/>
      </font>
      <fill>
        <patternFill patternType="solid">
          <fgColor rgb="FF434343"/>
          <bgColor rgb="FF434343"/>
        </patternFill>
      </fill>
      <border/>
    </dxf>
    <dxf>
      <font>
        <color rgb="FFF3F3F3"/>
      </font>
      <fill>
        <patternFill patternType="solid">
          <fgColor rgb="FF9900FF"/>
          <bgColor rgb="FF9900FF"/>
        </patternFill>
      </fill>
      <border/>
    </dxf>
    <dxf>
      <font/>
      <fill>
        <patternFill patternType="solid">
          <fgColor rgb="FFFBBC04"/>
          <bgColor rgb="FFFBBC04"/>
        </patternFill>
      </fill>
      <border/>
    </dxf>
    <dxf>
      <font>
        <b/>
        <color rgb="FFFFFFFF"/>
      </font>
      <fill>
        <patternFill patternType="solid">
          <fgColor rgb="FF4285F4"/>
          <bgColor rgb="FF4285F4"/>
        </patternFill>
      </fill>
      <border/>
    </dxf>
    <dxf>
      <font>
        <b/>
        <color rgb="FFFF0000"/>
      </font>
      <fill>
        <patternFill patternType="solid">
          <fgColor rgb="FFF4CCCC"/>
          <bgColor rgb="FFF4CCCC"/>
        </patternFill>
      </fill>
      <border/>
    </dxf>
    <dxf>
      <font>
        <b/>
      </font>
      <fill>
        <patternFill patternType="solid">
          <fgColor rgb="FFFBBC04"/>
          <bgColor rgb="FFFBBC04"/>
        </patternFill>
      </fill>
      <border/>
    </dxf>
    <dxf>
      <font>
        <b/>
      </font>
      <fill>
        <patternFill patternType="solid">
          <fgColor rgb="FFFCE8B2"/>
          <bgColor rgb="FFFCE8B2"/>
        </patternFill>
      </fill>
      <border/>
    </dxf>
    <dxf>
      <font/>
      <fill>
        <patternFill patternType="solid">
          <fgColor rgb="FFFCE8B2"/>
          <bgColor rgb="FFFCE8B2"/>
        </patternFill>
      </fill>
      <border/>
    </dxf>
  </dxfs>
  <tableStyles count="43">
    <tableStyle count="3" pivot="0" name="Content_Creation-style">
      <tableStyleElement dxfId="6" type="headerRow"/>
      <tableStyleElement dxfId="7" type="firstRowStripe"/>
      <tableStyleElement dxfId="8" type="secondRowStripe"/>
    </tableStyle>
    <tableStyle count="2" pivot="0" name="Content_Creation-style 2">
      <tableStyleElement dxfId="8" type="firstRowStripe"/>
      <tableStyleElement dxfId="7" type="secondRowStripe"/>
    </tableStyle>
    <tableStyle count="3" pivot="0" name="Project_Management-style">
      <tableStyleElement dxfId="6" type="headerRow"/>
      <tableStyleElement dxfId="7" type="firstRowStripe"/>
      <tableStyleElement dxfId="8" type="secondRowStripe"/>
    </tableStyle>
    <tableStyle count="3" pivot="0" name="Daily Plan-style">
      <tableStyleElement dxfId="6" type="headerRow"/>
      <tableStyleElement dxfId="7" type="firstRowStripe"/>
      <tableStyleElement dxfId="8" type="secondRowStripe"/>
    </tableStyle>
    <tableStyle count="3" pivot="0" name="Work_Hours-style">
      <tableStyleElement dxfId="6" type="headerRow"/>
      <tableStyleElement dxfId="7" type="firstRowStripe"/>
      <tableStyleElement dxfId="8" type="secondRowStripe"/>
    </tableStyle>
    <tableStyle count="2" pivot="0" name="Dump-style">
      <tableStyleElement dxfId="7" type="firstRowStripe"/>
      <tableStyleElement dxfId="8" type="secondRowStripe"/>
    </tableStyle>
    <tableStyle count="2" pivot="0" name="Dump-style 2">
      <tableStyleElement dxfId="7" type="firstRowStripe"/>
      <tableStyleElement dxfId="8" type="secondRowStripe"/>
    </tableStyle>
    <tableStyle count="2" pivot="0" name="Dump-style 3">
      <tableStyleElement dxfId="7" type="firstRowStripe"/>
      <tableStyleElement dxfId="8" type="secondRowStripe"/>
    </tableStyle>
    <tableStyle count="2" pivot="0" name="Dump-style 4">
      <tableStyleElement dxfId="7" type="firstRowStripe"/>
      <tableStyleElement dxfId="8" type="secondRowStripe"/>
    </tableStyle>
    <tableStyle count="2" pivot="0" name="Dump-style 5">
      <tableStyleElement dxfId="7" type="firstRowStripe"/>
      <tableStyleElement dxfId="8" type="secondRowStripe"/>
    </tableStyle>
    <tableStyle count="2" pivot="0" name="Dump-style 6">
      <tableStyleElement dxfId="7" type="firstRowStripe"/>
      <tableStyleElement dxfId="8" type="secondRowStripe"/>
    </tableStyle>
    <tableStyle count="2" pivot="0" name="Dump-style 7">
      <tableStyleElement dxfId="7" type="firstRowStripe"/>
      <tableStyleElement dxfId="8" type="secondRowStripe"/>
    </tableStyle>
    <tableStyle count="2" pivot="0" name="Dump-style 8">
      <tableStyleElement dxfId="7" type="firstRowStripe"/>
      <tableStyleElement dxfId="8" type="secondRowStripe"/>
    </tableStyle>
    <tableStyle count="2" pivot="0" name="Dump-style 9">
      <tableStyleElement dxfId="7" type="firstRowStripe"/>
      <tableStyleElement dxfId="8" type="secondRowStripe"/>
    </tableStyle>
    <tableStyle count="2" pivot="0" name="Dump-style 10">
      <tableStyleElement dxfId="7" type="firstRowStripe"/>
      <tableStyleElement dxfId="8" type="secondRowStripe"/>
    </tableStyle>
    <tableStyle count="2" pivot="0" name="Dump-style 11">
      <tableStyleElement dxfId="7" type="firstRowStripe"/>
      <tableStyleElement dxfId="8" type="secondRowStripe"/>
    </tableStyle>
    <tableStyle count="2" pivot="0" name="Dump-style 12">
      <tableStyleElement dxfId="7" type="firstRowStripe"/>
      <tableStyleElement dxfId="8" type="secondRowStripe"/>
    </tableStyle>
    <tableStyle count="2" pivot="0" name="Dump-style 13">
      <tableStyleElement dxfId="7" type="firstRowStripe"/>
      <tableStyleElement dxfId="8" type="secondRowStripe"/>
    </tableStyle>
    <tableStyle count="2" pivot="0" name="Dump-style 14">
      <tableStyleElement dxfId="7" type="firstRowStripe"/>
      <tableStyleElement dxfId="8" type="secondRowStripe"/>
    </tableStyle>
    <tableStyle count="2" pivot="0" name="Dump-style 15">
      <tableStyleElement dxfId="7" type="firstRowStripe"/>
      <tableStyleElement dxfId="8" type="secondRowStripe"/>
    </tableStyle>
    <tableStyle count="2" pivot="0" name="Dump-style 16">
      <tableStyleElement dxfId="7" type="firstRowStripe"/>
      <tableStyleElement dxfId="8" type="secondRowStripe"/>
    </tableStyle>
    <tableStyle count="2" pivot="0" name="Dump-style 17">
      <tableStyleElement dxfId="7" type="firstRowStripe"/>
      <tableStyleElement dxfId="8" type="secondRowStripe"/>
    </tableStyle>
    <tableStyle count="2" pivot="0" name="Dump-style 18">
      <tableStyleElement dxfId="7" type="firstRowStripe"/>
      <tableStyleElement dxfId="8" type="secondRowStripe"/>
    </tableStyle>
    <tableStyle count="2" pivot="0" name="Dump-style 19">
      <tableStyleElement dxfId="7" type="firstRowStripe"/>
      <tableStyleElement dxfId="8" type="secondRowStripe"/>
    </tableStyle>
    <tableStyle count="2" pivot="0" name="Dump-style 20">
      <tableStyleElement dxfId="7" type="firstRowStripe"/>
      <tableStyleElement dxfId="8" type="secondRowStripe"/>
    </tableStyle>
    <tableStyle count="2" pivot="0" name="Dump-style 21">
      <tableStyleElement dxfId="7" type="firstRowStripe"/>
      <tableStyleElement dxfId="8" type="secondRowStripe"/>
    </tableStyle>
    <tableStyle count="2" pivot="0" name="Dump-style 22">
      <tableStyleElement dxfId="7" type="firstRowStripe"/>
      <tableStyleElement dxfId="8" type="secondRowStripe"/>
    </tableStyle>
    <tableStyle count="2" pivot="0" name="Dump-style 23">
      <tableStyleElement dxfId="7" type="firstRowStripe"/>
      <tableStyleElement dxfId="8" type="secondRowStripe"/>
    </tableStyle>
    <tableStyle count="2" pivot="0" name="Dump-style 24">
      <tableStyleElement dxfId="7" type="firstRowStripe"/>
      <tableStyleElement dxfId="8" type="secondRowStripe"/>
    </tableStyle>
    <tableStyle count="2" pivot="0" name="Dump-style 25">
      <tableStyleElement dxfId="7" type="firstRowStripe"/>
      <tableStyleElement dxfId="8" type="secondRowStripe"/>
    </tableStyle>
    <tableStyle count="2" pivot="0" name="Dump-style 26">
      <tableStyleElement dxfId="7" type="firstRowStripe"/>
      <tableStyleElement dxfId="8" type="secondRowStripe"/>
    </tableStyle>
    <tableStyle count="2" pivot="0" name="Dump-style 27">
      <tableStyleElement dxfId="7" type="firstRowStripe"/>
      <tableStyleElement dxfId="8" type="secondRowStripe"/>
    </tableStyle>
    <tableStyle count="2" pivot="0" name="Dump-style 28">
      <tableStyleElement dxfId="7" type="firstRowStripe"/>
      <tableStyleElement dxfId="8" type="secondRowStripe"/>
    </tableStyle>
    <tableStyle count="2" pivot="0" name="Dump-style 29">
      <tableStyleElement dxfId="7" type="firstRowStripe"/>
      <tableStyleElement dxfId="8" type="secondRowStripe"/>
    </tableStyle>
    <tableStyle count="2" pivot="0" name="Dump-style 30">
      <tableStyleElement dxfId="7" type="firstRowStripe"/>
      <tableStyleElement dxfId="8" type="secondRowStripe"/>
    </tableStyle>
    <tableStyle count="2" pivot="0" name="Dump-style 31">
      <tableStyleElement dxfId="7" type="firstRowStripe"/>
      <tableStyleElement dxfId="8" type="secondRowStripe"/>
    </tableStyle>
    <tableStyle count="2" pivot="0" name="Dump-style 32">
      <tableStyleElement dxfId="7" type="firstRowStripe"/>
      <tableStyleElement dxfId="8" type="secondRowStripe"/>
    </tableStyle>
    <tableStyle count="2" pivot="0" name="Dump-style 33">
      <tableStyleElement dxfId="7" type="firstRowStripe"/>
      <tableStyleElement dxfId="8" type="secondRowStripe"/>
    </tableStyle>
    <tableStyle count="2" pivot="0" name="Dump-style 34">
      <tableStyleElement dxfId="7" type="firstRowStripe"/>
      <tableStyleElement dxfId="8" type="secondRowStripe"/>
    </tableStyle>
    <tableStyle count="2" pivot="0" name="Dump-style 35">
      <tableStyleElement dxfId="7" type="firstRowStripe"/>
      <tableStyleElement dxfId="8" type="secondRowStripe"/>
    </tableStyle>
    <tableStyle count="2" pivot="0" name="Dump-style 36">
      <tableStyleElement dxfId="7" type="firstRowStripe"/>
      <tableStyleElement dxfId="8" type="secondRowStripe"/>
    </tableStyle>
    <tableStyle count="2" pivot="0" name="Dump-style 37">
      <tableStyleElement dxfId="7" type="firstRowStripe"/>
      <tableStyleElement dxfId="8" type="secondRowStripe"/>
    </tableStyle>
    <tableStyle count="2" pivot="0" name="Dump-style 38">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38100</xdr:colOff>
      <xdr:row>0</xdr:row>
      <xdr:rowOff>19050</xdr:rowOff>
    </xdr:from>
    <xdr:ext cx="1647825" cy="533400"/>
    <xdr:grpSp>
      <xdr:nvGrpSpPr>
        <xdr:cNvPr id="2" name="Shape 2" title="Drawing"/>
        <xdr:cNvGrpSpPr/>
      </xdr:nvGrpSpPr>
      <xdr:grpSpPr>
        <a:xfrm>
          <a:off x="913603" y="466950"/>
          <a:ext cx="1632447" cy="517800"/>
          <a:chOff x="913603" y="466950"/>
          <a:chExt cx="1632447" cy="517800"/>
        </a:xfrm>
      </xdr:grpSpPr>
      <xdr:sp>
        <xdr:nvSpPr>
          <xdr:cNvPr id="3" name="Shape 3"/>
          <xdr:cNvSpPr/>
        </xdr:nvSpPr>
        <xdr:spPr>
          <a:xfrm>
            <a:off x="944050" y="466950"/>
            <a:ext cx="1602000" cy="517800"/>
          </a:xfrm>
          <a:prstGeom prst="roundRect">
            <a:avLst>
              <a:gd fmla="val 50000" name="adj"/>
            </a:avLst>
          </a:prstGeom>
          <a:solidFill>
            <a:srgbClr val="38AE5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 name="Shape 4"/>
          <xdr:cNvSpPr txBox="1"/>
        </xdr:nvSpPr>
        <xdr:spPr>
          <a:xfrm>
            <a:off x="913603" y="500149"/>
            <a:ext cx="1602000" cy="4311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100">
                <a:latin typeface="Albert Sans"/>
                <a:ea typeface="Albert Sans"/>
                <a:cs typeface="Albert Sans"/>
                <a:sym typeface="Albert Sans"/>
              </a:rPr>
              <a:t>⏱️</a:t>
            </a:r>
            <a:r>
              <a:rPr lang="en-US" sz="1900">
                <a:latin typeface="Albert Sans"/>
                <a:ea typeface="Albert Sans"/>
                <a:cs typeface="Albert Sans"/>
                <a:sym typeface="Albert Sans"/>
              </a:rPr>
              <a:t> </a:t>
            </a:r>
            <a:r>
              <a:rPr lang="en-US" sz="1900">
                <a:solidFill>
                  <a:srgbClr val="F3F3F3"/>
                </a:solidFill>
                <a:latin typeface="Albert Sans"/>
                <a:ea typeface="Albert Sans"/>
                <a:cs typeface="Albert Sans"/>
                <a:sym typeface="Albert Sans"/>
              </a:rPr>
              <a:t>Pause</a:t>
            </a:r>
            <a:endParaRPr sz="1900">
              <a:solidFill>
                <a:srgbClr val="F3F3F3"/>
              </a:solidFill>
              <a:latin typeface="Albert Sans"/>
              <a:ea typeface="Albert Sans"/>
              <a:cs typeface="Albert Sans"/>
              <a:sym typeface="Albert Sans"/>
            </a:endParaRPr>
          </a:p>
        </xdr:txBody>
      </xdr: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M1:W2" displayName="Table_1" id="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ent_Creati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M137:R138" displayName="Table_2" id="2">
  <tableColumns count="6">
    <tableColumn name="Column1" id="1"/>
    <tableColumn name="Column2" id="2"/>
    <tableColumn name="Column3" id="3"/>
    <tableColumn name="Column4" id="4"/>
    <tableColumn name="Column5" id="5"/>
    <tableColumn name="Column6" id="6"/>
  </tableColumns>
  <tableStyleInfo name="Content_Creation-style 2" showColumnStripes="0" showFirstColumn="1" showLastColumn="1" showRowStripes="1"/>
</table>
</file>

<file path=xl/tables/table3.xml><?xml version="1.0" encoding="utf-8"?>
<table xmlns="http://schemas.openxmlformats.org/spreadsheetml/2006/main" ref="M2:R224" displayName="Table_3" id="3">
  <tableColumns count="6">
    <tableColumn name="Start Time " id="1"/>
    <tableColumn name="End Time" id="2"/>
    <tableColumn name="Pause Starts" id="3"/>
    <tableColumn name="Pause Ends" id="4"/>
    <tableColumn name="Timer Status" id="5"/>
    <tableColumn name="Elapsed Time" id="6"/>
  </tableColumns>
  <tableStyleInfo name="Project_Management-style" showColumnStripes="0" showFirstColumn="1" showLastColumn="1" showRowStripes="1"/>
</table>
</file>

<file path=xl/tables/table4.xml><?xml version="1.0" encoding="utf-8"?>
<table xmlns="http://schemas.openxmlformats.org/spreadsheetml/2006/main" headerRowCount="0" ref="B4:J24" displayName="Table_4" id="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Daily Plan-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O1001" displayName="Table_5" id="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Work_Hour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U162" displayName="Table_6" id="6">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Dump-style" showColumnStripes="0" showFirstColumn="1" showLastColumn="1" showRowStripes="1"/>
</table>
</file>

<file path=xl/tables/table7.xml><?xml version="1.0" encoding="utf-8"?>
<table xmlns="http://schemas.openxmlformats.org/spreadsheetml/2006/main" headerRowCount="0" ref="S163:U163" displayName="Table_7" id="7">
  <tableColumns count="3">
    <tableColumn name="Column1" id="1"/>
    <tableColumn name="Column2" id="2"/>
    <tableColumn name="Column3" id="3"/>
  </tableColumns>
  <tableStyleInfo name="Dump-style 2" showColumnStripes="0" showFirstColumn="1" showLastColumn="1" showRowStripes="1"/>
</table>
</file>

<file path=xl/tables/table8.xml><?xml version="1.0" encoding="utf-8"?>
<table xmlns="http://schemas.openxmlformats.org/spreadsheetml/2006/main" headerRowCount="0" ref="S168:U168" displayName="Table_8" id="8">
  <tableColumns count="3">
    <tableColumn name="Column1" id="1"/>
    <tableColumn name="Column2" id="2"/>
    <tableColumn name="Column3" id="3"/>
  </tableColumns>
  <tableStyleInfo name="Dump-style 3" showColumnStripes="0" showFirstColumn="1" showLastColumn="1" showRowStripes="1"/>
</table>
</file>

<file path=xl/tables/table9.xml><?xml version="1.0" encoding="utf-8"?>
<table xmlns="http://schemas.openxmlformats.org/spreadsheetml/2006/main" headerRowCount="0" ref="S176:U176" displayName="Table_9" id="9">
  <tableColumns count="3">
    <tableColumn name="Column1" id="1"/>
    <tableColumn name="Column2" id="2"/>
    <tableColumn name="Column3" id="3"/>
  </tableColumns>
  <tableStyleInfo name="Dump-style 4" showColumnStripes="0" showFirstColumn="1" showLastColumn="1" showRowStripes="1"/>
</table>
</file>

<file path=xl/tables/table10.xml><?xml version="1.0" encoding="utf-8"?>
<table xmlns="http://schemas.openxmlformats.org/spreadsheetml/2006/main" headerRowCount="0" ref="S184:U184" displayName="Table_10" id="10">
  <tableColumns count="3">
    <tableColumn name="Column1" id="1"/>
    <tableColumn name="Column2" id="2"/>
    <tableColumn name="Column3" id="3"/>
  </tableColumns>
  <tableStyleInfo name="Dump-style 5" showColumnStripes="0" showFirstColumn="1" showLastColumn="1" showRowStripes="1"/>
</table>
</file>

<file path=xl/tables/table11.xml><?xml version="1.0" encoding="utf-8"?>
<table xmlns="http://schemas.openxmlformats.org/spreadsheetml/2006/main" headerRowCount="0" ref="S189:U189" displayName="Table_11" id="11">
  <tableColumns count="3">
    <tableColumn name="Column1" id="1"/>
    <tableColumn name="Column2" id="2"/>
    <tableColumn name="Column3" id="3"/>
  </tableColumns>
  <tableStyleInfo name="Dump-style 6" showColumnStripes="0" showFirstColumn="1" showLastColumn="1" showRowStripes="1"/>
</table>
</file>

<file path=xl/tables/table12.xml><?xml version="1.0" encoding="utf-8"?>
<table xmlns="http://schemas.openxmlformats.org/spreadsheetml/2006/main" headerRowCount="0" ref="S194:U194" displayName="Table_12" id="12">
  <tableColumns count="3">
    <tableColumn name="Column1" id="1"/>
    <tableColumn name="Column2" id="2"/>
    <tableColumn name="Column3" id="3"/>
  </tableColumns>
  <tableStyleInfo name="Dump-style 7" showColumnStripes="0" showFirstColumn="1" showLastColumn="1" showRowStripes="1"/>
</table>
</file>

<file path=xl/tables/table13.xml><?xml version="1.0" encoding="utf-8"?>
<table xmlns="http://schemas.openxmlformats.org/spreadsheetml/2006/main" headerRowCount="0" ref="S201:U201" displayName="Table_13" id="13">
  <tableColumns count="3">
    <tableColumn name="Column1" id="1"/>
    <tableColumn name="Column2" id="2"/>
    <tableColumn name="Column3" id="3"/>
  </tableColumns>
  <tableStyleInfo name="Dump-style 8" showColumnStripes="0" showFirstColumn="1" showLastColumn="1" showRowStripes="1"/>
</table>
</file>

<file path=xl/tables/table14.xml><?xml version="1.0" encoding="utf-8"?>
<table xmlns="http://schemas.openxmlformats.org/spreadsheetml/2006/main" headerRowCount="0" ref="S208:U208" displayName="Table_14" id="14">
  <tableColumns count="3">
    <tableColumn name="Column1" id="1"/>
    <tableColumn name="Column2" id="2"/>
    <tableColumn name="Column3" id="3"/>
  </tableColumns>
  <tableStyleInfo name="Dump-style 9" showColumnStripes="0" showFirstColumn="1" showLastColumn="1" showRowStripes="1"/>
</table>
</file>

<file path=xl/tables/table15.xml><?xml version="1.0" encoding="utf-8"?>
<table xmlns="http://schemas.openxmlformats.org/spreadsheetml/2006/main" headerRowCount="0" ref="S212:U212" displayName="Table_15" id="15">
  <tableColumns count="3">
    <tableColumn name="Column1" id="1"/>
    <tableColumn name="Column2" id="2"/>
    <tableColumn name="Column3" id="3"/>
  </tableColumns>
  <tableStyleInfo name="Dump-style 10" showColumnStripes="0" showFirstColumn="1" showLastColumn="1" showRowStripes="1"/>
</table>
</file>

<file path=xl/tables/table16.xml><?xml version="1.0" encoding="utf-8"?>
<table xmlns="http://schemas.openxmlformats.org/spreadsheetml/2006/main" headerRowCount="0" ref="S220:U220" displayName="Table_16" id="16">
  <tableColumns count="3">
    <tableColumn name="Column1" id="1"/>
    <tableColumn name="Column2" id="2"/>
    <tableColumn name="Column3" id="3"/>
  </tableColumns>
  <tableStyleInfo name="Dump-style 11" showColumnStripes="0" showFirstColumn="1" showLastColumn="1" showRowStripes="1"/>
</table>
</file>

<file path=xl/tables/table17.xml><?xml version="1.0" encoding="utf-8"?>
<table xmlns="http://schemas.openxmlformats.org/spreadsheetml/2006/main" headerRowCount="0" ref="S227:U227" displayName="Table_17" id="17">
  <tableColumns count="3">
    <tableColumn name="Column1" id="1"/>
    <tableColumn name="Column2" id="2"/>
    <tableColumn name="Column3" id="3"/>
  </tableColumns>
  <tableStyleInfo name="Dump-style 12" showColumnStripes="0" showFirstColumn="1" showLastColumn="1" showRowStripes="1"/>
</table>
</file>

<file path=xl/tables/table18.xml><?xml version="1.0" encoding="utf-8"?>
<table xmlns="http://schemas.openxmlformats.org/spreadsheetml/2006/main" headerRowCount="0" ref="S234:U234" displayName="Table_18" id="18">
  <tableColumns count="3">
    <tableColumn name="Column1" id="1"/>
    <tableColumn name="Column2" id="2"/>
    <tableColumn name="Column3" id="3"/>
  </tableColumns>
  <tableStyleInfo name="Dump-style 13" showColumnStripes="0" showFirstColumn="1" showLastColumn="1" showRowStripes="1"/>
</table>
</file>

<file path=xl/tables/table19.xml><?xml version="1.0" encoding="utf-8"?>
<table xmlns="http://schemas.openxmlformats.org/spreadsheetml/2006/main" headerRowCount="0" ref="S244:U244" displayName="Table_19" id="19">
  <tableColumns count="3">
    <tableColumn name="Column1" id="1"/>
    <tableColumn name="Column2" id="2"/>
    <tableColumn name="Column3" id="3"/>
  </tableColumns>
  <tableStyleInfo name="Dump-style 14" showColumnStripes="0" showFirstColumn="1" showLastColumn="1" showRowStripes="1"/>
</table>
</file>

<file path=xl/tables/table20.xml><?xml version="1.0" encoding="utf-8"?>
<table xmlns="http://schemas.openxmlformats.org/spreadsheetml/2006/main" headerRowCount="0" ref="S251:U251" displayName="Table_20" id="20">
  <tableColumns count="3">
    <tableColumn name="Column1" id="1"/>
    <tableColumn name="Column2" id="2"/>
    <tableColumn name="Column3" id="3"/>
  </tableColumns>
  <tableStyleInfo name="Dump-style 15" showColumnStripes="0" showFirstColumn="1" showLastColumn="1" showRowStripes="1"/>
</table>
</file>

<file path=xl/tables/table21.xml><?xml version="1.0" encoding="utf-8"?>
<table xmlns="http://schemas.openxmlformats.org/spreadsheetml/2006/main" headerRowCount="0" ref="S256:U256" displayName="Table_21" id="21">
  <tableColumns count="3">
    <tableColumn name="Column1" id="1"/>
    <tableColumn name="Column2" id="2"/>
    <tableColumn name="Column3" id="3"/>
  </tableColumns>
  <tableStyleInfo name="Dump-style 16" showColumnStripes="0" showFirstColumn="1" showLastColumn="1" showRowStripes="1"/>
</table>
</file>

<file path=xl/tables/table22.xml><?xml version="1.0" encoding="utf-8"?>
<table xmlns="http://schemas.openxmlformats.org/spreadsheetml/2006/main" headerRowCount="0" ref="S264:U264" displayName="Table_22" id="22">
  <tableColumns count="3">
    <tableColumn name="Column1" id="1"/>
    <tableColumn name="Column2" id="2"/>
    <tableColumn name="Column3" id="3"/>
  </tableColumns>
  <tableStyleInfo name="Dump-style 17" showColumnStripes="0" showFirstColumn="1" showLastColumn="1" showRowStripes="1"/>
</table>
</file>

<file path=xl/tables/table23.xml><?xml version="1.0" encoding="utf-8"?>
<table xmlns="http://schemas.openxmlformats.org/spreadsheetml/2006/main" headerRowCount="0" ref="S271:U271" displayName="Table_23" id="23">
  <tableColumns count="3">
    <tableColumn name="Column1" id="1"/>
    <tableColumn name="Column2" id="2"/>
    <tableColumn name="Column3" id="3"/>
  </tableColumns>
  <tableStyleInfo name="Dump-style 18" showColumnStripes="0" showFirstColumn="1" showLastColumn="1" showRowStripes="1"/>
</table>
</file>

<file path=xl/tables/table24.xml><?xml version="1.0" encoding="utf-8"?>
<table xmlns="http://schemas.openxmlformats.org/spreadsheetml/2006/main" headerRowCount="0" ref="S276:U276" displayName="Table_24" id="24">
  <tableColumns count="3">
    <tableColumn name="Column1" id="1"/>
    <tableColumn name="Column2" id="2"/>
    <tableColumn name="Column3" id="3"/>
  </tableColumns>
  <tableStyleInfo name="Dump-style 19" showColumnStripes="0" showFirstColumn="1" showLastColumn="1" showRowStripes="1"/>
</table>
</file>

<file path=xl/tables/table25.xml><?xml version="1.0" encoding="utf-8"?>
<table xmlns="http://schemas.openxmlformats.org/spreadsheetml/2006/main" headerRowCount="0" ref="S281:U281" displayName="Table_25" id="25">
  <tableColumns count="3">
    <tableColumn name="Column1" id="1"/>
    <tableColumn name="Column2" id="2"/>
    <tableColumn name="Column3" id="3"/>
  </tableColumns>
  <tableStyleInfo name="Dump-style 20" showColumnStripes="0" showFirstColumn="1" showLastColumn="1" showRowStripes="1"/>
</table>
</file>

<file path=xl/tables/table26.xml><?xml version="1.0" encoding="utf-8"?>
<table xmlns="http://schemas.openxmlformats.org/spreadsheetml/2006/main" headerRowCount="0" ref="S286:U286" displayName="Table_26" id="26">
  <tableColumns count="3">
    <tableColumn name="Column1" id="1"/>
    <tableColumn name="Column2" id="2"/>
    <tableColumn name="Column3" id="3"/>
  </tableColumns>
  <tableStyleInfo name="Dump-style 21" showColumnStripes="0" showFirstColumn="1" showLastColumn="1" showRowStripes="1"/>
</table>
</file>

<file path=xl/tables/table27.xml><?xml version="1.0" encoding="utf-8"?>
<table xmlns="http://schemas.openxmlformats.org/spreadsheetml/2006/main" headerRowCount="0" ref="S294:U294" displayName="Table_27" id="27">
  <tableColumns count="3">
    <tableColumn name="Column1" id="1"/>
    <tableColumn name="Column2" id="2"/>
    <tableColumn name="Column3" id="3"/>
  </tableColumns>
  <tableStyleInfo name="Dump-style 22" showColumnStripes="0" showFirstColumn="1" showLastColumn="1" showRowStripes="1"/>
</table>
</file>

<file path=xl/tables/table28.xml><?xml version="1.0" encoding="utf-8"?>
<table xmlns="http://schemas.openxmlformats.org/spreadsheetml/2006/main" headerRowCount="0" ref="S302:U302" displayName="Table_28" id="28">
  <tableColumns count="3">
    <tableColumn name="Column1" id="1"/>
    <tableColumn name="Column2" id="2"/>
    <tableColumn name="Column3" id="3"/>
  </tableColumns>
  <tableStyleInfo name="Dump-style 23" showColumnStripes="0" showFirstColumn="1" showLastColumn="1" showRowStripes="1"/>
</table>
</file>

<file path=xl/tables/table29.xml><?xml version="1.0" encoding="utf-8"?>
<table xmlns="http://schemas.openxmlformats.org/spreadsheetml/2006/main" headerRowCount="0" ref="S306:U306" displayName="Table_29" id="29">
  <tableColumns count="3">
    <tableColumn name="Column1" id="1"/>
    <tableColumn name="Column2" id="2"/>
    <tableColumn name="Column3" id="3"/>
  </tableColumns>
  <tableStyleInfo name="Dump-style 24" showColumnStripes="0" showFirstColumn="1" showLastColumn="1" showRowStripes="1"/>
</table>
</file>

<file path=xl/tables/table30.xml><?xml version="1.0" encoding="utf-8"?>
<table xmlns="http://schemas.openxmlformats.org/spreadsheetml/2006/main" headerRowCount="0" ref="S314:U314" displayName="Table_30" id="30">
  <tableColumns count="3">
    <tableColumn name="Column1" id="1"/>
    <tableColumn name="Column2" id="2"/>
    <tableColumn name="Column3" id="3"/>
  </tableColumns>
  <tableStyleInfo name="Dump-style 25" showColumnStripes="0" showFirstColumn="1" showLastColumn="1" showRowStripes="1"/>
</table>
</file>

<file path=xl/tables/table31.xml><?xml version="1.0" encoding="utf-8"?>
<table xmlns="http://schemas.openxmlformats.org/spreadsheetml/2006/main" headerRowCount="0" ref="S318:U318" displayName="Table_31" id="31">
  <tableColumns count="3">
    <tableColumn name="Column1" id="1"/>
    <tableColumn name="Column2" id="2"/>
    <tableColumn name="Column3" id="3"/>
  </tableColumns>
  <tableStyleInfo name="Dump-style 26" showColumnStripes="0" showFirstColumn="1" showLastColumn="1" showRowStripes="1"/>
</table>
</file>

<file path=xl/tables/table32.xml><?xml version="1.0" encoding="utf-8"?>
<table xmlns="http://schemas.openxmlformats.org/spreadsheetml/2006/main" headerRowCount="0" ref="S326:U326" displayName="Table_32" id="32">
  <tableColumns count="3">
    <tableColumn name="Column1" id="1"/>
    <tableColumn name="Column2" id="2"/>
    <tableColumn name="Column3" id="3"/>
  </tableColumns>
  <tableStyleInfo name="Dump-style 27" showColumnStripes="0" showFirstColumn="1" showLastColumn="1" showRowStripes="1"/>
</table>
</file>

<file path=xl/tables/table33.xml><?xml version="1.0" encoding="utf-8"?>
<table xmlns="http://schemas.openxmlformats.org/spreadsheetml/2006/main" headerRowCount="0" ref="S332:U332" displayName="Table_33" id="33">
  <tableColumns count="3">
    <tableColumn name="Column1" id="1"/>
    <tableColumn name="Column2" id="2"/>
    <tableColumn name="Column3" id="3"/>
  </tableColumns>
  <tableStyleInfo name="Dump-style 28" showColumnStripes="0" showFirstColumn="1" showLastColumn="1" showRowStripes="1"/>
</table>
</file>

<file path=xl/tables/table34.xml><?xml version="1.0" encoding="utf-8"?>
<table xmlns="http://schemas.openxmlformats.org/spreadsheetml/2006/main" headerRowCount="0" ref="S338:U338" displayName="Table_34" id="34">
  <tableColumns count="3">
    <tableColumn name="Column1" id="1"/>
    <tableColumn name="Column2" id="2"/>
    <tableColumn name="Column3" id="3"/>
  </tableColumns>
  <tableStyleInfo name="Dump-style 29" showColumnStripes="0" showFirstColumn="1" showLastColumn="1" showRowStripes="1"/>
</table>
</file>

<file path=xl/tables/table35.xml><?xml version="1.0" encoding="utf-8"?>
<table xmlns="http://schemas.openxmlformats.org/spreadsheetml/2006/main" headerRowCount="0" ref="S343:U343" displayName="Table_35" id="35">
  <tableColumns count="3">
    <tableColumn name="Column1" id="1"/>
    <tableColumn name="Column2" id="2"/>
    <tableColumn name="Column3" id="3"/>
  </tableColumns>
  <tableStyleInfo name="Dump-style 30" showColumnStripes="0" showFirstColumn="1" showLastColumn="1" showRowStripes="1"/>
</table>
</file>

<file path=xl/tables/table36.xml><?xml version="1.0" encoding="utf-8"?>
<table xmlns="http://schemas.openxmlformats.org/spreadsheetml/2006/main" headerRowCount="0" ref="S350:U350" displayName="Table_36" id="36">
  <tableColumns count="3">
    <tableColumn name="Column1" id="1"/>
    <tableColumn name="Column2" id="2"/>
    <tableColumn name="Column3" id="3"/>
  </tableColumns>
  <tableStyleInfo name="Dump-style 31" showColumnStripes="0" showFirstColumn="1" showLastColumn="1" showRowStripes="1"/>
</table>
</file>

<file path=xl/tables/table37.xml><?xml version="1.0" encoding="utf-8"?>
<table xmlns="http://schemas.openxmlformats.org/spreadsheetml/2006/main" headerRowCount="0" ref="S358:U358" displayName="Table_37" id="37">
  <tableColumns count="3">
    <tableColumn name="Column1" id="1"/>
    <tableColumn name="Column2" id="2"/>
    <tableColumn name="Column3" id="3"/>
  </tableColumns>
  <tableStyleInfo name="Dump-style 32" showColumnStripes="0" showFirstColumn="1" showLastColumn="1" showRowStripes="1"/>
</table>
</file>

<file path=xl/tables/table38.xml><?xml version="1.0" encoding="utf-8"?>
<table xmlns="http://schemas.openxmlformats.org/spreadsheetml/2006/main" headerRowCount="0" ref="S363:U363" displayName="Table_38" id="38">
  <tableColumns count="3">
    <tableColumn name="Column1" id="1"/>
    <tableColumn name="Column2" id="2"/>
    <tableColumn name="Column3" id="3"/>
  </tableColumns>
  <tableStyleInfo name="Dump-style 33" showColumnStripes="0" showFirstColumn="1" showLastColumn="1" showRowStripes="1"/>
</table>
</file>

<file path=xl/tables/table39.xml><?xml version="1.0" encoding="utf-8"?>
<table xmlns="http://schemas.openxmlformats.org/spreadsheetml/2006/main" headerRowCount="0" ref="S367:U367" displayName="Table_39" id="39">
  <tableColumns count="3">
    <tableColumn name="Column1" id="1"/>
    <tableColumn name="Column2" id="2"/>
    <tableColumn name="Column3" id="3"/>
  </tableColumns>
  <tableStyleInfo name="Dump-style 34" showColumnStripes="0" showFirstColumn="1" showLastColumn="1" showRowStripes="1"/>
</table>
</file>

<file path=xl/tables/table40.xml><?xml version="1.0" encoding="utf-8"?>
<table xmlns="http://schemas.openxmlformats.org/spreadsheetml/2006/main" headerRowCount="0" ref="S375:U375" displayName="Table_40" id="40">
  <tableColumns count="3">
    <tableColumn name="Column1" id="1"/>
    <tableColumn name="Column2" id="2"/>
    <tableColumn name="Column3" id="3"/>
  </tableColumns>
  <tableStyleInfo name="Dump-style 35" showColumnStripes="0" showFirstColumn="1" showLastColumn="1" showRowStripes="1"/>
</table>
</file>

<file path=xl/tables/table41.xml><?xml version="1.0" encoding="utf-8"?>
<table xmlns="http://schemas.openxmlformats.org/spreadsheetml/2006/main" headerRowCount="0" ref="S385:U385" displayName="Table_41" id="41">
  <tableColumns count="3">
    <tableColumn name="Column1" id="1"/>
    <tableColumn name="Column2" id="2"/>
    <tableColumn name="Column3" id="3"/>
  </tableColumns>
  <tableStyleInfo name="Dump-style 36" showColumnStripes="0" showFirstColumn="1" showLastColumn="1" showRowStripes="1"/>
</table>
</file>

<file path=xl/tables/table42.xml><?xml version="1.0" encoding="utf-8"?>
<table xmlns="http://schemas.openxmlformats.org/spreadsheetml/2006/main" headerRowCount="0" ref="S392:U392" displayName="Table_42" id="42">
  <tableColumns count="3">
    <tableColumn name="Column1" id="1"/>
    <tableColumn name="Column2" id="2"/>
    <tableColumn name="Column3" id="3"/>
  </tableColumns>
  <tableStyleInfo name="Dump-style 37" showColumnStripes="0" showFirstColumn="1" showLastColumn="1" showRowStripes="1"/>
</table>
</file>

<file path=xl/tables/table43.xml><?xml version="1.0" encoding="utf-8"?>
<table xmlns="http://schemas.openxmlformats.org/spreadsheetml/2006/main" headerRowCount="0" ref="S393:U393" displayName="Table_43" id="43">
  <tableColumns count="3">
    <tableColumn name="Column1" id="1"/>
    <tableColumn name="Column2" id="2"/>
    <tableColumn name="Column3" id="3"/>
  </tableColumns>
  <tableStyleInfo name="Dump-style 3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NrW3e_X_PJuILO3PWyCMLywn8cyGiEdV/view?usp=drive_link" TargetMode="External"/><Relationship Id="rId42" Type="http://schemas.openxmlformats.org/officeDocument/2006/relationships/hyperlink" Target="https://www.instagram.com/p/CxCKhXCJh9W/?utm_source=ig_web_copy_link&amp;igshid=MzRlODBiNWFlZA==" TargetMode="External"/><Relationship Id="rId41" Type="http://schemas.openxmlformats.org/officeDocument/2006/relationships/hyperlink" Target="https://docs.google.com/document/d/1vNLiWlItd9g7dWuG9XhxNGEfN9JQXdORIurOs9qSvHE/edit?usp=sharing" TargetMode="External"/><Relationship Id="rId44" Type="http://schemas.openxmlformats.org/officeDocument/2006/relationships/hyperlink" Target="https://docs.google.com/document/d/1vGHf0c0X9nA1hUKrxTcr8C3zY5lir3qBcJexUB6iF0Q/edit" TargetMode="External"/><Relationship Id="rId43" Type="http://schemas.openxmlformats.org/officeDocument/2006/relationships/hyperlink" Target="https://www.instagram.com/p/CyU1znKMO2J/?utm_source=ig_web_copy_link&amp;igshid=MzRlODBiNWFlZA==" TargetMode="External"/><Relationship Id="rId46" Type="http://schemas.openxmlformats.org/officeDocument/2006/relationships/hyperlink" Target="https://www.facebook.com/reel/1872531653142950" TargetMode="External"/><Relationship Id="rId45" Type="http://schemas.openxmlformats.org/officeDocument/2006/relationships/hyperlink" Target="https://docs.google.com/document/u/0/d/1npcejxOfEFDLGH42yRA8Jdq_Vau-P6wEcm8IUX6tQtw/edit" TargetMode="External"/><Relationship Id="rId1" Type="http://schemas.openxmlformats.org/officeDocument/2006/relationships/comments" Target="../comments1.xml"/><Relationship Id="rId2" Type="http://schemas.openxmlformats.org/officeDocument/2006/relationships/hyperlink" Target="https://docs.google.com/document/d/1pps_Da8kJeanG9uSKknE1jZ-iOStfKNlaneBiaTLrGM/edit" TargetMode="External"/><Relationship Id="rId3" Type="http://schemas.openxmlformats.org/officeDocument/2006/relationships/hyperlink" Target="https://docs.google.com/document/d/1cQrR43adK8PdTaRagX2fwDU4R2AFtUvZyZBlg3Qbk2E/edit" TargetMode="External"/><Relationship Id="rId4" Type="http://schemas.openxmlformats.org/officeDocument/2006/relationships/hyperlink" Target="https://docs.google.com/document/u/0/d/1cjQLHnz216JkTq9qK1vDh_I4odBtzLy_ph2TlTHsMfk/edit" TargetMode="External"/><Relationship Id="rId9" Type="http://schemas.openxmlformats.org/officeDocument/2006/relationships/hyperlink" Target="https://docs.google.com/document/u/0/d/1FZ1ekWpRWK1jfTdEYDMHk42y640zwyzYJUpOM_KKRU8/edit" TargetMode="External"/><Relationship Id="rId48" Type="http://schemas.openxmlformats.org/officeDocument/2006/relationships/drawing" Target="../drawings/drawing1.xml"/><Relationship Id="rId47" Type="http://schemas.openxmlformats.org/officeDocument/2006/relationships/hyperlink" Target="https://docs.google.com/document/d/1NIlA7foBa71T8Vm6ay-XyQoYMTt3f6WcZlE_kkxZSPo/edit?usp=sharing" TargetMode="External"/><Relationship Id="rId49" Type="http://schemas.openxmlformats.org/officeDocument/2006/relationships/vmlDrawing" Target="../drawings/vmlDrawing1.vml"/><Relationship Id="rId5" Type="http://schemas.openxmlformats.org/officeDocument/2006/relationships/hyperlink" Target="https://docs.google.com/document/d/1KSIcAiWVLApPdLEyECZOPyyy_m_bN5A4o0AsMBQDX3Y/edit?usp=sharing" TargetMode="External"/><Relationship Id="rId6" Type="http://schemas.openxmlformats.org/officeDocument/2006/relationships/hyperlink" Target="https://docs.google.com/document/u/0/d/1ZuwGWFHnZ9IfAopi8LMfNb-SoZ-BH7Mjk5qOwgd4mkk/edit" TargetMode="External"/><Relationship Id="rId7" Type="http://schemas.openxmlformats.org/officeDocument/2006/relationships/hyperlink" Target="https://docs.google.com/document/d/14kpgAotwL3EWQdO67AYVNhI0vRxuJ7OZTcWqsO7EbMQ/edit?usp=sharing" TargetMode="External"/><Relationship Id="rId8" Type="http://schemas.openxmlformats.org/officeDocument/2006/relationships/hyperlink" Target="https://docs.google.com/document/u/0/d/1ZZ9LXPJGjwB6YbPz0WEvShhZ1GR5Ei2y28vANPoNS58/edit" TargetMode="External"/><Relationship Id="rId31" Type="http://schemas.openxmlformats.org/officeDocument/2006/relationships/hyperlink" Target="https://drive.google.com/drive/u/0/folders/1wRx-u-KDVLZI8xhDaL3X47D4Ox2L3H5b" TargetMode="External"/><Relationship Id="rId30" Type="http://schemas.openxmlformats.org/officeDocument/2006/relationships/hyperlink" Target="https://docs.google.com/document/d/1Rm1XeWLy6t68Pcf-Q2hrrkRpx5-hMCsFauPJgsuX8_4/edit?usp=sharing" TargetMode="External"/><Relationship Id="rId33" Type="http://schemas.openxmlformats.org/officeDocument/2006/relationships/hyperlink" Target="https://docs.google.com/document/u/0/d/1ROW89yjIYboWB5tMpGTZe-O-zNLX-u7CfG7jAVa7xW8/edit" TargetMode="External"/><Relationship Id="rId32" Type="http://schemas.openxmlformats.org/officeDocument/2006/relationships/hyperlink" Target="https://docs.google.com/document/d/1WvjdLq9o2AGMOeR08ptSEAdpaUAsz8emIx_VRiCybNM/edit?usp=sharing" TargetMode="External"/><Relationship Id="rId35" Type="http://schemas.openxmlformats.org/officeDocument/2006/relationships/hyperlink" Target="https://docs.google.com/document/d/1bX_dBljFGOLi7dNvMmJVeTMgE4ZJFNvIZmEAD06s2L8/edit" TargetMode="External"/><Relationship Id="rId34" Type="http://schemas.openxmlformats.org/officeDocument/2006/relationships/hyperlink" Target="https://www.instagram.com/reel/CmjG5keJ4zs/" TargetMode="External"/><Relationship Id="rId37" Type="http://schemas.openxmlformats.org/officeDocument/2006/relationships/hyperlink" Target="https://en.colorful.cn/en/home/product?mid=102&amp;id=6dcb0687-c6e7-4672-805b-05fb89fca988" TargetMode="External"/><Relationship Id="rId36" Type="http://schemas.openxmlformats.org/officeDocument/2006/relationships/hyperlink" Target="https://www.youtube.com/shorts/Y2ZG9SrxNo8" TargetMode="External"/><Relationship Id="rId39" Type="http://schemas.openxmlformats.org/officeDocument/2006/relationships/hyperlink" Target="https://drive.google.com/file/d/1tWytAHmPxFvZQtjJi0QWxH5VxN-ZUKIj/view?usp=sharing" TargetMode="External"/><Relationship Id="rId38" Type="http://schemas.openxmlformats.org/officeDocument/2006/relationships/hyperlink" Target="https://www.instagram.com/reel/CdAKnaBBNVc/?igshid=MzRlODBiNWFlZA==" TargetMode="External"/><Relationship Id="rId20" Type="http://schemas.openxmlformats.org/officeDocument/2006/relationships/hyperlink" Target="https://docs.google.com/document/d/1FsVByGhHOTOXtmHi3UEdzZtGupZtIXlRZQ4zJWlk1No/edit?usp=sharing" TargetMode="External"/><Relationship Id="rId22" Type="http://schemas.openxmlformats.org/officeDocument/2006/relationships/hyperlink" Target="https://docs.google.com/document/u/0/d/1okWmtK66ug16BnMOgoEqN5a8_OMr1_eT5vt8gmNlsHo/edit" TargetMode="External"/><Relationship Id="rId21" Type="http://schemas.openxmlformats.org/officeDocument/2006/relationships/hyperlink" Target="https://docs.google.com/document/d/1QGgUmKwcsgDKzwzsrlsK0Yh7Jv4gWQYvBPRuP2huwrQ/edit?usp=sharing" TargetMode="External"/><Relationship Id="rId24" Type="http://schemas.openxmlformats.org/officeDocument/2006/relationships/hyperlink" Target="https://docs.google.com/document/u/0/d/10-iQMMjCCEIsQqCpP_O7HAsn9jOYVEZOaFGeCubdW-E/edit" TargetMode="External"/><Relationship Id="rId23" Type="http://schemas.openxmlformats.org/officeDocument/2006/relationships/hyperlink" Target="https://docs.google.com/document/d/1vdedv6vq_Y5_ZdhKqC0pFsHzWXvj9z32Dq3hIxDEjWI/edit?usp=sharing" TargetMode="External"/><Relationship Id="rId26" Type="http://schemas.openxmlformats.org/officeDocument/2006/relationships/hyperlink" Target="https://docs.google.com/document/d/1vr1m-7RiSIci8SAkzfLdsR4Bs92-LF1_J-qnGEDX82g/edit?usp=sharing" TargetMode="External"/><Relationship Id="rId25" Type="http://schemas.openxmlformats.org/officeDocument/2006/relationships/hyperlink" Target="https://docs.google.com/document/u/0/d/1-57-jMCPjGnz3Kn6FKQzCAqhzngEpFbH7nCQ1bQ6ELI/edit" TargetMode="External"/><Relationship Id="rId28" Type="http://schemas.openxmlformats.org/officeDocument/2006/relationships/hyperlink" Target="https://docs.google.com/document/d/1rZ634UtrIO2xZZpLK7KgWcW5LfmhqhlkCK4J1gk-jKE/edit" TargetMode="External"/><Relationship Id="rId27" Type="http://schemas.openxmlformats.org/officeDocument/2006/relationships/hyperlink" Target="https://docs.google.com/document/d/1GHN3e7wUqgNLZdWpViCx1Hc3eb4U5y-koNghwz49XCM/edit?usp=sharing" TargetMode="External"/><Relationship Id="rId29" Type="http://schemas.openxmlformats.org/officeDocument/2006/relationships/hyperlink" Target="https://docs.google.com/document/d/1I71i3kmjiyRNxiL3Y_bqTQm_RqpLyOwecOUJJHMY4uQ/edit" TargetMode="External"/><Relationship Id="rId53" Type="http://schemas.openxmlformats.org/officeDocument/2006/relationships/table" Target="../tables/table2.xml"/><Relationship Id="rId52" Type="http://schemas.openxmlformats.org/officeDocument/2006/relationships/table" Target="../tables/table1.xml"/><Relationship Id="rId11" Type="http://schemas.openxmlformats.org/officeDocument/2006/relationships/hyperlink" Target="https://docs.google.com/document/u/0/d/1JneQVHSF51FZZN2lCyasPuM1tIt86tlf1BK6OPRwXpQ/edit" TargetMode="External"/><Relationship Id="rId10" Type="http://schemas.openxmlformats.org/officeDocument/2006/relationships/hyperlink" Target="https://docs.google.com/document/d/1zy-umILfBUdGp9KdpHveVhuA76LmySWb2QS0sCL0nvk/edit" TargetMode="External"/><Relationship Id="rId13" Type="http://schemas.openxmlformats.org/officeDocument/2006/relationships/hyperlink" Target="https://docs.google.com/document/u/0/d/1vRdiweySMTcZeBdZhL3Drn5PsLcxvTjs062rMbLRxr8/edit" TargetMode="External"/><Relationship Id="rId12" Type="http://schemas.openxmlformats.org/officeDocument/2006/relationships/hyperlink" Target="https://docs.google.com/document/d/1358RwA011D3X6smssyS47M9-vmrto92kBqMJu2grPpE/edit?usp=sharing" TargetMode="External"/><Relationship Id="rId15" Type="http://schemas.openxmlformats.org/officeDocument/2006/relationships/hyperlink" Target="https://docs.google.com/document/d/1f86l0oBUjF7JvXo0P7E6LtAVtTnTtFyS392ZWSWTChE/edit?usp=sharing" TargetMode="External"/><Relationship Id="rId14" Type="http://schemas.openxmlformats.org/officeDocument/2006/relationships/hyperlink" Target="https://docs.google.com/document/u/0/d/1L-4H8xmAqzsY1JayMFUh_yn-WIc1dRZ2q4C8BTmGvFI/edit" TargetMode="External"/><Relationship Id="rId17" Type="http://schemas.openxmlformats.org/officeDocument/2006/relationships/hyperlink" Target="https://docs.google.com/document/u/0/d/1VvNjQcNMcZwl8uyAS1X0HOXcOa8Tnm1v7oEU_uGLOcQ/edit" TargetMode="External"/><Relationship Id="rId16" Type="http://schemas.openxmlformats.org/officeDocument/2006/relationships/hyperlink" Target="https://docs.google.com/document/u/0/d/1cjQLHnz216JkTq9qK1vDh_I4odBtzLy_ph2TlTHsMfk/edit" TargetMode="External"/><Relationship Id="rId19" Type="http://schemas.openxmlformats.org/officeDocument/2006/relationships/hyperlink" Target="https://docs.google.com/document/u/0/d/19T3qS6ZQVyLcexL_fBpdc9UJB48bq3DevN9cJGe0ODQ/edit" TargetMode="External"/><Relationship Id="rId18" Type="http://schemas.openxmlformats.org/officeDocument/2006/relationships/hyperlink" Target="https://docs.google.com/document/u/0/d/1mFR-ibngZsYzjeA6XA6uyfa4W9SyzrBV58w6FprQBjU/edit"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pp.uizard.io/p/556e008f" TargetMode="External"/><Relationship Id="rId3" Type="http://schemas.openxmlformats.org/officeDocument/2006/relationships/hyperlink" Target="https://docs.google.com/document/u/0/d/1VS8qR36tFkmG4S-egg6AwwtNnlcLLl_Kaw_19uTCUTw/edit" TargetMode="External"/><Relationship Id="rId4" Type="http://schemas.openxmlformats.org/officeDocument/2006/relationships/hyperlink" Target="https://docs.google.com/document/u/0/d/10T7-4d4xGkJpE0MErW6vb0FLYDgbKlyKqZwHvDeEx88/edit" TargetMode="External"/><Relationship Id="rId9" Type="http://schemas.openxmlformats.org/officeDocument/2006/relationships/hyperlink" Target="https://docs.google.com/document/d/1zSa2KSnljodFx8mOlbFquGwkYqNCluniiKh47dzTODU/edit?usp=sharing" TargetMode="External"/><Relationship Id="rId5" Type="http://schemas.openxmlformats.org/officeDocument/2006/relationships/hyperlink" Target="https://docs.google.com/document/u/3/d/1bLb5PfBNvbdi7vfJZ64vYFr5gaxjtGWOwjDoiWZ98xk/edit" TargetMode="External"/><Relationship Id="rId6" Type="http://schemas.openxmlformats.org/officeDocument/2006/relationships/hyperlink" Target="https://docs.google.com/presentation/u/0/d/1xIVOui-fS9MKMIlOKhw8Uo9QfSRqGNPuBPLFtfpQ8Cw/edit" TargetMode="External"/><Relationship Id="rId7" Type="http://schemas.openxmlformats.org/officeDocument/2006/relationships/hyperlink" Target="https://docs.google.com/presentation/u/0/d/19CbZiJDMS7gOCRlQP27uuU5l1RepruVbHgudz2k9dkk/edit" TargetMode="External"/><Relationship Id="rId8" Type="http://schemas.openxmlformats.org/officeDocument/2006/relationships/hyperlink" Target="https://www.udemy.com/course/complete-ai-guide/" TargetMode="External"/><Relationship Id="rId11" Type="http://schemas.openxmlformats.org/officeDocument/2006/relationships/hyperlink" Target="https://docs.google.com/document/u/0/d/1oeecmcJarg-3-XIFuDCAzhgZJpXrh4uTpImq9uc8K0E/edit" TargetMode="External"/><Relationship Id="rId10" Type="http://schemas.openxmlformats.org/officeDocument/2006/relationships/hyperlink" Target="https://docs.google.com/document/u/0/d/1dQiOdsTvfqVdiVaHArHVw_m3wQ_61yRpMtxvGBbe3zY/edit" TargetMode="External"/><Relationship Id="rId13" Type="http://schemas.openxmlformats.org/officeDocument/2006/relationships/vmlDrawing" Target="../drawings/vmlDrawing2.vml"/><Relationship Id="rId12" Type="http://schemas.openxmlformats.org/officeDocument/2006/relationships/drawing" Target="../drawings/drawing2.xml"/><Relationship Id="rId1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vqs_0W-MSB0" TargetMode="External"/><Relationship Id="rId2" Type="http://schemas.openxmlformats.org/officeDocument/2006/relationships/hyperlink" Target="https://www.youtube.com/watch?v=fIPhkmAcqZc" TargetMode="External"/><Relationship Id="rId3" Type="http://schemas.openxmlformats.org/officeDocument/2006/relationships/hyperlink" Target="https://www.instagram.com/p/CyWPlwSRfiu/?igshid=MzRlODBiNWFlZA==" TargetMode="External"/><Relationship Id="rId4" Type="http://schemas.openxmlformats.org/officeDocument/2006/relationships/hyperlink" Target="https://www.instagram.com/reel/CwkRN-JyVQs/?igshid=MzRlODBiNWFlZA=="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alha@picturethis.co.in" TargetMode="External"/><Relationship Id="rId2" Type="http://schemas.openxmlformats.org/officeDocument/2006/relationships/hyperlink" Target="mailto:ahmer@themvp.in" TargetMode="External"/><Relationship Id="rId3" Type="http://schemas.openxmlformats.org/officeDocument/2006/relationships/hyperlink" Target="mailto:akhilram2827@gmail.com"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1" Type="http://schemas.openxmlformats.org/officeDocument/2006/relationships/hyperlink" Target="https://docs.google.com/spreadsheets/d/13RzHm_ZNgR-CtAX5VzO3B93_Qf6SqUc_vs5K73CQt4Q/edit?usp=sharing" TargetMode="External"/><Relationship Id="rId2" Type="http://schemas.openxmlformats.org/officeDocument/2006/relationships/hyperlink" Target="https://docs.google.com/document/u/0/d/18_dSeinmeDmQA4tHpvb4_fuLTzkRMK0VYRP8x7J3mEw/edit" TargetMode="External"/><Relationship Id="rId3" Type="http://schemas.openxmlformats.org/officeDocument/2006/relationships/hyperlink" Target="https://docs.google.com/document/u/0/d/1U4ecgIQ2EdECvnNGNT5lgSi2s1sVr5soR3HCJqO3tiY/edit" TargetMode="External"/><Relationship Id="rId4" Type="http://schemas.openxmlformats.org/officeDocument/2006/relationships/hyperlink" Target="https://docs.google.com/document/u/0/d/1qTaHK9FpA2mgVsQW5Y1hkQprijWEeEAzvJ72dpU5G0I/edit" TargetMode="External"/><Relationship Id="rId9" Type="http://schemas.openxmlformats.org/officeDocument/2006/relationships/hyperlink" Target="https://www.instagram.com/p/Cxchi8Mxq95/?img_index=1" TargetMode="External"/><Relationship Id="rId5" Type="http://schemas.openxmlformats.org/officeDocument/2006/relationships/hyperlink" Target="https://docs.google.com/document/u/0/d/1kgHRhFbhcOd-Yi8L3TTHneJhRFPj7qmesDejBOnM95g/edit" TargetMode="External"/><Relationship Id="rId6" Type="http://schemas.openxmlformats.org/officeDocument/2006/relationships/hyperlink" Target="https://docs.google.com/document/u/0/d/1liX1fsKE1OAIgbGshn4uDGnYrWb8O3TfV1iSLN_DZaM/edit" TargetMode="External"/><Relationship Id="rId7" Type="http://schemas.openxmlformats.org/officeDocument/2006/relationships/hyperlink" Target="https://www.instagram.com/reel/CdAKnaBBNVc/?igshid=MzRlODBiNWFlZA==" TargetMode="External"/><Relationship Id="rId8" Type="http://schemas.openxmlformats.org/officeDocument/2006/relationships/hyperlink" Target="https://www.instagram.com/p/Cxchi8Mxq95/?img_index=1" TargetMode="External"/><Relationship Id="rId73" Type="http://schemas.openxmlformats.org/officeDocument/2006/relationships/table" Target="../tables/table29.xml"/><Relationship Id="rId72" Type="http://schemas.openxmlformats.org/officeDocument/2006/relationships/table" Target="../tables/table28.xml"/><Relationship Id="rId75" Type="http://schemas.openxmlformats.org/officeDocument/2006/relationships/table" Target="../tables/table31.xml"/><Relationship Id="rId74" Type="http://schemas.openxmlformats.org/officeDocument/2006/relationships/table" Target="../tables/table30.xml"/><Relationship Id="rId77" Type="http://schemas.openxmlformats.org/officeDocument/2006/relationships/table" Target="../tables/table33.xml"/><Relationship Id="rId76" Type="http://schemas.openxmlformats.org/officeDocument/2006/relationships/table" Target="../tables/table32.xml"/><Relationship Id="rId79" Type="http://schemas.openxmlformats.org/officeDocument/2006/relationships/table" Target="../tables/table35.xml"/><Relationship Id="rId78" Type="http://schemas.openxmlformats.org/officeDocument/2006/relationships/table" Target="../tables/table34.xml"/><Relationship Id="rId71" Type="http://schemas.openxmlformats.org/officeDocument/2006/relationships/table" Target="../tables/table27.xml"/><Relationship Id="rId70" Type="http://schemas.openxmlformats.org/officeDocument/2006/relationships/table" Target="../tables/table26.xml"/><Relationship Id="rId62" Type="http://schemas.openxmlformats.org/officeDocument/2006/relationships/table" Target="../tables/table18.xml"/><Relationship Id="rId61" Type="http://schemas.openxmlformats.org/officeDocument/2006/relationships/table" Target="../tables/table17.xml"/><Relationship Id="rId64" Type="http://schemas.openxmlformats.org/officeDocument/2006/relationships/table" Target="../tables/table20.xml"/><Relationship Id="rId63" Type="http://schemas.openxmlformats.org/officeDocument/2006/relationships/table" Target="../tables/table19.xml"/><Relationship Id="rId66" Type="http://schemas.openxmlformats.org/officeDocument/2006/relationships/table" Target="../tables/table22.xml"/><Relationship Id="rId65" Type="http://schemas.openxmlformats.org/officeDocument/2006/relationships/table" Target="../tables/table21.xml"/><Relationship Id="rId68" Type="http://schemas.openxmlformats.org/officeDocument/2006/relationships/table" Target="../tables/table24.xml"/><Relationship Id="rId67" Type="http://schemas.openxmlformats.org/officeDocument/2006/relationships/table" Target="../tables/table23.xml"/><Relationship Id="rId60" Type="http://schemas.openxmlformats.org/officeDocument/2006/relationships/table" Target="../tables/table16.xml"/><Relationship Id="rId69" Type="http://schemas.openxmlformats.org/officeDocument/2006/relationships/table" Target="../tables/table25.xml"/><Relationship Id="rId51" Type="http://schemas.openxmlformats.org/officeDocument/2006/relationships/table" Target="../tables/table7.xml"/><Relationship Id="rId50" Type="http://schemas.openxmlformats.org/officeDocument/2006/relationships/table" Target="../tables/table6.xml"/><Relationship Id="rId53" Type="http://schemas.openxmlformats.org/officeDocument/2006/relationships/table" Target="../tables/table9.xml"/><Relationship Id="rId52" Type="http://schemas.openxmlformats.org/officeDocument/2006/relationships/table" Target="../tables/table8.xml"/><Relationship Id="rId11" Type="http://schemas.openxmlformats.org/officeDocument/2006/relationships/drawing" Target="../drawings/drawing8.xml"/><Relationship Id="rId55" Type="http://schemas.openxmlformats.org/officeDocument/2006/relationships/table" Target="../tables/table11.xml"/><Relationship Id="rId10" Type="http://schemas.openxmlformats.org/officeDocument/2006/relationships/hyperlink" Target="https://www.instagram.com/reel/CwpjX7dB_XB/" TargetMode="External"/><Relationship Id="rId54" Type="http://schemas.openxmlformats.org/officeDocument/2006/relationships/table" Target="../tables/table10.xml"/><Relationship Id="rId57" Type="http://schemas.openxmlformats.org/officeDocument/2006/relationships/table" Target="../tables/table13.xml"/><Relationship Id="rId56" Type="http://schemas.openxmlformats.org/officeDocument/2006/relationships/table" Target="../tables/table12.xml"/><Relationship Id="rId59" Type="http://schemas.openxmlformats.org/officeDocument/2006/relationships/table" Target="../tables/table15.xml"/><Relationship Id="rId58"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857FF"/>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outlineLevelCol="1" outlineLevelRow="2"/>
  <cols>
    <col customWidth="1" min="1" max="1" width="2.63"/>
    <col customWidth="1" min="2" max="2" width="16.63"/>
    <col customWidth="1" min="3" max="3" width="3.38"/>
    <col customWidth="1" min="4" max="4" width="25.0"/>
    <col customWidth="1" min="5" max="5" width="16.25"/>
    <col customWidth="1" min="6" max="6" width="16.5"/>
    <col customWidth="1" min="7" max="7" width="19.5"/>
    <col customWidth="1" min="8" max="8" width="18.38"/>
    <col customWidth="1" min="9" max="9" width="26.25"/>
    <col customWidth="1" min="10" max="10" width="4.75"/>
    <col customWidth="1" min="11" max="11" width="15.13"/>
    <col customWidth="1" min="12" max="12" width="1.38"/>
    <col customWidth="1" min="13" max="13" width="16.38"/>
    <col customWidth="1" min="14" max="16" width="15.5" outlineLevel="1"/>
    <col customWidth="1" min="17" max="18" width="15.5"/>
    <col customWidth="1" hidden="1" min="19" max="23" width="15.5"/>
  </cols>
  <sheetData>
    <row r="1" ht="26.25" customHeight="1">
      <c r="A1" s="1"/>
      <c r="B1" s="2" t="s">
        <v>0</v>
      </c>
      <c r="C1" s="2" t="s">
        <v>1</v>
      </c>
      <c r="E1" s="2" t="s">
        <v>2</v>
      </c>
      <c r="F1" s="3" t="s">
        <v>3</v>
      </c>
      <c r="G1" s="2" t="s">
        <v>4</v>
      </c>
      <c r="H1" s="3"/>
      <c r="I1" s="3" t="s">
        <v>5</v>
      </c>
      <c r="J1" s="2" t="s">
        <v>6</v>
      </c>
      <c r="K1" s="2" t="s">
        <v>7</v>
      </c>
      <c r="L1" s="1"/>
      <c r="M1" s="2" t="s">
        <v>8</v>
      </c>
      <c r="N1" s="2" t="s">
        <v>9</v>
      </c>
      <c r="O1" s="2" t="s">
        <v>10</v>
      </c>
      <c r="P1" s="2" t="s">
        <v>11</v>
      </c>
      <c r="Q1" s="2" t="s">
        <v>12</v>
      </c>
      <c r="R1" s="2" t="s">
        <v>13</v>
      </c>
      <c r="S1" s="2" t="s">
        <v>14</v>
      </c>
      <c r="T1" s="2" t="s">
        <v>0</v>
      </c>
      <c r="U1" s="2" t="s">
        <v>15</v>
      </c>
      <c r="V1" s="2"/>
      <c r="W1" s="2"/>
    </row>
    <row r="2" ht="21.0" customHeight="1">
      <c r="A2" s="1" t="s">
        <v>16</v>
      </c>
      <c r="B2" s="1"/>
      <c r="C2" s="1"/>
      <c r="D2" s="1"/>
      <c r="E2" s="4"/>
      <c r="F2" s="5"/>
      <c r="G2" s="4"/>
      <c r="H2" s="1"/>
      <c r="I2" s="1"/>
      <c r="J2" s="1"/>
      <c r="K2" s="1"/>
      <c r="L2" s="1"/>
      <c r="M2" s="6">
        <v>45225.64650957176</v>
      </c>
      <c r="N2" s="7"/>
      <c r="O2" s="8"/>
      <c r="P2" s="8"/>
      <c r="Q2" s="9" t="s">
        <v>17</v>
      </c>
      <c r="R2" s="10"/>
      <c r="S2" s="10"/>
      <c r="T2" s="10"/>
      <c r="U2" s="11"/>
      <c r="V2" s="10"/>
      <c r="W2" s="10"/>
    </row>
    <row r="3" ht="36.0" customHeight="1">
      <c r="A3" s="12"/>
      <c r="B3" s="12" t="s">
        <v>18</v>
      </c>
      <c r="C3" s="12"/>
      <c r="D3" s="13"/>
      <c r="E3" s="14"/>
      <c r="F3" s="15"/>
      <c r="G3" s="14"/>
      <c r="H3" s="13"/>
      <c r="I3" s="16"/>
      <c r="J3" s="14"/>
      <c r="K3" s="13"/>
      <c r="L3" s="17"/>
      <c r="M3" s="18"/>
      <c r="N3" s="19"/>
      <c r="O3" s="19"/>
      <c r="P3" s="19"/>
      <c r="Q3" s="18"/>
      <c r="R3" s="18"/>
      <c r="S3" s="18"/>
      <c r="T3" s="18"/>
      <c r="U3" s="19"/>
      <c r="V3" s="18"/>
      <c r="W3" s="18"/>
    </row>
    <row r="4" ht="21.75" customHeight="1" outlineLevel="1" collapsed="1">
      <c r="A4" s="20"/>
      <c r="B4" s="21" t="s">
        <v>19</v>
      </c>
      <c r="C4" s="22" t="s">
        <v>20</v>
      </c>
      <c r="D4" s="23"/>
      <c r="E4" s="24" t="s">
        <v>21</v>
      </c>
      <c r="F4" s="25" t="s">
        <v>22</v>
      </c>
      <c r="G4" s="24" t="s">
        <v>23</v>
      </c>
      <c r="H4" s="26">
        <f>MAX(H5:H10)</f>
        <v>45232</v>
      </c>
      <c r="I4" s="27" t="str">
        <f>IFERROR(__xludf.DUMMYFUNCTION("SPARKLINE(SUM(I5:I10), {""charttype"", ""bar""; ""max"", J4; ""color1"", ""green""})"),"")</f>
        <v/>
      </c>
      <c r="J4" s="28">
        <f>COUNT(I5:I10)</f>
        <v>6</v>
      </c>
      <c r="K4" s="28" t="str">
        <f>IF(ISNUMBER(#REF!), #REF!, "")</f>
        <v/>
      </c>
      <c r="L4" s="17"/>
      <c r="M4" s="29">
        <f>MIN(M5:M10)</f>
        <v>45219.48479</v>
      </c>
      <c r="N4" s="29">
        <f>MAX(N5:N10)</f>
        <v>45233.69843</v>
      </c>
      <c r="O4" s="30"/>
      <c r="P4" s="30"/>
      <c r="Q4" s="29"/>
      <c r="R4" s="31">
        <f>SUM(R5:R10)</f>
        <v>0.2583333333</v>
      </c>
      <c r="S4" s="31" t="str">
        <f t="shared" ref="S4:S52" si="1">IFERROR(MID(B4, FIND("-", B4) + 1, 3), "")</f>
        <v>MVP</v>
      </c>
      <c r="T4" s="32" t="str">
        <f t="shared" ref="T4:T52" si="2">IFERROR(MID(B4, 8, LEN(B4)-7), "")
</f>
        <v>36</v>
      </c>
      <c r="U4" s="33" t="str">
        <f>CONCATENATE(C4, " - ",E4)</f>
        <v>3 Ways to improve Airflow - Shorts</v>
      </c>
      <c r="V4" s="31"/>
      <c r="W4" s="31"/>
    </row>
    <row r="5" ht="21.75" hidden="1" customHeight="1" outlineLevel="2">
      <c r="A5" s="20"/>
      <c r="B5" s="21" t="s">
        <v>24</v>
      </c>
      <c r="C5" s="22"/>
      <c r="D5" s="22" t="s">
        <v>25</v>
      </c>
      <c r="E5" s="24" t="s">
        <v>26</v>
      </c>
      <c r="F5" s="25" t="s">
        <v>27</v>
      </c>
      <c r="G5" s="34" t="s">
        <v>28</v>
      </c>
      <c r="H5" s="35">
        <v>45218.0</v>
      </c>
      <c r="I5" s="27">
        <f t="shared" ref="I5:I10" si="3">IFERROR(IF($E5="Done", 1, IF(OR($E5="Working on it", $E5="In Review", $E5="On Hold"), 0.5, IF($E5="Not Started", 0, ""))), 0)</f>
        <v>1</v>
      </c>
      <c r="J5" s="28"/>
      <c r="K5" s="28"/>
      <c r="L5" s="17"/>
      <c r="M5" s="29">
        <v>45219.484792627314</v>
      </c>
      <c r="N5" s="29">
        <v>45226.42315495371</v>
      </c>
      <c r="O5" s="36" t="s">
        <v>29</v>
      </c>
      <c r="P5" s="36" t="s">
        <v>30</v>
      </c>
      <c r="Q5" s="37" t="s">
        <v>31</v>
      </c>
      <c r="R5" s="31">
        <v>0.05138888888888889</v>
      </c>
      <c r="S5" s="31" t="str">
        <f t="shared" si="1"/>
        <v>MVP</v>
      </c>
      <c r="T5" s="32" t="str">
        <f t="shared" si="2"/>
        <v>36.01</v>
      </c>
      <c r="U5" s="33"/>
      <c r="V5" s="31"/>
      <c r="W5" s="31"/>
    </row>
    <row r="6" ht="21.75" hidden="1" customHeight="1" outlineLevel="2">
      <c r="A6" s="20"/>
      <c r="B6" s="21" t="s">
        <v>32</v>
      </c>
      <c r="C6" s="22"/>
      <c r="D6" s="22" t="s">
        <v>33</v>
      </c>
      <c r="E6" s="24" t="s">
        <v>26</v>
      </c>
      <c r="F6" s="25" t="s">
        <v>34</v>
      </c>
      <c r="G6" s="24"/>
      <c r="H6" s="35">
        <v>45226.0</v>
      </c>
      <c r="I6" s="27">
        <f t="shared" si="3"/>
        <v>1</v>
      </c>
      <c r="J6" s="28"/>
      <c r="K6" s="28"/>
      <c r="L6" s="17"/>
      <c r="M6" s="29">
        <v>45231.580580787035</v>
      </c>
      <c r="N6" s="29">
        <v>45232.79792795139</v>
      </c>
      <c r="O6" s="36" t="s">
        <v>35</v>
      </c>
      <c r="P6" s="36" t="s">
        <v>36</v>
      </c>
      <c r="Q6" s="37" t="s">
        <v>31</v>
      </c>
      <c r="R6" s="31">
        <v>0.044444444444444446</v>
      </c>
      <c r="S6" s="31" t="str">
        <f t="shared" si="1"/>
        <v>MVP</v>
      </c>
      <c r="T6" s="32" t="str">
        <f t="shared" si="2"/>
        <v>36.02</v>
      </c>
      <c r="U6" s="33"/>
      <c r="V6" s="31"/>
      <c r="W6" s="31"/>
    </row>
    <row r="7" ht="21.75" hidden="1" customHeight="1" outlineLevel="2">
      <c r="A7" s="20"/>
      <c r="B7" s="21" t="s">
        <v>37</v>
      </c>
      <c r="C7" s="22"/>
      <c r="D7" s="22" t="s">
        <v>38</v>
      </c>
      <c r="E7" s="24" t="s">
        <v>26</v>
      </c>
      <c r="F7" s="25" t="s">
        <v>22</v>
      </c>
      <c r="G7" s="24"/>
      <c r="H7" s="35">
        <v>45226.0</v>
      </c>
      <c r="I7" s="27">
        <f t="shared" si="3"/>
        <v>1</v>
      </c>
      <c r="J7" s="28"/>
      <c r="K7" s="28"/>
      <c r="L7" s="17"/>
      <c r="M7" s="29"/>
      <c r="N7" s="29"/>
      <c r="O7" s="30"/>
      <c r="P7" s="30"/>
      <c r="Q7" s="29"/>
      <c r="R7" s="31"/>
      <c r="S7" s="31" t="str">
        <f t="shared" si="1"/>
        <v>MVP</v>
      </c>
      <c r="T7" s="32" t="str">
        <f t="shared" si="2"/>
        <v>36.04</v>
      </c>
      <c r="U7" s="33"/>
      <c r="V7" s="31"/>
      <c r="W7" s="31"/>
    </row>
    <row r="8" ht="21.75" hidden="1" customHeight="1" outlineLevel="2">
      <c r="A8" s="20"/>
      <c r="B8" s="21" t="s">
        <v>39</v>
      </c>
      <c r="C8" s="22"/>
      <c r="D8" s="22" t="s">
        <v>40</v>
      </c>
      <c r="E8" s="24" t="s">
        <v>26</v>
      </c>
      <c r="F8" s="25" t="s">
        <v>41</v>
      </c>
      <c r="G8" s="24"/>
      <c r="H8" s="35">
        <v>45226.0</v>
      </c>
      <c r="I8" s="27">
        <f t="shared" si="3"/>
        <v>1</v>
      </c>
      <c r="J8" s="28"/>
      <c r="K8" s="28"/>
      <c r="L8" s="17"/>
      <c r="M8" s="29">
        <v>45232.51010767361</v>
      </c>
      <c r="N8" s="29">
        <v>45232.791360717594</v>
      </c>
      <c r="O8" s="36" t="s">
        <v>42</v>
      </c>
      <c r="P8" s="36" t="s">
        <v>43</v>
      </c>
      <c r="Q8" s="37" t="s">
        <v>31</v>
      </c>
      <c r="R8" s="31">
        <v>0.15208333333333332</v>
      </c>
      <c r="S8" s="31" t="str">
        <f t="shared" si="1"/>
        <v>MVP</v>
      </c>
      <c r="T8" s="32" t="str">
        <f t="shared" si="2"/>
        <v>36.05</v>
      </c>
      <c r="U8" s="33"/>
      <c r="V8" s="31"/>
      <c r="W8" s="31"/>
    </row>
    <row r="9" ht="21.75" hidden="1" customHeight="1" outlineLevel="2">
      <c r="A9" s="20"/>
      <c r="B9" s="21" t="s">
        <v>44</v>
      </c>
      <c r="C9" s="22"/>
      <c r="D9" s="22" t="s">
        <v>45</v>
      </c>
      <c r="E9" s="24" t="s">
        <v>26</v>
      </c>
      <c r="F9" s="25" t="s">
        <v>41</v>
      </c>
      <c r="G9" s="24"/>
      <c r="H9" s="35">
        <v>45231.0</v>
      </c>
      <c r="I9" s="27">
        <f t="shared" si="3"/>
        <v>1</v>
      </c>
      <c r="J9" s="28"/>
      <c r="K9" s="28"/>
      <c r="L9" s="17"/>
      <c r="M9" s="29">
        <v>45233.69032517361</v>
      </c>
      <c r="N9" s="29">
        <v>45233.6984269213</v>
      </c>
      <c r="O9" s="30"/>
      <c r="P9" s="30"/>
      <c r="Q9" s="37" t="s">
        <v>31</v>
      </c>
      <c r="R9" s="31">
        <v>0.007638888888888889</v>
      </c>
      <c r="S9" s="31" t="str">
        <f t="shared" si="1"/>
        <v>MVP</v>
      </c>
      <c r="T9" s="32" t="str">
        <f t="shared" si="2"/>
        <v>36.06</v>
      </c>
      <c r="U9" s="33"/>
      <c r="V9" s="31"/>
      <c r="W9" s="31"/>
    </row>
    <row r="10" ht="21.0" hidden="1" customHeight="1" outlineLevel="2">
      <c r="A10" s="20"/>
      <c r="B10" s="21" t="s">
        <v>46</v>
      </c>
      <c r="C10" s="22"/>
      <c r="D10" s="22" t="s">
        <v>47</v>
      </c>
      <c r="E10" s="24" t="s">
        <v>26</v>
      </c>
      <c r="F10" s="25" t="s">
        <v>48</v>
      </c>
      <c r="G10" s="24"/>
      <c r="H10" s="35">
        <v>45232.0</v>
      </c>
      <c r="I10" s="27">
        <f t="shared" si="3"/>
        <v>1</v>
      </c>
      <c r="J10" s="28"/>
      <c r="K10" s="28"/>
      <c r="L10" s="17"/>
      <c r="M10" s="29">
        <v>45232.79952825232</v>
      </c>
      <c r="N10" s="29">
        <v>45232.80232870371</v>
      </c>
      <c r="O10" s="30"/>
      <c r="P10" s="30"/>
      <c r="Q10" s="37" t="s">
        <v>31</v>
      </c>
      <c r="R10" s="31">
        <v>0.002777777777777778</v>
      </c>
      <c r="S10" s="31" t="str">
        <f t="shared" si="1"/>
        <v>MVP</v>
      </c>
      <c r="T10" s="32" t="str">
        <f t="shared" si="2"/>
        <v>36.07</v>
      </c>
      <c r="U10" s="33"/>
      <c r="V10" s="31"/>
      <c r="W10" s="31"/>
    </row>
    <row r="11" ht="21.75" customHeight="1" outlineLevel="1" collapsed="1">
      <c r="A11" s="20"/>
      <c r="B11" s="21" t="s">
        <v>49</v>
      </c>
      <c r="C11" s="22" t="s">
        <v>50</v>
      </c>
      <c r="D11" s="23"/>
      <c r="E11" s="24" t="s">
        <v>51</v>
      </c>
      <c r="F11" s="25" t="s">
        <v>22</v>
      </c>
      <c r="G11" s="24" t="s">
        <v>23</v>
      </c>
      <c r="H11" s="26">
        <f>MAX(H12:H15)</f>
        <v>45233</v>
      </c>
      <c r="I11" s="27" t="str">
        <f>IFERROR(__xludf.DUMMYFUNCTION("SPARKLINE(SUM(I12:I15), {""charttype"", ""bar""; ""max"", J11; ""color1"", ""green""})"),"")</f>
        <v/>
      </c>
      <c r="J11" s="28">
        <f>COUNT(I12:I15)</f>
        <v>4</v>
      </c>
      <c r="K11" s="28" t="str">
        <f>IF(ISNUMBER(B100), K100, "")</f>
        <v/>
      </c>
      <c r="L11" s="17"/>
      <c r="M11" s="29">
        <f>MIN(M12:M15)</f>
        <v>45233.39233</v>
      </c>
      <c r="N11" s="29">
        <f>MAX(N12:N15)</f>
        <v>45233.9667</v>
      </c>
      <c r="O11" s="30"/>
      <c r="P11" s="30"/>
      <c r="Q11" s="29"/>
      <c r="R11" s="31">
        <f>SUM(R12:R15)</f>
        <v>0.2222222222</v>
      </c>
      <c r="S11" s="31" t="str">
        <f t="shared" si="1"/>
        <v>MVP</v>
      </c>
      <c r="T11" s="32" t="str">
        <f t="shared" si="2"/>
        <v>80</v>
      </c>
      <c r="U11" s="33" t="str">
        <f>CONCATENATE(C11, " - ",E11)</f>
        <v>06102304-Build Photo - Insta</v>
      </c>
      <c r="V11" s="31"/>
      <c r="W11" s="31"/>
    </row>
    <row r="12" ht="21.75" hidden="1" customHeight="1" outlineLevel="2">
      <c r="A12" s="20"/>
      <c r="B12" s="21" t="s">
        <v>52</v>
      </c>
      <c r="C12" s="22"/>
      <c r="D12" s="22" t="s">
        <v>25</v>
      </c>
      <c r="E12" s="24" t="s">
        <v>26</v>
      </c>
      <c r="F12" s="25" t="s">
        <v>41</v>
      </c>
      <c r="G12" s="24"/>
      <c r="H12" s="35">
        <v>45229.42030625</v>
      </c>
      <c r="I12" s="27">
        <f t="shared" ref="I12:I15" si="4">IFERROR(IF($E12="Done", 1, IF(OR($E12="Working on it", $E12="In Review", $E12="On Hold"), 0.5, IF($E12="Not Started", 0, ""))), 0)</f>
        <v>1</v>
      </c>
      <c r="J12" s="28"/>
      <c r="K12" s="28"/>
      <c r="L12" s="17"/>
      <c r="M12" s="29">
        <v>45233.47761101852</v>
      </c>
      <c r="N12" s="29">
        <v>45233.94952525463</v>
      </c>
      <c r="O12" s="36" t="s">
        <v>53</v>
      </c>
      <c r="P12" s="36" t="s">
        <v>54</v>
      </c>
      <c r="Q12" s="37" t="s">
        <v>31</v>
      </c>
      <c r="R12" s="31">
        <v>0.1388888888888889</v>
      </c>
      <c r="S12" s="31" t="str">
        <f t="shared" si="1"/>
        <v>MVP</v>
      </c>
      <c r="T12" s="32" t="str">
        <f t="shared" si="2"/>
        <v>80.01</v>
      </c>
      <c r="U12" s="33"/>
      <c r="V12" s="31"/>
      <c r="W12" s="31"/>
    </row>
    <row r="13" ht="21.75" hidden="1" customHeight="1" outlineLevel="2">
      <c r="A13" s="20"/>
      <c r="B13" s="21" t="s">
        <v>55</v>
      </c>
      <c r="C13" s="22"/>
      <c r="D13" s="22" t="s">
        <v>33</v>
      </c>
      <c r="E13" s="24" t="s">
        <v>26</v>
      </c>
      <c r="F13" s="25" t="s">
        <v>41</v>
      </c>
      <c r="G13" s="24"/>
      <c r="H13" s="35">
        <v>45231.42030625</v>
      </c>
      <c r="I13" s="27">
        <f t="shared" si="4"/>
        <v>1</v>
      </c>
      <c r="J13" s="28"/>
      <c r="K13" s="28"/>
      <c r="L13" s="17"/>
      <c r="M13" s="29"/>
      <c r="N13" s="29"/>
      <c r="O13" s="30"/>
      <c r="P13" s="30"/>
      <c r="Q13" s="29"/>
      <c r="R13" s="31"/>
      <c r="S13" s="31" t="str">
        <f t="shared" si="1"/>
        <v>MVP</v>
      </c>
      <c r="T13" s="32" t="str">
        <f t="shared" si="2"/>
        <v>80.02</v>
      </c>
      <c r="U13" s="33"/>
      <c r="V13" s="31"/>
      <c r="W13" s="31"/>
    </row>
    <row r="14" ht="21.75" hidden="1" customHeight="1" outlineLevel="2">
      <c r="A14" s="20"/>
      <c r="B14" s="21" t="s">
        <v>56</v>
      </c>
      <c r="C14" s="22"/>
      <c r="D14" s="22" t="s">
        <v>40</v>
      </c>
      <c r="E14" s="24" t="s">
        <v>26</v>
      </c>
      <c r="F14" s="25" t="s">
        <v>41</v>
      </c>
      <c r="G14" s="24"/>
      <c r="H14" s="35">
        <v>45231.0</v>
      </c>
      <c r="I14" s="27">
        <f t="shared" si="4"/>
        <v>1</v>
      </c>
      <c r="J14" s="28"/>
      <c r="K14" s="28"/>
      <c r="L14" s="17"/>
      <c r="M14" s="29">
        <v>45233.39232832176</v>
      </c>
      <c r="N14" s="29">
        <v>45233.94956055556</v>
      </c>
      <c r="O14" s="36" t="s">
        <v>57</v>
      </c>
      <c r="P14" s="36" t="s">
        <v>58</v>
      </c>
      <c r="Q14" s="37" t="s">
        <v>31</v>
      </c>
      <c r="R14" s="31">
        <v>0.06666666666666667</v>
      </c>
      <c r="S14" s="31" t="str">
        <f t="shared" si="1"/>
        <v>MVP</v>
      </c>
      <c r="T14" s="32" t="str">
        <f t="shared" si="2"/>
        <v>80.03</v>
      </c>
      <c r="U14" s="33"/>
      <c r="V14" s="31"/>
      <c r="W14" s="31"/>
    </row>
    <row r="15" ht="21.75" hidden="1" customHeight="1" outlineLevel="2">
      <c r="A15" s="20"/>
      <c r="B15" s="21" t="s">
        <v>59</v>
      </c>
      <c r="C15" s="22"/>
      <c r="D15" s="22" t="s">
        <v>47</v>
      </c>
      <c r="E15" s="24" t="s">
        <v>26</v>
      </c>
      <c r="F15" s="25" t="s">
        <v>22</v>
      </c>
      <c r="G15" s="24"/>
      <c r="H15" s="35">
        <v>45233.0</v>
      </c>
      <c r="I15" s="27">
        <f t="shared" si="4"/>
        <v>1</v>
      </c>
      <c r="J15" s="28"/>
      <c r="K15" s="28"/>
      <c r="L15" s="17"/>
      <c r="M15" s="29">
        <v>45233.94957362268</v>
      </c>
      <c r="N15" s="29">
        <v>45233.966700219906</v>
      </c>
      <c r="O15" s="30"/>
      <c r="P15" s="30"/>
      <c r="Q15" s="37" t="s">
        <v>31</v>
      </c>
      <c r="R15" s="31">
        <v>0.016666666666666666</v>
      </c>
      <c r="S15" s="31" t="str">
        <f t="shared" si="1"/>
        <v>MVP</v>
      </c>
      <c r="T15" s="32" t="str">
        <f t="shared" si="2"/>
        <v>80.04</v>
      </c>
      <c r="U15" s="33"/>
      <c r="V15" s="31"/>
      <c r="W15" s="31"/>
    </row>
    <row r="16" ht="21.75" customHeight="1" outlineLevel="1" collapsed="1">
      <c r="A16" s="20"/>
      <c r="B16" s="21" t="s">
        <v>60</v>
      </c>
      <c r="C16" s="22" t="s">
        <v>61</v>
      </c>
      <c r="D16" s="23"/>
      <c r="E16" s="24" t="s">
        <v>62</v>
      </c>
      <c r="F16" s="25" t="s">
        <v>22</v>
      </c>
      <c r="G16" s="24" t="s">
        <v>63</v>
      </c>
      <c r="H16" s="26">
        <f>MAX(H17:H22)</f>
        <v>45233</v>
      </c>
      <c r="I16" s="27" t="str">
        <f>IFERROR(__xludf.DUMMYFUNCTION("SPARKLINE(SUM(I17:I22), {""charttype"", ""bar""; ""max"", J16; ""color1"", ""green""})"),"")</f>
        <v/>
      </c>
      <c r="J16" s="28">
        <f>COUNT(I17:I22)</f>
        <v>6</v>
      </c>
      <c r="K16" s="28" t="str">
        <f>IF(ISNUMBER(B78), K78, "")</f>
        <v/>
      </c>
      <c r="L16" s="17"/>
      <c r="M16" s="29">
        <f>MIN(M17:M22)</f>
        <v>45217.46562</v>
      </c>
      <c r="N16" s="29">
        <f>MAX(N17:N22)</f>
        <v>45233.94945</v>
      </c>
      <c r="O16" s="30"/>
      <c r="P16" s="30"/>
      <c r="Q16" s="29"/>
      <c r="R16" s="31">
        <f>SUM(R17:R22)</f>
        <v>0.4451388889</v>
      </c>
      <c r="S16" s="31" t="str">
        <f t="shared" si="1"/>
        <v>MVP</v>
      </c>
      <c r="T16" s="32" t="str">
        <f t="shared" si="2"/>
        <v>67</v>
      </c>
      <c r="U16" s="33" t="str">
        <f>CONCATENATE(C16, " - ",E16)</f>
        <v>Know Your ABC - Blender - YT Video</v>
      </c>
      <c r="V16" s="31"/>
      <c r="W16" s="31"/>
    </row>
    <row r="17" ht="21.75" hidden="1" customHeight="1" outlineLevel="2">
      <c r="A17" s="20"/>
      <c r="B17" s="21" t="s">
        <v>64</v>
      </c>
      <c r="C17" s="22"/>
      <c r="D17" s="22" t="s">
        <v>25</v>
      </c>
      <c r="E17" s="24" t="s">
        <v>26</v>
      </c>
      <c r="F17" s="25" t="s">
        <v>27</v>
      </c>
      <c r="G17" s="34" t="s">
        <v>61</v>
      </c>
      <c r="H17" s="35">
        <v>45200.0</v>
      </c>
      <c r="I17" s="27">
        <f t="shared" ref="I17:I22" si="5">IFERROR(IF($E17="Done", 1, IF(OR($E17="Working on it", $E17="In Review", $E17="On Hold"), 0.5, IF($E17="Not Started", 0, ""))), 0)</f>
        <v>1</v>
      </c>
      <c r="J17" s="28"/>
      <c r="K17" s="28"/>
      <c r="L17" s="17"/>
      <c r="M17" s="29"/>
      <c r="N17" s="29"/>
      <c r="O17" s="30"/>
      <c r="P17" s="30"/>
      <c r="Q17" s="29"/>
      <c r="R17" s="31"/>
      <c r="S17" s="31" t="str">
        <f t="shared" si="1"/>
        <v>MVP</v>
      </c>
      <c r="T17" s="32" t="str">
        <f t="shared" si="2"/>
        <v>67.01</v>
      </c>
      <c r="U17" s="33"/>
      <c r="V17" s="31"/>
      <c r="W17" s="31"/>
    </row>
    <row r="18" ht="21.75" hidden="1" customHeight="1" outlineLevel="2">
      <c r="A18" s="20"/>
      <c r="B18" s="21" t="s">
        <v>65</v>
      </c>
      <c r="C18" s="22"/>
      <c r="D18" s="22" t="s">
        <v>33</v>
      </c>
      <c r="E18" s="24" t="s">
        <v>26</v>
      </c>
      <c r="F18" s="25" t="s">
        <v>34</v>
      </c>
      <c r="G18" s="24"/>
      <c r="H18" s="35">
        <v>45217.0</v>
      </c>
      <c r="I18" s="27">
        <f t="shared" si="5"/>
        <v>1</v>
      </c>
      <c r="J18" s="28"/>
      <c r="K18" s="28"/>
      <c r="L18" s="17"/>
      <c r="M18" s="29"/>
      <c r="N18" s="29"/>
      <c r="O18" s="30"/>
      <c r="P18" s="30"/>
      <c r="Q18" s="29"/>
      <c r="R18" s="31"/>
      <c r="S18" s="31" t="str">
        <f t="shared" si="1"/>
        <v>MVP</v>
      </c>
      <c r="T18" s="32" t="str">
        <f t="shared" si="2"/>
        <v>67.02</v>
      </c>
      <c r="U18" s="33"/>
      <c r="V18" s="31"/>
      <c r="W18" s="31"/>
    </row>
    <row r="19" ht="21.75" hidden="1" customHeight="1" outlineLevel="2">
      <c r="A19" s="20"/>
      <c r="B19" s="21" t="s">
        <v>66</v>
      </c>
      <c r="C19" s="22"/>
      <c r="D19" s="22" t="s">
        <v>67</v>
      </c>
      <c r="E19" s="24" t="s">
        <v>26</v>
      </c>
      <c r="F19" s="25" t="s">
        <v>27</v>
      </c>
      <c r="G19" s="24"/>
      <c r="H19" s="35">
        <v>45220.0</v>
      </c>
      <c r="I19" s="27">
        <f t="shared" si="5"/>
        <v>1</v>
      </c>
      <c r="J19" s="28"/>
      <c r="K19" s="28"/>
      <c r="L19" s="17"/>
      <c r="M19" s="29">
        <v>45217.46561575231</v>
      </c>
      <c r="N19" s="29">
        <v>45225.91056993055</v>
      </c>
      <c r="O19" s="36" t="s">
        <v>68</v>
      </c>
      <c r="P19" s="36" t="s">
        <v>69</v>
      </c>
      <c r="Q19" s="37" t="s">
        <v>31</v>
      </c>
      <c r="R19" s="31">
        <v>0.025</v>
      </c>
      <c r="S19" s="31" t="str">
        <f t="shared" si="1"/>
        <v>MVP</v>
      </c>
      <c r="T19" s="32" t="str">
        <f t="shared" si="2"/>
        <v>67.04</v>
      </c>
      <c r="U19" s="33"/>
      <c r="V19" s="31"/>
      <c r="W19" s="31"/>
    </row>
    <row r="20" ht="21.75" hidden="1" customHeight="1" outlineLevel="2">
      <c r="A20" s="20"/>
      <c r="B20" s="21" t="s">
        <v>70</v>
      </c>
      <c r="C20" s="22"/>
      <c r="D20" s="22" t="s">
        <v>40</v>
      </c>
      <c r="E20" s="24" t="s">
        <v>26</v>
      </c>
      <c r="F20" s="25" t="s">
        <v>71</v>
      </c>
      <c r="G20" s="24"/>
      <c r="H20" s="35">
        <v>45232.0</v>
      </c>
      <c r="I20" s="27">
        <f t="shared" si="5"/>
        <v>1</v>
      </c>
      <c r="J20" s="28"/>
      <c r="K20" s="28"/>
      <c r="L20" s="17"/>
      <c r="M20" s="29">
        <v>45233.416666666664</v>
      </c>
      <c r="N20" s="29">
        <v>45233.77895825231</v>
      </c>
      <c r="O20" s="36" t="s">
        <v>72</v>
      </c>
      <c r="P20" s="36" t="s">
        <v>73</v>
      </c>
      <c r="Q20" s="37" t="s">
        <v>31</v>
      </c>
      <c r="R20" s="31">
        <v>0.36180555555555555</v>
      </c>
      <c r="S20" s="31" t="str">
        <f t="shared" si="1"/>
        <v>MVP</v>
      </c>
      <c r="T20" s="32" t="str">
        <f t="shared" si="2"/>
        <v>67.05</v>
      </c>
      <c r="U20" s="33"/>
      <c r="V20" s="31"/>
      <c r="W20" s="31"/>
    </row>
    <row r="21" ht="21.75" hidden="1" customHeight="1" outlineLevel="2">
      <c r="A21" s="20"/>
      <c r="B21" s="21" t="s">
        <v>74</v>
      </c>
      <c r="C21" s="22"/>
      <c r="D21" s="22" t="s">
        <v>45</v>
      </c>
      <c r="E21" s="24" t="s">
        <v>26</v>
      </c>
      <c r="F21" s="25" t="s">
        <v>22</v>
      </c>
      <c r="G21" s="24"/>
      <c r="H21" s="35">
        <v>45233.0</v>
      </c>
      <c r="I21" s="27">
        <f t="shared" si="5"/>
        <v>1</v>
      </c>
      <c r="J21" s="28"/>
      <c r="K21" s="28"/>
      <c r="L21" s="17"/>
      <c r="M21" s="29">
        <v>45233.891048935184</v>
      </c>
      <c r="N21" s="29">
        <v>45233.94944568287</v>
      </c>
      <c r="O21" s="30"/>
      <c r="P21" s="30"/>
      <c r="Q21" s="37" t="s">
        <v>31</v>
      </c>
      <c r="R21" s="31">
        <v>0.058333333333333334</v>
      </c>
      <c r="S21" s="31" t="str">
        <f t="shared" si="1"/>
        <v>MVP</v>
      </c>
      <c r="T21" s="32" t="str">
        <f t="shared" si="2"/>
        <v>67.06</v>
      </c>
      <c r="U21" s="33"/>
      <c r="V21" s="31"/>
      <c r="W21" s="31"/>
    </row>
    <row r="22" ht="21.75" hidden="1" customHeight="1" outlineLevel="2">
      <c r="A22" s="20"/>
      <c r="B22" s="21" t="s">
        <v>75</v>
      </c>
      <c r="C22" s="22"/>
      <c r="D22" s="22" t="s">
        <v>47</v>
      </c>
      <c r="E22" s="24" t="s">
        <v>26</v>
      </c>
      <c r="F22" s="25" t="s">
        <v>48</v>
      </c>
      <c r="G22" s="24"/>
      <c r="H22" s="35">
        <v>45233.0</v>
      </c>
      <c r="I22" s="27">
        <f t="shared" si="5"/>
        <v>1</v>
      </c>
      <c r="J22" s="28"/>
      <c r="K22" s="28"/>
      <c r="L22" s="17"/>
      <c r="M22" s="29"/>
      <c r="N22" s="29"/>
      <c r="O22" s="30"/>
      <c r="P22" s="30"/>
      <c r="Q22" s="29"/>
      <c r="R22" s="31"/>
      <c r="S22" s="31" t="str">
        <f t="shared" si="1"/>
        <v>MVP</v>
      </c>
      <c r="T22" s="32" t="str">
        <f t="shared" si="2"/>
        <v>67.07</v>
      </c>
      <c r="U22" s="33"/>
      <c r="V22" s="31"/>
      <c r="W22" s="31"/>
    </row>
    <row r="23" ht="21.75" customHeight="1" outlineLevel="1" collapsed="1">
      <c r="A23" s="20"/>
      <c r="B23" s="21" t="s">
        <v>76</v>
      </c>
      <c r="C23" s="22" t="s">
        <v>77</v>
      </c>
      <c r="D23" s="23"/>
      <c r="E23" s="24" t="s">
        <v>78</v>
      </c>
      <c r="F23" s="25" t="s">
        <v>22</v>
      </c>
      <c r="G23" s="24" t="s">
        <v>79</v>
      </c>
      <c r="H23" s="26">
        <f>MAX(H24:H25)</f>
        <v>45229.62137</v>
      </c>
      <c r="I23" s="27" t="str">
        <f>IFERROR(__xludf.DUMMYFUNCTION("SPARKLINE(SUM(I24:I25), {""charttype"", ""bar""; ""max"", J23; ""color1"", ""green""})"),"")</f>
        <v/>
      </c>
      <c r="J23" s="28">
        <f>COUNT(I24:I25)</f>
        <v>2</v>
      </c>
      <c r="K23" s="28" t="str">
        <f>IF(ISNUMBER(B98), K98, "")</f>
        <v/>
      </c>
      <c r="L23" s="17"/>
      <c r="M23" s="29">
        <f>MIN(M24:M25)</f>
        <v>45228.85135</v>
      </c>
      <c r="N23" s="29">
        <f>MAX(N24:N25)</f>
        <v>45237.4115</v>
      </c>
      <c r="O23" s="30"/>
      <c r="P23" s="30"/>
      <c r="Q23" s="29"/>
      <c r="R23" s="31">
        <f>SUM(R24:R25)</f>
        <v>0.1555555556</v>
      </c>
      <c r="S23" s="31" t="str">
        <f t="shared" si="1"/>
        <v>MVP</v>
      </c>
      <c r="T23" s="32" t="str">
        <f t="shared" si="2"/>
        <v>78</v>
      </c>
      <c r="U23" s="33" t="str">
        <f>CONCATENATE(C23, " - ",E23)</f>
        <v>L40s GPU Server - Blog</v>
      </c>
      <c r="V23" s="31"/>
      <c r="W23" s="31"/>
    </row>
    <row r="24" ht="21.75" hidden="1" customHeight="1" outlineLevel="2">
      <c r="A24" s="20"/>
      <c r="B24" s="21" t="s">
        <v>80</v>
      </c>
      <c r="C24" s="22"/>
      <c r="D24" s="22" t="s">
        <v>25</v>
      </c>
      <c r="E24" s="24" t="s">
        <v>26</v>
      </c>
      <c r="F24" s="25" t="s">
        <v>22</v>
      </c>
      <c r="G24" s="34" t="s">
        <v>81</v>
      </c>
      <c r="H24" s="35">
        <v>45227.62136612269</v>
      </c>
      <c r="I24" s="27">
        <f t="shared" ref="I24:I25" si="6">IFERROR(IF($E24="Done", 1, IF(OR($E24="Working on it", $E24="In Review", $E24="On Hold"), 0.5, IF($E24="Not Started", 0, ""))), 0)</f>
        <v>1</v>
      </c>
      <c r="J24" s="28"/>
      <c r="K24" s="28"/>
      <c r="L24" s="17"/>
      <c r="M24" s="29">
        <v>45228.85134820602</v>
      </c>
      <c r="N24" s="29">
        <v>45230.80643075232</v>
      </c>
      <c r="O24" s="36" t="s">
        <v>82</v>
      </c>
      <c r="P24" s="36" t="s">
        <v>83</v>
      </c>
      <c r="Q24" s="37" t="s">
        <v>31</v>
      </c>
      <c r="R24" s="31">
        <v>0.14375</v>
      </c>
      <c r="S24" s="31" t="str">
        <f t="shared" si="1"/>
        <v>MVP</v>
      </c>
      <c r="T24" s="32" t="str">
        <f t="shared" si="2"/>
        <v>78.01</v>
      </c>
      <c r="U24" s="33"/>
      <c r="V24" s="31"/>
      <c r="W24" s="31"/>
    </row>
    <row r="25" ht="21.75" hidden="1" customHeight="1" outlineLevel="2">
      <c r="A25" s="20"/>
      <c r="B25" s="21" t="s">
        <v>84</v>
      </c>
      <c r="C25" s="22"/>
      <c r="D25" s="22" t="s">
        <v>40</v>
      </c>
      <c r="E25" s="24" t="s">
        <v>26</v>
      </c>
      <c r="F25" s="25" t="s">
        <v>22</v>
      </c>
      <c r="G25" s="24"/>
      <c r="H25" s="35">
        <v>45229.62136612269</v>
      </c>
      <c r="I25" s="27">
        <f t="shared" si="6"/>
        <v>1</v>
      </c>
      <c r="J25" s="28"/>
      <c r="K25" s="28"/>
      <c r="L25" s="17"/>
      <c r="M25" s="29">
        <v>45236.8204625463</v>
      </c>
      <c r="N25" s="29">
        <v>45237.411500092596</v>
      </c>
      <c r="O25" s="36" t="s">
        <v>85</v>
      </c>
      <c r="P25" s="36" t="s">
        <v>86</v>
      </c>
      <c r="Q25" s="37" t="s">
        <v>31</v>
      </c>
      <c r="R25" s="31">
        <v>0.011805555555555555</v>
      </c>
      <c r="S25" s="31" t="str">
        <f t="shared" si="1"/>
        <v>MVP</v>
      </c>
      <c r="T25" s="32" t="str">
        <f t="shared" si="2"/>
        <v>78.02</v>
      </c>
      <c r="U25" s="33"/>
      <c r="V25" s="31"/>
      <c r="W25" s="31"/>
    </row>
    <row r="26" ht="21.75" customHeight="1" outlineLevel="1" collapsed="1">
      <c r="A26" s="20"/>
      <c r="B26" s="21" t="s">
        <v>87</v>
      </c>
      <c r="C26" s="22" t="s">
        <v>88</v>
      </c>
      <c r="D26" s="23"/>
      <c r="E26" s="24" t="s">
        <v>21</v>
      </c>
      <c r="F26" s="25" t="s">
        <v>22</v>
      </c>
      <c r="G26" s="24" t="s">
        <v>89</v>
      </c>
      <c r="H26" s="26">
        <f>MAX(H27:H29)</f>
        <v>45236</v>
      </c>
      <c r="I26" s="27" t="str">
        <f>IFERROR(__xludf.DUMMYFUNCTION("SPARKLINE(SUM(I27:I29), {""charttype"", ""bar""; ""max"", J26; ""color1"", ""green""})"),"")</f>
        <v/>
      </c>
      <c r="J26" s="28">
        <f>COUNT(I27:I29)</f>
        <v>3</v>
      </c>
      <c r="K26" s="28" t="str">
        <f>IF(ISNUMBER(B140), K140, "")</f>
        <v/>
      </c>
      <c r="L26" s="17"/>
      <c r="M26" s="29">
        <f>MIN(M27:M29)</f>
        <v>45236.41471</v>
      </c>
      <c r="N26" s="29">
        <f>MAX(N27:N29)</f>
        <v>45237.46792</v>
      </c>
      <c r="O26" s="30"/>
      <c r="P26" s="30"/>
      <c r="Q26" s="29"/>
      <c r="R26" s="31">
        <f>SUM(R27:R29)</f>
        <v>0.1923611111</v>
      </c>
      <c r="S26" s="31" t="str">
        <f t="shared" si="1"/>
        <v>MVP</v>
      </c>
      <c r="T26" s="32" t="str">
        <f t="shared" si="2"/>
        <v>71</v>
      </c>
      <c r="U26" s="33" t="str">
        <f>CONCATENATE(C26, " - ",E26)</f>
        <v>Blender Downedit - Shorts</v>
      </c>
      <c r="V26" s="31"/>
      <c r="W26" s="31"/>
    </row>
    <row r="27" ht="21.75" hidden="1" customHeight="1" outlineLevel="2">
      <c r="A27" s="20"/>
      <c r="B27" s="21" t="s">
        <v>90</v>
      </c>
      <c r="C27" s="22"/>
      <c r="D27" s="22" t="s">
        <v>40</v>
      </c>
      <c r="E27" s="24" t="s">
        <v>26</v>
      </c>
      <c r="F27" s="25" t="s">
        <v>71</v>
      </c>
      <c r="G27" s="24"/>
      <c r="H27" s="35">
        <v>45236.0</v>
      </c>
      <c r="I27" s="27">
        <f t="shared" ref="I27:I29" si="7">IFERROR(IF($E27="Done", 1, IF(OR($E27="Working on it", $E27="In Review", $E27="On Hold"), 0.5, IF($E27="Not Started", 0, ""))), 0)</f>
        <v>1</v>
      </c>
      <c r="J27" s="28"/>
      <c r="K27" s="28"/>
      <c r="L27" s="17"/>
      <c r="M27" s="29">
        <v>45236.41471064815</v>
      </c>
      <c r="N27" s="29">
        <v>45236.58150385416</v>
      </c>
      <c r="O27" s="30"/>
      <c r="P27" s="30"/>
      <c r="Q27" s="37" t="s">
        <v>31</v>
      </c>
      <c r="R27" s="31">
        <v>0.16666666666666666</v>
      </c>
      <c r="S27" s="31" t="str">
        <f t="shared" si="1"/>
        <v>MVP</v>
      </c>
      <c r="T27" s="32" t="str">
        <f t="shared" si="2"/>
        <v>71.05</v>
      </c>
      <c r="U27" s="33"/>
      <c r="V27" s="31"/>
      <c r="W27" s="31"/>
    </row>
    <row r="28" ht="21.75" hidden="1" customHeight="1" outlineLevel="2">
      <c r="A28" s="20"/>
      <c r="B28" s="21" t="s">
        <v>91</v>
      </c>
      <c r="C28" s="22"/>
      <c r="D28" s="22" t="s">
        <v>45</v>
      </c>
      <c r="E28" s="24" t="s">
        <v>26</v>
      </c>
      <c r="F28" s="25" t="s">
        <v>41</v>
      </c>
      <c r="G28" s="24"/>
      <c r="H28" s="35">
        <v>45236.0</v>
      </c>
      <c r="I28" s="27">
        <f t="shared" si="7"/>
        <v>1</v>
      </c>
      <c r="J28" s="28"/>
      <c r="K28" s="28"/>
      <c r="L28" s="17"/>
      <c r="M28" s="29">
        <v>45236.79194251157</v>
      </c>
      <c r="N28" s="29">
        <v>45237.467924675926</v>
      </c>
      <c r="O28" s="36" t="s">
        <v>92</v>
      </c>
      <c r="P28" s="36" t="s">
        <v>93</v>
      </c>
      <c r="Q28" s="37" t="s">
        <v>31</v>
      </c>
      <c r="R28" s="31">
        <v>0.025694444444444443</v>
      </c>
      <c r="S28" s="31" t="str">
        <f t="shared" si="1"/>
        <v>MVP</v>
      </c>
      <c r="T28" s="32" t="str">
        <f t="shared" si="2"/>
        <v>71.06</v>
      </c>
      <c r="U28" s="33"/>
      <c r="V28" s="31"/>
      <c r="W28" s="31"/>
    </row>
    <row r="29" ht="21.75" hidden="1" customHeight="1" outlineLevel="2">
      <c r="A29" s="20"/>
      <c r="B29" s="21" t="s">
        <v>94</v>
      </c>
      <c r="C29" s="22"/>
      <c r="D29" s="22" t="s">
        <v>47</v>
      </c>
      <c r="E29" s="24" t="s">
        <v>26</v>
      </c>
      <c r="F29" s="25" t="s">
        <v>27</v>
      </c>
      <c r="G29" s="24"/>
      <c r="H29" s="35">
        <v>45236.0</v>
      </c>
      <c r="I29" s="27">
        <f t="shared" si="7"/>
        <v>1</v>
      </c>
      <c r="J29" s="28"/>
      <c r="K29" s="28"/>
      <c r="L29" s="17"/>
      <c r="M29" s="29">
        <v>45236.82030831018</v>
      </c>
      <c r="N29" s="29">
        <v>45236.82087462963</v>
      </c>
      <c r="O29" s="30"/>
      <c r="P29" s="30"/>
      <c r="Q29" s="37" t="s">
        <v>31</v>
      </c>
      <c r="R29" s="31">
        <v>0.0</v>
      </c>
      <c r="S29" s="31" t="str">
        <f t="shared" si="1"/>
        <v>MVP</v>
      </c>
      <c r="T29" s="32" t="str">
        <f t="shared" si="2"/>
        <v>71.07</v>
      </c>
      <c r="U29" s="33"/>
      <c r="V29" s="31"/>
      <c r="W29" s="31"/>
    </row>
    <row r="30" ht="21.75" customHeight="1" outlineLevel="1" collapsed="1">
      <c r="A30" s="20"/>
      <c r="B30" s="21" t="s">
        <v>95</v>
      </c>
      <c r="C30" s="22" t="s">
        <v>96</v>
      </c>
      <c r="D30" s="23"/>
      <c r="E30" s="24" t="s">
        <v>97</v>
      </c>
      <c r="F30" s="25" t="s">
        <v>22</v>
      </c>
      <c r="G30" s="24" t="s">
        <v>63</v>
      </c>
      <c r="H30" s="26">
        <f>MAX(H31:H32)</f>
        <v>45235</v>
      </c>
      <c r="I30" s="27" t="str">
        <f>IFERROR(__xludf.DUMMYFUNCTION("SPARKLINE(SUM(I31:I32), {""charttype"", ""bar""; ""max"", J30; ""color1"", ""green""})"),"")</f>
        <v/>
      </c>
      <c r="J30" s="28">
        <f>COUNT(I31:I32)</f>
        <v>2</v>
      </c>
      <c r="K30" s="28" t="str">
        <f>IF(ISNUMBER(B239), K239, "")</f>
        <v/>
      </c>
      <c r="L30" s="17"/>
      <c r="M30" s="29">
        <f>MIN(M31:M32)</f>
        <v>45236.80415</v>
      </c>
      <c r="N30" s="29">
        <f>MAX(N31:N32)</f>
        <v>45236.81936</v>
      </c>
      <c r="O30" s="30"/>
      <c r="P30" s="30"/>
      <c r="Q30" s="29"/>
      <c r="R30" s="31">
        <f>SUM(R31:R32)</f>
        <v>0.01458333333</v>
      </c>
      <c r="S30" s="31" t="str">
        <f t="shared" si="1"/>
        <v>MVP</v>
      </c>
      <c r="T30" s="32" t="str">
        <f t="shared" si="2"/>
        <v>98</v>
      </c>
      <c r="U30" s="33" t="str">
        <f>CONCATENATE(C30, " - ",E30)</f>
        <v>PC Landscape - Linkedin</v>
      </c>
      <c r="V30" s="31"/>
      <c r="W30" s="31"/>
    </row>
    <row r="31" ht="21.75" hidden="1" customHeight="1" outlineLevel="2">
      <c r="A31" s="20"/>
      <c r="B31" s="21" t="s">
        <v>98</v>
      </c>
      <c r="C31" s="22"/>
      <c r="D31" s="22" t="s">
        <v>40</v>
      </c>
      <c r="E31" s="24" t="s">
        <v>26</v>
      </c>
      <c r="F31" s="25" t="s">
        <v>22</v>
      </c>
      <c r="G31" s="24"/>
      <c r="H31" s="35">
        <v>45235.0</v>
      </c>
      <c r="I31" s="27">
        <f t="shared" ref="I31:I32" si="8">IFERROR(IF($E31="Done", 1, IF(OR($E31="Working on it", $E31="In Review", $E31="On Hold"), 0.5, IF($E31="Not Started", 0, ""))), 0)</f>
        <v>1</v>
      </c>
      <c r="J31" s="28"/>
      <c r="K31" s="28"/>
      <c r="L31" s="17"/>
      <c r="M31" s="29">
        <v>45236.804145462964</v>
      </c>
      <c r="N31" s="29">
        <v>45236.81722965278</v>
      </c>
      <c r="O31" s="30"/>
      <c r="P31" s="30"/>
      <c r="Q31" s="37" t="s">
        <v>31</v>
      </c>
      <c r="R31" s="31">
        <v>0.0125</v>
      </c>
      <c r="S31" s="31" t="str">
        <f t="shared" si="1"/>
        <v>MVP</v>
      </c>
      <c r="T31" s="32" t="str">
        <f t="shared" si="2"/>
        <v>98.02</v>
      </c>
      <c r="U31" s="33"/>
      <c r="V31" s="31"/>
      <c r="W31" s="31"/>
    </row>
    <row r="32" ht="21.75" hidden="1" customHeight="1" outlineLevel="2">
      <c r="A32" s="20"/>
      <c r="B32" s="21" t="s">
        <v>99</v>
      </c>
      <c r="C32" s="22"/>
      <c r="D32" s="22" t="s">
        <v>47</v>
      </c>
      <c r="E32" s="24" t="s">
        <v>26</v>
      </c>
      <c r="F32" s="25" t="s">
        <v>27</v>
      </c>
      <c r="G32" s="24"/>
      <c r="H32" s="35">
        <v>45235.0</v>
      </c>
      <c r="I32" s="27">
        <f t="shared" si="8"/>
        <v>1</v>
      </c>
      <c r="J32" s="28"/>
      <c r="K32" s="28"/>
      <c r="L32" s="17"/>
      <c r="M32" s="29">
        <v>45236.817241979166</v>
      </c>
      <c r="N32" s="29">
        <v>45236.819363946764</v>
      </c>
      <c r="O32" s="30"/>
      <c r="P32" s="30"/>
      <c r="Q32" s="37" t="s">
        <v>31</v>
      </c>
      <c r="R32" s="31">
        <v>0.0020833333333333333</v>
      </c>
      <c r="S32" s="31" t="str">
        <f t="shared" si="1"/>
        <v>MVP</v>
      </c>
      <c r="T32" s="32" t="str">
        <f t="shared" si="2"/>
        <v>98.04</v>
      </c>
      <c r="U32" s="33"/>
      <c r="V32" s="31"/>
      <c r="W32" s="31"/>
    </row>
    <row r="33" ht="21.75" customHeight="1" outlineLevel="1" collapsed="1">
      <c r="A33" s="20"/>
      <c r="B33" s="21" t="s">
        <v>100</v>
      </c>
      <c r="C33" s="22" t="s">
        <v>101</v>
      </c>
      <c r="D33" s="23"/>
      <c r="E33" s="24" t="s">
        <v>102</v>
      </c>
      <c r="F33" s="25" t="s">
        <v>22</v>
      </c>
      <c r="G33" s="24" t="s">
        <v>89</v>
      </c>
      <c r="H33" s="26">
        <f>MAX(H34:H35)</f>
        <v>45236</v>
      </c>
      <c r="I33" s="27" t="str">
        <f>IFERROR(__xludf.DUMMYFUNCTION("SPARKLINE(SUM(I34:I35), {""charttype"", ""bar""; ""max"", J33; ""color1"", ""green""})"),"")</f>
        <v/>
      </c>
      <c r="J33" s="28">
        <f>COUNT(I34:I35)</f>
        <v>2</v>
      </c>
      <c r="K33" s="28" t="str">
        <f>IF(ISNUMBER(B239), K239, "")</f>
        <v/>
      </c>
      <c r="L33" s="17"/>
      <c r="M33" s="29">
        <f>MIN(M34:M35)</f>
        <v>0</v>
      </c>
      <c r="N33" s="29">
        <f>MAX(N34:N35)</f>
        <v>0</v>
      </c>
      <c r="O33" s="30"/>
      <c r="P33" s="30"/>
      <c r="Q33" s="29"/>
      <c r="R33" s="31">
        <f>SUM(R34:R35)</f>
        <v>0</v>
      </c>
      <c r="S33" s="31" t="str">
        <f t="shared" si="1"/>
        <v>MVP</v>
      </c>
      <c r="T33" s="32" t="str">
        <f t="shared" si="2"/>
        <v>99</v>
      </c>
      <c r="U33" s="33" t="str">
        <f>CONCATENATE(C33, " - ",E33)</f>
        <v>180TB SSds - Tweet</v>
      </c>
      <c r="V33" s="31"/>
      <c r="W33" s="31"/>
    </row>
    <row r="34" ht="21.75" hidden="1" customHeight="1" outlineLevel="2">
      <c r="A34" s="20"/>
      <c r="B34" s="21" t="s">
        <v>103</v>
      </c>
      <c r="C34" s="22"/>
      <c r="D34" s="22" t="s">
        <v>25</v>
      </c>
      <c r="E34" s="24" t="s">
        <v>26</v>
      </c>
      <c r="F34" s="25" t="s">
        <v>22</v>
      </c>
      <c r="G34" s="24"/>
      <c r="H34" s="35">
        <v>45235.59412417824</v>
      </c>
      <c r="I34" s="27">
        <f t="shared" ref="I34:I35" si="9">IFERROR(IF($E34="Done", 1, IF(OR($E34="Working on it", $E34="In Review", $E34="On Hold"), 0.5, IF($E34="Not Started", 0, ""))), 0)</f>
        <v>1</v>
      </c>
      <c r="J34" s="28"/>
      <c r="K34" s="28"/>
      <c r="L34" s="17"/>
      <c r="M34" s="29"/>
      <c r="N34" s="29"/>
      <c r="O34" s="30"/>
      <c r="P34" s="30"/>
      <c r="Q34" s="29"/>
      <c r="R34" s="31"/>
      <c r="S34" s="31" t="str">
        <f t="shared" si="1"/>
        <v>MVP</v>
      </c>
      <c r="T34" s="32" t="str">
        <f t="shared" si="2"/>
        <v>99.01</v>
      </c>
      <c r="U34" s="33"/>
      <c r="V34" s="31"/>
      <c r="W34" s="31"/>
    </row>
    <row r="35" ht="21.75" hidden="1" customHeight="1" outlineLevel="2">
      <c r="A35" s="20"/>
      <c r="B35" s="21" t="s">
        <v>104</v>
      </c>
      <c r="C35" s="22"/>
      <c r="D35" s="22" t="s">
        <v>47</v>
      </c>
      <c r="E35" s="24" t="s">
        <v>26</v>
      </c>
      <c r="F35" s="25" t="s">
        <v>22</v>
      </c>
      <c r="G35" s="24"/>
      <c r="H35" s="35">
        <v>45236.0</v>
      </c>
      <c r="I35" s="27">
        <f t="shared" si="9"/>
        <v>1</v>
      </c>
      <c r="J35" s="28"/>
      <c r="K35" s="28"/>
      <c r="L35" s="17"/>
      <c r="M35" s="29"/>
      <c r="N35" s="29"/>
      <c r="O35" s="30"/>
      <c r="P35" s="30"/>
      <c r="Q35" s="29"/>
      <c r="R35" s="31"/>
      <c r="S35" s="31" t="str">
        <f t="shared" si="1"/>
        <v>MVP</v>
      </c>
      <c r="T35" s="32" t="str">
        <f t="shared" si="2"/>
        <v>99.04</v>
      </c>
      <c r="U35" s="33"/>
      <c r="V35" s="31"/>
      <c r="W35" s="31"/>
    </row>
    <row r="36" ht="21.75" customHeight="1" outlineLevel="1" collapsed="1">
      <c r="A36" s="20" t="s">
        <v>105</v>
      </c>
      <c r="B36" s="21" t="s">
        <v>106</v>
      </c>
      <c r="C36" s="22" t="s">
        <v>107</v>
      </c>
      <c r="D36" s="23"/>
      <c r="E36" s="24" t="s">
        <v>21</v>
      </c>
      <c r="F36" s="25" t="s">
        <v>22</v>
      </c>
      <c r="G36" s="24" t="s">
        <v>63</v>
      </c>
      <c r="H36" s="26">
        <f>MAX(H37:H41)</f>
        <v>45238</v>
      </c>
      <c r="I36" s="27" t="str">
        <f>IFERROR(__xludf.DUMMYFUNCTION("SPARKLINE(SUM(I37:I41), {""charttype"", ""bar""; ""max"", J36; ""color1"", ""green""})"),"")</f>
        <v/>
      </c>
      <c r="J36" s="28">
        <f>COUNT(I37:I41)</f>
        <v>5</v>
      </c>
      <c r="K36" s="28" t="str">
        <f>IF(ISNUMBER(B91), K91, "")</f>
        <v/>
      </c>
      <c r="L36" s="17"/>
      <c r="M36" s="29">
        <f>MIN(M37:M41)</f>
        <v>45232.62371</v>
      </c>
      <c r="N36" s="29">
        <f>MAX(N37:N41)</f>
        <v>45238.72169</v>
      </c>
      <c r="O36" s="30"/>
      <c r="P36" s="30"/>
      <c r="Q36" s="29"/>
      <c r="R36" s="31">
        <f>SUM(R37:R41)</f>
        <v>1.114583333</v>
      </c>
      <c r="S36" s="31" t="str">
        <f t="shared" si="1"/>
        <v>MVP</v>
      </c>
      <c r="T36" s="32" t="str">
        <f t="shared" si="2"/>
        <v>44</v>
      </c>
      <c r="U36" s="33" t="str">
        <f>CONCATENATE(C36, " - ",E36)</f>
        <v>Ada Lovelace Power Efficiency - Shorts</v>
      </c>
      <c r="V36" s="31"/>
      <c r="W36" s="31"/>
    </row>
    <row r="37" ht="21.75" hidden="1" customHeight="1" outlineLevel="2">
      <c r="A37" s="20"/>
      <c r="B37" s="21" t="s">
        <v>108</v>
      </c>
      <c r="C37" s="22"/>
      <c r="D37" s="22" t="s">
        <v>25</v>
      </c>
      <c r="E37" s="24" t="s">
        <v>26</v>
      </c>
      <c r="F37" s="25" t="s">
        <v>22</v>
      </c>
      <c r="G37" s="34" t="s">
        <v>107</v>
      </c>
      <c r="H37" s="35">
        <v>45236.0</v>
      </c>
      <c r="I37" s="27">
        <f t="shared" ref="I37:I41" si="10">IFERROR(IF($E37="Done", 1, IF(OR($E37="Working on it", $E37="In Review", $E37="On Hold"), 0.5, IF($E37="Not Started", 0, ""))), 0)</f>
        <v>1</v>
      </c>
      <c r="J37" s="28"/>
      <c r="K37" s="28"/>
      <c r="L37" s="17"/>
      <c r="M37" s="29">
        <v>45232.62370795139</v>
      </c>
      <c r="N37" s="29">
        <v>45236.81968001157</v>
      </c>
      <c r="O37" s="36" t="s">
        <v>109</v>
      </c>
      <c r="P37" s="36" t="s">
        <v>110</v>
      </c>
      <c r="Q37" s="37" t="s">
        <v>31</v>
      </c>
      <c r="R37" s="31">
        <v>0.85625</v>
      </c>
      <c r="S37" s="31" t="str">
        <f t="shared" si="1"/>
        <v>MVP</v>
      </c>
      <c r="T37" s="32" t="str">
        <f t="shared" si="2"/>
        <v>44.01</v>
      </c>
      <c r="U37" s="33"/>
      <c r="V37" s="31"/>
      <c r="W37" s="31"/>
    </row>
    <row r="38" ht="21.75" hidden="1" customHeight="1" outlineLevel="2">
      <c r="A38" s="20"/>
      <c r="B38" s="21" t="s">
        <v>111</v>
      </c>
      <c r="C38" s="22"/>
      <c r="D38" s="22" t="s">
        <v>112</v>
      </c>
      <c r="E38" s="24" t="s">
        <v>26</v>
      </c>
      <c r="F38" s="25" t="s">
        <v>48</v>
      </c>
      <c r="G38" s="24"/>
      <c r="H38" s="35">
        <v>45237.0</v>
      </c>
      <c r="I38" s="27">
        <f t="shared" si="10"/>
        <v>1</v>
      </c>
      <c r="J38" s="28"/>
      <c r="K38" s="28"/>
      <c r="L38" s="17"/>
      <c r="M38" s="29">
        <v>45237.42474188657</v>
      </c>
      <c r="N38" s="29">
        <v>45237.42933966435</v>
      </c>
      <c r="O38" s="30"/>
      <c r="P38" s="30"/>
      <c r="Q38" s="37" t="s">
        <v>31</v>
      </c>
      <c r="R38" s="31">
        <v>0.004166666666666667</v>
      </c>
      <c r="S38" s="31" t="str">
        <f t="shared" si="1"/>
        <v>MVP</v>
      </c>
      <c r="T38" s="32" t="str">
        <f t="shared" si="2"/>
        <v>44.02</v>
      </c>
      <c r="U38" s="33"/>
      <c r="V38" s="31"/>
      <c r="W38" s="31"/>
    </row>
    <row r="39" ht="21.75" hidden="1" customHeight="1" outlineLevel="2">
      <c r="A39" s="20"/>
      <c r="B39" s="21" t="s">
        <v>113</v>
      </c>
      <c r="C39" s="22"/>
      <c r="D39" s="22" t="s">
        <v>40</v>
      </c>
      <c r="E39" s="24" t="s">
        <v>26</v>
      </c>
      <c r="F39" s="25" t="s">
        <v>27</v>
      </c>
      <c r="G39" s="24"/>
      <c r="H39" s="35">
        <v>45237.0</v>
      </c>
      <c r="I39" s="27">
        <f t="shared" si="10"/>
        <v>1</v>
      </c>
      <c r="J39" s="28"/>
      <c r="K39" s="28"/>
      <c r="L39" s="17"/>
      <c r="M39" s="29">
        <v>45237.53054920139</v>
      </c>
      <c r="N39" s="29">
        <v>45238.646677453704</v>
      </c>
      <c r="O39" s="36" t="s">
        <v>114</v>
      </c>
      <c r="P39" s="36" t="s">
        <v>115</v>
      </c>
      <c r="Q39" s="37" t="s">
        <v>31</v>
      </c>
      <c r="R39" s="31">
        <v>0.2263888888888889</v>
      </c>
      <c r="S39" s="31" t="str">
        <f t="shared" si="1"/>
        <v>MVP</v>
      </c>
      <c r="T39" s="32" t="str">
        <f t="shared" si="2"/>
        <v>44.05</v>
      </c>
      <c r="U39" s="33"/>
      <c r="V39" s="31"/>
      <c r="W39" s="31"/>
    </row>
    <row r="40" ht="21.75" hidden="1" customHeight="1" outlineLevel="2">
      <c r="A40" s="20"/>
      <c r="B40" s="21" t="s">
        <v>116</v>
      </c>
      <c r="C40" s="22"/>
      <c r="D40" s="22" t="s">
        <v>45</v>
      </c>
      <c r="E40" s="24" t="s">
        <v>26</v>
      </c>
      <c r="F40" s="25" t="s">
        <v>41</v>
      </c>
      <c r="G40" s="24"/>
      <c r="H40" s="35">
        <v>45237.0</v>
      </c>
      <c r="I40" s="27">
        <f t="shared" si="10"/>
        <v>1</v>
      </c>
      <c r="J40" s="28"/>
      <c r="K40" s="28"/>
      <c r="L40" s="17"/>
      <c r="M40" s="29">
        <v>45237.47351998843</v>
      </c>
      <c r="N40" s="29">
        <v>45237.50104762732</v>
      </c>
      <c r="O40" s="30"/>
      <c r="P40" s="30"/>
      <c r="Q40" s="37" t="s">
        <v>31</v>
      </c>
      <c r="R40" s="31">
        <v>0.027083333333333334</v>
      </c>
      <c r="S40" s="31" t="str">
        <f t="shared" si="1"/>
        <v>MVP</v>
      </c>
      <c r="T40" s="32" t="str">
        <f t="shared" si="2"/>
        <v>44.06</v>
      </c>
      <c r="U40" s="33"/>
      <c r="V40" s="31"/>
      <c r="W40" s="31"/>
    </row>
    <row r="41" ht="21.75" hidden="1" customHeight="1" outlineLevel="2">
      <c r="A41" s="20"/>
      <c r="B41" s="21" t="s">
        <v>117</v>
      </c>
      <c r="C41" s="22"/>
      <c r="D41" s="22" t="s">
        <v>47</v>
      </c>
      <c r="E41" s="24" t="s">
        <v>26</v>
      </c>
      <c r="F41" s="25" t="s">
        <v>48</v>
      </c>
      <c r="G41" s="24"/>
      <c r="H41" s="35">
        <v>45238.0</v>
      </c>
      <c r="I41" s="27">
        <f t="shared" si="10"/>
        <v>1</v>
      </c>
      <c r="J41" s="28"/>
      <c r="K41" s="28"/>
      <c r="L41" s="17"/>
      <c r="M41" s="29">
        <v>45238.72075890047</v>
      </c>
      <c r="N41" s="29">
        <v>45238.721685069446</v>
      </c>
      <c r="O41" s="30"/>
      <c r="P41" s="30"/>
      <c r="Q41" s="37" t="s">
        <v>31</v>
      </c>
      <c r="R41" s="31">
        <v>6.944444444444445E-4</v>
      </c>
      <c r="S41" s="31" t="str">
        <f t="shared" si="1"/>
        <v>MVP</v>
      </c>
      <c r="T41" s="32" t="str">
        <f t="shared" si="2"/>
        <v>44.07</v>
      </c>
      <c r="U41" s="33"/>
      <c r="V41" s="31"/>
      <c r="W41" s="31"/>
    </row>
    <row r="42" ht="21.75" customHeight="1" outlineLevel="1" collapsed="1">
      <c r="A42" s="20"/>
      <c r="B42" s="21" t="s">
        <v>118</v>
      </c>
      <c r="C42" s="22" t="s">
        <v>119</v>
      </c>
      <c r="D42" s="23"/>
      <c r="E42" s="24" t="s">
        <v>62</v>
      </c>
      <c r="F42" s="25" t="s">
        <v>22</v>
      </c>
      <c r="G42" s="24" t="s">
        <v>63</v>
      </c>
      <c r="H42" s="26">
        <f>MAX(H44:H49)</f>
        <v>45237</v>
      </c>
      <c r="I42" s="27" t="str">
        <f>IFERROR(__xludf.DUMMYFUNCTION("SPARKLINE(SUM(I43:I49), {""charttype"", ""bar""; ""max"", J42; ""color1"", ""green""})"),"")</f>
        <v/>
      </c>
      <c r="J42" s="28">
        <f>COUNT(I43:I49)</f>
        <v>7</v>
      </c>
      <c r="K42" s="38" t="str">
        <f>IF(ISNUMBER(B377), K377, "")</f>
        <v/>
      </c>
      <c r="L42" s="39"/>
      <c r="M42" s="40">
        <f>MIN(M43:M49)</f>
        <v>45231.64356</v>
      </c>
      <c r="N42" s="40">
        <f>MAX(N43:N49)</f>
        <v>45237.81165</v>
      </c>
      <c r="O42" s="41"/>
      <c r="P42" s="41"/>
      <c r="Q42" s="41"/>
      <c r="R42" s="42">
        <f>SUM(R43:R49)</f>
        <v>0.3340277778</v>
      </c>
      <c r="S42" s="31" t="str">
        <f t="shared" si="1"/>
        <v>MVP</v>
      </c>
      <c r="T42" s="32" t="str">
        <f t="shared" si="2"/>
        <v>87</v>
      </c>
      <c r="U42" s="33" t="str">
        <f>CONCATENATE(C42, " - ",E42)</f>
        <v>China Vlog 1 - YT Video</v>
      </c>
      <c r="V42" s="31"/>
      <c r="W42" s="31"/>
    </row>
    <row r="43" ht="21.75" hidden="1" customHeight="1" outlineLevel="2">
      <c r="A43" s="20"/>
      <c r="B43" s="21" t="s">
        <v>120</v>
      </c>
      <c r="C43" s="22"/>
      <c r="D43" s="22" t="s">
        <v>121</v>
      </c>
      <c r="E43" s="24" t="s">
        <v>26</v>
      </c>
      <c r="F43" s="25" t="s">
        <v>48</v>
      </c>
      <c r="G43" s="24"/>
      <c r="H43" s="35">
        <v>45230.0</v>
      </c>
      <c r="I43" s="27">
        <f t="shared" ref="I43:I49" si="11">IFERROR(IF($E43="Done", 1, IF(OR($E43="Working on it", $E43="In Review", $E43="On Hold"), 0.5, IF($E43="Not Started", 0, ""))), 0)</f>
        <v>1</v>
      </c>
      <c r="J43" s="28"/>
      <c r="K43" s="28"/>
      <c r="L43" s="17"/>
      <c r="M43" s="29">
        <v>45231.64355928241</v>
      </c>
      <c r="N43" s="29">
        <v>45233.49482923611</v>
      </c>
      <c r="O43" s="36" t="s">
        <v>122</v>
      </c>
      <c r="P43" s="36" t="s">
        <v>123</v>
      </c>
      <c r="Q43" s="37" t="s">
        <v>31</v>
      </c>
      <c r="R43" s="31">
        <v>0.034027777777777775</v>
      </c>
      <c r="S43" s="31" t="str">
        <f t="shared" si="1"/>
        <v>MVP</v>
      </c>
      <c r="T43" s="32" t="str">
        <f t="shared" si="2"/>
        <v>87.01</v>
      </c>
      <c r="U43" s="33"/>
      <c r="V43" s="31"/>
      <c r="W43" s="31"/>
    </row>
    <row r="44" ht="21.75" hidden="1" customHeight="1" outlineLevel="2">
      <c r="A44" s="20"/>
      <c r="B44" s="21" t="s">
        <v>124</v>
      </c>
      <c r="C44" s="22"/>
      <c r="D44" s="22" t="s">
        <v>125</v>
      </c>
      <c r="E44" s="24" t="s">
        <v>26</v>
      </c>
      <c r="F44" s="25" t="s">
        <v>48</v>
      </c>
      <c r="G44" s="24"/>
      <c r="H44" s="35">
        <v>45233.0</v>
      </c>
      <c r="I44" s="27">
        <f t="shared" si="11"/>
        <v>1</v>
      </c>
      <c r="J44" s="28"/>
      <c r="K44" s="28"/>
      <c r="L44" s="17"/>
      <c r="M44" s="29"/>
      <c r="N44" s="29"/>
      <c r="O44" s="30"/>
      <c r="P44" s="30"/>
      <c r="Q44" s="29"/>
      <c r="R44" s="31"/>
      <c r="S44" s="31" t="str">
        <f t="shared" si="1"/>
        <v>MVP</v>
      </c>
      <c r="T44" s="32" t="str">
        <f t="shared" si="2"/>
        <v>87.02</v>
      </c>
      <c r="U44" s="33"/>
      <c r="V44" s="31"/>
      <c r="W44" s="31"/>
    </row>
    <row r="45" ht="21.75" hidden="1" customHeight="1" outlineLevel="2">
      <c r="A45" s="20"/>
      <c r="B45" s="21" t="s">
        <v>126</v>
      </c>
      <c r="C45" s="22"/>
      <c r="D45" s="22" t="s">
        <v>127</v>
      </c>
      <c r="E45" s="24" t="s">
        <v>26</v>
      </c>
      <c r="F45" s="25" t="s">
        <v>48</v>
      </c>
      <c r="G45" s="24"/>
      <c r="H45" s="35">
        <v>45233.0</v>
      </c>
      <c r="I45" s="27">
        <f t="shared" si="11"/>
        <v>1</v>
      </c>
      <c r="J45" s="28"/>
      <c r="K45" s="28"/>
      <c r="L45" s="17"/>
      <c r="M45" s="29">
        <v>45233.602486435186</v>
      </c>
      <c r="N45" s="29">
        <v>45233.630697858796</v>
      </c>
      <c r="O45" s="36" t="s">
        <v>128</v>
      </c>
      <c r="P45" s="36" t="s">
        <v>129</v>
      </c>
      <c r="Q45" s="37" t="s">
        <v>31</v>
      </c>
      <c r="R45" s="31">
        <v>0.01597222222222222</v>
      </c>
      <c r="S45" s="31" t="str">
        <f t="shared" si="1"/>
        <v>MVP</v>
      </c>
      <c r="T45" s="32" t="str">
        <f t="shared" si="2"/>
        <v>87.03</v>
      </c>
      <c r="U45" s="33"/>
      <c r="V45" s="31"/>
      <c r="W45" s="31"/>
    </row>
    <row r="46" ht="21.75" hidden="1" customHeight="1" outlineLevel="2">
      <c r="A46" s="20"/>
      <c r="B46" s="21" t="s">
        <v>130</v>
      </c>
      <c r="C46" s="22"/>
      <c r="D46" s="22" t="s">
        <v>38</v>
      </c>
      <c r="E46" s="24" t="s">
        <v>26</v>
      </c>
      <c r="F46" s="25" t="s">
        <v>131</v>
      </c>
      <c r="G46" s="24"/>
      <c r="H46" s="35">
        <v>45231.0</v>
      </c>
      <c r="I46" s="27">
        <f t="shared" si="11"/>
        <v>1</v>
      </c>
      <c r="J46" s="28"/>
      <c r="K46" s="28"/>
      <c r="L46" s="17"/>
      <c r="M46" s="29"/>
      <c r="N46" s="29"/>
      <c r="O46" s="30"/>
      <c r="P46" s="30"/>
      <c r="Q46" s="29"/>
      <c r="R46" s="31"/>
      <c r="S46" s="31" t="str">
        <f t="shared" si="1"/>
        <v>MVP</v>
      </c>
      <c r="T46" s="32" t="str">
        <f t="shared" si="2"/>
        <v>87.04</v>
      </c>
      <c r="U46" s="33"/>
      <c r="V46" s="31"/>
      <c r="W46" s="31"/>
    </row>
    <row r="47" ht="21.75" hidden="1" customHeight="1" outlineLevel="2">
      <c r="A47" s="20"/>
      <c r="B47" s="21" t="s">
        <v>132</v>
      </c>
      <c r="C47" s="22"/>
      <c r="D47" s="22" t="s">
        <v>40</v>
      </c>
      <c r="E47" s="24" t="s">
        <v>26</v>
      </c>
      <c r="F47" s="25" t="s">
        <v>48</v>
      </c>
      <c r="G47" s="24"/>
      <c r="H47" s="35">
        <v>45235.0</v>
      </c>
      <c r="I47" s="27">
        <f t="shared" si="11"/>
        <v>1</v>
      </c>
      <c r="J47" s="28"/>
      <c r="K47" s="28"/>
      <c r="L47" s="17"/>
      <c r="M47" s="29">
        <v>45233.78023916666</v>
      </c>
      <c r="N47" s="29">
        <v>45237.74838005787</v>
      </c>
      <c r="O47" s="36" t="s">
        <v>133</v>
      </c>
      <c r="P47" s="36" t="s">
        <v>134</v>
      </c>
      <c r="Q47" s="37" t="s">
        <v>31</v>
      </c>
      <c r="R47" s="31">
        <v>0.16944444444444445</v>
      </c>
      <c r="S47" s="31" t="str">
        <f t="shared" si="1"/>
        <v>MVP</v>
      </c>
      <c r="T47" s="32" t="str">
        <f t="shared" si="2"/>
        <v>87.05</v>
      </c>
      <c r="U47" s="33"/>
      <c r="V47" s="31"/>
      <c r="W47" s="31"/>
    </row>
    <row r="48" ht="21.75" hidden="1" customHeight="1" outlineLevel="2">
      <c r="A48" s="20"/>
      <c r="B48" s="21" t="s">
        <v>135</v>
      </c>
      <c r="C48" s="22"/>
      <c r="D48" s="22" t="s">
        <v>45</v>
      </c>
      <c r="E48" s="24" t="s">
        <v>26</v>
      </c>
      <c r="F48" s="25" t="s">
        <v>22</v>
      </c>
      <c r="G48" s="24"/>
      <c r="H48" s="35">
        <v>45236.0</v>
      </c>
      <c r="I48" s="27">
        <f t="shared" si="11"/>
        <v>1</v>
      </c>
      <c r="J48" s="28"/>
      <c r="K48" s="28"/>
      <c r="L48" s="17"/>
      <c r="M48" s="29">
        <v>45237.52008108796</v>
      </c>
      <c r="N48" s="29">
        <v>45237.81165310185</v>
      </c>
      <c r="O48" s="36" t="s">
        <v>136</v>
      </c>
      <c r="P48" s="36" t="s">
        <v>137</v>
      </c>
      <c r="Q48" s="37" t="s">
        <v>31</v>
      </c>
      <c r="R48" s="31">
        <v>0.11388888888888889</v>
      </c>
      <c r="S48" s="31" t="str">
        <f t="shared" si="1"/>
        <v>MVP</v>
      </c>
      <c r="T48" s="32" t="str">
        <f t="shared" si="2"/>
        <v>87.06</v>
      </c>
      <c r="U48" s="33"/>
      <c r="V48" s="31"/>
      <c r="W48" s="31"/>
    </row>
    <row r="49" ht="21.75" hidden="1" customHeight="1" outlineLevel="2">
      <c r="A49" s="20"/>
      <c r="B49" s="21" t="s">
        <v>138</v>
      </c>
      <c r="C49" s="22"/>
      <c r="D49" s="22" t="s">
        <v>47</v>
      </c>
      <c r="E49" s="24" t="s">
        <v>26</v>
      </c>
      <c r="F49" s="25" t="s">
        <v>48</v>
      </c>
      <c r="G49" s="24"/>
      <c r="H49" s="35">
        <v>45237.0</v>
      </c>
      <c r="I49" s="27">
        <f t="shared" si="11"/>
        <v>1</v>
      </c>
      <c r="J49" s="28"/>
      <c r="K49" s="28"/>
      <c r="L49" s="17"/>
      <c r="M49" s="29">
        <v>45237.749135254635</v>
      </c>
      <c r="N49" s="29">
        <v>45237.75047900463</v>
      </c>
      <c r="O49" s="30"/>
      <c r="P49" s="30"/>
      <c r="Q49" s="37" t="s">
        <v>31</v>
      </c>
      <c r="R49" s="31">
        <v>6.944444444444445E-4</v>
      </c>
      <c r="S49" s="31" t="str">
        <f t="shared" si="1"/>
        <v>MVP</v>
      </c>
      <c r="T49" s="32" t="str">
        <f t="shared" si="2"/>
        <v>87.07</v>
      </c>
      <c r="U49" s="33"/>
      <c r="V49" s="31"/>
      <c r="W49" s="31"/>
    </row>
    <row r="50" ht="21.75" customHeight="1" outlineLevel="1" collapsed="1">
      <c r="A50" s="20"/>
      <c r="B50" s="21" t="s">
        <v>139</v>
      </c>
      <c r="C50" s="22" t="s">
        <v>140</v>
      </c>
      <c r="D50" s="23"/>
      <c r="E50" s="24" t="s">
        <v>21</v>
      </c>
      <c r="F50" s="25" t="s">
        <v>22</v>
      </c>
      <c r="G50" s="24" t="s">
        <v>23</v>
      </c>
      <c r="H50" s="26">
        <f>MAX(H51:H54)</f>
        <v>45238</v>
      </c>
      <c r="I50" s="27" t="str">
        <f>IFERROR(__xludf.DUMMYFUNCTION("SPARKLINE(SUM(I51:I54), {""charttype"", ""bar""; ""max"", J50; ""color1"", ""green""})"),"")</f>
        <v/>
      </c>
      <c r="J50" s="28">
        <f>COUNT(I51:I54)</f>
        <v>3</v>
      </c>
      <c r="K50" s="28" t="str">
        <f>IF(ISNUMBER(#REF!), #REF!, "")</f>
        <v/>
      </c>
      <c r="L50" s="17"/>
      <c r="M50" s="29">
        <f>MIN(M51:M54)</f>
        <v>45237.74101</v>
      </c>
      <c r="N50" s="29">
        <f>MAX(N51:N54)</f>
        <v>45238.79312</v>
      </c>
      <c r="O50" s="30"/>
      <c r="P50" s="30"/>
      <c r="Q50" s="29"/>
      <c r="R50" s="31">
        <f>SUM(R51:R54)</f>
        <v>0.00625</v>
      </c>
      <c r="S50" s="31" t="str">
        <f t="shared" si="1"/>
        <v>MVP</v>
      </c>
      <c r="T50" s="32" t="str">
        <f t="shared" si="2"/>
        <v>88</v>
      </c>
      <c r="U50" s="33" t="str">
        <f>CONCATENATE(C50, " - ",E50)</f>
        <v>China Vlog - DownEdit - Shorts</v>
      </c>
      <c r="V50" s="31"/>
      <c r="W50" s="31"/>
    </row>
    <row r="51" ht="21.75" hidden="1" customHeight="1" outlineLevel="2">
      <c r="A51" s="20"/>
      <c r="B51" s="21" t="s">
        <v>141</v>
      </c>
      <c r="C51" s="22"/>
      <c r="D51" s="22" t="s">
        <v>142</v>
      </c>
      <c r="E51" s="24" t="s">
        <v>26</v>
      </c>
      <c r="F51" s="25" t="s">
        <v>48</v>
      </c>
      <c r="G51" s="24"/>
      <c r="H51" s="35">
        <v>45237.0</v>
      </c>
      <c r="I51" s="27">
        <f t="shared" ref="I51:I52" si="12">IFERROR(IF($E51="Done", 1, IF(OR($E51="Working on it", $E51="In Review", $E51="On Hold"), 0.5, IF($E51="Not Started", 0, ""))), 0)</f>
        <v>1</v>
      </c>
      <c r="J51" s="28"/>
      <c r="K51" s="28"/>
      <c r="L51" s="17"/>
      <c r="M51" s="29"/>
      <c r="N51" s="29"/>
      <c r="O51" s="30"/>
      <c r="P51" s="30"/>
      <c r="Q51" s="29"/>
      <c r="R51" s="31"/>
      <c r="S51" s="31" t="str">
        <f t="shared" si="1"/>
        <v>MVP</v>
      </c>
      <c r="T51" s="32" t="str">
        <f t="shared" si="2"/>
        <v>88.01</v>
      </c>
      <c r="U51" s="33"/>
      <c r="V51" s="31"/>
      <c r="W51" s="31"/>
    </row>
    <row r="52" ht="21.75" hidden="1" customHeight="1" outlineLevel="2">
      <c r="A52" s="20"/>
      <c r="B52" s="21" t="s">
        <v>143</v>
      </c>
      <c r="C52" s="22"/>
      <c r="D52" s="22" t="s">
        <v>144</v>
      </c>
      <c r="E52" s="24" t="s">
        <v>26</v>
      </c>
      <c r="F52" s="25" t="s">
        <v>34</v>
      </c>
      <c r="G52" s="24"/>
      <c r="H52" s="35">
        <v>45237.0</v>
      </c>
      <c r="I52" s="27">
        <f t="shared" si="12"/>
        <v>1</v>
      </c>
      <c r="J52" s="28"/>
      <c r="K52" s="28"/>
      <c r="L52" s="17"/>
      <c r="M52" s="29">
        <v>45238.79011501158</v>
      </c>
      <c r="N52" s="29">
        <v>45238.7931212963</v>
      </c>
      <c r="O52" s="30"/>
      <c r="P52" s="30"/>
      <c r="Q52" s="37" t="s">
        <v>31</v>
      </c>
      <c r="R52" s="31">
        <v>0.002777777777777778</v>
      </c>
      <c r="S52" s="31" t="str">
        <f t="shared" si="1"/>
        <v>MVP</v>
      </c>
      <c r="T52" s="32" t="str">
        <f t="shared" si="2"/>
        <v>88.02</v>
      </c>
      <c r="U52" s="33"/>
      <c r="V52" s="31"/>
      <c r="W52" s="31"/>
    </row>
    <row r="53" ht="21.75" hidden="1" customHeight="1" outlineLevel="2">
      <c r="A53" s="20"/>
      <c r="B53" s="21" t="s">
        <v>145</v>
      </c>
      <c r="C53" s="22"/>
      <c r="D53" s="22" t="s">
        <v>146</v>
      </c>
      <c r="E53" s="24" t="s">
        <v>26</v>
      </c>
      <c r="F53" s="25" t="s">
        <v>34</v>
      </c>
      <c r="G53" s="24"/>
      <c r="H53" s="35">
        <v>45238.0</v>
      </c>
      <c r="I53" s="27"/>
      <c r="J53" s="28"/>
      <c r="K53" s="28"/>
      <c r="L53" s="17"/>
      <c r="M53" s="29"/>
      <c r="N53" s="29"/>
      <c r="O53" s="30"/>
      <c r="P53" s="30"/>
      <c r="Q53" s="29"/>
      <c r="R53" s="31"/>
      <c r="S53" s="31"/>
      <c r="T53" s="32"/>
      <c r="U53" s="33"/>
      <c r="V53" s="31"/>
      <c r="W53" s="31"/>
    </row>
    <row r="54" ht="21.75" hidden="1" customHeight="1" outlineLevel="2">
      <c r="A54" s="20"/>
      <c r="B54" s="21" t="s">
        <v>147</v>
      </c>
      <c r="C54" s="22"/>
      <c r="D54" s="22" t="s">
        <v>47</v>
      </c>
      <c r="E54" s="24" t="s">
        <v>26</v>
      </c>
      <c r="F54" s="25" t="s">
        <v>48</v>
      </c>
      <c r="G54" s="24"/>
      <c r="H54" s="35">
        <v>45237.0</v>
      </c>
      <c r="I54" s="27">
        <f>IFERROR(IF($E54="Done", 1, IF(OR($E54="Working on it", $E54="In Review", $E54="On Hold"), 0.5, IF($E54="Not Started", 0, ""))), 0)</f>
        <v>1</v>
      </c>
      <c r="J54" s="28"/>
      <c r="K54" s="28"/>
      <c r="L54" s="17"/>
      <c r="M54" s="29">
        <v>45237.74101403935</v>
      </c>
      <c r="N54" s="29">
        <v>45237.744979166666</v>
      </c>
      <c r="O54" s="30"/>
      <c r="P54" s="30"/>
      <c r="Q54" s="37" t="s">
        <v>31</v>
      </c>
      <c r="R54" s="31">
        <v>0.003472222222222222</v>
      </c>
      <c r="S54" s="31" t="str">
        <f t="shared" ref="S54:S107" si="13">IFERROR(MID(B54, FIND("-", B54) + 1, 3), "")</f>
        <v>MVP</v>
      </c>
      <c r="T54" s="32" t="str">
        <f t="shared" ref="T54:T107" si="14">IFERROR(MID(B54, 8, LEN(B54)-7), "")
</f>
        <v>88.04</v>
      </c>
      <c r="U54" s="33"/>
      <c r="V54" s="31"/>
      <c r="W54" s="31"/>
    </row>
    <row r="55" ht="21.75" customHeight="1" outlineLevel="1" collapsed="1">
      <c r="A55" s="43"/>
      <c r="B55" s="22" t="s">
        <v>148</v>
      </c>
      <c r="C55" s="44" t="s">
        <v>149</v>
      </c>
      <c r="D55" s="45"/>
      <c r="E55" s="46" t="s">
        <v>21</v>
      </c>
      <c r="F55" s="46" t="s">
        <v>22</v>
      </c>
      <c r="G55" s="46" t="s">
        <v>79</v>
      </c>
      <c r="H55" s="47">
        <f>MAX(H56:H59)</f>
        <v>45238</v>
      </c>
      <c r="I55" s="48" t="str">
        <f>IFERROR(__xludf.DUMMYFUNCTION("SPARKLINE(SUM(I56:I59), {""charttype"", ""bar""; ""max"", J55; ""color1"", ""green""})"),"")</f>
        <v/>
      </c>
      <c r="J55" s="28">
        <f>COUNT(I56:I59)</f>
        <v>4</v>
      </c>
      <c r="K55" s="38" t="str">
        <f>IF(ISNUMBER(B398), K398, "")</f>
        <v/>
      </c>
      <c r="L55" s="39"/>
      <c r="M55" s="40">
        <f>MIN(M56:M59)</f>
        <v>45237.54198</v>
      </c>
      <c r="N55" s="40">
        <f>MAX(N56:N59)</f>
        <v>45238.71315</v>
      </c>
      <c r="O55" s="41"/>
      <c r="P55" s="41"/>
      <c r="Q55" s="41"/>
      <c r="R55" s="42">
        <f>SUM(R56:R59)</f>
        <v>0.1576388889</v>
      </c>
      <c r="S55" s="31" t="str">
        <f t="shared" si="13"/>
        <v>MVP</v>
      </c>
      <c r="T55" s="32" t="str">
        <f t="shared" si="14"/>
        <v>90</v>
      </c>
      <c r="U55" s="33" t="str">
        <f>CONCATENATE(C55, " - ",E55)</f>
        <v>Client Reviews - Pt 3 - Shorts</v>
      </c>
      <c r="V55" s="49"/>
      <c r="W55" s="49"/>
    </row>
    <row r="56" ht="21.75" hidden="1" customHeight="1" outlineLevel="2">
      <c r="A56" s="43"/>
      <c r="B56" s="44" t="s">
        <v>150</v>
      </c>
      <c r="C56" s="50"/>
      <c r="D56" s="22" t="s">
        <v>125</v>
      </c>
      <c r="E56" s="51" t="s">
        <v>26</v>
      </c>
      <c r="F56" s="25" t="s">
        <v>48</v>
      </c>
      <c r="G56" s="52" t="s">
        <v>151</v>
      </c>
      <c r="H56" s="53">
        <v>45235.0</v>
      </c>
      <c r="I56" s="27">
        <f t="shared" ref="I56:I59" si="15">IFERROR(IF($E56="Done", 1, IF(OR($E56="Working on it", $E56="In Review", $E56="On Hold"), 0.5, IF($E56="Not Started", 0, ""))), 0)</f>
        <v>1</v>
      </c>
      <c r="J56" s="38"/>
      <c r="K56" s="38"/>
      <c r="L56" s="39"/>
      <c r="M56" s="54">
        <v>45237.72536773148</v>
      </c>
      <c r="N56" s="54">
        <v>45237.728070972225</v>
      </c>
      <c r="O56" s="55" t="s">
        <v>152</v>
      </c>
      <c r="P56" s="55" t="s">
        <v>153</v>
      </c>
      <c r="Q56" s="55" t="s">
        <v>31</v>
      </c>
      <c r="R56" s="56">
        <v>0.001388888888888889</v>
      </c>
      <c r="S56" s="31" t="str">
        <f t="shared" si="13"/>
        <v>MVP</v>
      </c>
      <c r="T56" s="32" t="str">
        <f t="shared" si="14"/>
        <v>90.01</v>
      </c>
      <c r="U56" s="57"/>
      <c r="V56" s="49"/>
      <c r="W56" s="49"/>
    </row>
    <row r="57" ht="21.75" hidden="1" customHeight="1" outlineLevel="2">
      <c r="A57" s="43"/>
      <c r="B57" s="44" t="s">
        <v>154</v>
      </c>
      <c r="C57" s="50"/>
      <c r="D57" s="23" t="s">
        <v>40</v>
      </c>
      <c r="E57" s="51" t="s">
        <v>26</v>
      </c>
      <c r="F57" s="25" t="s">
        <v>34</v>
      </c>
      <c r="G57" s="50"/>
      <c r="H57" s="53">
        <v>45236.0</v>
      </c>
      <c r="I57" s="27">
        <f t="shared" si="15"/>
        <v>1</v>
      </c>
      <c r="J57" s="38"/>
      <c r="K57" s="38"/>
      <c r="L57" s="39"/>
      <c r="M57" s="54">
        <v>45237.541983981486</v>
      </c>
      <c r="N57" s="54">
        <v>45238.7000245949</v>
      </c>
      <c r="O57" s="55" t="s">
        <v>155</v>
      </c>
      <c r="P57" s="55" t="s">
        <v>156</v>
      </c>
      <c r="Q57" s="55" t="s">
        <v>31</v>
      </c>
      <c r="R57" s="56">
        <v>0.15138888888888888</v>
      </c>
      <c r="S57" s="31" t="str">
        <f t="shared" si="13"/>
        <v>MVP</v>
      </c>
      <c r="T57" s="32" t="str">
        <f t="shared" si="14"/>
        <v>90.05</v>
      </c>
      <c r="U57" s="57"/>
      <c r="V57" s="49"/>
      <c r="W57" s="49"/>
    </row>
    <row r="58" ht="21.75" hidden="1" customHeight="1" outlineLevel="2">
      <c r="A58" s="43"/>
      <c r="B58" s="44" t="s">
        <v>157</v>
      </c>
      <c r="C58" s="50"/>
      <c r="D58" s="23" t="s">
        <v>45</v>
      </c>
      <c r="E58" s="51" t="s">
        <v>26</v>
      </c>
      <c r="F58" s="25" t="s">
        <v>34</v>
      </c>
      <c r="G58" s="50"/>
      <c r="H58" s="53">
        <v>45238.0</v>
      </c>
      <c r="I58" s="27">
        <f t="shared" si="15"/>
        <v>1</v>
      </c>
      <c r="J58" s="38"/>
      <c r="K58" s="38"/>
      <c r="L58" s="39"/>
      <c r="M58" s="41"/>
      <c r="N58" s="41"/>
      <c r="O58" s="41"/>
      <c r="P58" s="41"/>
      <c r="Q58" s="41"/>
      <c r="R58" s="49"/>
      <c r="S58" s="31" t="str">
        <f t="shared" si="13"/>
        <v>MVP</v>
      </c>
      <c r="T58" s="32" t="str">
        <f t="shared" si="14"/>
        <v>90.06</v>
      </c>
      <c r="U58" s="57"/>
      <c r="V58" s="49"/>
      <c r="W58" s="49"/>
    </row>
    <row r="59" ht="21.75" hidden="1" customHeight="1" outlineLevel="2">
      <c r="A59" s="43"/>
      <c r="B59" s="44" t="s">
        <v>158</v>
      </c>
      <c r="C59" s="50"/>
      <c r="D59" s="23" t="s">
        <v>47</v>
      </c>
      <c r="E59" s="51" t="s">
        <v>26</v>
      </c>
      <c r="F59" s="25" t="s">
        <v>48</v>
      </c>
      <c r="G59" s="50"/>
      <c r="H59" s="53">
        <v>45238.0</v>
      </c>
      <c r="I59" s="27">
        <f t="shared" si="15"/>
        <v>1</v>
      </c>
      <c r="J59" s="38"/>
      <c r="K59" s="38"/>
      <c r="L59" s="39"/>
      <c r="M59" s="54">
        <v>45238.70795979167</v>
      </c>
      <c r="N59" s="54">
        <v>45238.71315398148</v>
      </c>
      <c r="O59" s="41"/>
      <c r="P59" s="41"/>
      <c r="Q59" s="55" t="s">
        <v>31</v>
      </c>
      <c r="R59" s="56">
        <v>0.004861111111111111</v>
      </c>
      <c r="S59" s="31" t="str">
        <f t="shared" si="13"/>
        <v>MVP</v>
      </c>
      <c r="T59" s="32" t="str">
        <f t="shared" si="14"/>
        <v>90.07</v>
      </c>
      <c r="U59" s="57"/>
      <c r="V59" s="49"/>
      <c r="W59" s="49"/>
    </row>
    <row r="60" ht="21.75" customHeight="1" outlineLevel="1" collapsed="1">
      <c r="A60" s="20"/>
      <c r="B60" s="21" t="s">
        <v>159</v>
      </c>
      <c r="C60" s="22" t="s">
        <v>160</v>
      </c>
      <c r="D60" s="23"/>
      <c r="E60" s="24" t="s">
        <v>97</v>
      </c>
      <c r="F60" s="25" t="s">
        <v>22</v>
      </c>
      <c r="G60" s="24" t="s">
        <v>89</v>
      </c>
      <c r="H60" s="26">
        <f>MAX(H61)</f>
        <v>45238</v>
      </c>
      <c r="I60" s="27" t="str">
        <f>IFERROR(__xludf.DUMMYFUNCTION("SPARKLINE(SUM(I61), {""charttype"", ""bar""; ""max"", J60; ""color1"", ""green""})"),"")</f>
        <v/>
      </c>
      <c r="J60" s="28">
        <f>COUNT(I61)</f>
        <v>1</v>
      </c>
      <c r="K60" s="28" t="str">
        <f>IF(ISNUMBER(B239), K239, "")</f>
        <v/>
      </c>
      <c r="L60" s="17"/>
      <c r="M60" s="29">
        <f>MIN(M61)</f>
        <v>45237.78428</v>
      </c>
      <c r="N60" s="29">
        <f>MAX(N61)</f>
        <v>45237.78931</v>
      </c>
      <c r="O60" s="30"/>
      <c r="P60" s="30"/>
      <c r="Q60" s="29"/>
      <c r="R60" s="31">
        <f>SUM(R61)</f>
        <v>0.004861111111</v>
      </c>
      <c r="S60" s="31" t="str">
        <f t="shared" si="13"/>
        <v>MVP</v>
      </c>
      <c r="T60" s="32" t="str">
        <f t="shared" si="14"/>
        <v>100</v>
      </c>
      <c r="U60" s="33" t="str">
        <f>CONCATENATE(C60, " - ",E60)</f>
        <v>Arm vs x86 - Linkedin</v>
      </c>
      <c r="V60" s="31"/>
      <c r="W60" s="31"/>
    </row>
    <row r="61" ht="21.75" hidden="1" customHeight="1" outlineLevel="2">
      <c r="A61" s="20"/>
      <c r="B61" s="21" t="s">
        <v>161</v>
      </c>
      <c r="C61" s="22"/>
      <c r="D61" s="22" t="s">
        <v>47</v>
      </c>
      <c r="E61" s="24" t="s">
        <v>26</v>
      </c>
      <c r="F61" s="25" t="s">
        <v>22</v>
      </c>
      <c r="G61" s="24"/>
      <c r="H61" s="35">
        <v>45238.0</v>
      </c>
      <c r="I61" s="27">
        <f>IFERROR(IF($E61="Done", 1, IF(OR($E61="Working on it", $E61="In Review", $E61="On Hold"), 0.5, IF($E61="Not Started", 0, ""))), 0)</f>
        <v>1</v>
      </c>
      <c r="J61" s="28"/>
      <c r="K61" s="28"/>
      <c r="L61" s="17"/>
      <c r="M61" s="29">
        <v>45237.784276238424</v>
      </c>
      <c r="N61" s="29">
        <v>45237.789312430556</v>
      </c>
      <c r="O61" s="30"/>
      <c r="P61" s="30"/>
      <c r="Q61" s="37" t="s">
        <v>31</v>
      </c>
      <c r="R61" s="31">
        <v>0.004861111111111111</v>
      </c>
      <c r="S61" s="31" t="str">
        <f t="shared" si="13"/>
        <v>MVP</v>
      </c>
      <c r="T61" s="32" t="str">
        <f t="shared" si="14"/>
        <v>100.04</v>
      </c>
      <c r="U61" s="33"/>
      <c r="V61" s="31"/>
      <c r="W61" s="31"/>
    </row>
    <row r="62" ht="21.75" customHeight="1" outlineLevel="1" collapsed="1">
      <c r="A62" s="20"/>
      <c r="B62" s="21" t="s">
        <v>162</v>
      </c>
      <c r="C62" s="22" t="s">
        <v>163</v>
      </c>
      <c r="D62" s="23"/>
      <c r="E62" s="24" t="s">
        <v>51</v>
      </c>
      <c r="F62" s="25" t="s">
        <v>22</v>
      </c>
      <c r="G62" s="24" t="s">
        <v>89</v>
      </c>
      <c r="H62" s="26">
        <f>MAX(H63:H66)</f>
        <v>45238</v>
      </c>
      <c r="I62" s="27" t="str">
        <f>IFERROR(__xludf.DUMMYFUNCTION("SPARKLINE(SUM(I63:I66), {""charttype"", ""bar""; ""max"", J62; ""color1"", ""green""})"),"")</f>
        <v/>
      </c>
      <c r="J62" s="28">
        <f>COUNT(I63:I66)</f>
        <v>4</v>
      </c>
      <c r="K62" s="28" t="str">
        <f>IF(ISNUMBER(B29), K29, "")</f>
        <v/>
      </c>
      <c r="L62" s="17"/>
      <c r="M62" s="29">
        <f>MIN(M63:M66)</f>
        <v>45233.45876</v>
      </c>
      <c r="N62" s="29">
        <f>MAX(N63:N66)</f>
        <v>45237.78878</v>
      </c>
      <c r="O62" s="30"/>
      <c r="P62" s="30"/>
      <c r="Q62" s="29"/>
      <c r="R62" s="31">
        <f>SUM(R63:R66)</f>
        <v>0.1840277778</v>
      </c>
      <c r="S62" s="31" t="str">
        <f t="shared" si="13"/>
        <v>MVP</v>
      </c>
      <c r="T62" s="32" t="str">
        <f t="shared" si="14"/>
        <v>72</v>
      </c>
      <c r="U62" s="33" t="str">
        <f>CONCATENATE(C62, " - ",E62)</f>
        <v>Build Photo 05102302 Suprim X - Insta</v>
      </c>
      <c r="V62" s="31"/>
      <c r="W62" s="31"/>
    </row>
    <row r="63" ht="21.75" hidden="1" customHeight="1" outlineLevel="2">
      <c r="A63" s="20"/>
      <c r="B63" s="21" t="s">
        <v>164</v>
      </c>
      <c r="C63" s="22"/>
      <c r="D63" s="22" t="s">
        <v>25</v>
      </c>
      <c r="E63" s="24" t="s">
        <v>26</v>
      </c>
      <c r="F63" s="25" t="s">
        <v>41</v>
      </c>
      <c r="G63" s="58" t="s">
        <v>25</v>
      </c>
      <c r="H63" s="35">
        <v>45233.0</v>
      </c>
      <c r="I63" s="27">
        <f t="shared" ref="I63:I66" si="16">IFERROR(IF($E63="Done", 1, IF(OR($E63="Working on it", $E63="In Review", $E63="On Hold"), 0.5, IF($E63="Not Started", 0, ""))), 0)</f>
        <v>1</v>
      </c>
      <c r="J63" s="28"/>
      <c r="K63" s="28"/>
      <c r="L63" s="17"/>
      <c r="M63" s="29">
        <v>45234.512960416665</v>
      </c>
      <c r="N63" s="29">
        <v>45234.524337083334</v>
      </c>
      <c r="O63" s="30"/>
      <c r="P63" s="30"/>
      <c r="Q63" s="37" t="s">
        <v>31</v>
      </c>
      <c r="R63" s="31">
        <v>0.011111111111111112</v>
      </c>
      <c r="S63" s="31" t="str">
        <f t="shared" si="13"/>
        <v>MVP</v>
      </c>
      <c r="T63" s="32" t="str">
        <f t="shared" si="14"/>
        <v>72.01</v>
      </c>
      <c r="U63" s="33"/>
      <c r="V63" s="31"/>
      <c r="W63" s="31"/>
    </row>
    <row r="64" ht="21.75" hidden="1" customHeight="1" outlineLevel="2">
      <c r="A64" s="20"/>
      <c r="B64" s="21" t="s">
        <v>165</v>
      </c>
      <c r="C64" s="22"/>
      <c r="D64" s="22" t="s">
        <v>33</v>
      </c>
      <c r="E64" s="24" t="s">
        <v>26</v>
      </c>
      <c r="F64" s="25" t="s">
        <v>34</v>
      </c>
      <c r="G64" s="24"/>
      <c r="H64" s="35">
        <v>45233.0</v>
      </c>
      <c r="I64" s="27">
        <f t="shared" si="16"/>
        <v>1</v>
      </c>
      <c r="J64" s="28"/>
      <c r="K64" s="28"/>
      <c r="L64" s="17"/>
      <c r="M64" s="29">
        <v>45233.458761574075</v>
      </c>
      <c r="N64" s="29">
        <v>45233.63574236111</v>
      </c>
      <c r="O64" s="36" t="s">
        <v>166</v>
      </c>
      <c r="P64" s="36" t="s">
        <v>167</v>
      </c>
      <c r="Q64" s="37" t="s">
        <v>31</v>
      </c>
      <c r="R64" s="31">
        <v>0.16041666666666668</v>
      </c>
      <c r="S64" s="31" t="str">
        <f t="shared" si="13"/>
        <v>MVP</v>
      </c>
      <c r="T64" s="32" t="str">
        <f t="shared" si="14"/>
        <v>72.02</v>
      </c>
      <c r="U64" s="33"/>
      <c r="V64" s="31"/>
      <c r="W64" s="31"/>
    </row>
    <row r="65" ht="21.75" hidden="1" customHeight="1" outlineLevel="2">
      <c r="A65" s="20"/>
      <c r="B65" s="21" t="s">
        <v>168</v>
      </c>
      <c r="C65" s="22"/>
      <c r="D65" s="22" t="s">
        <v>40</v>
      </c>
      <c r="E65" s="24" t="s">
        <v>26</v>
      </c>
      <c r="F65" s="25" t="s">
        <v>34</v>
      </c>
      <c r="G65" s="24" t="s">
        <v>169</v>
      </c>
      <c r="H65" s="35">
        <v>45234.0</v>
      </c>
      <c r="I65" s="27">
        <f t="shared" si="16"/>
        <v>1</v>
      </c>
      <c r="J65" s="28"/>
      <c r="K65" s="28"/>
      <c r="L65" s="17"/>
      <c r="M65" s="29">
        <v>45234.45361321759</v>
      </c>
      <c r="N65" s="29">
        <v>45237.54009335648</v>
      </c>
      <c r="O65" s="36" t="s">
        <v>170</v>
      </c>
      <c r="P65" s="36" t="s">
        <v>171</v>
      </c>
      <c r="Q65" s="37" t="s">
        <v>31</v>
      </c>
      <c r="R65" s="31">
        <v>0.0125</v>
      </c>
      <c r="S65" s="31" t="str">
        <f t="shared" si="13"/>
        <v>MVP</v>
      </c>
      <c r="T65" s="32" t="str">
        <f t="shared" si="14"/>
        <v>72.03</v>
      </c>
      <c r="U65" s="33"/>
      <c r="V65" s="31"/>
      <c r="W65" s="31"/>
    </row>
    <row r="66" ht="21.75" hidden="1" customHeight="1" outlineLevel="2">
      <c r="A66" s="20"/>
      <c r="B66" s="21" t="s">
        <v>172</v>
      </c>
      <c r="C66" s="22"/>
      <c r="D66" s="22" t="s">
        <v>47</v>
      </c>
      <c r="E66" s="24" t="s">
        <v>26</v>
      </c>
      <c r="F66" s="25" t="s">
        <v>48</v>
      </c>
      <c r="G66" s="24"/>
      <c r="H66" s="35">
        <v>45238.0</v>
      </c>
      <c r="I66" s="27">
        <f t="shared" si="16"/>
        <v>1</v>
      </c>
      <c r="J66" s="28"/>
      <c r="K66" s="28"/>
      <c r="L66" s="17"/>
      <c r="M66" s="29">
        <v>45237.78820027778</v>
      </c>
      <c r="N66" s="29">
        <v>45237.7887825463</v>
      </c>
      <c r="O66" s="30"/>
      <c r="P66" s="30"/>
      <c r="Q66" s="37" t="s">
        <v>31</v>
      </c>
      <c r="R66" s="31">
        <v>0.0</v>
      </c>
      <c r="S66" s="31" t="str">
        <f t="shared" si="13"/>
        <v>MVP</v>
      </c>
      <c r="T66" s="32" t="str">
        <f t="shared" si="14"/>
        <v>72.04</v>
      </c>
      <c r="U66" s="33"/>
      <c r="V66" s="31"/>
      <c r="W66" s="31"/>
    </row>
    <row r="67" ht="21.75" customHeight="1" outlineLevel="1" collapsed="1">
      <c r="A67" s="20"/>
      <c r="B67" s="21" t="s">
        <v>173</v>
      </c>
      <c r="C67" s="22" t="s">
        <v>174</v>
      </c>
      <c r="D67" s="23"/>
      <c r="E67" s="24" t="s">
        <v>102</v>
      </c>
      <c r="F67" s="25" t="s">
        <v>22</v>
      </c>
      <c r="G67" s="24" t="s">
        <v>89</v>
      </c>
      <c r="H67" s="26">
        <f>MAX(H68)</f>
        <v>45238</v>
      </c>
      <c r="I67" s="27" t="str">
        <f>IFERROR(__xludf.DUMMYFUNCTION("SPARKLINE(SUM(I68), {""charttype"", ""bar""; ""max"", J67; ""color1"", ""green""})"),"")</f>
        <v/>
      </c>
      <c r="J67" s="28">
        <f>COUNT(I68)</f>
        <v>1</v>
      </c>
      <c r="K67" s="28" t="str">
        <f>IF(ISNUMBER(B211), K211, "")</f>
        <v/>
      </c>
      <c r="L67" s="17"/>
      <c r="M67" s="29">
        <f>MIN(M68)</f>
        <v>0</v>
      </c>
      <c r="N67" s="29">
        <f>MAX(N68)</f>
        <v>0</v>
      </c>
      <c r="O67" s="30"/>
      <c r="P67" s="30"/>
      <c r="Q67" s="29"/>
      <c r="R67" s="31">
        <f>SUM(R68)</f>
        <v>0</v>
      </c>
      <c r="S67" s="31" t="str">
        <f t="shared" si="13"/>
        <v>MVP</v>
      </c>
      <c r="T67" s="32" t="str">
        <f t="shared" si="14"/>
        <v>105</v>
      </c>
      <c r="U67" s="33" t="str">
        <f>CONCATENATE(C67, " - ",E67)</f>
        <v>GTA 6 Launch - Tweet</v>
      </c>
      <c r="V67" s="31"/>
      <c r="W67" s="31"/>
    </row>
    <row r="68" ht="21.75" hidden="1" customHeight="1" outlineLevel="2">
      <c r="A68" s="20"/>
      <c r="B68" s="21" t="s">
        <v>175</v>
      </c>
      <c r="C68" s="22"/>
      <c r="D68" s="22" t="s">
        <v>47</v>
      </c>
      <c r="E68" s="24" t="s">
        <v>26</v>
      </c>
      <c r="F68" s="25" t="s">
        <v>22</v>
      </c>
      <c r="G68" s="24"/>
      <c r="H68" s="35">
        <v>45238.0</v>
      </c>
      <c r="I68" s="27">
        <f>IFERROR(IF($E68="Done", 1, IF(OR($E68="Working on it", $E68="In Review", $E68="On Hold"), 0.5, IF($E68="Not Started", 0, ""))), 0)</f>
        <v>1</v>
      </c>
      <c r="J68" s="28"/>
      <c r="K68" s="28"/>
      <c r="L68" s="17"/>
      <c r="M68" s="29"/>
      <c r="N68" s="29"/>
      <c r="O68" s="30"/>
      <c r="P68" s="30"/>
      <c r="Q68" s="29"/>
      <c r="R68" s="31"/>
      <c r="S68" s="31" t="str">
        <f t="shared" si="13"/>
        <v>MVP</v>
      </c>
      <c r="T68" s="32" t="str">
        <f t="shared" si="14"/>
        <v>105.04</v>
      </c>
      <c r="U68" s="33"/>
      <c r="V68" s="31"/>
      <c r="W68" s="31"/>
    </row>
    <row r="69" ht="21.75" customHeight="1" outlineLevel="1" collapsed="1">
      <c r="A69" s="20"/>
      <c r="B69" s="21" t="s">
        <v>176</v>
      </c>
      <c r="C69" s="22" t="s">
        <v>177</v>
      </c>
      <c r="D69" s="23"/>
      <c r="E69" s="24" t="s">
        <v>78</v>
      </c>
      <c r="F69" s="25" t="s">
        <v>22</v>
      </c>
      <c r="G69" s="24" t="s">
        <v>89</v>
      </c>
      <c r="H69" s="26">
        <f>MAX(H70:H71)</f>
        <v>45239</v>
      </c>
      <c r="I69" s="27" t="str">
        <f>IFERROR(__xludf.DUMMYFUNCTION("SPARKLINE(SUM(I70:I71), {""charttype"", ""bar""; ""max"", J69; ""color1"", ""green""})"),"")</f>
        <v/>
      </c>
      <c r="J69" s="28">
        <f>COUNT(I70:I71)</f>
        <v>2</v>
      </c>
      <c r="K69" s="28" t="str">
        <f>IF(ISNUMBER(#REF!), #REF!, "")</f>
        <v/>
      </c>
      <c r="L69" s="17"/>
      <c r="M69" s="29">
        <f>MIN(M70:M71)</f>
        <v>0</v>
      </c>
      <c r="N69" s="29">
        <f>MAX(N70:N71)</f>
        <v>0</v>
      </c>
      <c r="O69" s="30"/>
      <c r="P69" s="30"/>
      <c r="Q69" s="29"/>
      <c r="R69" s="31">
        <f>SUM(R70:R71)</f>
        <v>0</v>
      </c>
      <c r="S69" s="31" t="str">
        <f t="shared" si="13"/>
        <v>MVP</v>
      </c>
      <c r="T69" s="32" t="str">
        <f t="shared" si="14"/>
        <v>64</v>
      </c>
      <c r="U69" s="33" t="str">
        <f>CONCATENATE(C69, " - ",E69)</f>
        <v>TrueNAS Setup - Blog</v>
      </c>
      <c r="V69" s="31"/>
      <c r="W69" s="31"/>
    </row>
    <row r="70" ht="21.75" hidden="1" customHeight="1" outlineLevel="2">
      <c r="A70" s="20"/>
      <c r="B70" s="21" t="s">
        <v>178</v>
      </c>
      <c r="C70" s="22"/>
      <c r="D70" s="22" t="s">
        <v>25</v>
      </c>
      <c r="E70" s="24" t="s">
        <v>179</v>
      </c>
      <c r="F70" s="25" t="s">
        <v>131</v>
      </c>
      <c r="G70" s="24"/>
      <c r="H70" s="35">
        <v>45236.0</v>
      </c>
      <c r="I70" s="27">
        <f t="shared" ref="I70:I71" si="17">IFERROR(IF($E70="Done", 1, IF(OR($E70="Working on it", $E70="In Review", $E70="On Hold"), 0.5, IF($E70="Not Started", 0, ""))), 0)</f>
        <v>0</v>
      </c>
      <c r="J70" s="28"/>
      <c r="K70" s="28"/>
      <c r="L70" s="17"/>
      <c r="M70" s="29"/>
      <c r="N70" s="29"/>
      <c r="O70" s="30"/>
      <c r="P70" s="30"/>
      <c r="Q70" s="29"/>
      <c r="R70" s="31"/>
      <c r="S70" s="31" t="str">
        <f t="shared" si="13"/>
        <v>MVP</v>
      </c>
      <c r="T70" s="32" t="str">
        <f t="shared" si="14"/>
        <v>64.01</v>
      </c>
      <c r="U70" s="33"/>
      <c r="V70" s="31"/>
      <c r="W70" s="31"/>
    </row>
    <row r="71" ht="21.75" hidden="1" customHeight="1" outlineLevel="2">
      <c r="A71" s="20"/>
      <c r="B71" s="21" t="s">
        <v>180</v>
      </c>
      <c r="C71" s="22"/>
      <c r="D71" s="22" t="s">
        <v>47</v>
      </c>
      <c r="E71" s="24" t="s">
        <v>179</v>
      </c>
      <c r="F71" s="25" t="s">
        <v>22</v>
      </c>
      <c r="G71" s="24"/>
      <c r="H71" s="35">
        <v>45239.0</v>
      </c>
      <c r="I71" s="27">
        <f t="shared" si="17"/>
        <v>0</v>
      </c>
      <c r="J71" s="28"/>
      <c r="K71" s="28"/>
      <c r="L71" s="17"/>
      <c r="M71" s="29"/>
      <c r="N71" s="29"/>
      <c r="O71" s="30"/>
      <c r="P71" s="30"/>
      <c r="Q71" s="29"/>
      <c r="R71" s="31"/>
      <c r="S71" s="31" t="str">
        <f t="shared" si="13"/>
        <v>MVP</v>
      </c>
      <c r="T71" s="32" t="str">
        <f t="shared" si="14"/>
        <v>64.04</v>
      </c>
      <c r="U71" s="33"/>
      <c r="V71" s="31"/>
      <c r="W71" s="31"/>
    </row>
    <row r="72" ht="21.75" customHeight="1" outlineLevel="1" collapsed="1">
      <c r="A72" s="20"/>
      <c r="B72" s="21" t="s">
        <v>181</v>
      </c>
      <c r="C72" s="22" t="s">
        <v>182</v>
      </c>
      <c r="D72" s="23"/>
      <c r="E72" s="24" t="s">
        <v>21</v>
      </c>
      <c r="F72" s="25" t="s">
        <v>22</v>
      </c>
      <c r="G72" s="24" t="s">
        <v>63</v>
      </c>
      <c r="H72" s="26">
        <f>MAX(H73:H78)</f>
        <v>45239</v>
      </c>
      <c r="I72" s="27" t="str">
        <f>IFERROR(__xludf.DUMMYFUNCTION("SPARKLINE(SUM(I73:I78), {""charttype"", ""bar""; ""max"", J72; ""color1"", ""green""})"),"")</f>
        <v/>
      </c>
      <c r="J72" s="28">
        <f>COUNT(I73:I78)</f>
        <v>6</v>
      </c>
      <c r="K72" s="28" t="str">
        <f>IF(ISNUMBER(#REF!), #REF!, "")</f>
        <v/>
      </c>
      <c r="L72" s="17"/>
      <c r="M72" s="29">
        <f>MIN(M73:M78)</f>
        <v>45237.79702</v>
      </c>
      <c r="N72" s="29">
        <f>MAX(N73:N78)</f>
        <v>45240.43173</v>
      </c>
      <c r="O72" s="30"/>
      <c r="P72" s="30"/>
      <c r="Q72" s="29"/>
      <c r="R72" s="31">
        <f>SUM(R73:R78)</f>
        <v>1.022222222</v>
      </c>
      <c r="S72" s="31" t="str">
        <f t="shared" si="13"/>
        <v>MVP</v>
      </c>
      <c r="T72" s="32" t="str">
        <f t="shared" si="14"/>
        <v>66</v>
      </c>
      <c r="U72" s="33" t="str">
        <f>CONCATENATE(C72, " - ",E72)</f>
        <v>Ryzen + Radeon - All AMD - Shorts</v>
      </c>
      <c r="V72" s="31"/>
      <c r="W72" s="31"/>
    </row>
    <row r="73" ht="21.75" hidden="1" customHeight="1" outlineLevel="2">
      <c r="A73" s="20"/>
      <c r="B73" s="21" t="s">
        <v>183</v>
      </c>
      <c r="C73" s="22"/>
      <c r="D73" s="22" t="s">
        <v>25</v>
      </c>
      <c r="E73" s="24" t="s">
        <v>26</v>
      </c>
      <c r="F73" s="25" t="s">
        <v>22</v>
      </c>
      <c r="G73" s="34" t="s">
        <v>184</v>
      </c>
      <c r="H73" s="35">
        <v>45237.0</v>
      </c>
      <c r="I73" s="27">
        <f t="shared" ref="I73:I78" si="18">IFERROR(IF($E73="Done", 1, IF(OR($E73="Working on it", $E73="In Review", $E73="On Hold"), 0.5, IF($E73="Not Started", 0, ""))), 0)</f>
        <v>1</v>
      </c>
      <c r="J73" s="28"/>
      <c r="K73" s="28"/>
      <c r="L73" s="17"/>
      <c r="M73" s="29"/>
      <c r="N73" s="29"/>
      <c r="O73" s="30"/>
      <c r="P73" s="30"/>
      <c r="Q73" s="29"/>
      <c r="R73" s="31"/>
      <c r="S73" s="31" t="str">
        <f t="shared" si="13"/>
        <v>MVP</v>
      </c>
      <c r="T73" s="32" t="str">
        <f t="shared" si="14"/>
        <v>66.01</v>
      </c>
      <c r="U73" s="33"/>
      <c r="V73" s="31"/>
      <c r="W73" s="31"/>
    </row>
    <row r="74" ht="21.75" hidden="1" customHeight="1" outlineLevel="2">
      <c r="A74" s="20"/>
      <c r="B74" s="21" t="s">
        <v>185</v>
      </c>
      <c r="C74" s="22"/>
      <c r="D74" s="22" t="s">
        <v>186</v>
      </c>
      <c r="E74" s="24" t="s">
        <v>26</v>
      </c>
      <c r="F74" s="25" t="s">
        <v>41</v>
      </c>
      <c r="G74" s="24"/>
      <c r="H74" s="35">
        <v>45237.0</v>
      </c>
      <c r="I74" s="27">
        <f t="shared" si="18"/>
        <v>1</v>
      </c>
      <c r="J74" s="28"/>
      <c r="K74" s="28"/>
      <c r="L74" s="17"/>
      <c r="M74" s="29">
        <v>45237.79702107639</v>
      </c>
      <c r="N74" s="29">
        <v>45237.79736964121</v>
      </c>
      <c r="O74" s="30"/>
      <c r="P74" s="30"/>
      <c r="Q74" s="37" t="s">
        <v>31</v>
      </c>
      <c r="R74" s="31">
        <v>0.0</v>
      </c>
      <c r="S74" s="31" t="str">
        <f t="shared" si="13"/>
        <v>MVP</v>
      </c>
      <c r="T74" s="32" t="str">
        <f t="shared" si="14"/>
        <v>66.02</v>
      </c>
      <c r="U74" s="33"/>
      <c r="V74" s="31"/>
      <c r="W74" s="31"/>
    </row>
    <row r="75" ht="21.75" hidden="1" customHeight="1" outlineLevel="2">
      <c r="A75" s="20"/>
      <c r="B75" s="21" t="s">
        <v>187</v>
      </c>
      <c r="C75" s="22"/>
      <c r="D75" s="22" t="s">
        <v>38</v>
      </c>
      <c r="E75" s="24" t="s">
        <v>26</v>
      </c>
      <c r="F75" s="25" t="s">
        <v>27</v>
      </c>
      <c r="G75" s="24"/>
      <c r="H75" s="35">
        <v>45238.0</v>
      </c>
      <c r="I75" s="27">
        <f t="shared" si="18"/>
        <v>1</v>
      </c>
      <c r="J75" s="28"/>
      <c r="K75" s="28"/>
      <c r="L75" s="17"/>
      <c r="M75" s="29">
        <v>45238.76638126158</v>
      </c>
      <c r="N75" s="29">
        <v>45239.529880428236</v>
      </c>
      <c r="O75" s="36" t="s">
        <v>188</v>
      </c>
      <c r="P75" s="36" t="s">
        <v>189</v>
      </c>
      <c r="Q75" s="37" t="s">
        <v>31</v>
      </c>
      <c r="R75" s="31">
        <v>0.6638888888888889</v>
      </c>
      <c r="S75" s="31" t="str">
        <f t="shared" si="13"/>
        <v>MVP</v>
      </c>
      <c r="T75" s="32" t="str">
        <f t="shared" si="14"/>
        <v>66.04</v>
      </c>
      <c r="U75" s="33"/>
      <c r="V75" s="31"/>
      <c r="W75" s="31"/>
    </row>
    <row r="76" ht="21.75" hidden="1" customHeight="1" outlineLevel="2">
      <c r="A76" s="20"/>
      <c r="B76" s="21" t="s">
        <v>190</v>
      </c>
      <c r="C76" s="22"/>
      <c r="D76" s="22" t="s">
        <v>40</v>
      </c>
      <c r="E76" s="24" t="s">
        <v>26</v>
      </c>
      <c r="F76" s="25" t="s">
        <v>71</v>
      </c>
      <c r="G76" s="24"/>
      <c r="H76" s="35">
        <v>45239.0</v>
      </c>
      <c r="I76" s="27">
        <f t="shared" si="18"/>
        <v>1</v>
      </c>
      <c r="J76" s="28"/>
      <c r="K76" s="28"/>
      <c r="L76" s="17"/>
      <c r="M76" s="29">
        <v>45239.478534884256</v>
      </c>
      <c r="N76" s="29">
        <v>45240.43173172454</v>
      </c>
      <c r="O76" s="36" t="s">
        <v>191</v>
      </c>
      <c r="P76" s="36" t="s">
        <v>192</v>
      </c>
      <c r="Q76" s="37" t="s">
        <v>31</v>
      </c>
      <c r="R76" s="31">
        <v>0.31666666666666665</v>
      </c>
      <c r="S76" s="31" t="str">
        <f t="shared" si="13"/>
        <v>MVP</v>
      </c>
      <c r="T76" s="32" t="str">
        <f t="shared" si="14"/>
        <v>66.05</v>
      </c>
      <c r="U76" s="33"/>
      <c r="V76" s="31"/>
      <c r="W76" s="31"/>
    </row>
    <row r="77" ht="21.75" hidden="1" customHeight="1" outlineLevel="2">
      <c r="A77" s="20"/>
      <c r="B77" s="21" t="s">
        <v>193</v>
      </c>
      <c r="C77" s="22"/>
      <c r="D77" s="22" t="s">
        <v>45</v>
      </c>
      <c r="E77" s="24" t="s">
        <v>26</v>
      </c>
      <c r="F77" s="25" t="s">
        <v>41</v>
      </c>
      <c r="G77" s="24"/>
      <c r="H77" s="35">
        <v>45239.0</v>
      </c>
      <c r="I77" s="27">
        <f t="shared" si="18"/>
        <v>1</v>
      </c>
      <c r="J77" s="28"/>
      <c r="K77" s="28"/>
      <c r="L77" s="17"/>
      <c r="M77" s="29">
        <v>45239.594272766204</v>
      </c>
      <c r="N77" s="29">
        <v>45239.688921168985</v>
      </c>
      <c r="O77" s="36" t="s">
        <v>194</v>
      </c>
      <c r="P77" s="36" t="s">
        <v>195</v>
      </c>
      <c r="Q77" s="37" t="s">
        <v>31</v>
      </c>
      <c r="R77" s="31">
        <v>0.011805555555555555</v>
      </c>
      <c r="S77" s="31" t="str">
        <f t="shared" si="13"/>
        <v>MVP</v>
      </c>
      <c r="T77" s="32" t="str">
        <f t="shared" si="14"/>
        <v>66.06</v>
      </c>
      <c r="U77" s="33"/>
      <c r="V77" s="31"/>
      <c r="W77" s="31"/>
    </row>
    <row r="78" ht="21.75" hidden="1" customHeight="1" outlineLevel="2">
      <c r="A78" s="20"/>
      <c r="B78" s="21" t="s">
        <v>196</v>
      </c>
      <c r="C78" s="22"/>
      <c r="D78" s="22" t="s">
        <v>47</v>
      </c>
      <c r="E78" s="24" t="s">
        <v>26</v>
      </c>
      <c r="F78" s="25" t="s">
        <v>27</v>
      </c>
      <c r="G78" s="24"/>
      <c r="H78" s="35">
        <v>45239.0</v>
      </c>
      <c r="I78" s="27">
        <f t="shared" si="18"/>
        <v>1</v>
      </c>
      <c r="J78" s="28"/>
      <c r="K78" s="28"/>
      <c r="L78" s="17"/>
      <c r="M78" s="29">
        <v>45239.70959375</v>
      </c>
      <c r="N78" s="29">
        <v>45240.41314833333</v>
      </c>
      <c r="O78" s="36" t="s">
        <v>197</v>
      </c>
      <c r="P78" s="36" t="s">
        <v>198</v>
      </c>
      <c r="Q78" s="37" t="s">
        <v>31</v>
      </c>
      <c r="R78" s="31">
        <v>0.029861111111111113</v>
      </c>
      <c r="S78" s="31" t="str">
        <f t="shared" si="13"/>
        <v>MVP</v>
      </c>
      <c r="T78" s="32" t="str">
        <f t="shared" si="14"/>
        <v>66.07</v>
      </c>
      <c r="U78" s="33"/>
      <c r="V78" s="31"/>
      <c r="W78" s="31"/>
    </row>
    <row r="79" ht="21.75" customHeight="1" outlineLevel="1" collapsed="1">
      <c r="A79" s="20"/>
      <c r="B79" s="21" t="s">
        <v>199</v>
      </c>
      <c r="C79" s="22" t="s">
        <v>200</v>
      </c>
      <c r="D79" s="23"/>
      <c r="E79" s="24" t="s">
        <v>51</v>
      </c>
      <c r="F79" s="25" t="s">
        <v>22</v>
      </c>
      <c r="G79" s="24" t="s">
        <v>89</v>
      </c>
      <c r="H79" s="26">
        <f>MAX(H80:H83)</f>
        <v>45239</v>
      </c>
      <c r="I79" s="27" t="str">
        <f>IFERROR(__xludf.DUMMYFUNCTION("SPARKLINE(SUM(I80:I83), {""charttype"", ""bar""; ""max"", J79; ""color1"", ""green""})"),"")</f>
        <v/>
      </c>
      <c r="J79" s="28">
        <f>COUNT(I80:I83)</f>
        <v>4</v>
      </c>
      <c r="K79" s="28" t="str">
        <f>IF(ISNUMBER(#REF!), #REF!, "")</f>
        <v/>
      </c>
      <c r="L79" s="17"/>
      <c r="M79" s="29">
        <f>MIN(M80:M83)</f>
        <v>45238.41678</v>
      </c>
      <c r="N79" s="29">
        <f>MAX(N80:N83)</f>
        <v>45239.81645</v>
      </c>
      <c r="O79" s="30"/>
      <c r="P79" s="30"/>
      <c r="Q79" s="29"/>
      <c r="R79" s="31">
        <f>SUM(R80:R83)</f>
        <v>0.04513888889</v>
      </c>
      <c r="S79" s="31" t="str">
        <f t="shared" si="13"/>
        <v>MVP</v>
      </c>
      <c r="T79" s="32" t="str">
        <f t="shared" si="14"/>
        <v>92</v>
      </c>
      <c r="U79" s="33" t="str">
        <f>CONCATENATE(C79, " - ",E79)</f>
        <v>Build Photo - H9 White + iGame - Insta</v>
      </c>
      <c r="V79" s="31"/>
      <c r="W79" s="31"/>
    </row>
    <row r="80" ht="21.75" hidden="1" customHeight="1" outlineLevel="2">
      <c r="A80" s="20"/>
      <c r="B80" s="21" t="s">
        <v>201</v>
      </c>
      <c r="C80" s="22"/>
      <c r="D80" s="22" t="s">
        <v>25</v>
      </c>
      <c r="E80" s="24" t="s">
        <v>26</v>
      </c>
      <c r="F80" s="25" t="s">
        <v>41</v>
      </c>
      <c r="G80" s="45"/>
      <c r="H80" s="35">
        <v>45238.0</v>
      </c>
      <c r="I80" s="27">
        <f t="shared" ref="I80:I83" si="19">IFERROR(IF($E80="Done", 1, IF(OR($E80="Working on it", $E80="In Review", $E80="On Hold"), 0.5, IF($E80="Not Started", 0, ""))), 0)</f>
        <v>1</v>
      </c>
      <c r="J80" s="28"/>
      <c r="K80" s="28"/>
      <c r="L80" s="17"/>
      <c r="M80" s="29">
        <v>45238.4167799537</v>
      </c>
      <c r="N80" s="29">
        <v>45238.419462777776</v>
      </c>
      <c r="O80" s="30"/>
      <c r="P80" s="30"/>
      <c r="Q80" s="37" t="s">
        <v>31</v>
      </c>
      <c r="R80" s="31">
        <v>0.0020833333333333333</v>
      </c>
      <c r="S80" s="31" t="str">
        <f t="shared" si="13"/>
        <v>MVP</v>
      </c>
      <c r="T80" s="32" t="str">
        <f t="shared" si="14"/>
        <v>92.01</v>
      </c>
      <c r="U80" s="33"/>
      <c r="V80" s="31"/>
      <c r="W80" s="31"/>
    </row>
    <row r="81" ht="21.75" hidden="1" customHeight="1" outlineLevel="2">
      <c r="A81" s="20"/>
      <c r="B81" s="21" t="s">
        <v>202</v>
      </c>
      <c r="C81" s="22"/>
      <c r="D81" s="22" t="s">
        <v>33</v>
      </c>
      <c r="E81" s="24" t="s">
        <v>26</v>
      </c>
      <c r="F81" s="25" t="s">
        <v>34</v>
      </c>
      <c r="G81" s="24"/>
      <c r="H81" s="35">
        <v>45234.0</v>
      </c>
      <c r="I81" s="27">
        <f t="shared" si="19"/>
        <v>1</v>
      </c>
      <c r="J81" s="28"/>
      <c r="K81" s="28"/>
      <c r="L81" s="17"/>
      <c r="M81" s="29"/>
      <c r="N81" s="29"/>
      <c r="O81" s="30"/>
      <c r="P81" s="30"/>
      <c r="Q81" s="29"/>
      <c r="R81" s="31"/>
      <c r="S81" s="31" t="str">
        <f t="shared" si="13"/>
        <v>MVP</v>
      </c>
      <c r="T81" s="32" t="str">
        <f t="shared" si="14"/>
        <v>92.02</v>
      </c>
      <c r="U81" s="33"/>
      <c r="V81" s="31"/>
      <c r="W81" s="31"/>
    </row>
    <row r="82" ht="21.75" hidden="1" customHeight="1" outlineLevel="2">
      <c r="A82" s="20"/>
      <c r="B82" s="21" t="s">
        <v>203</v>
      </c>
      <c r="C82" s="22"/>
      <c r="D82" s="22" t="s">
        <v>40</v>
      </c>
      <c r="E82" s="24" t="s">
        <v>26</v>
      </c>
      <c r="F82" s="25" t="s">
        <v>34</v>
      </c>
      <c r="G82" s="24"/>
      <c r="H82" s="35">
        <v>45239.0</v>
      </c>
      <c r="I82" s="27">
        <f t="shared" si="19"/>
        <v>1</v>
      </c>
      <c r="J82" s="28"/>
      <c r="K82" s="28"/>
      <c r="L82" s="17"/>
      <c r="M82" s="29">
        <v>45239.50085616898</v>
      </c>
      <c r="N82" s="29">
        <v>45239.795662777775</v>
      </c>
      <c r="O82" s="36" t="s">
        <v>204</v>
      </c>
      <c r="P82" s="36" t="s">
        <v>205</v>
      </c>
      <c r="Q82" s="37" t="s">
        <v>31</v>
      </c>
      <c r="R82" s="31">
        <v>0.043055555555555555</v>
      </c>
      <c r="S82" s="31" t="str">
        <f t="shared" si="13"/>
        <v>MVP</v>
      </c>
      <c r="T82" s="32" t="str">
        <f t="shared" si="14"/>
        <v>92.03</v>
      </c>
      <c r="U82" s="33"/>
      <c r="V82" s="31"/>
      <c r="W82" s="31"/>
    </row>
    <row r="83" ht="21.75" hidden="1" customHeight="1" outlineLevel="2">
      <c r="A83" s="20"/>
      <c r="B83" s="21" t="s">
        <v>206</v>
      </c>
      <c r="C83" s="22"/>
      <c r="D83" s="22" t="s">
        <v>47</v>
      </c>
      <c r="E83" s="24" t="s">
        <v>26</v>
      </c>
      <c r="F83" s="25" t="s">
        <v>48</v>
      </c>
      <c r="G83" s="24"/>
      <c r="H83" s="35">
        <v>45239.0</v>
      </c>
      <c r="I83" s="27">
        <f t="shared" si="19"/>
        <v>1</v>
      </c>
      <c r="J83" s="28"/>
      <c r="K83" s="28"/>
      <c r="L83" s="17"/>
      <c r="M83" s="29">
        <v>45239.8160715625</v>
      </c>
      <c r="N83" s="29">
        <v>45239.816445868055</v>
      </c>
      <c r="O83" s="30"/>
      <c r="P83" s="30"/>
      <c r="Q83" s="37" t="s">
        <v>31</v>
      </c>
      <c r="R83" s="31">
        <v>0.0</v>
      </c>
      <c r="S83" s="31" t="str">
        <f t="shared" si="13"/>
        <v>MVP</v>
      </c>
      <c r="T83" s="32" t="str">
        <f t="shared" si="14"/>
        <v>92.04</v>
      </c>
      <c r="U83" s="33"/>
      <c r="V83" s="31"/>
      <c r="W83" s="31"/>
    </row>
    <row r="84" ht="21.75" customHeight="1" outlineLevel="1" collapsed="1">
      <c r="A84" s="20"/>
      <c r="B84" s="21" t="s">
        <v>207</v>
      </c>
      <c r="C84" s="22" t="s">
        <v>208</v>
      </c>
      <c r="D84" s="23"/>
      <c r="E84" s="24" t="s">
        <v>97</v>
      </c>
      <c r="F84" s="25" t="s">
        <v>22</v>
      </c>
      <c r="G84" s="24" t="s">
        <v>89</v>
      </c>
      <c r="H84" s="26">
        <f>MAX(H85)</f>
        <v>45240</v>
      </c>
      <c r="I84" s="27" t="str">
        <f>IFERROR(__xludf.DUMMYFUNCTION("SPARKLINE(SUM(I85), {""charttype"", ""bar""; ""max"", J84; ""color1"", ""green""})"),"")</f>
        <v/>
      </c>
      <c r="J84" s="28">
        <f>COUNT(I85)</f>
        <v>1</v>
      </c>
      <c r="K84" s="28" t="str">
        <f>IF(ISNUMBER(B61), K61, "")</f>
        <v/>
      </c>
      <c r="L84" s="17"/>
      <c r="M84" s="29">
        <f>MIN(M85)</f>
        <v>45240.00544</v>
      </c>
      <c r="N84" s="29">
        <f>MAX(N85)</f>
        <v>45240.00891</v>
      </c>
      <c r="O84" s="30"/>
      <c r="P84" s="30"/>
      <c r="Q84" s="29"/>
      <c r="R84" s="31">
        <f>SUM(R85)</f>
        <v>0.002777777778</v>
      </c>
      <c r="S84" s="31" t="str">
        <f t="shared" si="13"/>
        <v>MVP</v>
      </c>
      <c r="T84" s="32" t="str">
        <f t="shared" si="14"/>
        <v>101</v>
      </c>
      <c r="U84" s="33" t="str">
        <f>CONCATENATE(C84, " - ",E84)</f>
        <v>Stock Trading Setup - Linkedin</v>
      </c>
      <c r="V84" s="31"/>
      <c r="W84" s="31"/>
    </row>
    <row r="85" ht="21.75" hidden="1" customHeight="1" outlineLevel="2">
      <c r="A85" s="20"/>
      <c r="B85" s="21" t="s">
        <v>209</v>
      </c>
      <c r="C85" s="22"/>
      <c r="D85" s="22" t="s">
        <v>47</v>
      </c>
      <c r="E85" s="24" t="s">
        <v>26</v>
      </c>
      <c r="F85" s="25" t="s">
        <v>22</v>
      </c>
      <c r="G85" s="34" t="s">
        <v>210</v>
      </c>
      <c r="H85" s="35">
        <v>45240.0</v>
      </c>
      <c r="I85" s="27">
        <f>IFERROR(IF($E85="Done", 1, IF(OR($E85="Working on it", $E85="In Review", $E85="On Hold"), 0.5, IF($E85="Not Started", 0, ""))), 0)</f>
        <v>1</v>
      </c>
      <c r="J85" s="28"/>
      <c r="K85" s="28"/>
      <c r="L85" s="17"/>
      <c r="M85" s="29">
        <v>45240.00544357639</v>
      </c>
      <c r="N85" s="29">
        <v>45240.00891451389</v>
      </c>
      <c r="O85" s="30"/>
      <c r="P85" s="30"/>
      <c r="Q85" s="37" t="s">
        <v>31</v>
      </c>
      <c r="R85" s="31">
        <v>0.002777777777777778</v>
      </c>
      <c r="S85" s="31" t="str">
        <f t="shared" si="13"/>
        <v>MVP</v>
      </c>
      <c r="T85" s="32" t="str">
        <f t="shared" si="14"/>
        <v>101.04</v>
      </c>
      <c r="U85" s="33"/>
      <c r="V85" s="31"/>
      <c r="W85" s="31"/>
    </row>
    <row r="86" ht="21.75" customHeight="1" outlineLevel="1" collapsed="1">
      <c r="A86" s="20"/>
      <c r="B86" s="21" t="s">
        <v>211</v>
      </c>
      <c r="C86" s="22" t="s">
        <v>212</v>
      </c>
      <c r="D86" s="23"/>
      <c r="E86" s="24" t="s">
        <v>21</v>
      </c>
      <c r="F86" s="25" t="s">
        <v>22</v>
      </c>
      <c r="G86" s="24" t="s">
        <v>23</v>
      </c>
      <c r="H86" s="26">
        <f>MAX(H87:H91)</f>
        <v>45240</v>
      </c>
      <c r="I86" s="27" t="str">
        <f>IFERROR(__xludf.DUMMYFUNCTION("SPARKLINE(SUM(I87:I91), {""charttype"", ""bar""; ""max"", J86; ""color1"", ""green""})"),"")</f>
        <v/>
      </c>
      <c r="J86" s="28">
        <f>COUNT(I87:I91)</f>
        <v>5</v>
      </c>
      <c r="K86" s="28" t="str">
        <f>IF(ISNUMBER(#REF!), #REF!, "")</f>
        <v/>
      </c>
      <c r="L86" s="17"/>
      <c r="M86" s="29">
        <f>MIN(M87:M91)</f>
        <v>45222.02936</v>
      </c>
      <c r="N86" s="29">
        <f>MAX(N87:N91)</f>
        <v>45240.57436</v>
      </c>
      <c r="O86" s="30"/>
      <c r="P86" s="30"/>
      <c r="Q86" s="29"/>
      <c r="R86" s="31">
        <f>SUM(R87:R91)</f>
        <v>4.213888889</v>
      </c>
      <c r="S86" s="31" t="str">
        <f t="shared" si="13"/>
        <v>MVP</v>
      </c>
      <c r="T86" s="32" t="str">
        <f t="shared" si="14"/>
        <v>43</v>
      </c>
      <c r="U86" s="33" t="str">
        <f>CONCATENATE(C86, " - ",E86)</f>
        <v>8K Gaming - RTX 4090 - Shorts</v>
      </c>
      <c r="V86" s="31"/>
      <c r="W86" s="31"/>
    </row>
    <row r="87" ht="21.75" hidden="1" customHeight="1" outlineLevel="2">
      <c r="A87" s="20"/>
      <c r="B87" s="21" t="s">
        <v>213</v>
      </c>
      <c r="C87" s="22"/>
      <c r="D87" s="22" t="s">
        <v>25</v>
      </c>
      <c r="E87" s="24" t="s">
        <v>26</v>
      </c>
      <c r="F87" s="25" t="s">
        <v>27</v>
      </c>
      <c r="G87" s="34" t="s">
        <v>212</v>
      </c>
      <c r="H87" s="35">
        <v>45236.0</v>
      </c>
      <c r="I87" s="27">
        <f t="shared" ref="I87:I91" si="20">IFERROR(IF($E87="Done", 1, IF(OR($E87="Working on it", $E87="In Review", $E87="On Hold"), 0.5, IF($E87="Not Started", 0, ""))), 0)</f>
        <v>1</v>
      </c>
      <c r="J87" s="28"/>
      <c r="K87" s="28"/>
      <c r="L87" s="17"/>
      <c r="M87" s="29">
        <v>45222.02935592593</v>
      </c>
      <c r="N87" s="29">
        <v>45237.4738133912</v>
      </c>
      <c r="O87" s="36" t="s">
        <v>214</v>
      </c>
      <c r="P87" s="36" t="s">
        <v>215</v>
      </c>
      <c r="Q87" s="37" t="s">
        <v>31</v>
      </c>
      <c r="R87" s="31">
        <v>0.12222222222222222</v>
      </c>
      <c r="S87" s="31" t="str">
        <f t="shared" si="13"/>
        <v>MVP</v>
      </c>
      <c r="T87" s="32" t="str">
        <f t="shared" si="14"/>
        <v>43.01</v>
      </c>
      <c r="U87" s="33"/>
      <c r="V87" s="31"/>
      <c r="W87" s="31"/>
    </row>
    <row r="88" ht="21.75" hidden="1" customHeight="1" outlineLevel="2">
      <c r="A88" s="20"/>
      <c r="B88" s="21" t="s">
        <v>216</v>
      </c>
      <c r="C88" s="22"/>
      <c r="D88" s="22" t="s">
        <v>33</v>
      </c>
      <c r="E88" s="24" t="s">
        <v>26</v>
      </c>
      <c r="F88" s="25" t="s">
        <v>34</v>
      </c>
      <c r="G88" s="24"/>
      <c r="H88" s="35">
        <v>45240.0</v>
      </c>
      <c r="I88" s="27">
        <f t="shared" si="20"/>
        <v>1</v>
      </c>
      <c r="J88" s="28"/>
      <c r="K88" s="28"/>
      <c r="L88" s="17"/>
      <c r="M88" s="29">
        <v>45236.44362943287</v>
      </c>
      <c r="N88" s="29">
        <v>45240.574363437496</v>
      </c>
      <c r="O88" s="36" t="s">
        <v>217</v>
      </c>
      <c r="P88" s="36" t="s">
        <v>218</v>
      </c>
      <c r="Q88" s="37" t="s">
        <v>31</v>
      </c>
      <c r="R88" s="31">
        <v>4.091666666666667</v>
      </c>
      <c r="S88" s="31" t="str">
        <f t="shared" si="13"/>
        <v>MVP</v>
      </c>
      <c r="T88" s="32" t="str">
        <f t="shared" si="14"/>
        <v>43.02</v>
      </c>
      <c r="U88" s="33"/>
      <c r="V88" s="31"/>
      <c r="W88" s="31"/>
    </row>
    <row r="89" ht="21.75" hidden="1" customHeight="1" outlineLevel="2">
      <c r="A89" s="20"/>
      <c r="B89" s="21" t="s">
        <v>219</v>
      </c>
      <c r="C89" s="22"/>
      <c r="D89" s="22" t="s">
        <v>40</v>
      </c>
      <c r="E89" s="24" t="s">
        <v>220</v>
      </c>
      <c r="F89" s="25" t="s">
        <v>27</v>
      </c>
      <c r="G89" s="24"/>
      <c r="H89" s="35">
        <v>45240.0</v>
      </c>
      <c r="I89" s="27">
        <f t="shared" si="20"/>
        <v>0.5</v>
      </c>
      <c r="J89" s="28"/>
      <c r="K89" s="28"/>
      <c r="L89" s="17"/>
      <c r="M89" s="29">
        <v>45240.657077870375</v>
      </c>
      <c r="N89" s="29"/>
      <c r="O89" s="30"/>
      <c r="P89" s="30"/>
      <c r="Q89" s="37" t="s">
        <v>17</v>
      </c>
      <c r="R89" s="31"/>
      <c r="S89" s="31" t="str">
        <f t="shared" si="13"/>
        <v>MVP</v>
      </c>
      <c r="T89" s="32" t="str">
        <f t="shared" si="14"/>
        <v>43.05</v>
      </c>
      <c r="U89" s="33"/>
      <c r="V89" s="31"/>
      <c r="W89" s="31"/>
    </row>
    <row r="90" ht="21.75" hidden="1" customHeight="1" outlineLevel="2">
      <c r="A90" s="20"/>
      <c r="B90" s="21" t="s">
        <v>221</v>
      </c>
      <c r="C90" s="22"/>
      <c r="D90" s="22" t="s">
        <v>45</v>
      </c>
      <c r="E90" s="24" t="s">
        <v>179</v>
      </c>
      <c r="F90" s="25" t="s">
        <v>27</v>
      </c>
      <c r="G90" s="24"/>
      <c r="H90" s="35">
        <v>45240.0</v>
      </c>
      <c r="I90" s="27">
        <f t="shared" si="20"/>
        <v>0</v>
      </c>
      <c r="J90" s="28"/>
      <c r="K90" s="28"/>
      <c r="L90" s="17"/>
      <c r="M90" s="29"/>
      <c r="N90" s="29"/>
      <c r="O90" s="30"/>
      <c r="P90" s="30"/>
      <c r="Q90" s="29"/>
      <c r="R90" s="31"/>
      <c r="S90" s="31" t="str">
        <f t="shared" si="13"/>
        <v>MVP</v>
      </c>
      <c r="T90" s="32" t="str">
        <f t="shared" si="14"/>
        <v>43.06</v>
      </c>
      <c r="U90" s="33"/>
      <c r="V90" s="31"/>
      <c r="W90" s="31"/>
    </row>
    <row r="91" ht="21.75" hidden="1" customHeight="1" outlineLevel="2">
      <c r="A91" s="20"/>
      <c r="B91" s="21" t="s">
        <v>222</v>
      </c>
      <c r="C91" s="22"/>
      <c r="D91" s="22" t="s">
        <v>47</v>
      </c>
      <c r="E91" s="24" t="s">
        <v>179</v>
      </c>
      <c r="F91" s="25" t="s">
        <v>27</v>
      </c>
      <c r="G91" s="24"/>
      <c r="H91" s="35">
        <v>45240.0</v>
      </c>
      <c r="I91" s="27">
        <f t="shared" si="20"/>
        <v>0</v>
      </c>
      <c r="J91" s="28"/>
      <c r="K91" s="28"/>
      <c r="L91" s="17"/>
      <c r="M91" s="29"/>
      <c r="N91" s="29"/>
      <c r="O91" s="30"/>
      <c r="P91" s="30"/>
      <c r="Q91" s="29"/>
      <c r="R91" s="31"/>
      <c r="S91" s="31" t="str">
        <f t="shared" si="13"/>
        <v>MVP</v>
      </c>
      <c r="T91" s="32" t="str">
        <f t="shared" si="14"/>
        <v>43.07</v>
      </c>
      <c r="U91" s="33"/>
      <c r="V91" s="31"/>
      <c r="W91" s="31"/>
    </row>
    <row r="92" ht="21.75" customHeight="1" outlineLevel="1" collapsed="1">
      <c r="A92" s="20"/>
      <c r="B92" s="21" t="s">
        <v>223</v>
      </c>
      <c r="C92" s="22" t="s">
        <v>224</v>
      </c>
      <c r="D92" s="23"/>
      <c r="E92" s="24" t="s">
        <v>62</v>
      </c>
      <c r="F92" s="25" t="s">
        <v>22</v>
      </c>
      <c r="G92" s="24" t="s">
        <v>79</v>
      </c>
      <c r="H92" s="26">
        <f>MAX(H93:H98)</f>
        <v>45241</v>
      </c>
      <c r="I92" s="27" t="str">
        <f>IFERROR(__xludf.DUMMYFUNCTION("SPARKLINE(SUM(I93:I98), {""charttype"", ""bar""; ""max"", J92; ""color1"", ""green""})"),"")</f>
        <v/>
      </c>
      <c r="J92" s="28">
        <f>COUNT(I93:I98)</f>
        <v>6</v>
      </c>
      <c r="K92" s="28" t="str">
        <f>IF(ISNUMBER(B115), K115, "")</f>
        <v/>
      </c>
      <c r="L92" s="17"/>
      <c r="M92" s="29">
        <f>MIN(M93:M98)</f>
        <v>45230.41966</v>
      </c>
      <c r="N92" s="29">
        <f>MAX(N93:N98)</f>
        <v>45239.73943</v>
      </c>
      <c r="O92" s="30"/>
      <c r="P92" s="30"/>
      <c r="Q92" s="29"/>
      <c r="R92" s="31">
        <f>SUM(R93:R98)</f>
        <v>0.2972222222</v>
      </c>
      <c r="S92" s="31" t="str">
        <f t="shared" si="13"/>
        <v>MVP</v>
      </c>
      <c r="T92" s="32" t="str">
        <f t="shared" si="14"/>
        <v>77</v>
      </c>
      <c r="U92" s="33" t="str">
        <f>CONCATENATE(C92, " - ",E92)</f>
        <v>Nvidia L40s - YT Video</v>
      </c>
      <c r="V92" s="31"/>
      <c r="W92" s="31"/>
    </row>
    <row r="93" ht="21.75" hidden="1" customHeight="1" outlineLevel="2">
      <c r="A93" s="20"/>
      <c r="B93" s="21" t="s">
        <v>225</v>
      </c>
      <c r="C93" s="22"/>
      <c r="D93" s="22" t="s">
        <v>25</v>
      </c>
      <c r="E93" s="24" t="s">
        <v>26</v>
      </c>
      <c r="F93" s="25" t="s">
        <v>22</v>
      </c>
      <c r="G93" s="34" t="s">
        <v>226</v>
      </c>
      <c r="H93" s="35">
        <v>45227.62049877315</v>
      </c>
      <c r="I93" s="27">
        <f t="shared" ref="I93:I98" si="21">IFERROR(IF($E93="Done", 1, IF(OR($E93="Working on it", $E93="In Review", $E93="On Hold"), 0.5, IF($E93="Not Started", 0, ""))), 0)</f>
        <v>1</v>
      </c>
      <c r="J93" s="28"/>
      <c r="K93" s="28"/>
      <c r="L93" s="17"/>
      <c r="M93" s="29">
        <v>45230.41966435185</v>
      </c>
      <c r="N93" s="29">
        <v>45230.80643546296</v>
      </c>
      <c r="O93" s="36" t="s">
        <v>227</v>
      </c>
      <c r="P93" s="36" t="s">
        <v>228</v>
      </c>
      <c r="Q93" s="37" t="s">
        <v>31</v>
      </c>
      <c r="R93" s="31">
        <v>0.14791666666666667</v>
      </c>
      <c r="S93" s="31" t="str">
        <f t="shared" si="13"/>
        <v>MVP</v>
      </c>
      <c r="T93" s="32" t="str">
        <f t="shared" si="14"/>
        <v>77.01</v>
      </c>
      <c r="U93" s="33"/>
      <c r="V93" s="31"/>
      <c r="W93" s="31"/>
    </row>
    <row r="94" ht="21.75" hidden="1" customHeight="1" outlineLevel="2">
      <c r="A94" s="20"/>
      <c r="B94" s="21" t="s">
        <v>229</v>
      </c>
      <c r="C94" s="22"/>
      <c r="D94" s="22" t="s">
        <v>33</v>
      </c>
      <c r="E94" s="24" t="s">
        <v>26</v>
      </c>
      <c r="F94" s="25" t="s">
        <v>34</v>
      </c>
      <c r="G94" s="24"/>
      <c r="H94" s="35">
        <v>45233.0</v>
      </c>
      <c r="I94" s="27">
        <f t="shared" si="21"/>
        <v>1</v>
      </c>
      <c r="J94" s="28"/>
      <c r="K94" s="28"/>
      <c r="L94" s="17"/>
      <c r="M94" s="29">
        <v>45233.617380358795</v>
      </c>
      <c r="N94" s="29">
        <v>45233.65108037037</v>
      </c>
      <c r="O94" s="36" t="s">
        <v>230</v>
      </c>
      <c r="P94" s="36" t="s">
        <v>231</v>
      </c>
      <c r="Q94" s="37" t="s">
        <v>31</v>
      </c>
      <c r="R94" s="31">
        <v>0.027777777777777776</v>
      </c>
      <c r="S94" s="31" t="str">
        <f t="shared" si="13"/>
        <v>MVP</v>
      </c>
      <c r="T94" s="32" t="str">
        <f t="shared" si="14"/>
        <v>77.02</v>
      </c>
      <c r="U94" s="33"/>
      <c r="V94" s="31"/>
      <c r="W94" s="31"/>
    </row>
    <row r="95" ht="21.75" hidden="1" customHeight="1" outlineLevel="2">
      <c r="A95" s="20"/>
      <c r="B95" s="21" t="s">
        <v>232</v>
      </c>
      <c r="C95" s="22"/>
      <c r="D95" s="22" t="s">
        <v>38</v>
      </c>
      <c r="E95" s="24" t="s">
        <v>26</v>
      </c>
      <c r="F95" s="25" t="s">
        <v>27</v>
      </c>
      <c r="G95" s="24"/>
      <c r="H95" s="35">
        <v>45238.0</v>
      </c>
      <c r="I95" s="27">
        <f t="shared" si="21"/>
        <v>1</v>
      </c>
      <c r="J95" s="28"/>
      <c r="K95" s="28"/>
      <c r="L95" s="17"/>
      <c r="M95" s="29">
        <v>45238.587671076384</v>
      </c>
      <c r="N95" s="29">
        <v>45239.73942943287</v>
      </c>
      <c r="O95" s="36" t="s">
        <v>233</v>
      </c>
      <c r="P95" s="36" t="s">
        <v>234</v>
      </c>
      <c r="Q95" s="37" t="s">
        <v>31</v>
      </c>
      <c r="R95" s="31">
        <v>0.12152777777777778</v>
      </c>
      <c r="S95" s="31" t="str">
        <f t="shared" si="13"/>
        <v>MVP</v>
      </c>
      <c r="T95" s="32" t="str">
        <f t="shared" si="14"/>
        <v>77.04</v>
      </c>
      <c r="U95" s="33"/>
      <c r="V95" s="31"/>
      <c r="W95" s="31"/>
    </row>
    <row r="96" ht="21.75" hidden="1" customHeight="1" outlineLevel="2">
      <c r="A96" s="20"/>
      <c r="B96" s="21" t="s">
        <v>235</v>
      </c>
      <c r="C96" s="22"/>
      <c r="D96" s="22" t="s">
        <v>40</v>
      </c>
      <c r="E96" s="24" t="s">
        <v>179</v>
      </c>
      <c r="F96" s="25" t="s">
        <v>236</v>
      </c>
      <c r="G96" s="24" t="s">
        <v>237</v>
      </c>
      <c r="H96" s="35">
        <v>45238.0</v>
      </c>
      <c r="I96" s="27">
        <f t="shared" si="21"/>
        <v>0</v>
      </c>
      <c r="J96" s="28"/>
      <c r="K96" s="28"/>
      <c r="L96" s="17"/>
      <c r="M96" s="29"/>
      <c r="N96" s="29"/>
      <c r="O96" s="30"/>
      <c r="P96" s="30"/>
      <c r="Q96" s="29"/>
      <c r="R96" s="31"/>
      <c r="S96" s="31" t="str">
        <f t="shared" si="13"/>
        <v>MVP</v>
      </c>
      <c r="T96" s="32" t="str">
        <f t="shared" si="14"/>
        <v>77.05</v>
      </c>
      <c r="U96" s="33"/>
      <c r="V96" s="31"/>
      <c r="W96" s="31"/>
    </row>
    <row r="97" ht="21.75" hidden="1" customHeight="1" outlineLevel="2">
      <c r="A97" s="20"/>
      <c r="B97" s="21" t="s">
        <v>238</v>
      </c>
      <c r="C97" s="22"/>
      <c r="D97" s="22" t="s">
        <v>45</v>
      </c>
      <c r="E97" s="24" t="s">
        <v>179</v>
      </c>
      <c r="F97" s="25" t="s">
        <v>41</v>
      </c>
      <c r="G97" s="24"/>
      <c r="H97" s="35">
        <v>45241.0</v>
      </c>
      <c r="I97" s="27">
        <f t="shared" si="21"/>
        <v>0</v>
      </c>
      <c r="J97" s="28"/>
      <c r="K97" s="28"/>
      <c r="L97" s="17"/>
      <c r="M97" s="29"/>
      <c r="N97" s="29"/>
      <c r="O97" s="30"/>
      <c r="P97" s="30"/>
      <c r="Q97" s="29"/>
      <c r="R97" s="31"/>
      <c r="S97" s="31" t="str">
        <f t="shared" si="13"/>
        <v>MVP</v>
      </c>
      <c r="T97" s="32" t="str">
        <f t="shared" si="14"/>
        <v>77.06</v>
      </c>
      <c r="U97" s="33"/>
      <c r="V97" s="31"/>
      <c r="W97" s="31"/>
    </row>
    <row r="98" ht="21.75" hidden="1" customHeight="1" outlineLevel="2">
      <c r="A98" s="20"/>
      <c r="B98" s="21" t="s">
        <v>239</v>
      </c>
      <c r="C98" s="22"/>
      <c r="D98" s="22" t="s">
        <v>47</v>
      </c>
      <c r="E98" s="24" t="s">
        <v>179</v>
      </c>
      <c r="F98" s="25" t="s">
        <v>27</v>
      </c>
      <c r="G98" s="24"/>
      <c r="H98" s="35">
        <v>45241.0</v>
      </c>
      <c r="I98" s="27">
        <f t="shared" si="21"/>
        <v>0</v>
      </c>
      <c r="J98" s="28"/>
      <c r="K98" s="28"/>
      <c r="L98" s="17"/>
      <c r="M98" s="29"/>
      <c r="N98" s="29"/>
      <c r="O98" s="30"/>
      <c r="P98" s="30"/>
      <c r="Q98" s="29"/>
      <c r="R98" s="31"/>
      <c r="S98" s="31" t="str">
        <f t="shared" si="13"/>
        <v>MVP</v>
      </c>
      <c r="T98" s="32" t="str">
        <f t="shared" si="14"/>
        <v>77.07</v>
      </c>
      <c r="U98" s="33"/>
      <c r="V98" s="31"/>
      <c r="W98" s="31"/>
    </row>
    <row r="99" ht="21.75" customHeight="1" outlineLevel="1" collapsed="1">
      <c r="A99" s="20"/>
      <c r="B99" s="21" t="s">
        <v>240</v>
      </c>
      <c r="C99" s="22" t="s">
        <v>241</v>
      </c>
      <c r="D99" s="23"/>
      <c r="E99" s="24" t="s">
        <v>51</v>
      </c>
      <c r="F99" s="25" t="s">
        <v>22</v>
      </c>
      <c r="G99" s="24" t="s">
        <v>89</v>
      </c>
      <c r="H99" s="26">
        <f>MAX(H100:H103)</f>
        <v>45241</v>
      </c>
      <c r="I99" s="27" t="str">
        <f>IFERROR(__xludf.DUMMYFUNCTION("SPARKLINE(SUM(I100:I103), {""charttype"", ""bar""; ""max"", J99; ""color1"", ""green""})"),"")</f>
        <v/>
      </c>
      <c r="J99" s="28">
        <f>COUNT(I100:I103)</f>
        <v>4</v>
      </c>
      <c r="K99" s="28" t="str">
        <f>IF(ISNUMBER(B158), K158, "")</f>
        <v/>
      </c>
      <c r="L99" s="17"/>
      <c r="M99" s="29">
        <f>MIN(M100:M103)</f>
        <v>45234.41105</v>
      </c>
      <c r="N99" s="29">
        <f>MAX(N100:N103)</f>
        <v>45234.42662</v>
      </c>
      <c r="O99" s="30"/>
      <c r="P99" s="30"/>
      <c r="Q99" s="29"/>
      <c r="R99" s="31">
        <f>SUM(R100:R103)</f>
        <v>0.01527777778</v>
      </c>
      <c r="S99" s="31" t="str">
        <f t="shared" si="13"/>
        <v>MVP</v>
      </c>
      <c r="T99" s="32" t="str">
        <f t="shared" si="14"/>
        <v>81</v>
      </c>
      <c r="U99" s="33" t="str">
        <f>CONCATENATE(C99, " - ",E99)</f>
        <v>Build Photo - L40s Server - Insta</v>
      </c>
      <c r="V99" s="31"/>
      <c r="W99" s="31"/>
    </row>
    <row r="100" ht="21.75" hidden="1" customHeight="1" outlineLevel="2">
      <c r="A100" s="20"/>
      <c r="B100" s="21" t="s">
        <v>242</v>
      </c>
      <c r="C100" s="22"/>
      <c r="D100" s="22" t="s">
        <v>25</v>
      </c>
      <c r="E100" s="24" t="s">
        <v>179</v>
      </c>
      <c r="F100" s="25" t="s">
        <v>41</v>
      </c>
      <c r="G100" s="45"/>
      <c r="H100" s="35">
        <v>45241.0</v>
      </c>
      <c r="I100" s="27">
        <f t="shared" ref="I100:I103" si="22">IFERROR(IF($E100="Done", 1, IF(OR($E100="Working on it", $E100="In Review", $E100="On Hold"), 0.5, IF($E100="Not Started", 0, ""))), 0)</f>
        <v>0</v>
      </c>
      <c r="J100" s="28"/>
      <c r="K100" s="28"/>
      <c r="L100" s="17"/>
      <c r="M100" s="29"/>
      <c r="N100" s="29"/>
      <c r="O100" s="30"/>
      <c r="P100" s="30"/>
      <c r="Q100" s="29"/>
      <c r="R100" s="31"/>
      <c r="S100" s="31" t="str">
        <f t="shared" si="13"/>
        <v>MVP</v>
      </c>
      <c r="T100" s="32" t="str">
        <f t="shared" si="14"/>
        <v>81.01</v>
      </c>
      <c r="U100" s="33"/>
      <c r="V100" s="31"/>
      <c r="W100" s="31"/>
    </row>
    <row r="101" ht="21.75" hidden="1" customHeight="1" outlineLevel="2">
      <c r="A101" s="20"/>
      <c r="B101" s="21" t="s">
        <v>243</v>
      </c>
      <c r="C101" s="22"/>
      <c r="D101" s="22" t="s">
        <v>33</v>
      </c>
      <c r="E101" s="24" t="s">
        <v>26</v>
      </c>
      <c r="F101" s="25" t="s">
        <v>34</v>
      </c>
      <c r="G101" s="24"/>
      <c r="H101" s="35">
        <v>45235.0</v>
      </c>
      <c r="I101" s="27">
        <f t="shared" si="22"/>
        <v>1</v>
      </c>
      <c r="J101" s="28"/>
      <c r="K101" s="28"/>
      <c r="L101" s="17"/>
      <c r="M101" s="29">
        <v>45234.41104571759</v>
      </c>
      <c r="N101" s="29">
        <v>45234.426617627316</v>
      </c>
      <c r="O101" s="30"/>
      <c r="P101" s="30"/>
      <c r="Q101" s="37" t="s">
        <v>31</v>
      </c>
      <c r="R101" s="31">
        <v>0.015277777777777777</v>
      </c>
      <c r="S101" s="31" t="str">
        <f t="shared" si="13"/>
        <v>MVP</v>
      </c>
      <c r="T101" s="32" t="str">
        <f t="shared" si="14"/>
        <v>81.02</v>
      </c>
      <c r="U101" s="33"/>
      <c r="V101" s="31"/>
      <c r="W101" s="31"/>
    </row>
    <row r="102" ht="21.75" hidden="1" customHeight="1" outlineLevel="2">
      <c r="A102" s="20"/>
      <c r="B102" s="21" t="s">
        <v>244</v>
      </c>
      <c r="C102" s="22"/>
      <c r="D102" s="22" t="s">
        <v>40</v>
      </c>
      <c r="E102" s="24" t="s">
        <v>179</v>
      </c>
      <c r="F102" s="25" t="s">
        <v>41</v>
      </c>
      <c r="G102" s="24"/>
      <c r="H102" s="35">
        <v>45241.0</v>
      </c>
      <c r="I102" s="27">
        <f t="shared" si="22"/>
        <v>0</v>
      </c>
      <c r="J102" s="28"/>
      <c r="K102" s="28"/>
      <c r="L102" s="17"/>
      <c r="M102" s="29"/>
      <c r="N102" s="29"/>
      <c r="O102" s="30"/>
      <c r="P102" s="30"/>
      <c r="Q102" s="29"/>
      <c r="R102" s="31"/>
      <c r="S102" s="31" t="str">
        <f t="shared" si="13"/>
        <v>MVP</v>
      </c>
      <c r="T102" s="32" t="str">
        <f t="shared" si="14"/>
        <v>81.03</v>
      </c>
      <c r="U102" s="33"/>
      <c r="V102" s="31"/>
      <c r="W102" s="31"/>
    </row>
    <row r="103" ht="21.75" hidden="1" customHeight="1" outlineLevel="2">
      <c r="A103" s="20"/>
      <c r="B103" s="21" t="s">
        <v>245</v>
      </c>
      <c r="C103" s="22"/>
      <c r="D103" s="22" t="s">
        <v>47</v>
      </c>
      <c r="E103" s="24" t="s">
        <v>179</v>
      </c>
      <c r="F103" s="25" t="s">
        <v>48</v>
      </c>
      <c r="G103" s="24"/>
      <c r="H103" s="35">
        <v>45241.0</v>
      </c>
      <c r="I103" s="27">
        <f t="shared" si="22"/>
        <v>0</v>
      </c>
      <c r="J103" s="28"/>
      <c r="K103" s="28"/>
      <c r="L103" s="17"/>
      <c r="M103" s="29"/>
      <c r="N103" s="29"/>
      <c r="O103" s="30"/>
      <c r="P103" s="30"/>
      <c r="Q103" s="29"/>
      <c r="R103" s="31"/>
      <c r="S103" s="31" t="str">
        <f t="shared" si="13"/>
        <v>MVP</v>
      </c>
      <c r="T103" s="32" t="str">
        <f t="shared" si="14"/>
        <v>81.04</v>
      </c>
      <c r="U103" s="33"/>
      <c r="V103" s="31"/>
      <c r="W103" s="31"/>
    </row>
    <row r="104" ht="21.75" customHeight="1" outlineLevel="1" collapsed="1">
      <c r="A104" s="20"/>
      <c r="B104" s="21" t="s">
        <v>246</v>
      </c>
      <c r="C104" s="22" t="s">
        <v>247</v>
      </c>
      <c r="D104" s="23"/>
      <c r="E104" s="24" t="s">
        <v>102</v>
      </c>
      <c r="F104" s="25" t="s">
        <v>22</v>
      </c>
      <c r="G104" s="24" t="s">
        <v>89</v>
      </c>
      <c r="H104" s="26">
        <f>MAX(H105:H106)</f>
        <v>45241.60398</v>
      </c>
      <c r="I104" s="27" t="str">
        <f>IFERROR(__xludf.DUMMYFUNCTION("SPARKLINE(SUM(I105:I106), {""charttype"", ""bar""; ""max"", J104; ""color1"", ""green""})"),"")</f>
        <v/>
      </c>
      <c r="J104" s="28">
        <f>COUNT(I105:I106)</f>
        <v>2</v>
      </c>
      <c r="K104" s="28" t="str">
        <f>IF(ISNUMBER(B68), K68, "")</f>
        <v/>
      </c>
      <c r="L104" s="17"/>
      <c r="M104" s="29">
        <f>MIN(M105:M106)</f>
        <v>0</v>
      </c>
      <c r="N104" s="29">
        <f>MAX(N105:N106)</f>
        <v>0</v>
      </c>
      <c r="O104" s="30"/>
      <c r="P104" s="30"/>
      <c r="Q104" s="29"/>
      <c r="R104" s="31">
        <f>SUM(R105:R106)</f>
        <v>0</v>
      </c>
      <c r="S104" s="31" t="str">
        <f t="shared" si="13"/>
        <v>MVP</v>
      </c>
      <c r="T104" s="32" t="str">
        <f t="shared" si="14"/>
        <v>106</v>
      </c>
      <c r="U104" s="33" t="str">
        <f>CONCATENATE(C104, " - ",E104)</f>
        <v>Idea Pending - Tweet</v>
      </c>
      <c r="V104" s="31"/>
      <c r="W104" s="31"/>
    </row>
    <row r="105" ht="21.75" hidden="1" customHeight="1" outlineLevel="2">
      <c r="A105" s="20"/>
      <c r="B105" s="21" t="s">
        <v>248</v>
      </c>
      <c r="C105" s="22"/>
      <c r="D105" s="22" t="s">
        <v>25</v>
      </c>
      <c r="E105" s="24" t="s">
        <v>179</v>
      </c>
      <c r="F105" s="25" t="s">
        <v>71</v>
      </c>
      <c r="G105" s="24"/>
      <c r="H105" s="35">
        <v>45240.0</v>
      </c>
      <c r="I105" s="27">
        <f t="shared" ref="I105:I106" si="23">IFERROR(IF($E105="Done", 1, IF(OR($E105="Working on it", $E105="In Review", $E105="On Hold"), 0.5, IF($E105="Not Started", 0, ""))), 0)</f>
        <v>0</v>
      </c>
      <c r="J105" s="28"/>
      <c r="K105" s="28"/>
      <c r="L105" s="17"/>
      <c r="M105" s="29"/>
      <c r="N105" s="29"/>
      <c r="O105" s="30"/>
      <c r="P105" s="30"/>
      <c r="Q105" s="29"/>
      <c r="R105" s="31"/>
      <c r="S105" s="31" t="str">
        <f t="shared" si="13"/>
        <v>MVP</v>
      </c>
      <c r="T105" s="32" t="str">
        <f t="shared" si="14"/>
        <v>106.01</v>
      </c>
      <c r="U105" s="33"/>
      <c r="V105" s="31"/>
      <c r="W105" s="31"/>
    </row>
    <row r="106" ht="21.75" hidden="1" customHeight="1" outlineLevel="2">
      <c r="A106" s="20"/>
      <c r="B106" s="21" t="s">
        <v>249</v>
      </c>
      <c r="C106" s="22"/>
      <c r="D106" s="22" t="s">
        <v>47</v>
      </c>
      <c r="E106" s="24" t="s">
        <v>179</v>
      </c>
      <c r="F106" s="25" t="s">
        <v>27</v>
      </c>
      <c r="G106" s="24"/>
      <c r="H106" s="35">
        <v>45241.603976493054</v>
      </c>
      <c r="I106" s="27">
        <f t="shared" si="23"/>
        <v>0</v>
      </c>
      <c r="J106" s="28"/>
      <c r="K106" s="28"/>
      <c r="L106" s="17"/>
      <c r="M106" s="29"/>
      <c r="N106" s="29"/>
      <c r="O106" s="30"/>
      <c r="P106" s="30"/>
      <c r="Q106" s="29"/>
      <c r="R106" s="31"/>
      <c r="S106" s="31" t="str">
        <f t="shared" si="13"/>
        <v>MVP</v>
      </c>
      <c r="T106" s="32" t="str">
        <f t="shared" si="14"/>
        <v>106.04</v>
      </c>
      <c r="U106" s="33"/>
      <c r="V106" s="31"/>
      <c r="W106" s="31"/>
    </row>
    <row r="107" ht="21.75" customHeight="1" outlineLevel="1" collapsed="1">
      <c r="A107" s="20"/>
      <c r="B107" s="21" t="s">
        <v>250</v>
      </c>
      <c r="C107" s="22" t="s">
        <v>251</v>
      </c>
      <c r="D107" s="23"/>
      <c r="E107" s="24" t="s">
        <v>252</v>
      </c>
      <c r="F107" s="25" t="s">
        <v>22</v>
      </c>
      <c r="G107" s="24" t="s">
        <v>23</v>
      </c>
      <c r="H107" s="26">
        <f>MAX(H108:H109)</f>
        <v>45241</v>
      </c>
      <c r="I107" s="27" t="str">
        <f>IFERROR(__xludf.DUMMYFUNCTION("SPARKLINE(SUM(I108:I109), {""charttype"", ""bar""; ""max"", J107; ""color1"", ""green""})"),"")</f>
        <v/>
      </c>
      <c r="J107" s="28">
        <f>COUNT(I108:I109)</f>
        <v>2</v>
      </c>
      <c r="K107" s="28" t="str">
        <f>IF(ISNUMBER(B239), K239, "")</f>
        <v/>
      </c>
      <c r="L107" s="17"/>
      <c r="M107" s="29">
        <f>MIN(M108:M109)</f>
        <v>45240.4123</v>
      </c>
      <c r="N107" s="29">
        <f>MAX(N108:N109)</f>
        <v>45240.77971</v>
      </c>
      <c r="O107" s="30"/>
      <c r="P107" s="30"/>
      <c r="Q107" s="29"/>
      <c r="R107" s="31">
        <f>SUM(R108:R109)</f>
        <v>0.01319444444</v>
      </c>
      <c r="S107" s="31" t="str">
        <f t="shared" si="13"/>
        <v>MVP</v>
      </c>
      <c r="T107" s="32" t="str">
        <f t="shared" si="14"/>
        <v>115</v>
      </c>
      <c r="U107" s="33"/>
      <c r="V107" s="31"/>
      <c r="W107" s="31"/>
    </row>
    <row r="108" ht="21.75" hidden="1" customHeight="1" outlineLevel="2">
      <c r="A108" s="20"/>
      <c r="B108" s="21" t="s">
        <v>253</v>
      </c>
      <c r="C108" s="22"/>
      <c r="D108" s="22" t="s">
        <v>40</v>
      </c>
      <c r="E108" s="24" t="s">
        <v>26</v>
      </c>
      <c r="F108" s="25" t="s">
        <v>34</v>
      </c>
      <c r="G108" s="24"/>
      <c r="H108" s="35">
        <v>45240.0</v>
      </c>
      <c r="I108" s="27">
        <f t="shared" ref="I108:I109" si="24">IFERROR(IF($E108="Done", 1, IF(OR($E108="Working on it", $E108="In Review", $E108="On Hold"), 0.5, IF($E108="Not Started", 0, ""))), 0)</f>
        <v>1</v>
      </c>
      <c r="J108" s="28"/>
      <c r="K108" s="28"/>
      <c r="L108" s="17"/>
      <c r="M108" s="29">
        <v>45240.41229898148</v>
      </c>
      <c r="N108" s="29">
        <v>45240.77970719908</v>
      </c>
      <c r="O108" s="36" t="s">
        <v>254</v>
      </c>
      <c r="P108" s="36" t="s">
        <v>255</v>
      </c>
      <c r="Q108" s="37" t="s">
        <v>31</v>
      </c>
      <c r="R108" s="31">
        <v>0.013194444444444444</v>
      </c>
      <c r="S108" s="31"/>
      <c r="T108" s="32"/>
      <c r="U108" s="33"/>
      <c r="V108" s="31"/>
      <c r="W108" s="31"/>
    </row>
    <row r="109" ht="21.75" hidden="1" customHeight="1" outlineLevel="2">
      <c r="A109" s="20"/>
      <c r="B109" s="21" t="s">
        <v>256</v>
      </c>
      <c r="C109" s="22"/>
      <c r="D109" s="22" t="s">
        <v>47</v>
      </c>
      <c r="E109" s="24" t="s">
        <v>179</v>
      </c>
      <c r="F109" s="25" t="s">
        <v>22</v>
      </c>
      <c r="G109" s="24"/>
      <c r="H109" s="35">
        <v>45241.0</v>
      </c>
      <c r="I109" s="27">
        <f t="shared" si="24"/>
        <v>0</v>
      </c>
      <c r="J109" s="28"/>
      <c r="K109" s="28"/>
      <c r="L109" s="17"/>
      <c r="M109" s="29"/>
      <c r="N109" s="29"/>
      <c r="O109" s="30"/>
      <c r="P109" s="30"/>
      <c r="Q109" s="29"/>
      <c r="R109" s="31"/>
      <c r="S109" s="31"/>
      <c r="T109" s="32"/>
      <c r="U109" s="33"/>
      <c r="V109" s="31"/>
      <c r="W109" s="31"/>
    </row>
    <row r="110" ht="21.75" customHeight="1" outlineLevel="1" collapsed="1">
      <c r="A110" s="20"/>
      <c r="B110" s="21" t="s">
        <v>257</v>
      </c>
      <c r="C110" s="22" t="s">
        <v>258</v>
      </c>
      <c r="D110" s="23"/>
      <c r="E110" s="24" t="s">
        <v>21</v>
      </c>
      <c r="F110" s="25" t="s">
        <v>22</v>
      </c>
      <c r="G110" s="24" t="s">
        <v>79</v>
      </c>
      <c r="H110" s="26">
        <f>MAX(H111:H115)</f>
        <v>45242</v>
      </c>
      <c r="I110" s="27" t="str">
        <f>IFERROR(__xludf.DUMMYFUNCTION("SPARKLINE(SUM(I111:I115), {""charttype"", ""bar""; ""max"", J110; ""color1"", ""green""})"),"")</f>
        <v/>
      </c>
      <c r="J110" s="28">
        <f>COUNT(I111:I115)</f>
        <v>4</v>
      </c>
      <c r="K110" s="28" t="str">
        <f>IF(ISNUMBER(B138), K138, "")</f>
        <v/>
      </c>
      <c r="L110" s="17"/>
      <c r="M110" s="29">
        <f>MIN(M111:M115)</f>
        <v>45238.55518</v>
      </c>
      <c r="N110" s="29">
        <f>MAX(N111:N115)</f>
        <v>45238.73588</v>
      </c>
      <c r="O110" s="30"/>
      <c r="P110" s="30"/>
      <c r="Q110" s="29"/>
      <c r="R110" s="31">
        <f>SUM(R111:R115)</f>
        <v>0.08263888889</v>
      </c>
      <c r="S110" s="31" t="str">
        <f t="shared" ref="S110:S113" si="25">IFERROR(MID(B110, FIND("-", B110) + 1, 3), "")</f>
        <v>MVP</v>
      </c>
      <c r="T110" s="32" t="str">
        <f t="shared" ref="T110:T113" si="26">IFERROR(MID(B110, 8, LEN(B110)-7), "")
</f>
        <v>76</v>
      </c>
      <c r="U110" s="33" t="str">
        <f>CONCATENATE(C110, " - ",E110)</f>
        <v>12 Lakh GPU - Nvidia L40s - Shorts</v>
      </c>
      <c r="V110" s="31"/>
      <c r="W110" s="31"/>
    </row>
    <row r="111" ht="21.75" hidden="1" customHeight="1" outlineLevel="2">
      <c r="A111" s="20"/>
      <c r="B111" s="21" t="s">
        <v>259</v>
      </c>
      <c r="C111" s="22"/>
      <c r="D111" s="22" t="s">
        <v>25</v>
      </c>
      <c r="E111" s="24" t="s">
        <v>26</v>
      </c>
      <c r="F111" s="25" t="s">
        <v>22</v>
      </c>
      <c r="G111" s="34" t="s">
        <v>260</v>
      </c>
      <c r="H111" s="35">
        <v>45239.0</v>
      </c>
      <c r="I111" s="27">
        <f t="shared" ref="I111:I113" si="27">IFERROR(IF($E111="Done", 1, IF(OR($E111="Working on it", $E111="In Review", $E111="On Hold"), 0.5, IF($E111="Not Started", 0, ""))), 0)</f>
        <v>1</v>
      </c>
      <c r="J111" s="28"/>
      <c r="K111" s="28"/>
      <c r="L111" s="17"/>
      <c r="M111" s="29">
        <v>45238.55518232639</v>
      </c>
      <c r="N111" s="29">
        <v>45238.70603366898</v>
      </c>
      <c r="O111" s="36" t="s">
        <v>261</v>
      </c>
      <c r="P111" s="36" t="s">
        <v>262</v>
      </c>
      <c r="Q111" s="37" t="s">
        <v>31</v>
      </c>
      <c r="R111" s="31">
        <v>0.04583333333333333</v>
      </c>
      <c r="S111" s="31" t="str">
        <f t="shared" si="25"/>
        <v>MVP</v>
      </c>
      <c r="T111" s="32" t="str">
        <f t="shared" si="26"/>
        <v>76.01</v>
      </c>
      <c r="U111" s="33"/>
      <c r="V111" s="31"/>
      <c r="W111" s="31"/>
    </row>
    <row r="112" ht="21.75" hidden="1" customHeight="1" outlineLevel="2">
      <c r="A112" s="20"/>
      <c r="B112" s="21" t="s">
        <v>263</v>
      </c>
      <c r="C112" s="22"/>
      <c r="D112" s="22" t="s">
        <v>33</v>
      </c>
      <c r="E112" s="24" t="s">
        <v>26</v>
      </c>
      <c r="F112" s="25" t="s">
        <v>34</v>
      </c>
      <c r="G112" s="24"/>
      <c r="H112" s="35">
        <v>45238.0</v>
      </c>
      <c r="I112" s="27">
        <f t="shared" si="27"/>
        <v>1</v>
      </c>
      <c r="J112" s="28"/>
      <c r="K112" s="28"/>
      <c r="L112" s="17"/>
      <c r="M112" s="29">
        <v>45238.635185266205</v>
      </c>
      <c r="N112" s="29">
        <v>45238.73587561343</v>
      </c>
      <c r="O112" s="36" t="s">
        <v>264</v>
      </c>
      <c r="P112" s="36" t="s">
        <v>265</v>
      </c>
      <c r="Q112" s="37" t="s">
        <v>31</v>
      </c>
      <c r="R112" s="31">
        <v>0.03680555555555556</v>
      </c>
      <c r="S112" s="31" t="str">
        <f t="shared" si="25"/>
        <v>MVP</v>
      </c>
      <c r="T112" s="32" t="str">
        <f t="shared" si="26"/>
        <v>76.05</v>
      </c>
      <c r="U112" s="33"/>
      <c r="V112" s="31"/>
      <c r="W112" s="31"/>
    </row>
    <row r="113" ht="21.75" hidden="1" customHeight="1" outlineLevel="2">
      <c r="A113" s="20"/>
      <c r="B113" s="21" t="s">
        <v>266</v>
      </c>
      <c r="C113" s="22"/>
      <c r="D113" s="22" t="s">
        <v>40</v>
      </c>
      <c r="E113" s="24" t="s">
        <v>179</v>
      </c>
      <c r="F113" s="25" t="s">
        <v>41</v>
      </c>
      <c r="G113" s="24"/>
      <c r="H113" s="35">
        <v>45241.0</v>
      </c>
      <c r="I113" s="27">
        <f t="shared" si="27"/>
        <v>0</v>
      </c>
      <c r="J113" s="28"/>
      <c r="K113" s="28"/>
      <c r="L113" s="17"/>
      <c r="M113" s="29"/>
      <c r="N113" s="29"/>
      <c r="O113" s="30"/>
      <c r="P113" s="30"/>
      <c r="Q113" s="29"/>
      <c r="R113" s="31"/>
      <c r="S113" s="31" t="str">
        <f t="shared" si="25"/>
        <v>MVP</v>
      </c>
      <c r="T113" s="32" t="str">
        <f t="shared" si="26"/>
        <v>76.06</v>
      </c>
      <c r="U113" s="33"/>
      <c r="V113" s="31"/>
      <c r="W113" s="31"/>
    </row>
    <row r="114" ht="21.75" hidden="1" customHeight="1" outlineLevel="2">
      <c r="A114" s="20"/>
      <c r="B114" s="21" t="s">
        <v>267</v>
      </c>
      <c r="C114" s="22"/>
      <c r="D114" s="22" t="s">
        <v>45</v>
      </c>
      <c r="E114" s="24" t="s">
        <v>179</v>
      </c>
      <c r="F114" s="25" t="s">
        <v>34</v>
      </c>
      <c r="G114" s="24"/>
      <c r="H114" s="35">
        <v>45241.0</v>
      </c>
      <c r="I114" s="27"/>
      <c r="J114" s="28"/>
      <c r="K114" s="28"/>
      <c r="L114" s="17"/>
      <c r="M114" s="29"/>
      <c r="N114" s="29"/>
      <c r="O114" s="30"/>
      <c r="P114" s="30"/>
      <c r="Q114" s="29"/>
      <c r="R114" s="31"/>
      <c r="S114" s="31"/>
      <c r="T114" s="32"/>
      <c r="U114" s="33"/>
      <c r="V114" s="31"/>
      <c r="W114" s="31"/>
    </row>
    <row r="115" ht="21.75" hidden="1" customHeight="1" outlineLevel="2">
      <c r="A115" s="20"/>
      <c r="B115" s="21" t="s">
        <v>268</v>
      </c>
      <c r="C115" s="22"/>
      <c r="D115" s="22" t="s">
        <v>47</v>
      </c>
      <c r="E115" s="24" t="s">
        <v>179</v>
      </c>
      <c r="F115" s="25" t="s">
        <v>22</v>
      </c>
      <c r="G115" s="24"/>
      <c r="H115" s="35">
        <v>45242.0</v>
      </c>
      <c r="I115" s="27">
        <f>IFERROR(IF($E115="Done", 1, IF(OR($E115="Working on it", $E115="In Review", $E115="On Hold"), 0.5, IF($E115="Not Started", 0, ""))), 0)</f>
        <v>0</v>
      </c>
      <c r="J115" s="28"/>
      <c r="K115" s="28"/>
      <c r="L115" s="17"/>
      <c r="M115" s="29"/>
      <c r="N115" s="29"/>
      <c r="O115" s="30"/>
      <c r="P115" s="30"/>
      <c r="Q115" s="29"/>
      <c r="R115" s="31"/>
      <c r="S115" s="31" t="str">
        <f t="shared" ref="S115:S136" si="28">IFERROR(MID(B115, FIND("-", B115) + 1, 3), "")</f>
        <v>MVP</v>
      </c>
      <c r="T115" s="32" t="str">
        <f t="shared" ref="T115:T136" si="29">IFERROR(MID(B115, 8, LEN(B115)-7), "")
</f>
        <v>76.08</v>
      </c>
      <c r="U115" s="33"/>
      <c r="V115" s="31"/>
      <c r="W115" s="31"/>
    </row>
    <row r="116" ht="21.75" customHeight="1" outlineLevel="1" collapsed="1">
      <c r="A116" s="20"/>
      <c r="B116" s="21" t="s">
        <v>269</v>
      </c>
      <c r="C116" s="22" t="s">
        <v>270</v>
      </c>
      <c r="D116" s="23"/>
      <c r="E116" s="24" t="s">
        <v>78</v>
      </c>
      <c r="F116" s="25" t="s">
        <v>22</v>
      </c>
      <c r="G116" s="24" t="s">
        <v>89</v>
      </c>
      <c r="H116" s="26">
        <f>MAX(H117:H120)</f>
        <v>45243</v>
      </c>
      <c r="I116" s="27" t="str">
        <f>IFERROR(__xludf.DUMMYFUNCTION("SPARKLINE(SUM(I117:I120), {""charttype"", ""bar""; ""max"", J116; ""color1"", ""green""})"),"")</f>
        <v/>
      </c>
      <c r="J116" s="28">
        <f>COUNT(I117:I120)</f>
        <v>4</v>
      </c>
      <c r="K116" s="28" t="str">
        <f>IF(ISNUMBER(#REF!), #REF!, "")</f>
        <v/>
      </c>
      <c r="L116" s="17"/>
      <c r="M116" s="29">
        <f>MIN(M117:M120)</f>
        <v>0</v>
      </c>
      <c r="N116" s="29">
        <f>MAX(N117:N120)</f>
        <v>0</v>
      </c>
      <c r="O116" s="30"/>
      <c r="P116" s="30"/>
      <c r="Q116" s="29"/>
      <c r="R116" s="31">
        <f>SUM(R117:R120)</f>
        <v>0</v>
      </c>
      <c r="S116" s="31" t="str">
        <f t="shared" si="28"/>
        <v>MVP</v>
      </c>
      <c r="T116" s="32" t="str">
        <f t="shared" si="29"/>
        <v>94</v>
      </c>
      <c r="U116" s="33" t="str">
        <f>CONCATENATE(C116, " - ",E116)</f>
        <v>TrueNAS Setup Revamp - Blog</v>
      </c>
      <c r="V116" s="31"/>
      <c r="W116" s="31"/>
    </row>
    <row r="117" ht="21.75" hidden="1" customHeight="1" outlineLevel="2">
      <c r="A117" s="20"/>
      <c r="B117" s="21" t="s">
        <v>271</v>
      </c>
      <c r="C117" s="22"/>
      <c r="D117" s="22" t="s">
        <v>25</v>
      </c>
      <c r="E117" s="24" t="s">
        <v>179</v>
      </c>
      <c r="F117" s="25" t="s">
        <v>131</v>
      </c>
      <c r="G117" s="24"/>
      <c r="H117" s="35">
        <v>45240.0</v>
      </c>
      <c r="I117" s="27">
        <f t="shared" ref="I117:I120" si="30">IFERROR(IF($E117="Done", 1, IF(OR($E117="Working on it", $E117="In Review", $E117="On Hold"), 0.5, IF($E117="Not Started", 0, ""))), 0)</f>
        <v>0</v>
      </c>
      <c r="J117" s="28"/>
      <c r="K117" s="28"/>
      <c r="L117" s="17"/>
      <c r="M117" s="29"/>
      <c r="N117" s="29"/>
      <c r="O117" s="30"/>
      <c r="P117" s="30"/>
      <c r="Q117" s="29"/>
      <c r="R117" s="31"/>
      <c r="S117" s="31" t="str">
        <f t="shared" si="28"/>
        <v>MVP</v>
      </c>
      <c r="T117" s="32" t="str">
        <f t="shared" si="29"/>
        <v>94.01</v>
      </c>
      <c r="U117" s="33"/>
      <c r="V117" s="31"/>
      <c r="W117" s="31"/>
    </row>
    <row r="118" ht="21.75" hidden="1" customHeight="1" outlineLevel="2">
      <c r="A118" s="20"/>
      <c r="B118" s="21" t="s">
        <v>272</v>
      </c>
      <c r="C118" s="22"/>
      <c r="D118" s="22" t="s">
        <v>40</v>
      </c>
      <c r="E118" s="24" t="s">
        <v>179</v>
      </c>
      <c r="F118" s="25" t="s">
        <v>22</v>
      </c>
      <c r="G118" s="24"/>
      <c r="H118" s="35">
        <v>45241.0</v>
      </c>
      <c r="I118" s="27">
        <f t="shared" si="30"/>
        <v>0</v>
      </c>
      <c r="J118" s="28"/>
      <c r="K118" s="28"/>
      <c r="L118" s="17"/>
      <c r="M118" s="29"/>
      <c r="N118" s="29"/>
      <c r="O118" s="30"/>
      <c r="P118" s="30"/>
      <c r="Q118" s="29"/>
      <c r="R118" s="31"/>
      <c r="S118" s="31" t="str">
        <f t="shared" si="28"/>
        <v>MVP</v>
      </c>
      <c r="T118" s="32" t="str">
        <f t="shared" si="29"/>
        <v>94.02</v>
      </c>
      <c r="U118" s="33"/>
      <c r="V118" s="31"/>
      <c r="W118" s="31"/>
    </row>
    <row r="119" ht="21.75" hidden="1" customHeight="1" outlineLevel="2">
      <c r="A119" s="20"/>
      <c r="B119" s="21" t="s">
        <v>273</v>
      </c>
      <c r="C119" s="22"/>
      <c r="D119" s="22" t="s">
        <v>274</v>
      </c>
      <c r="E119" s="24" t="s">
        <v>179</v>
      </c>
      <c r="F119" s="25" t="s">
        <v>27</v>
      </c>
      <c r="G119" s="24"/>
      <c r="H119" s="35">
        <v>45242.0</v>
      </c>
      <c r="I119" s="27">
        <f t="shared" si="30"/>
        <v>0</v>
      </c>
      <c r="J119" s="28"/>
      <c r="K119" s="28"/>
      <c r="L119" s="17"/>
      <c r="M119" s="29"/>
      <c r="N119" s="29"/>
      <c r="O119" s="30"/>
      <c r="P119" s="30"/>
      <c r="Q119" s="29"/>
      <c r="R119" s="31"/>
      <c r="S119" s="31" t="str">
        <f t="shared" si="28"/>
        <v>MVP</v>
      </c>
      <c r="T119" s="32" t="str">
        <f t="shared" si="29"/>
        <v>94.03</v>
      </c>
      <c r="U119" s="33"/>
      <c r="V119" s="31"/>
      <c r="W119" s="31"/>
    </row>
    <row r="120" ht="21.75" hidden="1" customHeight="1" outlineLevel="2">
      <c r="A120" s="20"/>
      <c r="B120" s="21" t="s">
        <v>275</v>
      </c>
      <c r="C120" s="22"/>
      <c r="D120" s="22" t="s">
        <v>47</v>
      </c>
      <c r="E120" s="24" t="s">
        <v>179</v>
      </c>
      <c r="F120" s="25" t="s">
        <v>22</v>
      </c>
      <c r="G120" s="24"/>
      <c r="H120" s="35">
        <v>45243.0</v>
      </c>
      <c r="I120" s="27">
        <f t="shared" si="30"/>
        <v>0</v>
      </c>
      <c r="J120" s="28"/>
      <c r="K120" s="28"/>
      <c r="L120" s="17"/>
      <c r="M120" s="29"/>
      <c r="N120" s="29"/>
      <c r="O120" s="30"/>
      <c r="P120" s="30"/>
      <c r="Q120" s="29"/>
      <c r="R120" s="31"/>
      <c r="S120" s="31" t="str">
        <f t="shared" si="28"/>
        <v>MVP</v>
      </c>
      <c r="T120" s="32" t="str">
        <f t="shared" si="29"/>
        <v>94.04</v>
      </c>
      <c r="U120" s="33"/>
      <c r="V120" s="31"/>
      <c r="W120" s="31"/>
    </row>
    <row r="121" ht="21.75" customHeight="1" outlineLevel="1" collapsed="1">
      <c r="A121" s="20"/>
      <c r="B121" s="21" t="s">
        <v>276</v>
      </c>
      <c r="C121" s="22" t="s">
        <v>277</v>
      </c>
      <c r="D121" s="23"/>
      <c r="E121" s="24" t="s">
        <v>97</v>
      </c>
      <c r="F121" s="25" t="s">
        <v>22</v>
      </c>
      <c r="G121" s="24" t="s">
        <v>89</v>
      </c>
      <c r="H121" s="26">
        <f>MAX(H122:H124)</f>
        <v>45243</v>
      </c>
      <c r="I121" s="27" t="str">
        <f>IFERROR(__xludf.DUMMYFUNCTION("SPARKLINE(SUM(I122:I124), {""charttype"", ""bar""; ""max"", J121; ""color1"", ""green""})"),"")</f>
        <v/>
      </c>
      <c r="J121" s="28">
        <f>COUNT(I122:I124)</f>
        <v>3</v>
      </c>
      <c r="K121" s="28" t="str">
        <f>IF(ISNUMBER(B85), K85, "")</f>
        <v/>
      </c>
      <c r="L121" s="17"/>
      <c r="M121" s="29">
        <f>MIN(M122:M124)</f>
        <v>0</v>
      </c>
      <c r="N121" s="29">
        <f>MAX(N122:N124)</f>
        <v>0</v>
      </c>
      <c r="O121" s="30"/>
      <c r="P121" s="30"/>
      <c r="Q121" s="29"/>
      <c r="R121" s="31">
        <f>SUM(R122:R124)</f>
        <v>0</v>
      </c>
      <c r="S121" s="31" t="str">
        <f t="shared" si="28"/>
        <v>MVP</v>
      </c>
      <c r="T121" s="32" t="str">
        <f t="shared" si="29"/>
        <v>102</v>
      </c>
      <c r="U121" s="33" t="str">
        <f>CONCATENATE(C121, " - ",E121)</f>
        <v>Custom PC for VFX Worflow - Linkedin</v>
      </c>
      <c r="V121" s="31"/>
      <c r="W121" s="31"/>
    </row>
    <row r="122" ht="21.75" hidden="1" customHeight="1" outlineLevel="2">
      <c r="A122" s="20"/>
      <c r="B122" s="21" t="s">
        <v>278</v>
      </c>
      <c r="C122" s="22"/>
      <c r="D122" s="22" t="s">
        <v>40</v>
      </c>
      <c r="E122" s="24" t="s">
        <v>179</v>
      </c>
      <c r="F122" s="25" t="s">
        <v>22</v>
      </c>
      <c r="G122" s="34" t="s">
        <v>279</v>
      </c>
      <c r="H122" s="35">
        <v>45241.0</v>
      </c>
      <c r="I122" s="27">
        <f t="shared" ref="I122:I124" si="31">IFERROR(IF($E122="Done", 1, IF(OR($E122="Working on it", $E122="In Review", $E122="On Hold"), 0.5, IF($E122="Not Started", 0, ""))), 0)</f>
        <v>0</v>
      </c>
      <c r="J122" s="28"/>
      <c r="K122" s="28"/>
      <c r="L122" s="17"/>
      <c r="M122" s="29"/>
      <c r="N122" s="29"/>
      <c r="O122" s="30"/>
      <c r="P122" s="30"/>
      <c r="Q122" s="29"/>
      <c r="R122" s="31"/>
      <c r="S122" s="31" t="str">
        <f t="shared" si="28"/>
        <v>MVP</v>
      </c>
      <c r="T122" s="32" t="str">
        <f t="shared" si="29"/>
        <v>102.02</v>
      </c>
      <c r="U122" s="33"/>
      <c r="V122" s="31"/>
      <c r="W122" s="31"/>
    </row>
    <row r="123" ht="21.75" hidden="1" customHeight="1" outlineLevel="2">
      <c r="A123" s="20"/>
      <c r="B123" s="21" t="s">
        <v>280</v>
      </c>
      <c r="C123" s="22"/>
      <c r="D123" s="22" t="s">
        <v>274</v>
      </c>
      <c r="E123" s="24" t="s">
        <v>179</v>
      </c>
      <c r="F123" s="25" t="s">
        <v>22</v>
      </c>
      <c r="G123" s="24"/>
      <c r="H123" s="35">
        <v>45242.0</v>
      </c>
      <c r="I123" s="27">
        <f t="shared" si="31"/>
        <v>0</v>
      </c>
      <c r="J123" s="28"/>
      <c r="K123" s="28"/>
      <c r="L123" s="17"/>
      <c r="M123" s="29"/>
      <c r="N123" s="29"/>
      <c r="O123" s="30"/>
      <c r="P123" s="30"/>
      <c r="Q123" s="29"/>
      <c r="R123" s="31"/>
      <c r="S123" s="31" t="str">
        <f t="shared" si="28"/>
        <v>MVP</v>
      </c>
      <c r="T123" s="32" t="str">
        <f t="shared" si="29"/>
        <v>102.03</v>
      </c>
      <c r="U123" s="33"/>
      <c r="V123" s="31"/>
      <c r="W123" s="31"/>
    </row>
    <row r="124" ht="21.75" hidden="1" customHeight="1" outlineLevel="2">
      <c r="A124" s="20"/>
      <c r="B124" s="21" t="s">
        <v>281</v>
      </c>
      <c r="C124" s="22"/>
      <c r="D124" s="22" t="s">
        <v>47</v>
      </c>
      <c r="E124" s="24" t="s">
        <v>179</v>
      </c>
      <c r="F124" s="25" t="s">
        <v>22</v>
      </c>
      <c r="G124" s="24"/>
      <c r="H124" s="35">
        <v>45243.0</v>
      </c>
      <c r="I124" s="27">
        <f t="shared" si="31"/>
        <v>0</v>
      </c>
      <c r="J124" s="28"/>
      <c r="K124" s="28"/>
      <c r="L124" s="17"/>
      <c r="M124" s="29"/>
      <c r="N124" s="29"/>
      <c r="O124" s="30"/>
      <c r="P124" s="30"/>
      <c r="Q124" s="29"/>
      <c r="R124" s="31"/>
      <c r="S124" s="31" t="str">
        <f t="shared" si="28"/>
        <v>MVP</v>
      </c>
      <c r="T124" s="32" t="str">
        <f t="shared" si="29"/>
        <v>102.04</v>
      </c>
      <c r="U124" s="33"/>
      <c r="V124" s="31"/>
      <c r="W124" s="31"/>
    </row>
    <row r="125" ht="21.75" customHeight="1" outlineLevel="1" collapsed="1">
      <c r="A125" s="20"/>
      <c r="B125" s="21" t="s">
        <v>282</v>
      </c>
      <c r="C125" s="22" t="s">
        <v>283</v>
      </c>
      <c r="D125" s="23"/>
      <c r="E125" s="24" t="s">
        <v>21</v>
      </c>
      <c r="F125" s="25" t="s">
        <v>22</v>
      </c>
      <c r="G125" s="24" t="s">
        <v>79</v>
      </c>
      <c r="H125" s="26">
        <f>MAX(H126:H132)</f>
        <v>45243</v>
      </c>
      <c r="I125" s="27" t="str">
        <f>IFERROR(__xludf.DUMMYFUNCTION("SPARKLINE(SUM(I126:I132), {""charttype"", ""bar""; ""max"", J125; ""color1"", ""green""})"),"")</f>
        <v/>
      </c>
      <c r="J125" s="28">
        <f>COUNT(I126:I132)</f>
        <v>7</v>
      </c>
      <c r="K125" s="28" t="str">
        <f>IF(ISNUMBER(B380), K380, "")</f>
        <v/>
      </c>
      <c r="L125" s="17"/>
      <c r="M125" s="29">
        <f>MIN(M126:M132)</f>
        <v>0</v>
      </c>
      <c r="N125" s="29">
        <f>MAX(N126:N132)</f>
        <v>0</v>
      </c>
      <c r="O125" s="30"/>
      <c r="P125" s="30"/>
      <c r="Q125" s="29"/>
      <c r="R125" s="31">
        <f>SUM(R126:R132)</f>
        <v>0</v>
      </c>
      <c r="S125" s="31" t="str">
        <f t="shared" si="28"/>
        <v>MVP</v>
      </c>
      <c r="T125" s="32" t="str">
        <f t="shared" si="29"/>
        <v>82</v>
      </c>
      <c r="U125" s="33" t="str">
        <f>CONCATENATE(C125, " - ",E125)</f>
        <v>G613 Keyboard - Logi Offer - Shorts</v>
      </c>
      <c r="V125" s="31"/>
      <c r="W125" s="31"/>
    </row>
    <row r="126" ht="21.75" hidden="1" customHeight="1" outlineLevel="2">
      <c r="A126" s="20"/>
      <c r="B126" s="21" t="s">
        <v>284</v>
      </c>
      <c r="C126" s="22"/>
      <c r="D126" s="22" t="s">
        <v>25</v>
      </c>
      <c r="E126" s="24" t="s">
        <v>179</v>
      </c>
      <c r="F126" s="25"/>
      <c r="G126" s="24"/>
      <c r="H126" s="35">
        <v>45237.0</v>
      </c>
      <c r="I126" s="27">
        <f t="shared" ref="I126:I132" si="32">IFERROR(IF($E126="Done", 1, IF(OR($E126="Working on it", $E126="In Review", $E126="On Hold"), 0.5, IF($E126="Not Started", 0, ""))), 0)</f>
        <v>0</v>
      </c>
      <c r="J126" s="28"/>
      <c r="K126" s="28"/>
      <c r="L126" s="17"/>
      <c r="M126" s="29"/>
      <c r="N126" s="29"/>
      <c r="O126" s="30"/>
      <c r="P126" s="30"/>
      <c r="Q126" s="29"/>
      <c r="R126" s="31"/>
      <c r="S126" s="31" t="str">
        <f t="shared" si="28"/>
        <v>MVP</v>
      </c>
      <c r="T126" s="32" t="str">
        <f t="shared" si="29"/>
        <v>82.01</v>
      </c>
      <c r="U126" s="33"/>
      <c r="V126" s="31"/>
      <c r="W126" s="31"/>
    </row>
    <row r="127" ht="21.75" hidden="1" customHeight="1" outlineLevel="2">
      <c r="A127" s="20"/>
      <c r="B127" s="21" t="s">
        <v>285</v>
      </c>
      <c r="C127" s="22"/>
      <c r="D127" s="22" t="s">
        <v>33</v>
      </c>
      <c r="E127" s="24" t="s">
        <v>179</v>
      </c>
      <c r="F127" s="25"/>
      <c r="G127" s="24"/>
      <c r="H127" s="35">
        <v>45238.0</v>
      </c>
      <c r="I127" s="27">
        <f t="shared" si="32"/>
        <v>0</v>
      </c>
      <c r="J127" s="28"/>
      <c r="K127" s="28"/>
      <c r="L127" s="17"/>
      <c r="M127" s="29"/>
      <c r="N127" s="29"/>
      <c r="O127" s="30"/>
      <c r="P127" s="30"/>
      <c r="Q127" s="29"/>
      <c r="R127" s="31"/>
      <c r="S127" s="31" t="str">
        <f t="shared" si="28"/>
        <v>MVP</v>
      </c>
      <c r="T127" s="32" t="str">
        <f t="shared" si="29"/>
        <v>82.02</v>
      </c>
      <c r="U127" s="33"/>
      <c r="V127" s="31"/>
      <c r="W127" s="31"/>
    </row>
    <row r="128" ht="21.75" hidden="1" customHeight="1" outlineLevel="2">
      <c r="A128" s="20"/>
      <c r="B128" s="21" t="s">
        <v>286</v>
      </c>
      <c r="C128" s="22"/>
      <c r="D128" s="22" t="s">
        <v>121</v>
      </c>
      <c r="E128" s="24" t="s">
        <v>179</v>
      </c>
      <c r="F128" s="25"/>
      <c r="G128" s="24"/>
      <c r="H128" s="35">
        <v>45239.0</v>
      </c>
      <c r="I128" s="27">
        <f t="shared" si="32"/>
        <v>0</v>
      </c>
      <c r="J128" s="28"/>
      <c r="K128" s="28"/>
      <c r="L128" s="17"/>
      <c r="M128" s="29"/>
      <c r="N128" s="29"/>
      <c r="O128" s="30"/>
      <c r="P128" s="30"/>
      <c r="Q128" s="29"/>
      <c r="R128" s="31"/>
      <c r="S128" s="31" t="str">
        <f t="shared" si="28"/>
        <v>MVP</v>
      </c>
      <c r="T128" s="32" t="str">
        <f t="shared" si="29"/>
        <v>82.03</v>
      </c>
      <c r="U128" s="33"/>
      <c r="V128" s="31"/>
      <c r="W128" s="31"/>
    </row>
    <row r="129" ht="21.75" hidden="1" customHeight="1" outlineLevel="2">
      <c r="A129" s="20"/>
      <c r="B129" s="21" t="s">
        <v>287</v>
      </c>
      <c r="C129" s="22"/>
      <c r="D129" s="22" t="s">
        <v>38</v>
      </c>
      <c r="E129" s="24" t="s">
        <v>179</v>
      </c>
      <c r="F129" s="25"/>
      <c r="G129" s="24"/>
      <c r="H129" s="35">
        <v>45240.0</v>
      </c>
      <c r="I129" s="27">
        <f t="shared" si="32"/>
        <v>0</v>
      </c>
      <c r="J129" s="28"/>
      <c r="K129" s="28"/>
      <c r="L129" s="17"/>
      <c r="M129" s="29"/>
      <c r="N129" s="29"/>
      <c r="O129" s="30"/>
      <c r="P129" s="30"/>
      <c r="Q129" s="29"/>
      <c r="R129" s="31"/>
      <c r="S129" s="31" t="str">
        <f t="shared" si="28"/>
        <v>MVP</v>
      </c>
      <c r="T129" s="32" t="str">
        <f t="shared" si="29"/>
        <v>82.04</v>
      </c>
      <c r="U129" s="33"/>
      <c r="V129" s="31"/>
      <c r="W129" s="31"/>
    </row>
    <row r="130" ht="21.75" hidden="1" customHeight="1" outlineLevel="2">
      <c r="A130" s="20"/>
      <c r="B130" s="21" t="s">
        <v>288</v>
      </c>
      <c r="C130" s="22"/>
      <c r="D130" s="22" t="s">
        <v>40</v>
      </c>
      <c r="E130" s="24" t="s">
        <v>179</v>
      </c>
      <c r="F130" s="25"/>
      <c r="G130" s="24"/>
      <c r="H130" s="35">
        <v>45241.0</v>
      </c>
      <c r="I130" s="27">
        <f t="shared" si="32"/>
        <v>0</v>
      </c>
      <c r="J130" s="28"/>
      <c r="K130" s="28"/>
      <c r="L130" s="17"/>
      <c r="M130" s="29"/>
      <c r="N130" s="29"/>
      <c r="O130" s="30"/>
      <c r="P130" s="30"/>
      <c r="Q130" s="29"/>
      <c r="R130" s="31"/>
      <c r="S130" s="31" t="str">
        <f t="shared" si="28"/>
        <v>MVP</v>
      </c>
      <c r="T130" s="32" t="str">
        <f t="shared" si="29"/>
        <v>82.05</v>
      </c>
      <c r="U130" s="33"/>
      <c r="V130" s="31"/>
      <c r="W130" s="31"/>
    </row>
    <row r="131" ht="21.75" hidden="1" customHeight="1" outlineLevel="2">
      <c r="A131" s="20"/>
      <c r="B131" s="21" t="s">
        <v>289</v>
      </c>
      <c r="C131" s="22"/>
      <c r="D131" s="22" t="s">
        <v>45</v>
      </c>
      <c r="E131" s="24" t="s">
        <v>179</v>
      </c>
      <c r="F131" s="25"/>
      <c r="G131" s="24"/>
      <c r="H131" s="35">
        <v>45242.0</v>
      </c>
      <c r="I131" s="27">
        <f t="shared" si="32"/>
        <v>0</v>
      </c>
      <c r="J131" s="28"/>
      <c r="K131" s="28"/>
      <c r="L131" s="17"/>
      <c r="M131" s="29"/>
      <c r="N131" s="29"/>
      <c r="O131" s="30"/>
      <c r="P131" s="30"/>
      <c r="Q131" s="29"/>
      <c r="R131" s="31"/>
      <c r="S131" s="31" t="str">
        <f t="shared" si="28"/>
        <v>MVP</v>
      </c>
      <c r="T131" s="32" t="str">
        <f t="shared" si="29"/>
        <v>82.06</v>
      </c>
      <c r="U131" s="33"/>
      <c r="V131" s="31"/>
      <c r="W131" s="31"/>
    </row>
    <row r="132" ht="21.75" hidden="1" customHeight="1" outlineLevel="2">
      <c r="A132" s="20"/>
      <c r="B132" s="21" t="s">
        <v>290</v>
      </c>
      <c r="C132" s="22"/>
      <c r="D132" s="22" t="s">
        <v>47</v>
      </c>
      <c r="E132" s="24" t="s">
        <v>179</v>
      </c>
      <c r="F132" s="25"/>
      <c r="G132" s="24"/>
      <c r="H132" s="35">
        <v>45243.0</v>
      </c>
      <c r="I132" s="27">
        <f t="shared" si="32"/>
        <v>0</v>
      </c>
      <c r="J132" s="28"/>
      <c r="K132" s="28"/>
      <c r="L132" s="17"/>
      <c r="M132" s="29"/>
      <c r="N132" s="29"/>
      <c r="O132" s="30"/>
      <c r="P132" s="30"/>
      <c r="Q132" s="29"/>
      <c r="R132" s="31"/>
      <c r="S132" s="31" t="str">
        <f t="shared" si="28"/>
        <v>MVP</v>
      </c>
      <c r="T132" s="32" t="str">
        <f t="shared" si="29"/>
        <v>82.07</v>
      </c>
      <c r="U132" s="33"/>
      <c r="V132" s="31"/>
      <c r="W132" s="31"/>
    </row>
    <row r="133" ht="21.75" customHeight="1" outlineLevel="1" collapsed="1">
      <c r="A133" s="20"/>
      <c r="B133" s="21" t="s">
        <v>291</v>
      </c>
      <c r="C133" s="22" t="s">
        <v>292</v>
      </c>
      <c r="D133" s="23"/>
      <c r="E133" s="24" t="s">
        <v>62</v>
      </c>
      <c r="F133" s="25" t="s">
        <v>22</v>
      </c>
      <c r="G133" s="24" t="s">
        <v>63</v>
      </c>
      <c r="H133" s="26">
        <f>MAX(H134:H140)</f>
        <v>45244</v>
      </c>
      <c r="I133" s="27" t="str">
        <f>IFERROR(__xludf.DUMMYFUNCTION("SPARKLINE(SUM(I134:I140), {""charttype"", ""bar""; ""max"", J133; ""color1"", ""green""})"),"")</f>
        <v/>
      </c>
      <c r="J133" s="28">
        <f>COUNT(I134:I140)</f>
        <v>6</v>
      </c>
      <c r="K133" s="28" t="str">
        <f>IF(ISNUMBER(#REF!), #REF!, "")</f>
        <v/>
      </c>
      <c r="L133" s="17"/>
      <c r="M133" s="29">
        <f>MIN(M134:M140)</f>
        <v>45189.60955</v>
      </c>
      <c r="N133" s="29">
        <f>MAX(N134:N140)</f>
        <v>45240.75182</v>
      </c>
      <c r="O133" s="30"/>
      <c r="P133" s="30"/>
      <c r="Q133" s="29"/>
      <c r="R133" s="31">
        <f>SUM(R134:R140)</f>
        <v>0.225</v>
      </c>
      <c r="S133" s="31" t="str">
        <f t="shared" si="28"/>
        <v>MVP</v>
      </c>
      <c r="T133" s="32" t="str">
        <f t="shared" si="29"/>
        <v>24</v>
      </c>
      <c r="U133" s="33" t="str">
        <f>CONCATENATE(C133, " - ",E133)</f>
        <v>AMD vs Intel - with GPUs - YT Video</v>
      </c>
      <c r="V133" s="31"/>
      <c r="W133" s="31"/>
    </row>
    <row r="134" ht="21.75" hidden="1" customHeight="1" outlineLevel="2">
      <c r="A134" s="20"/>
      <c r="B134" s="21" t="s">
        <v>293</v>
      </c>
      <c r="C134" s="22"/>
      <c r="D134" s="22" t="s">
        <v>25</v>
      </c>
      <c r="E134" s="24" t="s">
        <v>26</v>
      </c>
      <c r="F134" s="25" t="s">
        <v>22</v>
      </c>
      <c r="G134" s="34" t="s">
        <v>294</v>
      </c>
      <c r="H134" s="35">
        <v>45194.0</v>
      </c>
      <c r="I134" s="27">
        <f t="shared" ref="I134:I136" si="33">IFERROR(IF($E134="Done", 1, IF(OR($E134="Working on it", $E134="In Review", $E134="On Hold"), 0.5, IF($E134="Not Started", 0, ""))), 0)</f>
        <v>1</v>
      </c>
      <c r="J134" s="28"/>
      <c r="K134" s="28"/>
      <c r="L134" s="17"/>
      <c r="M134" s="29">
        <v>45189.60954943287</v>
      </c>
      <c r="N134" s="29">
        <v>45195.3049630787</v>
      </c>
      <c r="O134" s="36" t="s">
        <v>295</v>
      </c>
      <c r="P134" s="36" t="s">
        <v>296</v>
      </c>
      <c r="Q134" s="37" t="s">
        <v>31</v>
      </c>
      <c r="R134" s="31">
        <v>0.13958333333333334</v>
      </c>
      <c r="S134" s="31" t="str">
        <f t="shared" si="28"/>
        <v>MVP</v>
      </c>
      <c r="T134" s="32" t="str">
        <f t="shared" si="29"/>
        <v>24.01</v>
      </c>
      <c r="U134" s="33"/>
      <c r="V134" s="31"/>
      <c r="W134" s="31"/>
    </row>
    <row r="135" ht="21.75" hidden="1" customHeight="1" outlineLevel="2">
      <c r="A135" s="20"/>
      <c r="B135" s="21" t="s">
        <v>297</v>
      </c>
      <c r="C135" s="22"/>
      <c r="D135" s="22" t="s">
        <v>33</v>
      </c>
      <c r="E135" s="24" t="s">
        <v>26</v>
      </c>
      <c r="F135" s="25" t="s">
        <v>41</v>
      </c>
      <c r="G135" s="24"/>
      <c r="H135" s="35">
        <v>45200.0</v>
      </c>
      <c r="I135" s="27">
        <f t="shared" si="33"/>
        <v>1</v>
      </c>
      <c r="J135" s="28"/>
      <c r="K135" s="28"/>
      <c r="L135" s="17"/>
      <c r="M135" s="29">
        <v>45216.650370347226</v>
      </c>
      <c r="N135" s="29">
        <v>45216.72575471065</v>
      </c>
      <c r="O135" s="36" t="s">
        <v>298</v>
      </c>
      <c r="P135" s="36" t="s">
        <v>299</v>
      </c>
      <c r="Q135" s="37" t="s">
        <v>31</v>
      </c>
      <c r="R135" s="31">
        <v>0.022916666666666665</v>
      </c>
      <c r="S135" s="31" t="str">
        <f t="shared" si="28"/>
        <v>MVP</v>
      </c>
      <c r="T135" s="32" t="str">
        <f t="shared" si="29"/>
        <v>24.02</v>
      </c>
      <c r="U135" s="33"/>
      <c r="V135" s="31"/>
      <c r="W135" s="31"/>
    </row>
    <row r="136" ht="21.75" hidden="1" customHeight="1" outlineLevel="2">
      <c r="A136" s="20"/>
      <c r="B136" s="21" t="s">
        <v>300</v>
      </c>
      <c r="C136" s="22"/>
      <c r="D136" s="22" t="s">
        <v>301</v>
      </c>
      <c r="E136" s="24" t="s">
        <v>26</v>
      </c>
      <c r="F136" s="25" t="s">
        <v>22</v>
      </c>
      <c r="G136" s="24"/>
      <c r="H136" s="35">
        <v>45232.0</v>
      </c>
      <c r="I136" s="27">
        <f t="shared" si="33"/>
        <v>1</v>
      </c>
      <c r="J136" s="28"/>
      <c r="K136" s="28"/>
      <c r="L136" s="17"/>
      <c r="M136" s="29"/>
      <c r="N136" s="29"/>
      <c r="O136" s="29"/>
      <c r="P136" s="29"/>
      <c r="Q136" s="29"/>
      <c r="R136" s="31"/>
      <c r="S136" s="31" t="str">
        <f t="shared" si="28"/>
        <v>MVP</v>
      </c>
      <c r="T136" s="32" t="str">
        <f t="shared" si="29"/>
        <v>24.03</v>
      </c>
      <c r="U136" s="33"/>
      <c r="V136" s="31"/>
      <c r="W136" s="31"/>
    </row>
    <row r="137" ht="21.75" hidden="1" customHeight="1" outlineLevel="2">
      <c r="A137" s="20"/>
      <c r="B137" s="21" t="s">
        <v>302</v>
      </c>
      <c r="C137" s="22"/>
      <c r="D137" s="22" t="s">
        <v>303</v>
      </c>
      <c r="E137" s="24" t="s">
        <v>26</v>
      </c>
      <c r="F137" s="25" t="s">
        <v>41</v>
      </c>
      <c r="G137" s="24"/>
      <c r="H137" s="35">
        <v>45240.0</v>
      </c>
      <c r="I137" s="27"/>
      <c r="J137" s="28"/>
      <c r="K137" s="28"/>
      <c r="L137" s="17"/>
      <c r="M137" s="29">
        <v>45236.602264456014</v>
      </c>
      <c r="N137" s="29">
        <v>45240.75182385417</v>
      </c>
      <c r="O137" s="37" t="s">
        <v>304</v>
      </c>
      <c r="P137" s="37" t="s">
        <v>305</v>
      </c>
      <c r="Q137" s="37" t="s">
        <v>31</v>
      </c>
      <c r="R137" s="59">
        <v>0.0625</v>
      </c>
      <c r="S137" s="31"/>
      <c r="T137" s="32"/>
      <c r="U137" s="33"/>
      <c r="V137" s="31"/>
      <c r="W137" s="31"/>
    </row>
    <row r="138" ht="21.75" hidden="1" customHeight="1" outlineLevel="2">
      <c r="A138" s="20"/>
      <c r="B138" s="21" t="s">
        <v>306</v>
      </c>
      <c r="C138" s="22"/>
      <c r="D138" s="22" t="s">
        <v>40</v>
      </c>
      <c r="E138" s="24" t="s">
        <v>307</v>
      </c>
      <c r="F138" s="25" t="s">
        <v>71</v>
      </c>
      <c r="G138" s="24"/>
      <c r="H138" s="35">
        <v>45240.0</v>
      </c>
      <c r="I138" s="27">
        <f t="shared" ref="I138:I140" si="34">IFERROR(IF($E138="Done", 1, IF(OR($E138="Working on it", $E138="In Review", $E138="On Hold"), 0.5, IF($E138="Not Started", 0, ""))), 0)</f>
        <v>0.5</v>
      </c>
      <c r="J138" s="28"/>
      <c r="K138" s="28"/>
      <c r="L138" s="17"/>
      <c r="M138" s="60">
        <v>45240.436337141204</v>
      </c>
      <c r="N138" s="60"/>
      <c r="O138" s="61" t="s">
        <v>308</v>
      </c>
      <c r="P138" s="60"/>
      <c r="Q138" s="61" t="s">
        <v>309</v>
      </c>
      <c r="R138" s="59"/>
      <c r="S138" s="31" t="str">
        <f t="shared" ref="S138:S221" si="35">IFERROR(MID(B138, FIND("-", B138) + 1, 3), "")</f>
        <v>MVP</v>
      </c>
      <c r="T138" s="32" t="str">
        <f t="shared" ref="T138:T221" si="36">IFERROR(MID(B138, 8, LEN(B138)-7), "")
</f>
        <v>24.05</v>
      </c>
      <c r="U138" s="33"/>
      <c r="V138" s="31"/>
      <c r="W138" s="31"/>
    </row>
    <row r="139" ht="21.75" hidden="1" customHeight="1" outlineLevel="2">
      <c r="A139" s="20"/>
      <c r="B139" s="21" t="s">
        <v>310</v>
      </c>
      <c r="C139" s="22"/>
      <c r="D139" s="22" t="s">
        <v>45</v>
      </c>
      <c r="E139" s="24" t="s">
        <v>179</v>
      </c>
      <c r="F139" s="25" t="s">
        <v>41</v>
      </c>
      <c r="G139" s="24"/>
      <c r="H139" s="35">
        <v>45243.0</v>
      </c>
      <c r="I139" s="27">
        <f t="shared" si="34"/>
        <v>0</v>
      </c>
      <c r="J139" s="28"/>
      <c r="K139" s="28"/>
      <c r="L139" s="17"/>
      <c r="M139" s="29"/>
      <c r="N139" s="29"/>
      <c r="O139" s="30"/>
      <c r="P139" s="30"/>
      <c r="Q139" s="29"/>
      <c r="R139" s="31"/>
      <c r="S139" s="31" t="str">
        <f t="shared" si="35"/>
        <v>MVP</v>
      </c>
      <c r="T139" s="32" t="str">
        <f t="shared" si="36"/>
        <v>24.06</v>
      </c>
      <c r="U139" s="33"/>
      <c r="V139" s="31"/>
      <c r="W139" s="31"/>
    </row>
    <row r="140" ht="21.75" hidden="1" customHeight="1" outlineLevel="2">
      <c r="A140" s="20"/>
      <c r="B140" s="21" t="s">
        <v>311</v>
      </c>
      <c r="C140" s="22"/>
      <c r="D140" s="22" t="s">
        <v>47</v>
      </c>
      <c r="E140" s="24" t="s">
        <v>179</v>
      </c>
      <c r="F140" s="25" t="s">
        <v>27</v>
      </c>
      <c r="G140" s="24"/>
      <c r="H140" s="35">
        <v>45244.0</v>
      </c>
      <c r="I140" s="27">
        <f t="shared" si="34"/>
        <v>0</v>
      </c>
      <c r="J140" s="28"/>
      <c r="K140" s="28"/>
      <c r="L140" s="17"/>
      <c r="M140" s="29"/>
      <c r="N140" s="29"/>
      <c r="O140" s="30"/>
      <c r="P140" s="30"/>
      <c r="Q140" s="29"/>
      <c r="R140" s="31"/>
      <c r="S140" s="31" t="str">
        <f t="shared" si="35"/>
        <v>MVP</v>
      </c>
      <c r="T140" s="32" t="str">
        <f t="shared" si="36"/>
        <v>24.07</v>
      </c>
      <c r="U140" s="33"/>
      <c r="V140" s="31"/>
      <c r="W140" s="31"/>
    </row>
    <row r="141" ht="21.75" customHeight="1" outlineLevel="1" collapsed="1">
      <c r="A141" s="20"/>
      <c r="B141" s="21" t="s">
        <v>312</v>
      </c>
      <c r="C141" s="22" t="s">
        <v>313</v>
      </c>
      <c r="D141" s="23"/>
      <c r="E141" s="24" t="s">
        <v>51</v>
      </c>
      <c r="F141" s="25" t="s">
        <v>22</v>
      </c>
      <c r="G141" s="24" t="s">
        <v>89</v>
      </c>
      <c r="H141" s="26">
        <f>MAX(H142:H145)</f>
        <v>45244</v>
      </c>
      <c r="I141" s="27" t="str">
        <f>IFERROR(__xludf.DUMMYFUNCTION("SPARKLINE(SUM(I142:I145), {""charttype"", ""bar""; ""max"", J141; ""color1"", ""green""})"),"")</f>
        <v/>
      </c>
      <c r="J141" s="28">
        <f>COUNT(I142:I145)</f>
        <v>4</v>
      </c>
      <c r="K141" s="28" t="str">
        <f>IF(ISNUMBER(B308), K308, "")</f>
        <v/>
      </c>
      <c r="L141" s="17"/>
      <c r="M141" s="29">
        <f>MIN(M142:M145)</f>
        <v>45236.44387</v>
      </c>
      <c r="N141" s="29">
        <f>MAX(N142:N145)</f>
        <v>45236.52503</v>
      </c>
      <c r="O141" s="30"/>
      <c r="P141" s="30"/>
      <c r="Q141" s="29"/>
      <c r="R141" s="31">
        <f>SUM(R142:R145)</f>
        <v>0.006944444444</v>
      </c>
      <c r="S141" s="31" t="str">
        <f t="shared" si="35"/>
        <v>MVP</v>
      </c>
      <c r="T141" s="32" t="str">
        <f t="shared" si="36"/>
        <v>91</v>
      </c>
      <c r="U141" s="33" t="str">
        <f>CONCATENATE(C141, " - ",E141)</f>
        <v>Build Photo - 2x 4090 - Insta</v>
      </c>
      <c r="V141" s="31"/>
      <c r="W141" s="31"/>
    </row>
    <row r="142" ht="21.75" hidden="1" customHeight="1" outlineLevel="2">
      <c r="A142" s="20"/>
      <c r="B142" s="21" t="s">
        <v>314</v>
      </c>
      <c r="C142" s="22"/>
      <c r="D142" s="22" t="s">
        <v>25</v>
      </c>
      <c r="E142" s="24" t="s">
        <v>179</v>
      </c>
      <c r="F142" s="25" t="s">
        <v>41</v>
      </c>
      <c r="G142" s="45"/>
      <c r="H142" s="35">
        <v>45244.0</v>
      </c>
      <c r="I142" s="27">
        <f t="shared" ref="I142:I145" si="37">IFERROR(IF($E142="Done", 1, IF(OR($E142="Working on it", $E142="In Review", $E142="On Hold"), 0.5, IF($E142="Not Started", 0, ""))), 0)</f>
        <v>0</v>
      </c>
      <c r="J142" s="28"/>
      <c r="K142" s="28"/>
      <c r="L142" s="17"/>
      <c r="M142" s="29"/>
      <c r="N142" s="29"/>
      <c r="O142" s="30"/>
      <c r="P142" s="30"/>
      <c r="Q142" s="29"/>
      <c r="R142" s="31"/>
      <c r="S142" s="31" t="str">
        <f t="shared" si="35"/>
        <v>MVP</v>
      </c>
      <c r="T142" s="32" t="str">
        <f t="shared" si="36"/>
        <v>91.01</v>
      </c>
      <c r="U142" s="33"/>
      <c r="V142" s="31"/>
      <c r="W142" s="31"/>
    </row>
    <row r="143" ht="21.75" hidden="1" customHeight="1" outlineLevel="2">
      <c r="A143" s="20"/>
      <c r="B143" s="21" t="s">
        <v>315</v>
      </c>
      <c r="C143" s="22"/>
      <c r="D143" s="22" t="s">
        <v>33</v>
      </c>
      <c r="E143" s="24" t="s">
        <v>26</v>
      </c>
      <c r="F143" s="25" t="s">
        <v>34</v>
      </c>
      <c r="G143" s="24"/>
      <c r="H143" s="35">
        <v>45234.0</v>
      </c>
      <c r="I143" s="27">
        <f t="shared" si="37"/>
        <v>1</v>
      </c>
      <c r="J143" s="28"/>
      <c r="K143" s="28"/>
      <c r="L143" s="17"/>
      <c r="M143" s="29">
        <v>45236.44386716435</v>
      </c>
      <c r="N143" s="29">
        <v>45236.52503237269</v>
      </c>
      <c r="O143" s="36" t="s">
        <v>316</v>
      </c>
      <c r="P143" s="36" t="s">
        <v>317</v>
      </c>
      <c r="Q143" s="37" t="s">
        <v>31</v>
      </c>
      <c r="R143" s="31">
        <v>0.006944444444444444</v>
      </c>
      <c r="S143" s="31" t="str">
        <f t="shared" si="35"/>
        <v>MVP</v>
      </c>
      <c r="T143" s="32" t="str">
        <f t="shared" si="36"/>
        <v>91.02</v>
      </c>
      <c r="U143" s="33"/>
      <c r="V143" s="31"/>
      <c r="W143" s="31"/>
    </row>
    <row r="144" ht="21.75" hidden="1" customHeight="1" outlineLevel="2">
      <c r="A144" s="20"/>
      <c r="B144" s="21" t="s">
        <v>318</v>
      </c>
      <c r="C144" s="22"/>
      <c r="D144" s="22" t="s">
        <v>40</v>
      </c>
      <c r="E144" s="24" t="s">
        <v>179</v>
      </c>
      <c r="F144" s="25" t="s">
        <v>41</v>
      </c>
      <c r="G144" s="24"/>
      <c r="H144" s="35">
        <v>45244.0</v>
      </c>
      <c r="I144" s="27">
        <f t="shared" si="37"/>
        <v>0</v>
      </c>
      <c r="J144" s="28"/>
      <c r="K144" s="28"/>
      <c r="L144" s="17"/>
      <c r="M144" s="29"/>
      <c r="N144" s="29"/>
      <c r="O144" s="30"/>
      <c r="P144" s="30"/>
      <c r="Q144" s="29"/>
      <c r="R144" s="31"/>
      <c r="S144" s="31" t="str">
        <f t="shared" si="35"/>
        <v>MVP</v>
      </c>
      <c r="T144" s="32" t="str">
        <f t="shared" si="36"/>
        <v>91.03</v>
      </c>
      <c r="U144" s="33"/>
      <c r="V144" s="31"/>
      <c r="W144" s="31"/>
    </row>
    <row r="145" ht="21.75" hidden="1" customHeight="1" outlineLevel="2">
      <c r="A145" s="20"/>
      <c r="B145" s="21" t="s">
        <v>319</v>
      </c>
      <c r="C145" s="22"/>
      <c r="D145" s="22" t="s">
        <v>47</v>
      </c>
      <c r="E145" s="24" t="s">
        <v>179</v>
      </c>
      <c r="F145" s="25" t="s">
        <v>48</v>
      </c>
      <c r="G145" s="24"/>
      <c r="H145" s="35">
        <v>45244.0</v>
      </c>
      <c r="I145" s="27">
        <f t="shared" si="37"/>
        <v>0</v>
      </c>
      <c r="J145" s="28"/>
      <c r="K145" s="28"/>
      <c r="L145" s="17"/>
      <c r="M145" s="29"/>
      <c r="N145" s="29"/>
      <c r="O145" s="30"/>
      <c r="P145" s="30"/>
      <c r="Q145" s="29"/>
      <c r="R145" s="31"/>
      <c r="S145" s="31" t="str">
        <f t="shared" si="35"/>
        <v>MVP</v>
      </c>
      <c r="T145" s="32" t="str">
        <f t="shared" si="36"/>
        <v>91.04</v>
      </c>
      <c r="U145" s="33"/>
      <c r="V145" s="31"/>
      <c r="W145" s="31"/>
    </row>
    <row r="146" ht="21.75" customHeight="1" outlineLevel="1" collapsed="1">
      <c r="A146" s="20"/>
      <c r="B146" s="21" t="s">
        <v>320</v>
      </c>
      <c r="C146" s="22" t="s">
        <v>321</v>
      </c>
      <c r="D146" s="23"/>
      <c r="E146" s="24" t="s">
        <v>21</v>
      </c>
      <c r="F146" s="25" t="s">
        <v>22</v>
      </c>
      <c r="G146" s="24" t="s">
        <v>79</v>
      </c>
      <c r="H146" s="26">
        <f>MAX(H147:H151)</f>
        <v>45244</v>
      </c>
      <c r="I146" s="27" t="str">
        <f>IFERROR(__xludf.DUMMYFUNCTION("SPARKLINE(SUM(I147:I151), {""charttype"", ""bar""; ""max"", J146; ""color1"", ""green""})"),"")</f>
        <v/>
      </c>
      <c r="J146" s="28">
        <f>COUNT(I147:I151)</f>
        <v>5</v>
      </c>
      <c r="K146" s="28" t="str">
        <f>IF(ISNUMBER(B175), K175, "")</f>
        <v/>
      </c>
      <c r="L146" s="17"/>
      <c r="M146" s="29">
        <f>MIN(M147:M151)</f>
        <v>45238.66073</v>
      </c>
      <c r="N146" s="29">
        <f>MAX(N147:N151)</f>
        <v>45239.56575</v>
      </c>
      <c r="O146" s="30"/>
      <c r="P146" s="30"/>
      <c r="Q146" s="29"/>
      <c r="R146" s="31">
        <f>SUM(R147:R151)</f>
        <v>0.03541666667</v>
      </c>
      <c r="S146" s="31" t="str">
        <f t="shared" si="35"/>
        <v>MVP</v>
      </c>
      <c r="T146" s="32" t="str">
        <f t="shared" si="36"/>
        <v>85</v>
      </c>
      <c r="U146" s="33" t="str">
        <f>CONCATENATE(C146, " - ",E146)</f>
        <v>G335 Headset - Logi Offer - Shorts</v>
      </c>
      <c r="V146" s="31"/>
      <c r="W146" s="31"/>
    </row>
    <row r="147" ht="21.75" hidden="1" customHeight="1" outlineLevel="2">
      <c r="A147" s="20"/>
      <c r="B147" s="21" t="s">
        <v>322</v>
      </c>
      <c r="C147" s="22"/>
      <c r="D147" s="22" t="s">
        <v>25</v>
      </c>
      <c r="E147" s="24" t="s">
        <v>26</v>
      </c>
      <c r="F147" s="25" t="s">
        <v>27</v>
      </c>
      <c r="G147" s="34" t="s">
        <v>321</v>
      </c>
      <c r="H147" s="35">
        <v>45235.0</v>
      </c>
      <c r="I147" s="27">
        <f t="shared" ref="I147:I151" si="38">IFERROR(IF($E147="Done", 1, IF(OR($E147="Working on it", $E147="In Review", $E147="On Hold"), 0.5, IF($E147="Not Started", 0, ""))), 0)</f>
        <v>1</v>
      </c>
      <c r="J147" s="28"/>
      <c r="K147" s="28"/>
      <c r="L147" s="17"/>
      <c r="M147" s="29">
        <v>45238.66073315972</v>
      </c>
      <c r="N147" s="29">
        <v>45239.56574827546</v>
      </c>
      <c r="O147" s="36" t="s">
        <v>323</v>
      </c>
      <c r="P147" s="36" t="s">
        <v>324</v>
      </c>
      <c r="Q147" s="37" t="s">
        <v>31</v>
      </c>
      <c r="R147" s="31">
        <v>0.035416666666666666</v>
      </c>
      <c r="S147" s="31" t="str">
        <f t="shared" si="35"/>
        <v>MVP</v>
      </c>
      <c r="T147" s="32" t="str">
        <f t="shared" si="36"/>
        <v>85.01</v>
      </c>
      <c r="U147" s="33"/>
      <c r="V147" s="31"/>
      <c r="W147" s="31"/>
    </row>
    <row r="148" ht="21.75" hidden="1" customHeight="1" outlineLevel="2">
      <c r="A148" s="20"/>
      <c r="B148" s="21" t="s">
        <v>325</v>
      </c>
      <c r="C148" s="22"/>
      <c r="D148" s="22" t="s">
        <v>33</v>
      </c>
      <c r="E148" s="24" t="s">
        <v>179</v>
      </c>
      <c r="F148" s="25" t="s">
        <v>34</v>
      </c>
      <c r="G148" s="24"/>
      <c r="H148" s="35">
        <v>45242.0</v>
      </c>
      <c r="I148" s="27">
        <f t="shared" si="38"/>
        <v>0</v>
      </c>
      <c r="J148" s="28"/>
      <c r="K148" s="28"/>
      <c r="L148" s="17"/>
      <c r="M148" s="29"/>
      <c r="N148" s="29"/>
      <c r="O148" s="30"/>
      <c r="P148" s="30"/>
      <c r="Q148" s="29"/>
      <c r="R148" s="31"/>
      <c r="S148" s="31" t="str">
        <f t="shared" si="35"/>
        <v>MVP</v>
      </c>
      <c r="T148" s="32" t="str">
        <f t="shared" si="36"/>
        <v>85.02</v>
      </c>
      <c r="U148" s="33"/>
      <c r="V148" s="31"/>
      <c r="W148" s="31"/>
    </row>
    <row r="149" ht="21.75" hidden="1" customHeight="1" outlineLevel="2">
      <c r="A149" s="20"/>
      <c r="B149" s="21" t="s">
        <v>326</v>
      </c>
      <c r="C149" s="22"/>
      <c r="D149" s="22" t="s">
        <v>40</v>
      </c>
      <c r="E149" s="24" t="s">
        <v>179</v>
      </c>
      <c r="F149" s="25" t="s">
        <v>71</v>
      </c>
      <c r="G149" s="24"/>
      <c r="H149" s="35">
        <v>45242.0</v>
      </c>
      <c r="I149" s="27">
        <f t="shared" si="38"/>
        <v>0</v>
      </c>
      <c r="J149" s="28"/>
      <c r="K149" s="28"/>
      <c r="L149" s="17"/>
      <c r="M149" s="29"/>
      <c r="N149" s="29"/>
      <c r="O149" s="30"/>
      <c r="P149" s="30"/>
      <c r="Q149" s="29"/>
      <c r="R149" s="31"/>
      <c r="S149" s="31" t="str">
        <f t="shared" si="35"/>
        <v>MVP</v>
      </c>
      <c r="T149" s="32" t="str">
        <f t="shared" si="36"/>
        <v>85.05</v>
      </c>
      <c r="U149" s="33"/>
      <c r="V149" s="31"/>
      <c r="W149" s="31"/>
    </row>
    <row r="150" ht="21.75" hidden="1" customHeight="1" outlineLevel="2">
      <c r="A150" s="20"/>
      <c r="B150" s="21" t="s">
        <v>327</v>
      </c>
      <c r="C150" s="22"/>
      <c r="D150" s="22" t="s">
        <v>45</v>
      </c>
      <c r="E150" s="24" t="s">
        <v>179</v>
      </c>
      <c r="F150" s="25" t="s">
        <v>41</v>
      </c>
      <c r="G150" s="24"/>
      <c r="H150" s="35">
        <v>45243.0</v>
      </c>
      <c r="I150" s="27">
        <f t="shared" si="38"/>
        <v>0</v>
      </c>
      <c r="J150" s="28"/>
      <c r="K150" s="28"/>
      <c r="L150" s="17"/>
      <c r="M150" s="29"/>
      <c r="N150" s="29"/>
      <c r="O150" s="30"/>
      <c r="P150" s="30"/>
      <c r="Q150" s="29"/>
      <c r="R150" s="31"/>
      <c r="S150" s="31" t="str">
        <f t="shared" si="35"/>
        <v>MVP</v>
      </c>
      <c r="T150" s="32" t="str">
        <f t="shared" si="36"/>
        <v>85.06</v>
      </c>
      <c r="U150" s="33"/>
      <c r="V150" s="31"/>
      <c r="W150" s="31"/>
    </row>
    <row r="151" ht="21.75" hidden="1" customHeight="1" outlineLevel="2">
      <c r="A151" s="20"/>
      <c r="B151" s="21" t="s">
        <v>328</v>
      </c>
      <c r="C151" s="22"/>
      <c r="D151" s="22" t="s">
        <v>47</v>
      </c>
      <c r="E151" s="24" t="s">
        <v>179</v>
      </c>
      <c r="F151" s="25" t="s">
        <v>22</v>
      </c>
      <c r="G151" s="24"/>
      <c r="H151" s="35">
        <v>45244.0</v>
      </c>
      <c r="I151" s="27">
        <f t="shared" si="38"/>
        <v>0</v>
      </c>
      <c r="J151" s="28"/>
      <c r="K151" s="28"/>
      <c r="L151" s="17"/>
      <c r="M151" s="29"/>
      <c r="N151" s="29"/>
      <c r="O151" s="30"/>
      <c r="P151" s="30"/>
      <c r="Q151" s="29"/>
      <c r="R151" s="31"/>
      <c r="S151" s="31" t="str">
        <f t="shared" si="35"/>
        <v>MVP</v>
      </c>
      <c r="T151" s="32" t="str">
        <f t="shared" si="36"/>
        <v>85.07</v>
      </c>
      <c r="U151" s="33"/>
      <c r="V151" s="31"/>
      <c r="W151" s="31"/>
    </row>
    <row r="152" ht="21.75" customHeight="1" outlineLevel="1" collapsed="1">
      <c r="A152" s="20"/>
      <c r="B152" s="21" t="s">
        <v>329</v>
      </c>
      <c r="C152" s="22" t="s">
        <v>247</v>
      </c>
      <c r="D152" s="23"/>
      <c r="E152" s="24" t="s">
        <v>102</v>
      </c>
      <c r="F152" s="25" t="s">
        <v>22</v>
      </c>
      <c r="G152" s="24" t="s">
        <v>89</v>
      </c>
      <c r="H152" s="26">
        <f>MAX(H153:H154)</f>
        <v>45244</v>
      </c>
      <c r="I152" s="27" t="str">
        <f>IFERROR(__xludf.DUMMYFUNCTION("SPARKLINE(SUM(I153:I154), {""charttype"", ""bar""; ""max"", J152; ""color1"", ""green""})"),"")</f>
        <v/>
      </c>
      <c r="J152" s="28">
        <f>COUNT(I153:I154)</f>
        <v>2</v>
      </c>
      <c r="K152" s="28" t="str">
        <f>IF(ISNUMBER(B106), K106, "")</f>
        <v/>
      </c>
      <c r="L152" s="17"/>
      <c r="M152" s="29">
        <f>MIN(M153:M154)</f>
        <v>0</v>
      </c>
      <c r="N152" s="29">
        <f>MAX(N153:N154)</f>
        <v>0</v>
      </c>
      <c r="O152" s="30"/>
      <c r="P152" s="30"/>
      <c r="Q152" s="29"/>
      <c r="R152" s="31">
        <f>SUM(R153:R154)</f>
        <v>0</v>
      </c>
      <c r="S152" s="31" t="str">
        <f t="shared" si="35"/>
        <v>MVP</v>
      </c>
      <c r="T152" s="32" t="str">
        <f t="shared" si="36"/>
        <v>107</v>
      </c>
      <c r="U152" s="33" t="str">
        <f>CONCATENATE(C152, " - ",E152)</f>
        <v>Idea Pending - Tweet</v>
      </c>
      <c r="V152" s="31"/>
      <c r="W152" s="31"/>
    </row>
    <row r="153" ht="21.75" hidden="1" customHeight="1" outlineLevel="2">
      <c r="A153" s="20"/>
      <c r="B153" s="21" t="s">
        <v>330</v>
      </c>
      <c r="C153" s="22"/>
      <c r="D153" s="22" t="s">
        <v>25</v>
      </c>
      <c r="E153" s="24" t="s">
        <v>179</v>
      </c>
      <c r="F153" s="25" t="s">
        <v>27</v>
      </c>
      <c r="G153" s="24"/>
      <c r="H153" s="35">
        <v>45241.0</v>
      </c>
      <c r="I153" s="27">
        <f t="shared" ref="I153:I154" si="39">IFERROR(IF($E153="Done", 1, IF(OR($E153="Working on it", $E153="In Review", $E153="On Hold"), 0.5, IF($E153="Not Started", 0, ""))), 0)</f>
        <v>0</v>
      </c>
      <c r="J153" s="28"/>
      <c r="K153" s="28"/>
      <c r="L153" s="17"/>
      <c r="M153" s="29"/>
      <c r="N153" s="29"/>
      <c r="O153" s="30"/>
      <c r="P153" s="30"/>
      <c r="Q153" s="29"/>
      <c r="R153" s="31"/>
      <c r="S153" s="31" t="str">
        <f t="shared" si="35"/>
        <v>MVP</v>
      </c>
      <c r="T153" s="32" t="str">
        <f t="shared" si="36"/>
        <v>107.01</v>
      </c>
      <c r="U153" s="33"/>
      <c r="V153" s="31"/>
      <c r="W153" s="31"/>
    </row>
    <row r="154" ht="21.75" hidden="1" customHeight="1" outlineLevel="2">
      <c r="A154" s="20"/>
      <c r="B154" s="21" t="s">
        <v>331</v>
      </c>
      <c r="C154" s="22"/>
      <c r="D154" s="22" t="s">
        <v>47</v>
      </c>
      <c r="E154" s="24" t="s">
        <v>179</v>
      </c>
      <c r="F154" s="25" t="s">
        <v>27</v>
      </c>
      <c r="G154" s="24"/>
      <c r="H154" s="35">
        <v>45244.0</v>
      </c>
      <c r="I154" s="27">
        <f t="shared" si="39"/>
        <v>0</v>
      </c>
      <c r="J154" s="28"/>
      <c r="K154" s="28"/>
      <c r="L154" s="17"/>
      <c r="M154" s="29"/>
      <c r="N154" s="29"/>
      <c r="O154" s="30"/>
      <c r="P154" s="30"/>
      <c r="Q154" s="29"/>
      <c r="R154" s="31"/>
      <c r="S154" s="31" t="str">
        <f t="shared" si="35"/>
        <v>MVP</v>
      </c>
      <c r="T154" s="32" t="str">
        <f t="shared" si="36"/>
        <v>107.04</v>
      </c>
      <c r="U154" s="33"/>
      <c r="V154" s="31"/>
      <c r="W154" s="31"/>
    </row>
    <row r="155" ht="21.75" customHeight="1" outlineLevel="1" collapsed="1">
      <c r="A155" s="20"/>
      <c r="B155" s="21" t="s">
        <v>332</v>
      </c>
      <c r="C155" s="22" t="s">
        <v>333</v>
      </c>
      <c r="D155" s="23"/>
      <c r="E155" s="24" t="s">
        <v>21</v>
      </c>
      <c r="F155" s="25" t="s">
        <v>22</v>
      </c>
      <c r="G155" s="24" t="s">
        <v>79</v>
      </c>
      <c r="H155" s="26">
        <f>MAX(H156:H162)</f>
        <v>45245</v>
      </c>
      <c r="I155" s="27" t="str">
        <f>IFERROR(__xludf.DUMMYFUNCTION("SPARKLINE(SUM(I156:I162), {""charttype"", ""bar""; ""max"", J155; ""color1"", ""green""})"),"")</f>
        <v/>
      </c>
      <c r="J155" s="28">
        <f>COUNT(I156:I162)</f>
        <v>7</v>
      </c>
      <c r="K155" s="28" t="str">
        <f>IF(ISNUMBER(#REF!), #REF!, "")</f>
        <v/>
      </c>
      <c r="L155" s="17"/>
      <c r="M155" s="29">
        <f>MIN(M156:M162)</f>
        <v>0</v>
      </c>
      <c r="N155" s="29">
        <f>MAX(N156:N162)</f>
        <v>0</v>
      </c>
      <c r="O155" s="30"/>
      <c r="P155" s="30"/>
      <c r="Q155" s="29"/>
      <c r="R155" s="31">
        <f>SUM(R156:R162)</f>
        <v>0</v>
      </c>
      <c r="S155" s="31" t="str">
        <f t="shared" si="35"/>
        <v>MVP</v>
      </c>
      <c r="T155" s="32" t="str">
        <f t="shared" si="36"/>
        <v>83</v>
      </c>
      <c r="U155" s="33" t="str">
        <f>CONCATENATE(C155, " - ",E155)</f>
        <v>G Pro TKL - Logi Offer - Shorts</v>
      </c>
      <c r="V155" s="31"/>
      <c r="W155" s="31"/>
    </row>
    <row r="156" ht="21.75" hidden="1" customHeight="1" outlineLevel="2">
      <c r="A156" s="20"/>
      <c r="B156" s="21" t="s">
        <v>334</v>
      </c>
      <c r="C156" s="22"/>
      <c r="D156" s="22" t="s">
        <v>25</v>
      </c>
      <c r="E156" s="24" t="s">
        <v>179</v>
      </c>
      <c r="F156" s="25"/>
      <c r="G156" s="24"/>
      <c r="H156" s="35">
        <v>45239.0</v>
      </c>
      <c r="I156" s="27">
        <f t="shared" ref="I156:I162" si="40">IFERROR(IF($E156="Done", 1, IF(OR($E156="Working on it", $E156="In Review", $E156="On Hold"), 0.5, IF($E156="Not Started", 0, ""))), 0)</f>
        <v>0</v>
      </c>
      <c r="J156" s="28"/>
      <c r="K156" s="28"/>
      <c r="L156" s="17"/>
      <c r="M156" s="29"/>
      <c r="N156" s="29"/>
      <c r="O156" s="30"/>
      <c r="P156" s="30"/>
      <c r="Q156" s="29"/>
      <c r="R156" s="31"/>
      <c r="S156" s="31" t="str">
        <f t="shared" si="35"/>
        <v>MVP</v>
      </c>
      <c r="T156" s="32" t="str">
        <f t="shared" si="36"/>
        <v>83.01</v>
      </c>
      <c r="U156" s="33"/>
      <c r="V156" s="31"/>
      <c r="W156" s="31"/>
    </row>
    <row r="157" ht="21.75" hidden="1" customHeight="1" outlineLevel="2">
      <c r="A157" s="20"/>
      <c r="B157" s="21" t="s">
        <v>335</v>
      </c>
      <c r="C157" s="22"/>
      <c r="D157" s="22" t="s">
        <v>33</v>
      </c>
      <c r="E157" s="24" t="s">
        <v>179</v>
      </c>
      <c r="F157" s="25"/>
      <c r="G157" s="24"/>
      <c r="H157" s="35">
        <v>45240.0</v>
      </c>
      <c r="I157" s="27">
        <f t="shared" si="40"/>
        <v>0</v>
      </c>
      <c r="J157" s="28"/>
      <c r="K157" s="28"/>
      <c r="L157" s="17"/>
      <c r="M157" s="29"/>
      <c r="N157" s="29"/>
      <c r="O157" s="30"/>
      <c r="P157" s="30"/>
      <c r="Q157" s="29"/>
      <c r="R157" s="31"/>
      <c r="S157" s="31" t="str">
        <f t="shared" si="35"/>
        <v>MVP</v>
      </c>
      <c r="T157" s="32" t="str">
        <f t="shared" si="36"/>
        <v>83.02</v>
      </c>
      <c r="U157" s="33"/>
      <c r="V157" s="31"/>
      <c r="W157" s="31"/>
    </row>
    <row r="158" ht="21.75" hidden="1" customHeight="1" outlineLevel="2">
      <c r="A158" s="20"/>
      <c r="B158" s="21" t="s">
        <v>336</v>
      </c>
      <c r="C158" s="22"/>
      <c r="D158" s="22" t="s">
        <v>121</v>
      </c>
      <c r="E158" s="24" t="s">
        <v>179</v>
      </c>
      <c r="F158" s="25"/>
      <c r="G158" s="24"/>
      <c r="H158" s="35">
        <v>45241.0</v>
      </c>
      <c r="I158" s="27">
        <f t="shared" si="40"/>
        <v>0</v>
      </c>
      <c r="J158" s="28"/>
      <c r="K158" s="28"/>
      <c r="L158" s="17"/>
      <c r="M158" s="29"/>
      <c r="N158" s="29"/>
      <c r="O158" s="30"/>
      <c r="P158" s="30"/>
      <c r="Q158" s="29"/>
      <c r="R158" s="31"/>
      <c r="S158" s="31" t="str">
        <f t="shared" si="35"/>
        <v>MVP</v>
      </c>
      <c r="T158" s="32" t="str">
        <f t="shared" si="36"/>
        <v>83.03</v>
      </c>
      <c r="U158" s="33"/>
      <c r="V158" s="31"/>
      <c r="W158" s="31"/>
    </row>
    <row r="159" ht="21.75" hidden="1" customHeight="1" outlineLevel="2">
      <c r="A159" s="20"/>
      <c r="B159" s="21" t="s">
        <v>337</v>
      </c>
      <c r="C159" s="22"/>
      <c r="D159" s="22" t="s">
        <v>38</v>
      </c>
      <c r="E159" s="24" t="s">
        <v>179</v>
      </c>
      <c r="F159" s="25"/>
      <c r="G159" s="24"/>
      <c r="H159" s="35">
        <v>45242.0</v>
      </c>
      <c r="I159" s="27">
        <f t="shared" si="40"/>
        <v>0</v>
      </c>
      <c r="J159" s="28"/>
      <c r="K159" s="28"/>
      <c r="L159" s="17"/>
      <c r="M159" s="29"/>
      <c r="N159" s="29"/>
      <c r="O159" s="30"/>
      <c r="P159" s="30"/>
      <c r="Q159" s="29"/>
      <c r="R159" s="31"/>
      <c r="S159" s="31" t="str">
        <f t="shared" si="35"/>
        <v>MVP</v>
      </c>
      <c r="T159" s="32" t="str">
        <f t="shared" si="36"/>
        <v>83.04</v>
      </c>
      <c r="U159" s="33"/>
      <c r="V159" s="31"/>
      <c r="W159" s="31"/>
    </row>
    <row r="160" ht="21.75" hidden="1" customHeight="1" outlineLevel="2">
      <c r="A160" s="20"/>
      <c r="B160" s="21" t="s">
        <v>338</v>
      </c>
      <c r="C160" s="22"/>
      <c r="D160" s="22" t="s">
        <v>40</v>
      </c>
      <c r="E160" s="24" t="s">
        <v>179</v>
      </c>
      <c r="F160" s="25"/>
      <c r="G160" s="24"/>
      <c r="H160" s="35">
        <v>45243.0</v>
      </c>
      <c r="I160" s="27">
        <f t="shared" si="40"/>
        <v>0</v>
      </c>
      <c r="J160" s="28"/>
      <c r="K160" s="28"/>
      <c r="L160" s="17"/>
      <c r="M160" s="29"/>
      <c r="N160" s="29"/>
      <c r="O160" s="30"/>
      <c r="P160" s="30"/>
      <c r="Q160" s="29"/>
      <c r="R160" s="31"/>
      <c r="S160" s="31" t="str">
        <f t="shared" si="35"/>
        <v>MVP</v>
      </c>
      <c r="T160" s="32" t="str">
        <f t="shared" si="36"/>
        <v>83.05</v>
      </c>
      <c r="U160" s="33"/>
      <c r="V160" s="31"/>
      <c r="W160" s="31"/>
    </row>
    <row r="161" ht="21.75" hidden="1" customHeight="1" outlineLevel="2">
      <c r="A161" s="20"/>
      <c r="B161" s="21" t="s">
        <v>339</v>
      </c>
      <c r="C161" s="22"/>
      <c r="D161" s="22" t="s">
        <v>45</v>
      </c>
      <c r="E161" s="24" t="s">
        <v>179</v>
      </c>
      <c r="F161" s="25"/>
      <c r="G161" s="24"/>
      <c r="H161" s="35">
        <v>45244.0</v>
      </c>
      <c r="I161" s="27">
        <f t="shared" si="40"/>
        <v>0</v>
      </c>
      <c r="J161" s="28"/>
      <c r="K161" s="28"/>
      <c r="L161" s="17"/>
      <c r="M161" s="29"/>
      <c r="N161" s="29"/>
      <c r="O161" s="30"/>
      <c r="P161" s="30"/>
      <c r="Q161" s="29"/>
      <c r="R161" s="31"/>
      <c r="S161" s="31" t="str">
        <f t="shared" si="35"/>
        <v>MVP</v>
      </c>
      <c r="T161" s="32" t="str">
        <f t="shared" si="36"/>
        <v>83.06</v>
      </c>
      <c r="U161" s="33"/>
      <c r="V161" s="31"/>
      <c r="W161" s="31"/>
    </row>
    <row r="162" ht="21.75" hidden="1" customHeight="1" outlineLevel="2">
      <c r="A162" s="20"/>
      <c r="B162" s="21" t="s">
        <v>340</v>
      </c>
      <c r="C162" s="22"/>
      <c r="D162" s="22" t="s">
        <v>47</v>
      </c>
      <c r="E162" s="24" t="s">
        <v>179</v>
      </c>
      <c r="F162" s="25"/>
      <c r="G162" s="24"/>
      <c r="H162" s="35">
        <v>45245.0</v>
      </c>
      <c r="I162" s="27">
        <f t="shared" si="40"/>
        <v>0</v>
      </c>
      <c r="J162" s="28"/>
      <c r="K162" s="28"/>
      <c r="L162" s="17"/>
      <c r="M162" s="29"/>
      <c r="N162" s="29"/>
      <c r="O162" s="30"/>
      <c r="P162" s="30"/>
      <c r="Q162" s="29"/>
      <c r="R162" s="31"/>
      <c r="S162" s="31" t="str">
        <f t="shared" si="35"/>
        <v>MVP</v>
      </c>
      <c r="T162" s="32" t="str">
        <f t="shared" si="36"/>
        <v>83.07</v>
      </c>
      <c r="U162" s="33"/>
      <c r="V162" s="31"/>
      <c r="W162" s="31"/>
    </row>
    <row r="163" ht="21.75" customHeight="1" outlineLevel="1" collapsed="1">
      <c r="A163" s="20"/>
      <c r="B163" s="21" t="s">
        <v>341</v>
      </c>
      <c r="C163" s="22" t="s">
        <v>342</v>
      </c>
      <c r="D163" s="23"/>
      <c r="E163" s="24" t="s">
        <v>51</v>
      </c>
      <c r="F163" s="25" t="s">
        <v>22</v>
      </c>
      <c r="G163" s="24" t="s">
        <v>89</v>
      </c>
      <c r="H163" s="26">
        <f>MAX(H164:H167)</f>
        <v>45245</v>
      </c>
      <c r="I163" s="27" t="str">
        <f>IFERROR(__xludf.DUMMYFUNCTION("SPARKLINE(SUM(I164:I167), {""charttype"", ""bar""; ""max"", J163; ""color1"", ""green""})"),"")</f>
        <v/>
      </c>
      <c r="J163" s="28">
        <f>COUNT(I164:I167)</f>
        <v>4</v>
      </c>
      <c r="K163" s="28" t="str">
        <f>IF(ISNUMBER(B314), K314, "")</f>
        <v/>
      </c>
      <c r="L163" s="17"/>
      <c r="M163" s="29">
        <f>MIN(M164:M167)</f>
        <v>45236.51357</v>
      </c>
      <c r="N163" s="29">
        <f>MAX(N164:N167)</f>
        <v>45236.53192</v>
      </c>
      <c r="O163" s="30"/>
      <c r="P163" s="30"/>
      <c r="Q163" s="29"/>
      <c r="R163" s="31">
        <f>SUM(R164:R167)</f>
        <v>0.01111111111</v>
      </c>
      <c r="S163" s="31" t="str">
        <f t="shared" si="35"/>
        <v>MVP</v>
      </c>
      <c r="T163" s="32" t="str">
        <f t="shared" si="36"/>
        <v>97</v>
      </c>
      <c r="U163" s="33" t="str">
        <f>CONCATENATE(C163, " - ",E163)</f>
        <v>Build Photo - North + ProArt - Insta</v>
      </c>
      <c r="V163" s="31"/>
      <c r="W163" s="31"/>
    </row>
    <row r="164" ht="21.75" hidden="1" customHeight="1" outlineLevel="2">
      <c r="A164" s="20"/>
      <c r="B164" s="21" t="s">
        <v>343</v>
      </c>
      <c r="C164" s="22"/>
      <c r="D164" s="22" t="s">
        <v>25</v>
      </c>
      <c r="E164" s="24" t="s">
        <v>179</v>
      </c>
      <c r="F164" s="25" t="s">
        <v>41</v>
      </c>
      <c r="G164" s="62"/>
      <c r="H164" s="35">
        <v>45244.0</v>
      </c>
      <c r="I164" s="27">
        <f t="shared" ref="I164:I167" si="41">IFERROR(IF($E164="Done", 1, IF(OR($E164="Working on it", $E164="In Review", $E164="On Hold"), 0.5, IF($E164="Not Started", 0, ""))), 0)</f>
        <v>0</v>
      </c>
      <c r="J164" s="28"/>
      <c r="K164" s="28"/>
      <c r="L164" s="17"/>
      <c r="M164" s="29"/>
      <c r="N164" s="29"/>
      <c r="O164" s="30"/>
      <c r="P164" s="30"/>
      <c r="Q164" s="29"/>
      <c r="R164" s="31"/>
      <c r="S164" s="31" t="str">
        <f t="shared" si="35"/>
        <v>MVP</v>
      </c>
      <c r="T164" s="32" t="str">
        <f t="shared" si="36"/>
        <v>97.01</v>
      </c>
      <c r="U164" s="33"/>
      <c r="V164" s="31"/>
      <c r="W164" s="31"/>
    </row>
    <row r="165" ht="21.75" hidden="1" customHeight="1" outlineLevel="2">
      <c r="A165" s="20"/>
      <c r="B165" s="21" t="s">
        <v>344</v>
      </c>
      <c r="C165" s="22"/>
      <c r="D165" s="22" t="s">
        <v>33</v>
      </c>
      <c r="E165" s="24" t="s">
        <v>26</v>
      </c>
      <c r="F165" s="25" t="s">
        <v>34</v>
      </c>
      <c r="G165" s="24"/>
      <c r="H165" s="35">
        <v>45236.0</v>
      </c>
      <c r="I165" s="27">
        <f t="shared" si="41"/>
        <v>1</v>
      </c>
      <c r="J165" s="28"/>
      <c r="K165" s="28"/>
      <c r="L165" s="17"/>
      <c r="M165" s="29">
        <v>45236.513573275464</v>
      </c>
      <c r="N165" s="29">
        <v>45236.53191810186</v>
      </c>
      <c r="O165" s="36" t="s">
        <v>345</v>
      </c>
      <c r="P165" s="36" t="s">
        <v>346</v>
      </c>
      <c r="Q165" s="37" t="s">
        <v>31</v>
      </c>
      <c r="R165" s="31">
        <v>0.011111111111111112</v>
      </c>
      <c r="S165" s="31" t="str">
        <f t="shared" si="35"/>
        <v>MVP</v>
      </c>
      <c r="T165" s="32" t="str">
        <f t="shared" si="36"/>
        <v>97.02</v>
      </c>
      <c r="U165" s="33"/>
      <c r="V165" s="31"/>
      <c r="W165" s="31"/>
    </row>
    <row r="166" ht="21.75" hidden="1" customHeight="1" outlineLevel="2">
      <c r="A166" s="20"/>
      <c r="B166" s="21" t="s">
        <v>347</v>
      </c>
      <c r="C166" s="22"/>
      <c r="D166" s="22" t="s">
        <v>40</v>
      </c>
      <c r="E166" s="24" t="s">
        <v>179</v>
      </c>
      <c r="F166" s="25" t="s">
        <v>41</v>
      </c>
      <c r="G166" s="24"/>
      <c r="H166" s="35">
        <v>45244.0</v>
      </c>
      <c r="I166" s="27">
        <f t="shared" si="41"/>
        <v>0</v>
      </c>
      <c r="J166" s="28"/>
      <c r="K166" s="28"/>
      <c r="L166" s="17"/>
      <c r="M166" s="29"/>
      <c r="N166" s="29"/>
      <c r="O166" s="30"/>
      <c r="P166" s="30"/>
      <c r="Q166" s="29"/>
      <c r="R166" s="31"/>
      <c r="S166" s="31" t="str">
        <f t="shared" si="35"/>
        <v>MVP</v>
      </c>
      <c r="T166" s="32" t="str">
        <f t="shared" si="36"/>
        <v>97.03</v>
      </c>
      <c r="U166" s="33"/>
      <c r="V166" s="31"/>
      <c r="W166" s="31"/>
    </row>
    <row r="167" ht="21.75" hidden="1" customHeight="1" outlineLevel="2">
      <c r="A167" s="20"/>
      <c r="B167" s="21" t="s">
        <v>348</v>
      </c>
      <c r="C167" s="22"/>
      <c r="D167" s="22" t="s">
        <v>47</v>
      </c>
      <c r="E167" s="24" t="s">
        <v>179</v>
      </c>
      <c r="F167" s="25" t="s">
        <v>48</v>
      </c>
      <c r="G167" s="24"/>
      <c r="H167" s="35">
        <v>45245.0</v>
      </c>
      <c r="I167" s="27">
        <f t="shared" si="41"/>
        <v>0</v>
      </c>
      <c r="J167" s="28"/>
      <c r="K167" s="28"/>
      <c r="L167" s="17"/>
      <c r="M167" s="29"/>
      <c r="N167" s="29"/>
      <c r="O167" s="30"/>
      <c r="P167" s="30"/>
      <c r="Q167" s="29"/>
      <c r="R167" s="31"/>
      <c r="S167" s="31" t="str">
        <f t="shared" si="35"/>
        <v>MVP</v>
      </c>
      <c r="T167" s="32" t="str">
        <f t="shared" si="36"/>
        <v>97.04</v>
      </c>
      <c r="U167" s="33"/>
      <c r="V167" s="31"/>
      <c r="W167" s="31"/>
    </row>
    <row r="168" ht="21.75" customHeight="1" outlineLevel="1" collapsed="1">
      <c r="A168" s="20"/>
      <c r="B168" s="21" t="s">
        <v>349</v>
      </c>
      <c r="C168" s="22" t="s">
        <v>247</v>
      </c>
      <c r="D168" s="23"/>
      <c r="E168" s="24" t="s">
        <v>102</v>
      </c>
      <c r="F168" s="25" t="s">
        <v>22</v>
      </c>
      <c r="G168" s="24" t="s">
        <v>89</v>
      </c>
      <c r="H168" s="26">
        <f>MAX(H169:H170)</f>
        <v>45245</v>
      </c>
      <c r="I168" s="27" t="str">
        <f>IFERROR(__xludf.DUMMYFUNCTION("SPARKLINE(SUM(I169:I170), {""charttype"", ""bar""; ""max"", J168; ""color1"", ""green""})"),"")</f>
        <v/>
      </c>
      <c r="J168" s="28">
        <f>COUNT(I169:I170)</f>
        <v>2</v>
      </c>
      <c r="K168" s="28" t="str">
        <f>IF(ISNUMBER(B154), K154, "")</f>
        <v/>
      </c>
      <c r="L168" s="17"/>
      <c r="M168" s="29">
        <f>MIN(M169:M170)</f>
        <v>0</v>
      </c>
      <c r="N168" s="29">
        <f>MAX(N169:N170)</f>
        <v>0</v>
      </c>
      <c r="O168" s="30"/>
      <c r="P168" s="30"/>
      <c r="Q168" s="29"/>
      <c r="R168" s="31">
        <f>SUM(R169:R170)</f>
        <v>0</v>
      </c>
      <c r="S168" s="31" t="str">
        <f t="shared" si="35"/>
        <v>MVP</v>
      </c>
      <c r="T168" s="32" t="str">
        <f t="shared" si="36"/>
        <v>110</v>
      </c>
      <c r="U168" s="33" t="str">
        <f>CONCATENATE(C168, " - ",E168)</f>
        <v>Idea Pending - Tweet</v>
      </c>
      <c r="V168" s="31"/>
      <c r="W168" s="31"/>
    </row>
    <row r="169" ht="21.75" hidden="1" customHeight="1" outlineLevel="2">
      <c r="A169" s="20"/>
      <c r="B169" s="21" t="s">
        <v>350</v>
      </c>
      <c r="C169" s="22"/>
      <c r="D169" s="22" t="s">
        <v>25</v>
      </c>
      <c r="E169" s="24" t="s">
        <v>179</v>
      </c>
      <c r="F169" s="25" t="s">
        <v>27</v>
      </c>
      <c r="G169" s="24"/>
      <c r="H169" s="35">
        <v>45242.0</v>
      </c>
      <c r="I169" s="27">
        <f t="shared" ref="I169:I170" si="42">IFERROR(IF($E169="Done", 1, IF(OR($E169="Working on it", $E169="In Review", $E169="On Hold"), 0.5, IF($E169="Not Started", 0, ""))), 0)</f>
        <v>0</v>
      </c>
      <c r="J169" s="28"/>
      <c r="K169" s="28"/>
      <c r="L169" s="17"/>
      <c r="M169" s="29"/>
      <c r="N169" s="29"/>
      <c r="O169" s="30"/>
      <c r="P169" s="30"/>
      <c r="Q169" s="29"/>
      <c r="R169" s="31"/>
      <c r="S169" s="31" t="str">
        <f t="shared" si="35"/>
        <v>MVP</v>
      </c>
      <c r="T169" s="32" t="str">
        <f t="shared" si="36"/>
        <v>110.01</v>
      </c>
      <c r="U169" s="33"/>
      <c r="V169" s="31"/>
      <c r="W169" s="31"/>
    </row>
    <row r="170" ht="21.75" hidden="1" customHeight="1" outlineLevel="2">
      <c r="A170" s="20"/>
      <c r="B170" s="21" t="s">
        <v>351</v>
      </c>
      <c r="C170" s="22"/>
      <c r="D170" s="22" t="s">
        <v>47</v>
      </c>
      <c r="E170" s="24" t="s">
        <v>179</v>
      </c>
      <c r="F170" s="25" t="s">
        <v>27</v>
      </c>
      <c r="G170" s="24"/>
      <c r="H170" s="35">
        <v>45245.0</v>
      </c>
      <c r="I170" s="27">
        <f t="shared" si="42"/>
        <v>0</v>
      </c>
      <c r="J170" s="28"/>
      <c r="K170" s="28"/>
      <c r="L170" s="17"/>
      <c r="M170" s="29"/>
      <c r="N170" s="29"/>
      <c r="O170" s="30"/>
      <c r="P170" s="30"/>
      <c r="Q170" s="29"/>
      <c r="R170" s="31"/>
      <c r="S170" s="31" t="str">
        <f t="shared" si="35"/>
        <v>MVP</v>
      </c>
      <c r="T170" s="32" t="str">
        <f t="shared" si="36"/>
        <v>110.04</v>
      </c>
      <c r="U170" s="33"/>
      <c r="V170" s="31"/>
      <c r="W170" s="31"/>
    </row>
    <row r="171" ht="21.75" customHeight="1" outlineLevel="1" collapsed="1">
      <c r="A171" s="20"/>
      <c r="B171" s="21" t="s">
        <v>352</v>
      </c>
      <c r="C171" s="22" t="s">
        <v>353</v>
      </c>
      <c r="D171" s="23"/>
      <c r="E171" s="24" t="s">
        <v>62</v>
      </c>
      <c r="F171" s="25" t="s">
        <v>22</v>
      </c>
      <c r="G171" s="24" t="s">
        <v>79</v>
      </c>
      <c r="H171" s="26">
        <f>MAX(H172:H174)</f>
        <v>45246</v>
      </c>
      <c r="I171" s="27" t="str">
        <f>IFERROR(__xludf.DUMMYFUNCTION("SPARKLINE(SUM(I172:I174), {""charttype"", ""bar""; ""max"", J171; ""color1"", ""green""})"),"")</f>
        <v/>
      </c>
      <c r="J171" s="28">
        <f>COUNT(I172:I174)</f>
        <v>3</v>
      </c>
      <c r="K171" s="28" t="str">
        <f>IF(ISNUMBER(B305), K305, "")</f>
        <v/>
      </c>
      <c r="L171" s="17"/>
      <c r="M171" s="29">
        <f>MIN(M172:M174)</f>
        <v>0</v>
      </c>
      <c r="N171" s="29">
        <f>MAX(N172:N174)</f>
        <v>0</v>
      </c>
      <c r="O171" s="30"/>
      <c r="P171" s="30"/>
      <c r="Q171" s="29"/>
      <c r="R171" s="31">
        <f>SUM(R172:R174)</f>
        <v>0</v>
      </c>
      <c r="S171" s="31" t="str">
        <f t="shared" si="35"/>
        <v>MVP</v>
      </c>
      <c r="T171" s="32" t="str">
        <f t="shared" si="36"/>
        <v>89</v>
      </c>
      <c r="U171" s="33" t="str">
        <f>CONCATENATE(C171, " - ",E171)</f>
        <v>Client Reviews - MasterCut - YT Video</v>
      </c>
      <c r="V171" s="31"/>
      <c r="W171" s="31"/>
    </row>
    <row r="172" ht="21.75" hidden="1" customHeight="1" outlineLevel="2">
      <c r="A172" s="20"/>
      <c r="B172" s="21" t="s">
        <v>354</v>
      </c>
      <c r="C172" s="22"/>
      <c r="D172" s="22" t="s">
        <v>40</v>
      </c>
      <c r="E172" s="24" t="s">
        <v>179</v>
      </c>
      <c r="F172" s="25" t="s">
        <v>48</v>
      </c>
      <c r="G172" s="24"/>
      <c r="H172" s="35">
        <v>45240.0</v>
      </c>
      <c r="I172" s="27">
        <f t="shared" ref="I172:I174" si="43">IFERROR(IF($E172="Done", 1, IF(OR($E172="Working on it", $E172="In Review", $E172="On Hold"), 0.5, IF($E172="Not Started", 0, ""))), 0)</f>
        <v>0</v>
      </c>
      <c r="J172" s="28"/>
      <c r="K172" s="28"/>
      <c r="L172" s="17"/>
      <c r="M172" s="29"/>
      <c r="N172" s="29"/>
      <c r="O172" s="30"/>
      <c r="P172" s="30"/>
      <c r="Q172" s="29"/>
      <c r="R172" s="31"/>
      <c r="S172" s="31" t="str">
        <f t="shared" si="35"/>
        <v>MVP</v>
      </c>
      <c r="T172" s="32" t="str">
        <f t="shared" si="36"/>
        <v>89.04</v>
      </c>
      <c r="U172" s="33"/>
      <c r="V172" s="31"/>
      <c r="W172" s="31"/>
    </row>
    <row r="173" ht="21.75" hidden="1" customHeight="1" outlineLevel="2">
      <c r="A173" s="20"/>
      <c r="B173" s="21" t="s">
        <v>355</v>
      </c>
      <c r="C173" s="22"/>
      <c r="D173" s="22" t="s">
        <v>45</v>
      </c>
      <c r="E173" s="24" t="s">
        <v>179</v>
      </c>
      <c r="F173" s="25" t="s">
        <v>41</v>
      </c>
      <c r="G173" s="24"/>
      <c r="H173" s="35">
        <v>45245.0</v>
      </c>
      <c r="I173" s="27">
        <f t="shared" si="43"/>
        <v>0</v>
      </c>
      <c r="J173" s="28"/>
      <c r="K173" s="28"/>
      <c r="L173" s="17"/>
      <c r="M173" s="29"/>
      <c r="N173" s="29"/>
      <c r="O173" s="30"/>
      <c r="P173" s="30"/>
      <c r="Q173" s="29"/>
      <c r="R173" s="31"/>
      <c r="S173" s="31" t="str">
        <f t="shared" si="35"/>
        <v>MVP</v>
      </c>
      <c r="T173" s="32" t="str">
        <f t="shared" si="36"/>
        <v>89.05</v>
      </c>
      <c r="U173" s="33"/>
      <c r="V173" s="31"/>
      <c r="W173" s="31"/>
    </row>
    <row r="174" ht="21.75" hidden="1" customHeight="1" outlineLevel="2">
      <c r="A174" s="20"/>
      <c r="B174" s="21" t="s">
        <v>356</v>
      </c>
      <c r="C174" s="22"/>
      <c r="D174" s="22" t="s">
        <v>47</v>
      </c>
      <c r="E174" s="24" t="s">
        <v>179</v>
      </c>
      <c r="F174" s="25" t="s">
        <v>27</v>
      </c>
      <c r="G174" s="24"/>
      <c r="H174" s="35">
        <v>45246.0</v>
      </c>
      <c r="I174" s="27">
        <f t="shared" si="43"/>
        <v>0</v>
      </c>
      <c r="J174" s="28"/>
      <c r="K174" s="28"/>
      <c r="L174" s="17"/>
      <c r="M174" s="29"/>
      <c r="N174" s="29"/>
      <c r="O174" s="30"/>
      <c r="P174" s="30"/>
      <c r="Q174" s="29"/>
      <c r="R174" s="31"/>
      <c r="S174" s="31" t="str">
        <f t="shared" si="35"/>
        <v>MVP</v>
      </c>
      <c r="T174" s="32" t="str">
        <f t="shared" si="36"/>
        <v>89.06</v>
      </c>
      <c r="U174" s="33"/>
      <c r="V174" s="31"/>
      <c r="W174" s="31"/>
    </row>
    <row r="175" ht="21.75" customHeight="1" outlineLevel="1" collapsed="1">
      <c r="A175" s="20"/>
      <c r="B175" s="21" t="s">
        <v>357</v>
      </c>
      <c r="C175" s="22" t="s">
        <v>358</v>
      </c>
      <c r="D175" s="23"/>
      <c r="E175" s="24" t="s">
        <v>21</v>
      </c>
      <c r="F175" s="25" t="s">
        <v>22</v>
      </c>
      <c r="G175" s="24" t="s">
        <v>89</v>
      </c>
      <c r="H175" s="26">
        <f>MAX(H176:H178)</f>
        <v>45246</v>
      </c>
      <c r="I175" s="27"/>
      <c r="J175" s="28">
        <f>COUNT(I176:I178)</f>
        <v>0</v>
      </c>
      <c r="K175" s="38" t="str">
        <f>IF(ISNUMBER(B390), K390, "")</f>
        <v/>
      </c>
      <c r="L175" s="39"/>
      <c r="M175" s="40">
        <f>MIN(M176:M178)</f>
        <v>0</v>
      </c>
      <c r="N175" s="40">
        <f>MAX(N176:N178)</f>
        <v>0</v>
      </c>
      <c r="O175" s="41"/>
      <c r="P175" s="41"/>
      <c r="Q175" s="41"/>
      <c r="R175" s="42">
        <f>SUM(R176:R178)</f>
        <v>0</v>
      </c>
      <c r="S175" s="31" t="str">
        <f t="shared" si="35"/>
        <v>MVP</v>
      </c>
      <c r="T175" s="32" t="str">
        <f t="shared" si="36"/>
        <v>86</v>
      </c>
      <c r="U175" s="33" t="str">
        <f>CONCATENATE(C175, " - ",E175)</f>
        <v>Sneaker PC - Shorts</v>
      </c>
      <c r="V175" s="31"/>
      <c r="W175" s="31"/>
    </row>
    <row r="176" ht="21.75" hidden="1" customHeight="1" outlineLevel="2">
      <c r="A176" s="20"/>
      <c r="B176" s="21" t="s">
        <v>359</v>
      </c>
      <c r="C176" s="22"/>
      <c r="D176" s="22" t="s">
        <v>360</v>
      </c>
      <c r="E176" s="24" t="s">
        <v>179</v>
      </c>
      <c r="F176" s="25" t="s">
        <v>22</v>
      </c>
      <c r="G176" s="24"/>
      <c r="H176" s="35">
        <v>45244.0</v>
      </c>
      <c r="I176" s="27"/>
      <c r="J176" s="28"/>
      <c r="K176" s="28"/>
      <c r="L176" s="17"/>
      <c r="M176" s="29"/>
      <c r="N176" s="29"/>
      <c r="O176" s="30"/>
      <c r="P176" s="30"/>
      <c r="Q176" s="29"/>
      <c r="R176" s="31"/>
      <c r="S176" s="31" t="str">
        <f t="shared" si="35"/>
        <v>MVP</v>
      </c>
      <c r="T176" s="32" t="str">
        <f t="shared" si="36"/>
        <v>86.01</v>
      </c>
      <c r="U176" s="33"/>
      <c r="V176" s="31"/>
      <c r="W176" s="31"/>
    </row>
    <row r="177" ht="21.75" hidden="1" customHeight="1" outlineLevel="2">
      <c r="A177" s="20"/>
      <c r="B177" s="21" t="s">
        <v>361</v>
      </c>
      <c r="C177" s="22"/>
      <c r="D177" s="22" t="s">
        <v>45</v>
      </c>
      <c r="E177" s="24" t="s">
        <v>179</v>
      </c>
      <c r="F177" s="25" t="s">
        <v>41</v>
      </c>
      <c r="G177" s="24"/>
      <c r="H177" s="35">
        <v>45245.0</v>
      </c>
      <c r="I177" s="27"/>
      <c r="J177" s="28"/>
      <c r="K177" s="28"/>
      <c r="L177" s="17"/>
      <c r="M177" s="29"/>
      <c r="N177" s="29"/>
      <c r="O177" s="30"/>
      <c r="P177" s="30"/>
      <c r="Q177" s="29"/>
      <c r="R177" s="31"/>
      <c r="S177" s="31" t="str">
        <f t="shared" si="35"/>
        <v>MVP</v>
      </c>
      <c r="T177" s="32" t="str">
        <f t="shared" si="36"/>
        <v>86.06</v>
      </c>
      <c r="U177" s="33"/>
      <c r="V177" s="31"/>
      <c r="W177" s="31"/>
    </row>
    <row r="178" ht="21.75" hidden="1" customHeight="1" outlineLevel="2">
      <c r="A178" s="20"/>
      <c r="B178" s="21" t="s">
        <v>362</v>
      </c>
      <c r="C178" s="22"/>
      <c r="D178" s="22" t="s">
        <v>47</v>
      </c>
      <c r="E178" s="24" t="s">
        <v>179</v>
      </c>
      <c r="F178" s="25" t="s">
        <v>48</v>
      </c>
      <c r="G178" s="24"/>
      <c r="H178" s="35">
        <v>45246.0</v>
      </c>
      <c r="I178" s="27"/>
      <c r="J178" s="28"/>
      <c r="K178" s="28"/>
      <c r="L178" s="17"/>
      <c r="M178" s="29"/>
      <c r="N178" s="29"/>
      <c r="O178" s="30"/>
      <c r="P178" s="30"/>
      <c r="Q178" s="29"/>
      <c r="R178" s="31"/>
      <c r="S178" s="31" t="str">
        <f t="shared" si="35"/>
        <v>MVP</v>
      </c>
      <c r="T178" s="32" t="str">
        <f t="shared" si="36"/>
        <v>86.07</v>
      </c>
      <c r="U178" s="33"/>
      <c r="V178" s="31"/>
      <c r="W178" s="31"/>
    </row>
    <row r="179" ht="21.75" customHeight="1" outlineLevel="1" collapsed="1">
      <c r="A179" s="20"/>
      <c r="B179" s="21" t="s">
        <v>363</v>
      </c>
      <c r="C179" s="22" t="s">
        <v>77</v>
      </c>
      <c r="D179" s="23"/>
      <c r="E179" s="24" t="s">
        <v>97</v>
      </c>
      <c r="F179" s="25" t="s">
        <v>22</v>
      </c>
      <c r="G179" s="24" t="s">
        <v>89</v>
      </c>
      <c r="H179" s="26">
        <f>MAX(H180:H182)</f>
        <v>45247</v>
      </c>
      <c r="I179" s="27" t="str">
        <f>IFERROR(__xludf.DUMMYFUNCTION("SPARKLINE(SUM(I180:I182), {""charttype"", ""bar""; ""max"", J179; ""color1"", ""green""})"),"")</f>
        <v/>
      </c>
      <c r="J179" s="28">
        <f>COUNT(I180:I182)</f>
        <v>3</v>
      </c>
      <c r="K179" s="28" t="str">
        <f>IF(ISNUMBER(B124), K124, "")</f>
        <v/>
      </c>
      <c r="L179" s="17"/>
      <c r="M179" s="29">
        <f>MIN(M180:M182)</f>
        <v>0</v>
      </c>
      <c r="N179" s="29">
        <f>MAX(N180:N182)</f>
        <v>0</v>
      </c>
      <c r="O179" s="30"/>
      <c r="P179" s="30"/>
      <c r="Q179" s="29"/>
      <c r="R179" s="31">
        <f>SUM(R180:R182)</f>
        <v>0</v>
      </c>
      <c r="S179" s="31" t="str">
        <f t="shared" si="35"/>
        <v>MVP</v>
      </c>
      <c r="T179" s="32" t="str">
        <f t="shared" si="36"/>
        <v>103</v>
      </c>
      <c r="U179" s="33" t="str">
        <f>CONCATENATE(C179, " - ",E179)</f>
        <v>L40s GPU Server - Linkedin</v>
      </c>
      <c r="V179" s="31"/>
      <c r="W179" s="31"/>
    </row>
    <row r="180" ht="21.75" hidden="1" customHeight="1" outlineLevel="2">
      <c r="A180" s="20"/>
      <c r="B180" s="21" t="s">
        <v>364</v>
      </c>
      <c r="C180" s="22"/>
      <c r="D180" s="22" t="s">
        <v>40</v>
      </c>
      <c r="E180" s="24" t="s">
        <v>179</v>
      </c>
      <c r="F180" s="25" t="s">
        <v>22</v>
      </c>
      <c r="G180" s="34" t="s">
        <v>365</v>
      </c>
      <c r="H180" s="35">
        <v>45245.0</v>
      </c>
      <c r="I180" s="27">
        <f t="shared" ref="I180:I182" si="44">IFERROR(IF($E180="Done", 1, IF(OR($E180="Working on it", $E180="In Review", $E180="On Hold"), 0.5, IF($E180="Not Started", 0, ""))), 0)</f>
        <v>0</v>
      </c>
      <c r="J180" s="28"/>
      <c r="K180" s="28"/>
      <c r="L180" s="17"/>
      <c r="M180" s="29"/>
      <c r="N180" s="29"/>
      <c r="O180" s="30"/>
      <c r="P180" s="30"/>
      <c r="Q180" s="29"/>
      <c r="R180" s="31"/>
      <c r="S180" s="31" t="str">
        <f t="shared" si="35"/>
        <v>MVP</v>
      </c>
      <c r="T180" s="32" t="str">
        <f t="shared" si="36"/>
        <v>103.02</v>
      </c>
      <c r="U180" s="33"/>
      <c r="V180" s="31"/>
      <c r="W180" s="31"/>
    </row>
    <row r="181" ht="21.75" hidden="1" customHeight="1" outlineLevel="2">
      <c r="A181" s="20"/>
      <c r="B181" s="21" t="s">
        <v>366</v>
      </c>
      <c r="C181" s="22"/>
      <c r="D181" s="22" t="s">
        <v>274</v>
      </c>
      <c r="E181" s="24" t="s">
        <v>179</v>
      </c>
      <c r="F181" s="25" t="s">
        <v>22</v>
      </c>
      <c r="G181" s="24"/>
      <c r="H181" s="35">
        <v>45246.0</v>
      </c>
      <c r="I181" s="27">
        <f t="shared" si="44"/>
        <v>0</v>
      </c>
      <c r="J181" s="28"/>
      <c r="K181" s="28"/>
      <c r="L181" s="17"/>
      <c r="M181" s="29"/>
      <c r="N181" s="29"/>
      <c r="O181" s="30"/>
      <c r="P181" s="30"/>
      <c r="Q181" s="29"/>
      <c r="R181" s="31"/>
      <c r="S181" s="31" t="str">
        <f t="shared" si="35"/>
        <v>MVP</v>
      </c>
      <c r="T181" s="32" t="str">
        <f t="shared" si="36"/>
        <v>103.03</v>
      </c>
      <c r="U181" s="33"/>
      <c r="V181" s="31"/>
      <c r="W181" s="31"/>
    </row>
    <row r="182" ht="21.75" hidden="1" customHeight="1" outlineLevel="2">
      <c r="A182" s="20"/>
      <c r="B182" s="21" t="s">
        <v>367</v>
      </c>
      <c r="C182" s="22"/>
      <c r="D182" s="22" t="s">
        <v>47</v>
      </c>
      <c r="E182" s="24" t="s">
        <v>179</v>
      </c>
      <c r="F182" s="25" t="s">
        <v>22</v>
      </c>
      <c r="G182" s="24"/>
      <c r="H182" s="35">
        <v>45247.0</v>
      </c>
      <c r="I182" s="27">
        <f t="shared" si="44"/>
        <v>0</v>
      </c>
      <c r="J182" s="28"/>
      <c r="K182" s="28"/>
      <c r="L182" s="17"/>
      <c r="M182" s="29"/>
      <c r="N182" s="29"/>
      <c r="O182" s="30"/>
      <c r="P182" s="30"/>
      <c r="Q182" s="29"/>
      <c r="R182" s="31"/>
      <c r="S182" s="31" t="str">
        <f t="shared" si="35"/>
        <v>MVP</v>
      </c>
      <c r="T182" s="32" t="str">
        <f t="shared" si="36"/>
        <v>103.04</v>
      </c>
      <c r="U182" s="33"/>
      <c r="V182" s="31"/>
      <c r="W182" s="31"/>
    </row>
    <row r="183" ht="21.75" customHeight="1" outlineLevel="1" collapsed="1">
      <c r="A183" s="20"/>
      <c r="B183" s="21" t="s">
        <v>368</v>
      </c>
      <c r="C183" s="22" t="s">
        <v>369</v>
      </c>
      <c r="D183" s="23"/>
      <c r="E183" s="24" t="s">
        <v>21</v>
      </c>
      <c r="F183" s="25" t="s">
        <v>22</v>
      </c>
      <c r="G183" s="24" t="s">
        <v>63</v>
      </c>
      <c r="H183" s="26">
        <f>MAX(H184:H188)</f>
        <v>45247.62168</v>
      </c>
      <c r="I183" s="27" t="str">
        <f>IFERROR(__xludf.DUMMYFUNCTION("SPARKLINE(SUM(I184:I188), {""charttype"", ""bar""; ""max"", J183; ""color1"", ""green""})"),"")</f>
        <v/>
      </c>
      <c r="J183" s="28">
        <f>COUNT(I184:I188)</f>
        <v>5</v>
      </c>
      <c r="K183" s="28" t="str">
        <f>IF(ISNUMBER(#REF!), #REF!, "")</f>
        <v/>
      </c>
      <c r="L183" s="17"/>
      <c r="M183" s="29">
        <f>MIN(M184:M188)</f>
        <v>0</v>
      </c>
      <c r="N183" s="29">
        <f>MAX(N184:N188)</f>
        <v>0</v>
      </c>
      <c r="O183" s="30"/>
      <c r="P183" s="30"/>
      <c r="Q183" s="29"/>
      <c r="R183" s="31">
        <f>SUM(R184:R188)</f>
        <v>0</v>
      </c>
      <c r="S183" s="31" t="str">
        <f t="shared" si="35"/>
        <v>MVP</v>
      </c>
      <c r="T183" s="32" t="str">
        <f t="shared" si="36"/>
        <v>114</v>
      </c>
      <c r="U183" s="33" t="str">
        <f>CONCATENATE(C183, " - ",E183)</f>
        <v>Build a PC for Ansys - Shorts</v>
      </c>
      <c r="V183" s="31"/>
      <c r="W183" s="31"/>
    </row>
    <row r="184" ht="21.75" hidden="1" customHeight="1" outlineLevel="2">
      <c r="A184" s="20"/>
      <c r="B184" s="21" t="s">
        <v>370</v>
      </c>
      <c r="C184" s="22"/>
      <c r="D184" s="22" t="s">
        <v>25</v>
      </c>
      <c r="E184" s="24" t="s">
        <v>179</v>
      </c>
      <c r="F184" s="25" t="s">
        <v>22</v>
      </c>
      <c r="G184" s="24"/>
      <c r="H184" s="35">
        <v>45241.0</v>
      </c>
      <c r="I184" s="27">
        <f t="shared" ref="I184:I188" si="45">IFERROR(IF($E184="Done", 1, IF(OR($E184="Working on it", $E184="In Review", $E184="On Hold"), 0.5, IF($E184="Not Started", 0, ""))), 0)</f>
        <v>0</v>
      </c>
      <c r="J184" s="28"/>
      <c r="K184" s="28"/>
      <c r="L184" s="17"/>
      <c r="M184" s="29"/>
      <c r="N184" s="29"/>
      <c r="O184" s="30"/>
      <c r="P184" s="30"/>
      <c r="Q184" s="29"/>
      <c r="R184" s="31"/>
      <c r="S184" s="31" t="str">
        <f t="shared" si="35"/>
        <v>MVP</v>
      </c>
      <c r="T184" s="32" t="str">
        <f t="shared" si="36"/>
        <v>114.01</v>
      </c>
      <c r="U184" s="33"/>
      <c r="V184" s="31"/>
      <c r="W184" s="31"/>
    </row>
    <row r="185" ht="21.75" hidden="1" customHeight="1" outlineLevel="2">
      <c r="A185" s="20"/>
      <c r="B185" s="21" t="s">
        <v>371</v>
      </c>
      <c r="C185" s="22"/>
      <c r="D185" s="22" t="s">
        <v>33</v>
      </c>
      <c r="E185" s="24" t="s">
        <v>179</v>
      </c>
      <c r="F185" s="25" t="s">
        <v>34</v>
      </c>
      <c r="G185" s="24"/>
      <c r="H185" s="35">
        <v>45242.0</v>
      </c>
      <c r="I185" s="27">
        <f t="shared" si="45"/>
        <v>0</v>
      </c>
      <c r="J185" s="28"/>
      <c r="K185" s="28"/>
      <c r="L185" s="17"/>
      <c r="M185" s="29"/>
      <c r="N185" s="29"/>
      <c r="O185" s="30"/>
      <c r="P185" s="30"/>
      <c r="Q185" s="29"/>
      <c r="R185" s="31"/>
      <c r="S185" s="31" t="str">
        <f t="shared" si="35"/>
        <v>MVP</v>
      </c>
      <c r="T185" s="32" t="str">
        <f t="shared" si="36"/>
        <v>114.02</v>
      </c>
      <c r="U185" s="33"/>
      <c r="V185" s="31"/>
      <c r="W185" s="31"/>
    </row>
    <row r="186" ht="21.75" hidden="1" customHeight="1" outlineLevel="2">
      <c r="A186" s="20"/>
      <c r="B186" s="21" t="s">
        <v>372</v>
      </c>
      <c r="C186" s="22"/>
      <c r="D186" s="22" t="s">
        <v>40</v>
      </c>
      <c r="E186" s="24" t="s">
        <v>179</v>
      </c>
      <c r="F186" s="25" t="s">
        <v>71</v>
      </c>
      <c r="G186" s="24"/>
      <c r="H186" s="35">
        <v>45245.0</v>
      </c>
      <c r="I186" s="27">
        <f t="shared" si="45"/>
        <v>0</v>
      </c>
      <c r="J186" s="28"/>
      <c r="K186" s="28"/>
      <c r="L186" s="17"/>
      <c r="M186" s="29"/>
      <c r="N186" s="29"/>
      <c r="O186" s="30"/>
      <c r="P186" s="30"/>
      <c r="Q186" s="29"/>
      <c r="R186" s="31"/>
      <c r="S186" s="31" t="str">
        <f t="shared" si="35"/>
        <v>MVP</v>
      </c>
      <c r="T186" s="32" t="str">
        <f t="shared" si="36"/>
        <v>114.05</v>
      </c>
      <c r="U186" s="33"/>
      <c r="V186" s="31"/>
      <c r="W186" s="31"/>
    </row>
    <row r="187" ht="21.75" hidden="1" customHeight="1" outlineLevel="2">
      <c r="A187" s="20"/>
      <c r="B187" s="21" t="s">
        <v>373</v>
      </c>
      <c r="C187" s="22"/>
      <c r="D187" s="22" t="s">
        <v>45</v>
      </c>
      <c r="E187" s="24" t="s">
        <v>179</v>
      </c>
      <c r="F187" s="25" t="s">
        <v>41</v>
      </c>
      <c r="G187" s="24"/>
      <c r="H187" s="35">
        <v>45246.0</v>
      </c>
      <c r="I187" s="27">
        <f t="shared" si="45"/>
        <v>0</v>
      </c>
      <c r="J187" s="28"/>
      <c r="K187" s="28"/>
      <c r="L187" s="17"/>
      <c r="M187" s="29"/>
      <c r="N187" s="29"/>
      <c r="O187" s="30"/>
      <c r="P187" s="30"/>
      <c r="Q187" s="29"/>
      <c r="R187" s="31"/>
      <c r="S187" s="31" t="str">
        <f t="shared" si="35"/>
        <v>MVP</v>
      </c>
      <c r="T187" s="32" t="str">
        <f t="shared" si="36"/>
        <v>114.06</v>
      </c>
      <c r="U187" s="33"/>
      <c r="V187" s="31"/>
      <c r="W187" s="31"/>
    </row>
    <row r="188" ht="21.75" hidden="1" customHeight="1" outlineLevel="2">
      <c r="A188" s="20"/>
      <c r="B188" s="21" t="s">
        <v>374</v>
      </c>
      <c r="C188" s="22"/>
      <c r="D188" s="22" t="s">
        <v>47</v>
      </c>
      <c r="E188" s="24" t="s">
        <v>179</v>
      </c>
      <c r="F188" s="25" t="s">
        <v>27</v>
      </c>
      <c r="G188" s="24"/>
      <c r="H188" s="35">
        <v>45247.621675891205</v>
      </c>
      <c r="I188" s="27">
        <f t="shared" si="45"/>
        <v>0</v>
      </c>
      <c r="J188" s="28"/>
      <c r="K188" s="28"/>
      <c r="L188" s="17"/>
      <c r="M188" s="29"/>
      <c r="N188" s="29"/>
      <c r="O188" s="30"/>
      <c r="P188" s="30"/>
      <c r="Q188" s="29"/>
      <c r="R188" s="31"/>
      <c r="S188" s="31" t="str">
        <f t="shared" si="35"/>
        <v>MVP</v>
      </c>
      <c r="T188" s="32" t="str">
        <f t="shared" si="36"/>
        <v>114.07</v>
      </c>
      <c r="U188" s="33"/>
      <c r="V188" s="31"/>
      <c r="W188" s="31"/>
    </row>
    <row r="189" ht="21.75" customHeight="1" outlineLevel="1" collapsed="1">
      <c r="A189" s="20"/>
      <c r="B189" s="21" t="s">
        <v>375</v>
      </c>
      <c r="C189" s="22" t="s">
        <v>247</v>
      </c>
      <c r="D189" s="23"/>
      <c r="E189" s="24" t="s">
        <v>102</v>
      </c>
      <c r="F189" s="25" t="s">
        <v>22</v>
      </c>
      <c r="G189" s="24" t="s">
        <v>89</v>
      </c>
      <c r="H189" s="26">
        <f>MAX(H190:H191)</f>
        <v>45248</v>
      </c>
      <c r="I189" s="27" t="str">
        <f>IFERROR(__xludf.DUMMYFUNCTION("SPARKLINE(SUM(I190:I191), {""charttype"", ""bar""; ""max"", J189; ""color1"", ""green""})"),"")</f>
        <v/>
      </c>
      <c r="J189" s="28">
        <f>COUNT(I190:I191)</f>
        <v>2</v>
      </c>
      <c r="K189" s="28" t="str">
        <f>IF(ISNUMBER(B170), K170, "")</f>
        <v/>
      </c>
      <c r="L189" s="17"/>
      <c r="M189" s="29">
        <f>MIN(M190:M191)</f>
        <v>0</v>
      </c>
      <c r="N189" s="29">
        <f>MAX(N190:N191)</f>
        <v>0</v>
      </c>
      <c r="O189" s="30"/>
      <c r="P189" s="30"/>
      <c r="Q189" s="29"/>
      <c r="R189" s="31">
        <f>SUM(R190:R191)</f>
        <v>0</v>
      </c>
      <c r="S189" s="31" t="str">
        <f t="shared" si="35"/>
        <v>MVP</v>
      </c>
      <c r="T189" s="32" t="str">
        <f t="shared" si="36"/>
        <v>108</v>
      </c>
      <c r="U189" s="33" t="str">
        <f>CONCATENATE(C189, " - ",E189)</f>
        <v>Idea Pending - Tweet</v>
      </c>
      <c r="V189" s="31"/>
      <c r="W189" s="31"/>
    </row>
    <row r="190" ht="21.75" hidden="1" customHeight="1" outlineLevel="2">
      <c r="A190" s="20"/>
      <c r="B190" s="21" t="s">
        <v>376</v>
      </c>
      <c r="C190" s="22"/>
      <c r="D190" s="22" t="s">
        <v>25</v>
      </c>
      <c r="E190" s="24" t="s">
        <v>179</v>
      </c>
      <c r="F190" s="25" t="s">
        <v>27</v>
      </c>
      <c r="G190" s="24"/>
      <c r="H190" s="35">
        <v>45245.0</v>
      </c>
      <c r="I190" s="27">
        <f t="shared" ref="I190:I191" si="46">IFERROR(IF($E190="Done", 1, IF(OR($E190="Working on it", $E190="In Review", $E190="On Hold"), 0.5, IF($E190="Not Started", 0, ""))), 0)</f>
        <v>0</v>
      </c>
      <c r="J190" s="28"/>
      <c r="K190" s="28"/>
      <c r="L190" s="17"/>
      <c r="M190" s="29"/>
      <c r="N190" s="29"/>
      <c r="O190" s="30"/>
      <c r="P190" s="30"/>
      <c r="Q190" s="29"/>
      <c r="R190" s="31"/>
      <c r="S190" s="31" t="str">
        <f t="shared" si="35"/>
        <v>MVP</v>
      </c>
      <c r="T190" s="32" t="str">
        <f t="shared" si="36"/>
        <v>108.01</v>
      </c>
      <c r="U190" s="33"/>
      <c r="V190" s="31"/>
      <c r="W190" s="31"/>
    </row>
    <row r="191" ht="21.75" hidden="1" customHeight="1" outlineLevel="2">
      <c r="A191" s="20"/>
      <c r="B191" s="21" t="s">
        <v>377</v>
      </c>
      <c r="C191" s="22"/>
      <c r="D191" s="22" t="s">
        <v>47</v>
      </c>
      <c r="E191" s="24" t="s">
        <v>179</v>
      </c>
      <c r="F191" s="25" t="s">
        <v>27</v>
      </c>
      <c r="G191" s="24"/>
      <c r="H191" s="35">
        <v>45248.0</v>
      </c>
      <c r="I191" s="27">
        <f t="shared" si="46"/>
        <v>0</v>
      </c>
      <c r="J191" s="28"/>
      <c r="K191" s="28"/>
      <c r="L191" s="17"/>
      <c r="M191" s="29"/>
      <c r="N191" s="29"/>
      <c r="O191" s="30"/>
      <c r="P191" s="30"/>
      <c r="Q191" s="29"/>
      <c r="R191" s="31"/>
      <c r="S191" s="31" t="str">
        <f t="shared" si="35"/>
        <v>MVP</v>
      </c>
      <c r="T191" s="32" t="str">
        <f t="shared" si="36"/>
        <v>108.04</v>
      </c>
      <c r="U191" s="33"/>
      <c r="V191" s="31"/>
      <c r="W191" s="31"/>
    </row>
    <row r="192" ht="21.75" customHeight="1" outlineLevel="1" collapsed="1">
      <c r="A192" s="20"/>
      <c r="B192" s="21" t="s">
        <v>378</v>
      </c>
      <c r="C192" s="22" t="s">
        <v>379</v>
      </c>
      <c r="D192" s="23"/>
      <c r="E192" s="24" t="s">
        <v>97</v>
      </c>
      <c r="F192" s="25" t="s">
        <v>22</v>
      </c>
      <c r="G192" s="24" t="s">
        <v>23</v>
      </c>
      <c r="H192" s="26">
        <f>MAX(H193:H196)</f>
        <v>45248</v>
      </c>
      <c r="I192" s="27" t="str">
        <f>IFERROR(__xludf.DUMMYFUNCTION("SPARKLINE(SUM(I193:I196), {""charttype"", ""bar""; ""max"", J192; ""color1"", ""green""})"),"")</f>
        <v/>
      </c>
      <c r="J192" s="28">
        <f>COUNT(I193:I196)</f>
        <v>4</v>
      </c>
      <c r="K192" s="28" t="str">
        <f>IF(ISNUMBER(B221), K221, "")</f>
        <v/>
      </c>
      <c r="L192" s="17"/>
      <c r="M192" s="29">
        <f>MIN(M193:M196)</f>
        <v>0</v>
      </c>
      <c r="N192" s="29">
        <f>MAX(N193:N196)</f>
        <v>0</v>
      </c>
      <c r="O192" s="30"/>
      <c r="P192" s="30"/>
      <c r="Q192" s="29"/>
      <c r="R192" s="31">
        <f>SUM(R193:R196)</f>
        <v>0</v>
      </c>
      <c r="S192" s="31" t="str">
        <f t="shared" si="35"/>
        <v>MVP</v>
      </c>
      <c r="T192" s="32" t="str">
        <f t="shared" si="36"/>
        <v>111</v>
      </c>
      <c r="U192" s="33" t="str">
        <f>CONCATENATE(C192, " - ",E192)</f>
        <v>Workstation for AR Dev. - Linkedin</v>
      </c>
      <c r="V192" s="31"/>
      <c r="W192" s="31"/>
    </row>
    <row r="193" ht="21.75" hidden="1" customHeight="1" outlineLevel="2">
      <c r="A193" s="20"/>
      <c r="B193" s="21" t="s">
        <v>380</v>
      </c>
      <c r="C193" s="22"/>
      <c r="D193" s="22" t="s">
        <v>25</v>
      </c>
      <c r="E193" s="24" t="s">
        <v>179</v>
      </c>
      <c r="F193" s="25" t="s">
        <v>22</v>
      </c>
      <c r="G193" s="24"/>
      <c r="H193" s="35">
        <v>45245.0</v>
      </c>
      <c r="I193" s="27">
        <f t="shared" ref="I193:I196" si="47">IFERROR(IF($E193="Done", 1, IF(OR($E193="Working on it", $E193="In Review", $E193="On Hold"), 0.5, IF($E193="Not Started", 0, ""))), 0)</f>
        <v>0</v>
      </c>
      <c r="J193" s="28"/>
      <c r="K193" s="28"/>
      <c r="L193" s="17"/>
      <c r="M193" s="29"/>
      <c r="N193" s="29"/>
      <c r="O193" s="30"/>
      <c r="P193" s="30"/>
      <c r="Q193" s="29"/>
      <c r="R193" s="31"/>
      <c r="S193" s="31" t="str">
        <f t="shared" si="35"/>
        <v>MVP</v>
      </c>
      <c r="T193" s="32" t="str">
        <f t="shared" si="36"/>
        <v>111.01</v>
      </c>
      <c r="U193" s="33"/>
      <c r="V193" s="31"/>
      <c r="W193" s="31"/>
    </row>
    <row r="194" ht="21.75" hidden="1" customHeight="1" outlineLevel="2">
      <c r="A194" s="20"/>
      <c r="B194" s="21" t="s">
        <v>381</v>
      </c>
      <c r="C194" s="22"/>
      <c r="D194" s="22" t="s">
        <v>40</v>
      </c>
      <c r="E194" s="24" t="s">
        <v>179</v>
      </c>
      <c r="F194" s="25" t="s">
        <v>22</v>
      </c>
      <c r="G194" s="24"/>
      <c r="H194" s="35">
        <v>45246.0</v>
      </c>
      <c r="I194" s="27">
        <f t="shared" si="47"/>
        <v>0</v>
      </c>
      <c r="J194" s="28"/>
      <c r="K194" s="28"/>
      <c r="L194" s="17"/>
      <c r="M194" s="29"/>
      <c r="N194" s="29"/>
      <c r="O194" s="30"/>
      <c r="P194" s="30"/>
      <c r="Q194" s="29"/>
      <c r="R194" s="31"/>
      <c r="S194" s="31" t="str">
        <f t="shared" si="35"/>
        <v>MVP</v>
      </c>
      <c r="T194" s="32" t="str">
        <f t="shared" si="36"/>
        <v>111.02</v>
      </c>
      <c r="U194" s="33"/>
      <c r="V194" s="31"/>
      <c r="W194" s="31"/>
    </row>
    <row r="195" ht="21.75" hidden="1" customHeight="1" outlineLevel="2">
      <c r="A195" s="20"/>
      <c r="B195" s="21" t="s">
        <v>382</v>
      </c>
      <c r="C195" s="22"/>
      <c r="D195" s="22" t="s">
        <v>274</v>
      </c>
      <c r="E195" s="24" t="s">
        <v>179</v>
      </c>
      <c r="F195" s="25" t="s">
        <v>22</v>
      </c>
      <c r="G195" s="24"/>
      <c r="H195" s="35">
        <v>45247.0</v>
      </c>
      <c r="I195" s="27">
        <f t="shared" si="47"/>
        <v>0</v>
      </c>
      <c r="J195" s="28"/>
      <c r="K195" s="28"/>
      <c r="L195" s="17"/>
      <c r="M195" s="29"/>
      <c r="N195" s="29"/>
      <c r="O195" s="30"/>
      <c r="P195" s="30"/>
      <c r="Q195" s="29"/>
      <c r="R195" s="31"/>
      <c r="S195" s="31" t="str">
        <f t="shared" si="35"/>
        <v>MVP</v>
      </c>
      <c r="T195" s="32" t="str">
        <f t="shared" si="36"/>
        <v>111.03</v>
      </c>
      <c r="U195" s="33"/>
      <c r="V195" s="31"/>
      <c r="W195" s="31"/>
    </row>
    <row r="196" ht="21.75" hidden="1" customHeight="1" outlineLevel="2">
      <c r="A196" s="20"/>
      <c r="B196" s="21" t="s">
        <v>383</v>
      </c>
      <c r="C196" s="22"/>
      <c r="D196" s="22" t="s">
        <v>47</v>
      </c>
      <c r="E196" s="24" t="s">
        <v>179</v>
      </c>
      <c r="F196" s="25" t="s">
        <v>22</v>
      </c>
      <c r="G196" s="24"/>
      <c r="H196" s="35">
        <v>45248.0</v>
      </c>
      <c r="I196" s="27">
        <f t="shared" si="47"/>
        <v>0</v>
      </c>
      <c r="J196" s="28"/>
      <c r="K196" s="28"/>
      <c r="L196" s="17"/>
      <c r="M196" s="29"/>
      <c r="N196" s="29"/>
      <c r="O196" s="30"/>
      <c r="P196" s="30"/>
      <c r="Q196" s="29"/>
      <c r="R196" s="31"/>
      <c r="S196" s="31" t="str">
        <f t="shared" si="35"/>
        <v>MVP</v>
      </c>
      <c r="T196" s="32" t="str">
        <f t="shared" si="36"/>
        <v>111.04</v>
      </c>
      <c r="U196" s="33"/>
      <c r="V196" s="31"/>
      <c r="W196" s="31"/>
    </row>
    <row r="197" ht="21.75" customHeight="1" outlineLevel="1" collapsed="1">
      <c r="A197" s="20"/>
      <c r="B197" s="21" t="s">
        <v>384</v>
      </c>
      <c r="C197" s="22" t="s">
        <v>385</v>
      </c>
      <c r="D197" s="23"/>
      <c r="E197" s="24" t="s">
        <v>51</v>
      </c>
      <c r="F197" s="25" t="s">
        <v>22</v>
      </c>
      <c r="G197" s="24" t="s">
        <v>89</v>
      </c>
      <c r="H197" s="26">
        <f>MAX(H198:H201)</f>
        <v>45249</v>
      </c>
      <c r="I197" s="27" t="str">
        <f>IFERROR(__xludf.DUMMYFUNCTION("SPARKLINE(SUM(I198:I201), {""charttype"", ""bar""; ""max"", J197; ""color1"", ""green""})"),"")</f>
        <v/>
      </c>
      <c r="J197" s="28">
        <f>COUNT(I198:I201)</f>
        <v>4</v>
      </c>
      <c r="K197" s="28" t="str">
        <f>IF(ISNUMBER(B221), K221, "")</f>
        <v/>
      </c>
      <c r="L197" s="17"/>
      <c r="M197" s="29">
        <f>MIN(M198:M201)</f>
        <v>45240.64944</v>
      </c>
      <c r="N197" s="29">
        <f>MAX(N198:N201)</f>
        <v>0</v>
      </c>
      <c r="O197" s="30"/>
      <c r="P197" s="30"/>
      <c r="Q197" s="29"/>
      <c r="R197" s="31">
        <f>SUM(R198:R201)</f>
        <v>0</v>
      </c>
      <c r="S197" s="31" t="str">
        <f t="shared" si="35"/>
        <v>MVP</v>
      </c>
      <c r="T197" s="32" t="str">
        <f t="shared" si="36"/>
        <v>113</v>
      </c>
      <c r="U197" s="33" t="str">
        <f>CONCATENATE(C197, " - ",E197)</f>
        <v>Build Photo - Enthoo Case - Insta</v>
      </c>
      <c r="V197" s="31"/>
      <c r="W197" s="31"/>
    </row>
    <row r="198" ht="21.75" hidden="1" customHeight="1" outlineLevel="2">
      <c r="A198" s="20"/>
      <c r="B198" s="21" t="s">
        <v>386</v>
      </c>
      <c r="C198" s="22"/>
      <c r="D198" s="22" t="s">
        <v>25</v>
      </c>
      <c r="E198" s="24" t="s">
        <v>179</v>
      </c>
      <c r="F198" s="25" t="s">
        <v>41</v>
      </c>
      <c r="G198" s="24"/>
      <c r="H198" s="35">
        <v>45246.0</v>
      </c>
      <c r="I198" s="27">
        <f t="shared" ref="I198:I201" si="48">IFERROR(IF($E198="Done", 1, IF(OR($E198="Working on it", $E198="In Review", $E198="On Hold"), 0.5, IF($E198="Not Started", 0, ""))), 0)</f>
        <v>0</v>
      </c>
      <c r="J198" s="28"/>
      <c r="K198" s="28"/>
      <c r="L198" s="17"/>
      <c r="M198" s="29"/>
      <c r="N198" s="29"/>
      <c r="O198" s="30"/>
      <c r="P198" s="30"/>
      <c r="Q198" s="29"/>
      <c r="R198" s="31"/>
      <c r="S198" s="31" t="str">
        <f t="shared" si="35"/>
        <v>MVP</v>
      </c>
      <c r="T198" s="32" t="str">
        <f t="shared" si="36"/>
        <v>113.01</v>
      </c>
      <c r="U198" s="33"/>
      <c r="V198" s="31"/>
      <c r="W198" s="31"/>
    </row>
    <row r="199" ht="21.75" hidden="1" customHeight="1" outlineLevel="2">
      <c r="A199" s="20"/>
      <c r="B199" s="21" t="s">
        <v>387</v>
      </c>
      <c r="C199" s="22"/>
      <c r="D199" s="22" t="s">
        <v>33</v>
      </c>
      <c r="E199" s="24" t="s">
        <v>388</v>
      </c>
      <c r="F199" s="25" t="s">
        <v>34</v>
      </c>
      <c r="G199" s="24"/>
      <c r="H199" s="35">
        <v>45240.0</v>
      </c>
      <c r="I199" s="27">
        <f t="shared" si="48"/>
        <v>0.5</v>
      </c>
      <c r="J199" s="28"/>
      <c r="K199" s="28"/>
      <c r="L199" s="17"/>
      <c r="M199" s="29">
        <v>45240.64943972223</v>
      </c>
      <c r="N199" s="29"/>
      <c r="O199" s="36" t="s">
        <v>389</v>
      </c>
      <c r="P199" s="30"/>
      <c r="Q199" s="37" t="s">
        <v>309</v>
      </c>
      <c r="R199" s="31"/>
      <c r="S199" s="31" t="str">
        <f t="shared" si="35"/>
        <v>MVP</v>
      </c>
      <c r="T199" s="32" t="str">
        <f t="shared" si="36"/>
        <v>113.02</v>
      </c>
      <c r="U199" s="33"/>
      <c r="V199" s="31"/>
      <c r="W199" s="31"/>
    </row>
    <row r="200" ht="21.75" hidden="1" customHeight="1" outlineLevel="2">
      <c r="A200" s="20"/>
      <c r="B200" s="21" t="s">
        <v>390</v>
      </c>
      <c r="C200" s="22"/>
      <c r="D200" s="22" t="s">
        <v>40</v>
      </c>
      <c r="E200" s="24" t="s">
        <v>179</v>
      </c>
      <c r="F200" s="25" t="s">
        <v>41</v>
      </c>
      <c r="G200" s="24"/>
      <c r="H200" s="35">
        <v>45248.0</v>
      </c>
      <c r="I200" s="27">
        <f t="shared" si="48"/>
        <v>0</v>
      </c>
      <c r="J200" s="28"/>
      <c r="K200" s="28"/>
      <c r="L200" s="17"/>
      <c r="M200" s="29"/>
      <c r="N200" s="29"/>
      <c r="O200" s="30"/>
      <c r="P200" s="30"/>
      <c r="Q200" s="29"/>
      <c r="R200" s="31"/>
      <c r="S200" s="31" t="str">
        <f t="shared" si="35"/>
        <v>MVP</v>
      </c>
      <c r="T200" s="32" t="str">
        <f t="shared" si="36"/>
        <v>113.03</v>
      </c>
      <c r="U200" s="33"/>
      <c r="V200" s="31"/>
      <c r="W200" s="31"/>
    </row>
    <row r="201" ht="21.75" hidden="1" customHeight="1" outlineLevel="2">
      <c r="A201" s="20"/>
      <c r="B201" s="21" t="s">
        <v>391</v>
      </c>
      <c r="C201" s="22"/>
      <c r="D201" s="22" t="s">
        <v>47</v>
      </c>
      <c r="E201" s="24" t="s">
        <v>179</v>
      </c>
      <c r="F201" s="25" t="s">
        <v>41</v>
      </c>
      <c r="G201" s="24"/>
      <c r="H201" s="35">
        <v>45249.0</v>
      </c>
      <c r="I201" s="27">
        <f t="shared" si="48"/>
        <v>0</v>
      </c>
      <c r="J201" s="28"/>
      <c r="K201" s="28"/>
      <c r="L201" s="17"/>
      <c r="M201" s="29"/>
      <c r="N201" s="29"/>
      <c r="O201" s="30"/>
      <c r="P201" s="30"/>
      <c r="Q201" s="29"/>
      <c r="R201" s="31"/>
      <c r="S201" s="31" t="str">
        <f t="shared" si="35"/>
        <v>MVP</v>
      </c>
      <c r="T201" s="32" t="str">
        <f t="shared" si="36"/>
        <v>113.04</v>
      </c>
      <c r="U201" s="33"/>
      <c r="V201" s="31"/>
      <c r="W201" s="31"/>
    </row>
    <row r="202" ht="21.75" customHeight="1" outlineLevel="1" collapsed="1">
      <c r="A202" s="20"/>
      <c r="B202" s="21" t="s">
        <v>392</v>
      </c>
      <c r="C202" s="22" t="s">
        <v>393</v>
      </c>
      <c r="D202" s="23"/>
      <c r="E202" s="24" t="s">
        <v>21</v>
      </c>
      <c r="F202" s="25" t="s">
        <v>22</v>
      </c>
      <c r="G202" s="24" t="s">
        <v>63</v>
      </c>
      <c r="H202" s="26">
        <f>MAX(H203:H208)</f>
        <v>45250</v>
      </c>
      <c r="I202" s="27" t="str">
        <f>IFERROR(__xludf.DUMMYFUNCTION("SPARKLINE(SUM(I203:I208), {""charttype"", ""bar""; ""max"", J202; ""color1"", ""green""})"),"")</f>
        <v/>
      </c>
      <c r="J202" s="28">
        <f>COUNT(I203:I208)</f>
        <v>6</v>
      </c>
      <c r="K202" s="28" t="str">
        <f>IF(ISNUMBER(B291), K291, "")</f>
        <v/>
      </c>
      <c r="L202" s="17"/>
      <c r="M202" s="29">
        <f>MIN(M203:M208)</f>
        <v>0</v>
      </c>
      <c r="N202" s="29">
        <f>MAX(N203:N208)</f>
        <v>0</v>
      </c>
      <c r="O202" s="30"/>
      <c r="P202" s="30"/>
      <c r="Q202" s="29"/>
      <c r="R202" s="31">
        <f>SUM(R203:R208)</f>
        <v>0</v>
      </c>
      <c r="S202" s="31" t="str">
        <f t="shared" si="35"/>
        <v>MVP</v>
      </c>
      <c r="T202" s="32" t="str">
        <f t="shared" si="36"/>
        <v>112</v>
      </c>
      <c r="U202" s="33" t="str">
        <f>CONCATENATE(C202, " - ",E202)</f>
        <v>How CPU works in 60 seconds - Shorts</v>
      </c>
      <c r="V202" s="31"/>
      <c r="W202" s="31"/>
    </row>
    <row r="203" ht="21.75" hidden="1" customHeight="1" outlineLevel="2">
      <c r="A203" s="20"/>
      <c r="B203" s="21" t="s">
        <v>394</v>
      </c>
      <c r="C203" s="22"/>
      <c r="D203" s="22" t="s">
        <v>25</v>
      </c>
      <c r="E203" s="24" t="s">
        <v>179</v>
      </c>
      <c r="F203" s="25" t="s">
        <v>27</v>
      </c>
      <c r="G203" s="24"/>
      <c r="H203" s="35">
        <v>45244.0</v>
      </c>
      <c r="I203" s="27">
        <f t="shared" ref="I203:I208" si="49">IFERROR(IF($E203="Done", 1, IF(OR($E203="Working on it", $E203="In Review", $E203="On Hold"), 0.5, IF($E203="Not Started", 0, ""))), 0)</f>
        <v>0</v>
      </c>
      <c r="J203" s="28"/>
      <c r="K203" s="28"/>
      <c r="L203" s="17"/>
      <c r="M203" s="29"/>
      <c r="N203" s="29"/>
      <c r="O203" s="30"/>
      <c r="P203" s="30"/>
      <c r="Q203" s="29"/>
      <c r="R203" s="31"/>
      <c r="S203" s="31" t="str">
        <f t="shared" si="35"/>
        <v>MVP</v>
      </c>
      <c r="T203" s="32" t="str">
        <f t="shared" si="36"/>
        <v>112.01</v>
      </c>
      <c r="U203" s="33"/>
      <c r="V203" s="31"/>
      <c r="W203" s="31"/>
    </row>
    <row r="204" ht="21.75" hidden="1" customHeight="1" outlineLevel="2">
      <c r="A204" s="20"/>
      <c r="B204" s="21" t="s">
        <v>395</v>
      </c>
      <c r="C204" s="22"/>
      <c r="D204" s="22" t="s">
        <v>33</v>
      </c>
      <c r="E204" s="24" t="s">
        <v>179</v>
      </c>
      <c r="F204" s="25" t="s">
        <v>34</v>
      </c>
      <c r="G204" s="24"/>
      <c r="H204" s="35">
        <v>45245.0</v>
      </c>
      <c r="I204" s="27">
        <f t="shared" si="49"/>
        <v>0</v>
      </c>
      <c r="J204" s="28"/>
      <c r="K204" s="28"/>
      <c r="L204" s="17"/>
      <c r="M204" s="29"/>
      <c r="N204" s="29"/>
      <c r="O204" s="30"/>
      <c r="P204" s="30"/>
      <c r="Q204" s="29"/>
      <c r="R204" s="31"/>
      <c r="S204" s="31" t="str">
        <f t="shared" si="35"/>
        <v>MVP</v>
      </c>
      <c r="T204" s="32" t="str">
        <f t="shared" si="36"/>
        <v>112.02</v>
      </c>
      <c r="U204" s="33"/>
      <c r="V204" s="31"/>
      <c r="W204" s="31"/>
    </row>
    <row r="205" ht="21.75" hidden="1" customHeight="1" outlineLevel="2">
      <c r="A205" s="20"/>
      <c r="B205" s="21" t="s">
        <v>396</v>
      </c>
      <c r="C205" s="22"/>
      <c r="D205" s="22" t="s">
        <v>38</v>
      </c>
      <c r="E205" s="24" t="s">
        <v>179</v>
      </c>
      <c r="F205" s="25" t="s">
        <v>27</v>
      </c>
      <c r="G205" s="24"/>
      <c r="H205" s="35">
        <v>45247.0</v>
      </c>
      <c r="I205" s="27">
        <f t="shared" si="49"/>
        <v>0</v>
      </c>
      <c r="J205" s="28"/>
      <c r="K205" s="28"/>
      <c r="L205" s="17"/>
      <c r="M205" s="29"/>
      <c r="N205" s="29"/>
      <c r="O205" s="30"/>
      <c r="P205" s="30"/>
      <c r="Q205" s="29"/>
      <c r="R205" s="31"/>
      <c r="S205" s="31" t="str">
        <f t="shared" si="35"/>
        <v>MVP</v>
      </c>
      <c r="T205" s="32" t="str">
        <f t="shared" si="36"/>
        <v>112.04</v>
      </c>
      <c r="U205" s="33"/>
      <c r="V205" s="31"/>
      <c r="W205" s="31"/>
    </row>
    <row r="206" ht="21.75" hidden="1" customHeight="1" outlineLevel="2">
      <c r="A206" s="20"/>
      <c r="B206" s="21" t="s">
        <v>397</v>
      </c>
      <c r="C206" s="22"/>
      <c r="D206" s="22" t="s">
        <v>40</v>
      </c>
      <c r="E206" s="24" t="s">
        <v>179</v>
      </c>
      <c r="F206" s="25" t="s">
        <v>34</v>
      </c>
      <c r="G206" s="24"/>
      <c r="H206" s="35">
        <v>45248.0</v>
      </c>
      <c r="I206" s="27">
        <f t="shared" si="49"/>
        <v>0</v>
      </c>
      <c r="J206" s="28"/>
      <c r="K206" s="28"/>
      <c r="L206" s="17"/>
      <c r="M206" s="29"/>
      <c r="N206" s="29"/>
      <c r="O206" s="30"/>
      <c r="P206" s="30"/>
      <c r="Q206" s="29"/>
      <c r="R206" s="31"/>
      <c r="S206" s="31" t="str">
        <f t="shared" si="35"/>
        <v>MVP</v>
      </c>
      <c r="T206" s="32" t="str">
        <f t="shared" si="36"/>
        <v>112.05</v>
      </c>
      <c r="U206" s="33"/>
      <c r="V206" s="31"/>
      <c r="W206" s="31"/>
    </row>
    <row r="207" ht="21.75" hidden="1" customHeight="1" outlineLevel="2">
      <c r="A207" s="20"/>
      <c r="B207" s="21" t="s">
        <v>398</v>
      </c>
      <c r="C207" s="22"/>
      <c r="D207" s="22" t="s">
        <v>45</v>
      </c>
      <c r="E207" s="24" t="s">
        <v>179</v>
      </c>
      <c r="F207" s="25" t="s">
        <v>41</v>
      </c>
      <c r="G207" s="24"/>
      <c r="H207" s="35">
        <v>45249.0</v>
      </c>
      <c r="I207" s="27">
        <f t="shared" si="49"/>
        <v>0</v>
      </c>
      <c r="J207" s="28"/>
      <c r="K207" s="28"/>
      <c r="L207" s="17"/>
      <c r="M207" s="29"/>
      <c r="N207" s="29"/>
      <c r="O207" s="30"/>
      <c r="P207" s="30"/>
      <c r="Q207" s="29"/>
      <c r="R207" s="31"/>
      <c r="S207" s="31" t="str">
        <f t="shared" si="35"/>
        <v>MVP</v>
      </c>
      <c r="T207" s="32" t="str">
        <f t="shared" si="36"/>
        <v>112.06</v>
      </c>
      <c r="U207" s="33"/>
      <c r="V207" s="31"/>
      <c r="W207" s="31"/>
    </row>
    <row r="208" ht="21.75" hidden="1" customHeight="1" outlineLevel="2">
      <c r="A208" s="20"/>
      <c r="B208" s="21" t="s">
        <v>399</v>
      </c>
      <c r="C208" s="22"/>
      <c r="D208" s="22" t="s">
        <v>47</v>
      </c>
      <c r="E208" s="24" t="s">
        <v>179</v>
      </c>
      <c r="F208" s="25" t="s">
        <v>27</v>
      </c>
      <c r="G208" s="24"/>
      <c r="H208" s="35">
        <v>45250.0</v>
      </c>
      <c r="I208" s="27">
        <f t="shared" si="49"/>
        <v>0</v>
      </c>
      <c r="J208" s="28"/>
      <c r="K208" s="28"/>
      <c r="L208" s="17"/>
      <c r="M208" s="29"/>
      <c r="N208" s="29"/>
      <c r="O208" s="30"/>
      <c r="P208" s="30"/>
      <c r="Q208" s="29"/>
      <c r="R208" s="31"/>
      <c r="S208" s="31" t="str">
        <f t="shared" si="35"/>
        <v>MVP</v>
      </c>
      <c r="T208" s="32" t="str">
        <f t="shared" si="36"/>
        <v>112.07</v>
      </c>
      <c r="U208" s="33"/>
      <c r="V208" s="31"/>
      <c r="W208" s="31"/>
    </row>
    <row r="209" ht="21.75" customHeight="1" outlineLevel="1" collapsed="1">
      <c r="A209" s="20"/>
      <c r="B209" s="21" t="s">
        <v>400</v>
      </c>
      <c r="C209" s="22" t="s">
        <v>177</v>
      </c>
      <c r="D209" s="23"/>
      <c r="E209" s="24" t="s">
        <v>97</v>
      </c>
      <c r="F209" s="25" t="s">
        <v>22</v>
      </c>
      <c r="G209" s="24" t="s">
        <v>89</v>
      </c>
      <c r="H209" s="26">
        <f>MAX(H210:H211)</f>
        <v>45250</v>
      </c>
      <c r="I209" s="27" t="str">
        <f>IFERROR(__xludf.DUMMYFUNCTION("SPARKLINE(SUM(I210:I211), {""charttype"", ""bar""; ""max"", J209; ""color1"", ""green""})"),"")</f>
        <v/>
      </c>
      <c r="J209" s="28">
        <f>COUNT(I210:I211)</f>
        <v>2</v>
      </c>
      <c r="K209" s="28" t="str">
        <f>IF(ISNUMBER(#REF!), #REF!, "")</f>
        <v/>
      </c>
      <c r="L209" s="17"/>
      <c r="M209" s="29">
        <f>MIN(M210:M211)</f>
        <v>0</v>
      </c>
      <c r="N209" s="29">
        <f>MAX(N210:N211)</f>
        <v>0</v>
      </c>
      <c r="O209" s="30"/>
      <c r="P209" s="30"/>
      <c r="Q209" s="29"/>
      <c r="R209" s="31">
        <f>SUM(R210:R211)</f>
        <v>0</v>
      </c>
      <c r="S209" s="31" t="str">
        <f t="shared" si="35"/>
        <v>MVP</v>
      </c>
      <c r="T209" s="32" t="str">
        <f t="shared" si="36"/>
        <v>104</v>
      </c>
      <c r="U209" s="33" t="str">
        <f>CONCATENATE(C209, " - ",E209)</f>
        <v>TrueNAS Setup - Linkedin</v>
      </c>
      <c r="V209" s="31"/>
      <c r="W209" s="31"/>
    </row>
    <row r="210" ht="21.75" hidden="1" customHeight="1" outlineLevel="2">
      <c r="A210" s="20"/>
      <c r="B210" s="21" t="s">
        <v>401</v>
      </c>
      <c r="C210" s="22"/>
      <c r="D210" s="22" t="s">
        <v>25</v>
      </c>
      <c r="E210" s="24" t="s">
        <v>179</v>
      </c>
      <c r="F210" s="25" t="s">
        <v>131</v>
      </c>
      <c r="G210" s="24"/>
      <c r="H210" s="35">
        <v>45248.0</v>
      </c>
      <c r="I210" s="27">
        <f t="shared" ref="I210:I211" si="50">IFERROR(IF($E210="Done", 1, IF(OR($E210="Working on it", $E210="In Review", $E210="On Hold"), 0.5, IF($E210="Not Started", 0, ""))), 0)</f>
        <v>0</v>
      </c>
      <c r="J210" s="28"/>
      <c r="K210" s="28"/>
      <c r="L210" s="17"/>
      <c r="M210" s="29"/>
      <c r="N210" s="29"/>
      <c r="O210" s="30"/>
      <c r="P210" s="30"/>
      <c r="Q210" s="29"/>
      <c r="R210" s="31"/>
      <c r="S210" s="31" t="str">
        <f t="shared" si="35"/>
        <v>MVP</v>
      </c>
      <c r="T210" s="32" t="str">
        <f t="shared" si="36"/>
        <v>104.02</v>
      </c>
      <c r="U210" s="33"/>
      <c r="V210" s="31"/>
      <c r="W210" s="31"/>
    </row>
    <row r="211" ht="21.75" hidden="1" customHeight="1" outlineLevel="2">
      <c r="A211" s="20"/>
      <c r="B211" s="21" t="s">
        <v>402</v>
      </c>
      <c r="C211" s="22"/>
      <c r="D211" s="22" t="s">
        <v>47</v>
      </c>
      <c r="E211" s="24" t="s">
        <v>179</v>
      </c>
      <c r="F211" s="25" t="s">
        <v>22</v>
      </c>
      <c r="G211" s="24"/>
      <c r="H211" s="35">
        <v>45250.0</v>
      </c>
      <c r="I211" s="27">
        <f t="shared" si="50"/>
        <v>0</v>
      </c>
      <c r="J211" s="28"/>
      <c r="K211" s="28"/>
      <c r="L211" s="17"/>
      <c r="M211" s="29"/>
      <c r="N211" s="29"/>
      <c r="O211" s="30"/>
      <c r="P211" s="30"/>
      <c r="Q211" s="29"/>
      <c r="R211" s="31"/>
      <c r="S211" s="31" t="str">
        <f t="shared" si="35"/>
        <v>MVP</v>
      </c>
      <c r="T211" s="32" t="str">
        <f t="shared" si="36"/>
        <v>104.04</v>
      </c>
      <c r="U211" s="33"/>
      <c r="V211" s="31"/>
      <c r="W211" s="31"/>
    </row>
    <row r="212" ht="21.75" customHeight="1" outlineLevel="1" collapsed="1">
      <c r="A212" s="20"/>
      <c r="B212" s="21" t="s">
        <v>403</v>
      </c>
      <c r="C212" s="22" t="s">
        <v>404</v>
      </c>
      <c r="D212" s="23"/>
      <c r="E212" s="24" t="s">
        <v>62</v>
      </c>
      <c r="F212" s="25" t="s">
        <v>22</v>
      </c>
      <c r="G212" s="24" t="s">
        <v>79</v>
      </c>
      <c r="H212" s="26">
        <f>MAX(H213:H218)</f>
        <v>45251</v>
      </c>
      <c r="I212" s="27" t="str">
        <f>IFERROR(__xludf.DUMMYFUNCTION("SPARKLINE(SUM(I213:I218), {""charttype"", ""bar""; ""max"", J212; ""color1"", ""green""})"),"")</f>
        <v/>
      </c>
      <c r="J212" s="28">
        <f>COUNT(I213:I218)</f>
        <v>6</v>
      </c>
      <c r="K212" s="28" t="str">
        <f>IF(ISNUMBER(B316), K316, "")</f>
        <v/>
      </c>
      <c r="L212" s="17"/>
      <c r="M212" s="29">
        <f>MIN(M213:M218)</f>
        <v>0</v>
      </c>
      <c r="N212" s="29">
        <f>MAX(N213:N218)</f>
        <v>0</v>
      </c>
      <c r="O212" s="30"/>
      <c r="P212" s="30"/>
      <c r="Q212" s="29"/>
      <c r="R212" s="31">
        <f>SUM(R213:R218)</f>
        <v>0</v>
      </c>
      <c r="S212" s="31" t="str">
        <f t="shared" si="35"/>
        <v>MVP</v>
      </c>
      <c r="T212" s="32" t="str">
        <f t="shared" si="36"/>
        <v>93</v>
      </c>
      <c r="U212" s="33" t="str">
        <f>CONCATENATE(C212, " - ",E212)</f>
        <v>Video Editing Category Review - YT Video</v>
      </c>
      <c r="V212" s="31"/>
      <c r="W212" s="31"/>
    </row>
    <row r="213" ht="21.75" hidden="1" customHeight="1" outlineLevel="2">
      <c r="A213" s="20"/>
      <c r="B213" s="21" t="s">
        <v>405</v>
      </c>
      <c r="C213" s="22"/>
      <c r="D213" s="22" t="s">
        <v>25</v>
      </c>
      <c r="E213" s="24" t="s">
        <v>179</v>
      </c>
      <c r="F213" s="25" t="s">
        <v>22</v>
      </c>
      <c r="G213" s="24"/>
      <c r="H213" s="35">
        <v>45247.0</v>
      </c>
      <c r="I213" s="27">
        <f t="shared" ref="I213:I218" si="51">IFERROR(IF($E213="Done", 1, IF(OR($E213="Working on it", $E213="In Review", $E213="On Hold"), 0.5, IF($E213="Not Started", 0, ""))), 0)</f>
        <v>0</v>
      </c>
      <c r="J213" s="28"/>
      <c r="K213" s="28"/>
      <c r="L213" s="17"/>
      <c r="M213" s="29"/>
      <c r="N213" s="29"/>
      <c r="O213" s="30"/>
      <c r="P213" s="30"/>
      <c r="Q213" s="29"/>
      <c r="R213" s="31"/>
      <c r="S213" s="31" t="str">
        <f t="shared" si="35"/>
        <v>MVP</v>
      </c>
      <c r="T213" s="32" t="str">
        <f t="shared" si="36"/>
        <v>93.01</v>
      </c>
      <c r="U213" s="33"/>
      <c r="V213" s="31"/>
      <c r="W213" s="31"/>
    </row>
    <row r="214" ht="21.75" hidden="1" customHeight="1" outlineLevel="2">
      <c r="A214" s="20"/>
      <c r="B214" s="21" t="s">
        <v>406</v>
      </c>
      <c r="C214" s="22"/>
      <c r="D214" s="22" t="s">
        <v>33</v>
      </c>
      <c r="E214" s="24" t="s">
        <v>179</v>
      </c>
      <c r="F214" s="25" t="s">
        <v>41</v>
      </c>
      <c r="G214" s="24"/>
      <c r="H214" s="35">
        <v>45248.0</v>
      </c>
      <c r="I214" s="27">
        <f t="shared" si="51"/>
        <v>0</v>
      </c>
      <c r="J214" s="28"/>
      <c r="K214" s="28"/>
      <c r="L214" s="17"/>
      <c r="M214" s="29"/>
      <c r="N214" s="29"/>
      <c r="O214" s="30"/>
      <c r="P214" s="30"/>
      <c r="Q214" s="29"/>
      <c r="R214" s="31"/>
      <c r="S214" s="31" t="str">
        <f t="shared" si="35"/>
        <v>MVP</v>
      </c>
      <c r="T214" s="32" t="str">
        <f t="shared" si="36"/>
        <v>93.02</v>
      </c>
      <c r="U214" s="33"/>
      <c r="V214" s="31"/>
      <c r="W214" s="31"/>
    </row>
    <row r="215" ht="21.75" hidden="1" customHeight="1" outlineLevel="2">
      <c r="A215" s="20"/>
      <c r="B215" s="21" t="s">
        <v>407</v>
      </c>
      <c r="C215" s="22"/>
      <c r="D215" s="22" t="s">
        <v>38</v>
      </c>
      <c r="E215" s="24" t="s">
        <v>179</v>
      </c>
      <c r="F215" s="25" t="s">
        <v>27</v>
      </c>
      <c r="G215" s="24"/>
      <c r="H215" s="35">
        <v>45249.0</v>
      </c>
      <c r="I215" s="27">
        <f t="shared" si="51"/>
        <v>0</v>
      </c>
      <c r="J215" s="28"/>
      <c r="K215" s="28"/>
      <c r="L215" s="17"/>
      <c r="M215" s="29"/>
      <c r="N215" s="29"/>
      <c r="O215" s="30"/>
      <c r="P215" s="30"/>
      <c r="Q215" s="29"/>
      <c r="R215" s="31"/>
      <c r="S215" s="31" t="str">
        <f t="shared" si="35"/>
        <v>MVP</v>
      </c>
      <c r="T215" s="32" t="str">
        <f t="shared" si="36"/>
        <v>93.03</v>
      </c>
      <c r="U215" s="33"/>
      <c r="V215" s="31"/>
      <c r="W215" s="31"/>
    </row>
    <row r="216" ht="21.75" hidden="1" customHeight="1" outlineLevel="2">
      <c r="A216" s="20"/>
      <c r="B216" s="21" t="s">
        <v>408</v>
      </c>
      <c r="C216" s="22"/>
      <c r="D216" s="22" t="s">
        <v>40</v>
      </c>
      <c r="E216" s="24" t="s">
        <v>179</v>
      </c>
      <c r="F216" s="25" t="s">
        <v>236</v>
      </c>
      <c r="G216" s="24"/>
      <c r="H216" s="35">
        <v>45250.0</v>
      </c>
      <c r="I216" s="27">
        <f t="shared" si="51"/>
        <v>0</v>
      </c>
      <c r="J216" s="28"/>
      <c r="K216" s="28"/>
      <c r="L216" s="17"/>
      <c r="M216" s="29"/>
      <c r="N216" s="29"/>
      <c r="O216" s="30"/>
      <c r="P216" s="30"/>
      <c r="Q216" s="29"/>
      <c r="R216" s="31"/>
      <c r="S216" s="31" t="str">
        <f t="shared" si="35"/>
        <v>MVP</v>
      </c>
      <c r="T216" s="32" t="str">
        <f t="shared" si="36"/>
        <v>93.04</v>
      </c>
      <c r="U216" s="33"/>
      <c r="V216" s="31"/>
      <c r="W216" s="31"/>
    </row>
    <row r="217" ht="21.75" hidden="1" customHeight="1" outlineLevel="2">
      <c r="A217" s="20"/>
      <c r="B217" s="21" t="s">
        <v>409</v>
      </c>
      <c r="C217" s="22"/>
      <c r="D217" s="22" t="s">
        <v>45</v>
      </c>
      <c r="E217" s="24" t="s">
        <v>179</v>
      </c>
      <c r="F217" s="25" t="s">
        <v>41</v>
      </c>
      <c r="G217" s="24"/>
      <c r="H217" s="35">
        <v>45251.0</v>
      </c>
      <c r="I217" s="27">
        <f t="shared" si="51"/>
        <v>0</v>
      </c>
      <c r="J217" s="28"/>
      <c r="K217" s="28"/>
      <c r="L217" s="17"/>
      <c r="M217" s="29"/>
      <c r="N217" s="29"/>
      <c r="O217" s="30"/>
      <c r="P217" s="30"/>
      <c r="Q217" s="29"/>
      <c r="R217" s="31"/>
      <c r="S217" s="31" t="str">
        <f t="shared" si="35"/>
        <v>MVP</v>
      </c>
      <c r="T217" s="32" t="str">
        <f t="shared" si="36"/>
        <v>93.05</v>
      </c>
      <c r="U217" s="33"/>
      <c r="V217" s="31"/>
      <c r="W217" s="31"/>
    </row>
    <row r="218" ht="21.75" hidden="1" customHeight="1" outlineLevel="2">
      <c r="A218" s="20"/>
      <c r="B218" s="21" t="s">
        <v>410</v>
      </c>
      <c r="C218" s="22"/>
      <c r="D218" s="22" t="s">
        <v>47</v>
      </c>
      <c r="E218" s="24" t="s">
        <v>179</v>
      </c>
      <c r="F218" s="25" t="s">
        <v>27</v>
      </c>
      <c r="G218" s="24"/>
      <c r="H218" s="35">
        <v>45251.0</v>
      </c>
      <c r="I218" s="27">
        <f t="shared" si="51"/>
        <v>0</v>
      </c>
      <c r="J218" s="28"/>
      <c r="K218" s="28"/>
      <c r="L218" s="17"/>
      <c r="M218" s="29"/>
      <c r="N218" s="29"/>
      <c r="O218" s="30"/>
      <c r="P218" s="30"/>
      <c r="Q218" s="29"/>
      <c r="R218" s="31"/>
      <c r="S218" s="31" t="str">
        <f t="shared" si="35"/>
        <v>MVP</v>
      </c>
      <c r="T218" s="32" t="str">
        <f t="shared" si="36"/>
        <v>93.06</v>
      </c>
      <c r="U218" s="33"/>
      <c r="V218" s="31"/>
      <c r="W218" s="31"/>
    </row>
    <row r="219" ht="21.75" customHeight="1" outlineLevel="1" collapsed="1">
      <c r="A219" s="20"/>
      <c r="B219" s="21" t="s">
        <v>411</v>
      </c>
      <c r="C219" s="22" t="s">
        <v>247</v>
      </c>
      <c r="D219" s="23"/>
      <c r="E219" s="24" t="s">
        <v>102</v>
      </c>
      <c r="F219" s="25" t="s">
        <v>22</v>
      </c>
      <c r="G219" s="24" t="s">
        <v>89</v>
      </c>
      <c r="H219" s="26">
        <f>MAX(H220:H221)</f>
        <v>45251</v>
      </c>
      <c r="I219" s="27" t="str">
        <f>IFERROR(__xludf.DUMMYFUNCTION("SPARKLINE(SUM(I220:I221), {""charttype"", ""bar""; ""max"", J219; ""color1"", ""green""})"),"")</f>
        <v/>
      </c>
      <c r="J219" s="28">
        <f>COUNT(I220:I221)</f>
        <v>2</v>
      </c>
      <c r="K219" s="28" t="str">
        <f>IF(ISNUMBER(B191), K191, "")</f>
        <v/>
      </c>
      <c r="L219" s="17"/>
      <c r="M219" s="29">
        <f>MIN(M220:M221)</f>
        <v>0</v>
      </c>
      <c r="N219" s="29">
        <f>MAX(N220:N221)</f>
        <v>0</v>
      </c>
      <c r="O219" s="30"/>
      <c r="P219" s="30"/>
      <c r="Q219" s="29"/>
      <c r="R219" s="31">
        <f>SUM(R220:R221)</f>
        <v>0</v>
      </c>
      <c r="S219" s="31" t="str">
        <f t="shared" si="35"/>
        <v>MVP</v>
      </c>
      <c r="T219" s="32" t="str">
        <f t="shared" si="36"/>
        <v>109</v>
      </c>
      <c r="U219" s="33" t="str">
        <f>CONCATENATE(C219, " - ",E219)</f>
        <v>Idea Pending - Tweet</v>
      </c>
      <c r="V219" s="31"/>
      <c r="W219" s="31"/>
    </row>
    <row r="220" ht="21.75" hidden="1" customHeight="1" outlineLevel="2">
      <c r="A220" s="20"/>
      <c r="B220" s="21" t="s">
        <v>412</v>
      </c>
      <c r="C220" s="22"/>
      <c r="D220" s="22" t="s">
        <v>25</v>
      </c>
      <c r="E220" s="24" t="s">
        <v>179</v>
      </c>
      <c r="F220" s="25" t="s">
        <v>27</v>
      </c>
      <c r="G220" s="24"/>
      <c r="H220" s="35">
        <v>45248.0</v>
      </c>
      <c r="I220" s="27">
        <f t="shared" ref="I220:I221" si="52">IFERROR(IF($E220="Done", 1, IF(OR($E220="Working on it", $E220="In Review", $E220="On Hold"), 0.5, IF($E220="Not Started", 0, ""))), 0)</f>
        <v>0</v>
      </c>
      <c r="J220" s="28"/>
      <c r="K220" s="28"/>
      <c r="L220" s="17"/>
      <c r="M220" s="29"/>
      <c r="N220" s="29"/>
      <c r="O220" s="30"/>
      <c r="P220" s="30"/>
      <c r="Q220" s="29"/>
      <c r="R220" s="31"/>
      <c r="S220" s="31" t="str">
        <f t="shared" si="35"/>
        <v>MVP</v>
      </c>
      <c r="T220" s="32" t="str">
        <f t="shared" si="36"/>
        <v>109.01</v>
      </c>
      <c r="U220" s="33"/>
      <c r="V220" s="31"/>
      <c r="W220" s="31"/>
    </row>
    <row r="221" ht="21.75" hidden="1" customHeight="1" outlineLevel="2">
      <c r="A221" s="20"/>
      <c r="B221" s="21" t="s">
        <v>413</v>
      </c>
      <c r="C221" s="22"/>
      <c r="D221" s="22" t="s">
        <v>47</v>
      </c>
      <c r="E221" s="24" t="s">
        <v>179</v>
      </c>
      <c r="F221" s="25" t="s">
        <v>27</v>
      </c>
      <c r="G221" s="24"/>
      <c r="H221" s="35">
        <v>45251.0</v>
      </c>
      <c r="I221" s="27">
        <f t="shared" si="52"/>
        <v>0</v>
      </c>
      <c r="J221" s="28"/>
      <c r="K221" s="28"/>
      <c r="L221" s="17"/>
      <c r="M221" s="29"/>
      <c r="N221" s="29"/>
      <c r="O221" s="30"/>
      <c r="P221" s="30"/>
      <c r="Q221" s="29"/>
      <c r="R221" s="31"/>
      <c r="S221" s="31" t="str">
        <f t="shared" si="35"/>
        <v>MVP</v>
      </c>
      <c r="T221" s="32" t="str">
        <f t="shared" si="36"/>
        <v>109.04</v>
      </c>
      <c r="U221" s="33"/>
      <c r="V221" s="31"/>
      <c r="W221" s="31"/>
    </row>
    <row r="222" ht="21.75" customHeight="1" outlineLevel="1" collapsed="1">
      <c r="A222" s="20"/>
      <c r="B222" s="21" t="s">
        <v>414</v>
      </c>
      <c r="C222" s="22" t="s">
        <v>415</v>
      </c>
      <c r="D222" s="23"/>
      <c r="E222" s="24" t="s">
        <v>62</v>
      </c>
      <c r="F222" s="25" t="s">
        <v>22</v>
      </c>
      <c r="G222" s="24" t="s">
        <v>63</v>
      </c>
      <c r="H222" s="26">
        <f>MAX(H223:H227)</f>
        <v>45252.44312</v>
      </c>
      <c r="I222" s="27" t="str">
        <f>IFERROR(__xludf.DUMMYFUNCTION("SPARKLINE(SUM(I223:I227), {""charttype"", ""bar""; ""max"", J222; ""color1"", ""green""})"),"")</f>
        <v/>
      </c>
      <c r="J222" s="28">
        <f>COUNT(I223:I227)</f>
        <v>5</v>
      </c>
      <c r="K222" s="28" t="str">
        <f>IF(ISNUMBER(B239), K239, "")</f>
        <v/>
      </c>
      <c r="L222" s="17"/>
      <c r="M222" s="29">
        <f>MIN(M223:M227)</f>
        <v>45240.49441</v>
      </c>
      <c r="N222" s="29">
        <f>MAX(N223:N227)</f>
        <v>45240.98553</v>
      </c>
      <c r="O222" s="30"/>
      <c r="P222" s="30"/>
      <c r="Q222" s="29"/>
      <c r="R222" s="31">
        <f>SUM(R223:R227)</f>
        <v>0.1208333333</v>
      </c>
      <c r="S222" s="31"/>
      <c r="T222" s="32"/>
      <c r="U222" s="33"/>
      <c r="V222" s="31"/>
      <c r="W222" s="31"/>
    </row>
    <row r="223" ht="21.75" hidden="1" customHeight="1" outlineLevel="2">
      <c r="A223" s="20"/>
      <c r="B223" s="21" t="s">
        <v>416</v>
      </c>
      <c r="C223" s="22"/>
      <c r="D223" s="22" t="s">
        <v>25</v>
      </c>
      <c r="E223" s="24" t="s">
        <v>26</v>
      </c>
      <c r="F223" s="25" t="s">
        <v>22</v>
      </c>
      <c r="G223" s="34" t="s">
        <v>417</v>
      </c>
      <c r="H223" s="35">
        <v>45240.443118842595</v>
      </c>
      <c r="I223" s="27">
        <f t="shared" ref="I223:I227" si="53">IFERROR(IF($E223="Done", 1, IF(OR($E223="Working on it", $E223="In Review", $E223="On Hold"), 0.5, IF($E223="Not Started", 0, ""))), 0)</f>
        <v>1</v>
      </c>
      <c r="J223" s="28"/>
      <c r="K223" s="28"/>
      <c r="L223" s="17"/>
      <c r="M223" s="29">
        <v>45240.4944087037</v>
      </c>
      <c r="N223" s="29">
        <v>45240.98553215278</v>
      </c>
      <c r="O223" s="36" t="s">
        <v>418</v>
      </c>
      <c r="P223" s="36" t="s">
        <v>419</v>
      </c>
      <c r="Q223" s="37" t="s">
        <v>31</v>
      </c>
      <c r="R223" s="31">
        <v>0.12083333333333333</v>
      </c>
      <c r="S223" s="31"/>
      <c r="T223" s="32"/>
      <c r="U223" s="33"/>
      <c r="V223" s="31"/>
      <c r="W223" s="31"/>
    </row>
    <row r="224" ht="21.75" hidden="1" customHeight="1" outlineLevel="2">
      <c r="A224" s="20"/>
      <c r="B224" s="21" t="s">
        <v>420</v>
      </c>
      <c r="C224" s="22"/>
      <c r="D224" s="22" t="s">
        <v>33</v>
      </c>
      <c r="E224" s="24" t="s">
        <v>388</v>
      </c>
      <c r="F224" s="25" t="s">
        <v>34</v>
      </c>
      <c r="G224" s="24"/>
      <c r="H224" s="35">
        <v>45240.0</v>
      </c>
      <c r="I224" s="27">
        <f t="shared" si="53"/>
        <v>0.5</v>
      </c>
      <c r="J224" s="28"/>
      <c r="K224" s="28"/>
      <c r="L224" s="17"/>
      <c r="M224" s="29">
        <v>45240.624418368054</v>
      </c>
      <c r="N224" s="29"/>
      <c r="O224" s="36" t="s">
        <v>421</v>
      </c>
      <c r="P224" s="36" t="s">
        <v>422</v>
      </c>
      <c r="Q224" s="37" t="s">
        <v>309</v>
      </c>
      <c r="R224" s="31"/>
      <c r="S224" s="31"/>
      <c r="T224" s="32"/>
      <c r="U224" s="33"/>
      <c r="V224" s="31"/>
      <c r="W224" s="31"/>
    </row>
    <row r="225" ht="21.75" hidden="1" customHeight="1" outlineLevel="2">
      <c r="A225" s="20"/>
      <c r="B225" s="21" t="s">
        <v>423</v>
      </c>
      <c r="C225" s="22"/>
      <c r="D225" s="22" t="s">
        <v>40</v>
      </c>
      <c r="E225" s="24" t="s">
        <v>179</v>
      </c>
      <c r="F225" s="25" t="s">
        <v>71</v>
      </c>
      <c r="G225" s="24"/>
      <c r="H225" s="35">
        <v>45248.443118842595</v>
      </c>
      <c r="I225" s="27">
        <f t="shared" si="53"/>
        <v>0</v>
      </c>
      <c r="J225" s="28"/>
      <c r="K225" s="28"/>
      <c r="L225" s="17"/>
      <c r="M225" s="29"/>
      <c r="N225" s="29"/>
      <c r="O225" s="30"/>
      <c r="P225" s="30"/>
      <c r="Q225" s="29"/>
      <c r="R225" s="31"/>
      <c r="S225" s="31"/>
      <c r="T225" s="32"/>
      <c r="U225" s="33"/>
      <c r="V225" s="31"/>
      <c r="W225" s="31"/>
    </row>
    <row r="226" ht="21.75" hidden="1" customHeight="1" outlineLevel="2">
      <c r="A226" s="20"/>
      <c r="B226" s="21" t="s">
        <v>424</v>
      </c>
      <c r="C226" s="22"/>
      <c r="D226" s="22" t="s">
        <v>45</v>
      </c>
      <c r="E226" s="24" t="s">
        <v>179</v>
      </c>
      <c r="F226" s="25" t="s">
        <v>34</v>
      </c>
      <c r="G226" s="24"/>
      <c r="H226" s="35">
        <v>45250.443118842595</v>
      </c>
      <c r="I226" s="27">
        <f t="shared" si="53"/>
        <v>0</v>
      </c>
      <c r="J226" s="28"/>
      <c r="K226" s="28"/>
      <c r="L226" s="17"/>
      <c r="M226" s="29"/>
      <c r="N226" s="29"/>
      <c r="O226" s="30"/>
      <c r="P226" s="30"/>
      <c r="Q226" s="29"/>
      <c r="R226" s="31"/>
      <c r="S226" s="31"/>
      <c r="T226" s="32"/>
      <c r="U226" s="33"/>
      <c r="V226" s="31"/>
      <c r="W226" s="31"/>
    </row>
    <row r="227" ht="21.75" hidden="1" customHeight="1" outlineLevel="2">
      <c r="A227" s="20"/>
      <c r="B227" s="21" t="s">
        <v>425</v>
      </c>
      <c r="C227" s="22"/>
      <c r="D227" s="22" t="s">
        <v>47</v>
      </c>
      <c r="E227" s="24" t="s">
        <v>179</v>
      </c>
      <c r="F227" s="25" t="s">
        <v>27</v>
      </c>
      <c r="G227" s="24"/>
      <c r="H227" s="35">
        <v>45252.443118842595</v>
      </c>
      <c r="I227" s="27">
        <f t="shared" si="53"/>
        <v>0</v>
      </c>
      <c r="J227" s="28"/>
      <c r="K227" s="28"/>
      <c r="L227" s="17"/>
      <c r="M227" s="29"/>
      <c r="N227" s="29"/>
      <c r="O227" s="30"/>
      <c r="P227" s="30"/>
      <c r="Q227" s="29"/>
      <c r="R227" s="31"/>
      <c r="S227" s="31"/>
      <c r="T227" s="32"/>
      <c r="U227" s="33"/>
      <c r="V227" s="31"/>
      <c r="W227" s="31"/>
    </row>
    <row r="228" ht="21.75" customHeight="1" outlineLevel="1" collapsed="1">
      <c r="A228" s="20"/>
      <c r="B228" s="21" t="s">
        <v>426</v>
      </c>
      <c r="C228" s="22" t="s">
        <v>427</v>
      </c>
      <c r="D228" s="23"/>
      <c r="E228" s="24" t="s">
        <v>21</v>
      </c>
      <c r="F228" s="25" t="s">
        <v>22</v>
      </c>
      <c r="G228" s="24" t="s">
        <v>23</v>
      </c>
      <c r="H228" s="26">
        <f>MAX(H229:H232)</f>
        <v>45246.45665</v>
      </c>
      <c r="I228" s="27" t="str">
        <f>IFERROR(__xludf.DUMMYFUNCTION("SPARKLINE(SUM(I229:I232), {""charttype"", ""bar""; ""max"", J228; ""color1"", ""green""})"),"")</f>
        <v/>
      </c>
      <c r="J228" s="28">
        <f>COUNT(I229:I232)</f>
        <v>4</v>
      </c>
      <c r="K228" s="28" t="str">
        <f>IF(ISNUMBER(B227), K227, "")</f>
        <v/>
      </c>
      <c r="L228" s="17"/>
      <c r="M228" s="29">
        <f>MIN(M229:M232)</f>
        <v>0</v>
      </c>
      <c r="N228" s="29">
        <f>MAX(N229:N232)</f>
        <v>0</v>
      </c>
      <c r="O228" s="30"/>
      <c r="P228" s="30"/>
      <c r="Q228" s="29"/>
      <c r="R228" s="31">
        <f>SUM(R229:R232)</f>
        <v>0</v>
      </c>
      <c r="S228" s="31"/>
      <c r="T228" s="32"/>
      <c r="U228" s="33"/>
      <c r="V228" s="31"/>
      <c r="W228" s="31"/>
    </row>
    <row r="229" ht="21.75" hidden="1" customHeight="1" outlineLevel="2">
      <c r="A229" s="20"/>
      <c r="B229" s="21" t="s">
        <v>428</v>
      </c>
      <c r="C229" s="22"/>
      <c r="D229" s="22" t="s">
        <v>25</v>
      </c>
      <c r="E229" s="24" t="s">
        <v>179</v>
      </c>
      <c r="F229" s="25" t="s">
        <v>27</v>
      </c>
      <c r="G229" s="24"/>
      <c r="H229" s="35">
        <v>45241.0</v>
      </c>
      <c r="I229" s="27">
        <f t="shared" ref="I229:I232" si="54">IFERROR(IF($E229="Done", 1, IF(OR($E229="Working on it", $E229="In Review", $E229="On Hold"), 0.5, IF($E229="Not Started", 0, ""))), 0)</f>
        <v>0</v>
      </c>
      <c r="J229" s="28"/>
      <c r="K229" s="28"/>
      <c r="L229" s="17"/>
      <c r="M229" s="29"/>
      <c r="N229" s="29"/>
      <c r="O229" s="30"/>
      <c r="P229" s="30"/>
      <c r="Q229" s="29"/>
      <c r="R229" s="31"/>
      <c r="S229" s="31"/>
      <c r="T229" s="32"/>
      <c r="U229" s="33"/>
      <c r="V229" s="31"/>
      <c r="W229" s="31"/>
    </row>
    <row r="230" ht="21.75" hidden="1" customHeight="1" outlineLevel="2">
      <c r="A230" s="20"/>
      <c r="B230" s="21" t="s">
        <v>429</v>
      </c>
      <c r="C230" s="22"/>
      <c r="D230" s="22" t="s">
        <v>430</v>
      </c>
      <c r="E230" s="24" t="s">
        <v>179</v>
      </c>
      <c r="F230" s="25" t="s">
        <v>34</v>
      </c>
      <c r="G230" s="24"/>
      <c r="H230" s="35">
        <v>45240.0</v>
      </c>
      <c r="I230" s="27">
        <f t="shared" si="54"/>
        <v>0</v>
      </c>
      <c r="J230" s="28"/>
      <c r="K230" s="28"/>
      <c r="L230" s="17"/>
      <c r="M230" s="29"/>
      <c r="N230" s="29"/>
      <c r="O230" s="30"/>
      <c r="P230" s="30"/>
      <c r="Q230" s="29"/>
      <c r="R230" s="31"/>
      <c r="S230" s="31"/>
      <c r="T230" s="32"/>
      <c r="U230" s="33"/>
      <c r="V230" s="31"/>
      <c r="W230" s="31"/>
    </row>
    <row r="231" ht="21.75" hidden="1" customHeight="1" outlineLevel="2">
      <c r="A231" s="20"/>
      <c r="B231" s="21" t="s">
        <v>431</v>
      </c>
      <c r="C231" s="22"/>
      <c r="D231" s="22" t="s">
        <v>40</v>
      </c>
      <c r="E231" s="24" t="s">
        <v>179</v>
      </c>
      <c r="F231" s="25" t="s">
        <v>236</v>
      </c>
      <c r="G231" s="24"/>
      <c r="H231" s="35">
        <v>45244.45665269676</v>
      </c>
      <c r="I231" s="27">
        <f t="shared" si="54"/>
        <v>0</v>
      </c>
      <c r="J231" s="28"/>
      <c r="K231" s="28"/>
      <c r="L231" s="17"/>
      <c r="M231" s="29"/>
      <c r="N231" s="29"/>
      <c r="O231" s="30"/>
      <c r="P231" s="30"/>
      <c r="Q231" s="29"/>
      <c r="R231" s="31"/>
      <c r="S231" s="31"/>
      <c r="T231" s="32"/>
      <c r="U231" s="33"/>
      <c r="V231" s="31"/>
      <c r="W231" s="31"/>
    </row>
    <row r="232" ht="21.75" hidden="1" customHeight="1" outlineLevel="2">
      <c r="A232" s="20"/>
      <c r="B232" s="21" t="s">
        <v>432</v>
      </c>
      <c r="C232" s="22"/>
      <c r="D232" s="22" t="s">
        <v>47</v>
      </c>
      <c r="E232" s="24" t="s">
        <v>179</v>
      </c>
      <c r="F232" s="25" t="s">
        <v>27</v>
      </c>
      <c r="G232" s="24"/>
      <c r="H232" s="35">
        <v>45246.45665269676</v>
      </c>
      <c r="I232" s="27">
        <f t="shared" si="54"/>
        <v>0</v>
      </c>
      <c r="J232" s="28"/>
      <c r="K232" s="28"/>
      <c r="L232" s="17"/>
      <c r="M232" s="29"/>
      <c r="N232" s="29"/>
      <c r="O232" s="30"/>
      <c r="P232" s="30"/>
      <c r="Q232" s="29"/>
      <c r="R232" s="31"/>
      <c r="S232" s="31"/>
      <c r="T232" s="32"/>
      <c r="U232" s="33"/>
      <c r="V232" s="31"/>
      <c r="W232" s="31"/>
    </row>
    <row r="233" ht="21.75" customHeight="1" outlineLevel="1" collapsed="1">
      <c r="A233" s="20"/>
      <c r="B233" s="21" t="s">
        <v>411</v>
      </c>
      <c r="C233" s="22" t="s">
        <v>177</v>
      </c>
      <c r="D233" s="23"/>
      <c r="E233" s="24" t="s">
        <v>62</v>
      </c>
      <c r="F233" s="25" t="s">
        <v>22</v>
      </c>
      <c r="G233" s="24" t="s">
        <v>79</v>
      </c>
      <c r="H233" s="26">
        <f>MAX(H234:H239)</f>
        <v>45252</v>
      </c>
      <c r="I233" s="27" t="str">
        <f>IFERROR(__xludf.DUMMYFUNCTION("SPARKLINE(SUM(I234:I239), {""charttype"", ""bar""; ""max"", J233; ""color1"", ""green""})"),"")</f>
        <v/>
      </c>
      <c r="J233" s="28">
        <f>COUNT(I234:I239)</f>
        <v>6</v>
      </c>
      <c r="K233" s="28" t="str">
        <f>IF(ISNUMBER(B323), K323, "")</f>
        <v/>
      </c>
      <c r="L233" s="17"/>
      <c r="M233" s="29">
        <f>MIN(M234:M239)</f>
        <v>0</v>
      </c>
      <c r="N233" s="29">
        <f>MAX(N234:N239)</f>
        <v>0</v>
      </c>
      <c r="O233" s="30"/>
      <c r="P233" s="30"/>
      <c r="Q233" s="29"/>
      <c r="R233" s="31">
        <f>SUM(R234:R239)</f>
        <v>0</v>
      </c>
      <c r="S233" s="31" t="str">
        <f t="shared" ref="S233:S247" si="55">IFERROR(MID(B233, FIND("-", B233) + 1, 3), "")</f>
        <v>MVP</v>
      </c>
      <c r="T233" s="32" t="str">
        <f t="shared" ref="T233:T247" si="56">IFERROR(MID(B233, 8, LEN(B233)-7), "")
</f>
        <v>109</v>
      </c>
      <c r="U233" s="33" t="str">
        <f>CONCATENATE(C233, " - ",E233)</f>
        <v>TrueNAS Setup - YT Video</v>
      </c>
      <c r="V233" s="31"/>
      <c r="W233" s="31"/>
    </row>
    <row r="234" ht="21.75" hidden="1" customHeight="1" outlineLevel="2">
      <c r="A234" s="20"/>
      <c r="B234" s="21" t="s">
        <v>412</v>
      </c>
      <c r="C234" s="22"/>
      <c r="D234" s="22" t="s">
        <v>33</v>
      </c>
      <c r="E234" s="24" t="s">
        <v>26</v>
      </c>
      <c r="F234" s="25" t="s">
        <v>34</v>
      </c>
      <c r="G234" s="24"/>
      <c r="H234" s="35">
        <v>45236.0</v>
      </c>
      <c r="I234" s="27">
        <f t="shared" ref="I234:I239" si="57">IFERROR(IF($E234="Done", 1, IF(OR($E234="Working on it", $E234="In Review", $E234="On Hold"), 0.5, IF($E234="Not Started", 0, ""))), 0)</f>
        <v>1</v>
      </c>
      <c r="J234" s="28"/>
      <c r="K234" s="28"/>
      <c r="L234" s="17"/>
      <c r="M234" s="29"/>
      <c r="N234" s="29"/>
      <c r="O234" s="30"/>
      <c r="P234" s="30"/>
      <c r="Q234" s="29"/>
      <c r="R234" s="31"/>
      <c r="S234" s="31" t="str">
        <f t="shared" si="55"/>
        <v>MVP</v>
      </c>
      <c r="T234" s="32" t="str">
        <f t="shared" si="56"/>
        <v>109.01</v>
      </c>
      <c r="U234" s="33"/>
      <c r="V234" s="31"/>
      <c r="W234" s="31"/>
    </row>
    <row r="235" ht="21.75" hidden="1" customHeight="1" outlineLevel="2">
      <c r="A235" s="20"/>
      <c r="B235" s="21" t="s">
        <v>433</v>
      </c>
      <c r="C235" s="22"/>
      <c r="D235" s="22" t="s">
        <v>434</v>
      </c>
      <c r="E235" s="24" t="s">
        <v>179</v>
      </c>
      <c r="F235" s="25" t="s">
        <v>27</v>
      </c>
      <c r="G235" s="24"/>
      <c r="H235" s="35">
        <v>45247.0</v>
      </c>
      <c r="I235" s="27">
        <f t="shared" si="57"/>
        <v>0</v>
      </c>
      <c r="J235" s="28"/>
      <c r="K235" s="28"/>
      <c r="L235" s="17"/>
      <c r="M235" s="29"/>
      <c r="N235" s="29"/>
      <c r="O235" s="30"/>
      <c r="P235" s="30"/>
      <c r="Q235" s="29"/>
      <c r="R235" s="31"/>
      <c r="S235" s="31" t="str">
        <f t="shared" si="55"/>
        <v>MVP</v>
      </c>
      <c r="T235" s="32" t="str">
        <f t="shared" si="56"/>
        <v>109.02</v>
      </c>
      <c r="U235" s="33"/>
      <c r="V235" s="31"/>
      <c r="W235" s="31"/>
    </row>
    <row r="236" ht="21.75" hidden="1" customHeight="1" outlineLevel="2">
      <c r="A236" s="20"/>
      <c r="B236" s="21" t="s">
        <v>435</v>
      </c>
      <c r="C236" s="22"/>
      <c r="D236" s="22" t="s">
        <v>38</v>
      </c>
      <c r="E236" s="24" t="s">
        <v>179</v>
      </c>
      <c r="F236" s="25" t="s">
        <v>27</v>
      </c>
      <c r="G236" s="24"/>
      <c r="H236" s="35">
        <v>45249.0</v>
      </c>
      <c r="I236" s="27">
        <f t="shared" si="57"/>
        <v>0</v>
      </c>
      <c r="J236" s="28"/>
      <c r="K236" s="28"/>
      <c r="L236" s="17"/>
      <c r="M236" s="29"/>
      <c r="N236" s="29"/>
      <c r="O236" s="30"/>
      <c r="P236" s="30"/>
      <c r="Q236" s="29"/>
      <c r="R236" s="31"/>
      <c r="S236" s="31" t="str">
        <f t="shared" si="55"/>
        <v>MVP</v>
      </c>
      <c r="T236" s="32" t="str">
        <f t="shared" si="56"/>
        <v>109.03</v>
      </c>
      <c r="U236" s="33"/>
      <c r="V236" s="31"/>
      <c r="W236" s="31"/>
    </row>
    <row r="237" ht="21.75" hidden="1" customHeight="1" outlineLevel="2">
      <c r="A237" s="20"/>
      <c r="B237" s="21" t="s">
        <v>413</v>
      </c>
      <c r="C237" s="22"/>
      <c r="D237" s="22" t="s">
        <v>40</v>
      </c>
      <c r="E237" s="24" t="s">
        <v>179</v>
      </c>
      <c r="F237" s="25" t="s">
        <v>236</v>
      </c>
      <c r="G237" s="24"/>
      <c r="H237" s="35">
        <v>45250.0</v>
      </c>
      <c r="I237" s="27">
        <f t="shared" si="57"/>
        <v>0</v>
      </c>
      <c r="J237" s="28"/>
      <c r="K237" s="28"/>
      <c r="L237" s="17"/>
      <c r="M237" s="29"/>
      <c r="N237" s="29"/>
      <c r="O237" s="30"/>
      <c r="P237" s="30"/>
      <c r="Q237" s="29"/>
      <c r="R237" s="31"/>
      <c r="S237" s="31" t="str">
        <f t="shared" si="55"/>
        <v>MVP</v>
      </c>
      <c r="T237" s="32" t="str">
        <f t="shared" si="56"/>
        <v>109.04</v>
      </c>
      <c r="U237" s="33"/>
      <c r="V237" s="31"/>
      <c r="W237" s="31"/>
    </row>
    <row r="238" ht="21.75" hidden="1" customHeight="1" outlineLevel="2">
      <c r="A238" s="20"/>
      <c r="B238" s="21" t="s">
        <v>436</v>
      </c>
      <c r="C238" s="22"/>
      <c r="D238" s="22" t="s">
        <v>45</v>
      </c>
      <c r="E238" s="24" t="s">
        <v>179</v>
      </c>
      <c r="F238" s="25" t="s">
        <v>41</v>
      </c>
      <c r="G238" s="24"/>
      <c r="H238" s="35">
        <v>45251.0</v>
      </c>
      <c r="I238" s="27">
        <f t="shared" si="57"/>
        <v>0</v>
      </c>
      <c r="J238" s="28"/>
      <c r="K238" s="28"/>
      <c r="L238" s="17"/>
      <c r="M238" s="29"/>
      <c r="N238" s="29"/>
      <c r="O238" s="30"/>
      <c r="P238" s="30"/>
      <c r="Q238" s="29"/>
      <c r="R238" s="31"/>
      <c r="S238" s="31" t="str">
        <f t="shared" si="55"/>
        <v>MVP</v>
      </c>
      <c r="T238" s="32" t="str">
        <f t="shared" si="56"/>
        <v>109.05</v>
      </c>
      <c r="U238" s="33"/>
      <c r="V238" s="31"/>
      <c r="W238" s="31"/>
    </row>
    <row r="239" ht="21.75" hidden="1" customHeight="1" outlineLevel="2">
      <c r="A239" s="20"/>
      <c r="B239" s="21" t="s">
        <v>437</v>
      </c>
      <c r="C239" s="22"/>
      <c r="D239" s="22" t="s">
        <v>47</v>
      </c>
      <c r="E239" s="24" t="s">
        <v>179</v>
      </c>
      <c r="F239" s="25" t="s">
        <v>27</v>
      </c>
      <c r="G239" s="24"/>
      <c r="H239" s="35">
        <v>45252.0</v>
      </c>
      <c r="I239" s="27">
        <f t="shared" si="57"/>
        <v>0</v>
      </c>
      <c r="J239" s="28"/>
      <c r="K239" s="28"/>
      <c r="L239" s="17"/>
      <c r="M239" s="29"/>
      <c r="N239" s="29"/>
      <c r="O239" s="30"/>
      <c r="P239" s="30"/>
      <c r="Q239" s="29"/>
      <c r="R239" s="31"/>
      <c r="S239" s="31" t="str">
        <f t="shared" si="55"/>
        <v>MVP</v>
      </c>
      <c r="T239" s="32" t="str">
        <f t="shared" si="56"/>
        <v>109.06</v>
      </c>
      <c r="U239" s="33"/>
      <c r="V239" s="31"/>
      <c r="W239" s="31"/>
    </row>
    <row r="240" ht="21.75" customHeight="1" outlineLevel="1" collapsed="1">
      <c r="A240" s="20"/>
      <c r="B240" s="21" t="s">
        <v>438</v>
      </c>
      <c r="C240" s="22" t="s">
        <v>439</v>
      </c>
      <c r="D240" s="23"/>
      <c r="E240" s="24" t="s">
        <v>62</v>
      </c>
      <c r="F240" s="25" t="s">
        <v>22</v>
      </c>
      <c r="G240" s="24" t="s">
        <v>63</v>
      </c>
      <c r="H240" s="26">
        <f>MAX(H241:H247)</f>
        <v>45255</v>
      </c>
      <c r="I240" s="27" t="str">
        <f>IFERROR(__xludf.DUMMYFUNCTION("SPARKLINE(SUM(I241:I247), {""charttype"", ""bar""; ""max"", J240; ""color1"", ""green""})"),"")</f>
        <v/>
      </c>
      <c r="J240" s="28">
        <f>COUNT(I241:I247)</f>
        <v>6</v>
      </c>
      <c r="K240" s="28"/>
      <c r="L240" s="17"/>
      <c r="M240" s="29">
        <f>MIN(M241:M246)</f>
        <v>0</v>
      </c>
      <c r="N240" s="29">
        <f>MAX(N241:N246)</f>
        <v>0</v>
      </c>
      <c r="O240" s="30"/>
      <c r="P240" s="30"/>
      <c r="Q240" s="29"/>
      <c r="R240" s="31">
        <f>SUM(R241:R246)</f>
        <v>0</v>
      </c>
      <c r="S240" s="31" t="str">
        <f t="shared" si="55"/>
        <v>MVP</v>
      </c>
      <c r="T240" s="32" t="str">
        <f t="shared" si="56"/>
        <v>16</v>
      </c>
      <c r="U240" s="33" t="str">
        <f>CONCATENATE(C240, " - ",E240)</f>
        <v>Logi Persona Reviews - YT Video</v>
      </c>
      <c r="V240" s="31"/>
      <c r="W240" s="31"/>
    </row>
    <row r="241" ht="21.75" hidden="1" customHeight="1" outlineLevel="2">
      <c r="A241" s="20"/>
      <c r="B241" s="21" t="s">
        <v>440</v>
      </c>
      <c r="C241" s="22"/>
      <c r="D241" s="22" t="s">
        <v>25</v>
      </c>
      <c r="E241" s="24" t="s">
        <v>307</v>
      </c>
      <c r="F241" s="25" t="s">
        <v>27</v>
      </c>
      <c r="G241" s="63"/>
      <c r="H241" s="35">
        <v>45244.0</v>
      </c>
      <c r="I241" s="27" t="str">
        <f t="shared" ref="I241:I247" si="58">IFERROR(IF($E241="Done", 1, IF(OR($E241="Working on it", $E241="In Review"), 0.5, IF($E241="Not Started", 0, ""))), 0)</f>
        <v/>
      </c>
      <c r="J241" s="28"/>
      <c r="K241" s="28"/>
      <c r="L241" s="17"/>
      <c r="M241" s="29">
        <v>45213.62018949074</v>
      </c>
      <c r="N241" s="29"/>
      <c r="O241" s="36" t="s">
        <v>441</v>
      </c>
      <c r="P241" s="36"/>
      <c r="Q241" s="37" t="s">
        <v>309</v>
      </c>
      <c r="R241" s="31"/>
      <c r="S241" s="31" t="str">
        <f t="shared" si="55"/>
        <v>MVP</v>
      </c>
      <c r="T241" s="32" t="str">
        <f t="shared" si="56"/>
        <v>16.01</v>
      </c>
      <c r="U241" s="33"/>
      <c r="V241" s="31"/>
      <c r="W241" s="31"/>
    </row>
    <row r="242" ht="21.75" hidden="1" customHeight="1" outlineLevel="2">
      <c r="A242" s="20"/>
      <c r="B242" s="21" t="s">
        <v>442</v>
      </c>
      <c r="C242" s="22"/>
      <c r="D242" s="22" t="s">
        <v>33</v>
      </c>
      <c r="E242" s="24" t="s">
        <v>179</v>
      </c>
      <c r="F242" s="25" t="s">
        <v>41</v>
      </c>
      <c r="G242" s="24"/>
      <c r="H242" s="35">
        <v>45250.0</v>
      </c>
      <c r="I242" s="27">
        <f t="shared" si="58"/>
        <v>0</v>
      </c>
      <c r="J242" s="28"/>
      <c r="K242" s="28"/>
      <c r="L242" s="17"/>
      <c r="M242" s="29"/>
      <c r="N242" s="29"/>
      <c r="O242" s="30"/>
      <c r="P242" s="30"/>
      <c r="Q242" s="29"/>
      <c r="R242" s="31"/>
      <c r="S242" s="31" t="str">
        <f t="shared" si="55"/>
        <v>MVP</v>
      </c>
      <c r="T242" s="32" t="str">
        <f t="shared" si="56"/>
        <v>16.02</v>
      </c>
      <c r="U242" s="33"/>
      <c r="V242" s="31"/>
      <c r="W242" s="31"/>
    </row>
    <row r="243" ht="21.75" hidden="1" customHeight="1" outlineLevel="2">
      <c r="A243" s="20"/>
      <c r="B243" s="21" t="s">
        <v>443</v>
      </c>
      <c r="C243" s="22"/>
      <c r="D243" s="22" t="s">
        <v>121</v>
      </c>
      <c r="E243" s="24" t="s">
        <v>179</v>
      </c>
      <c r="F243" s="25" t="s">
        <v>27</v>
      </c>
      <c r="G243" s="24"/>
      <c r="H243" s="35">
        <v>45251.0</v>
      </c>
      <c r="I243" s="27">
        <f t="shared" si="58"/>
        <v>0</v>
      </c>
      <c r="J243" s="28"/>
      <c r="K243" s="28"/>
      <c r="L243" s="17"/>
      <c r="M243" s="29">
        <f>MIN(M244:M247)</f>
        <v>0</v>
      </c>
      <c r="N243" s="29">
        <f>MAX(N244:N247)</f>
        <v>0</v>
      </c>
      <c r="O243" s="30"/>
      <c r="P243" s="30"/>
      <c r="Q243" s="29"/>
      <c r="R243" s="31">
        <f>SUM(R244:R247)</f>
        <v>0</v>
      </c>
      <c r="S243" s="31" t="str">
        <f t="shared" si="55"/>
        <v>MVP</v>
      </c>
      <c r="T243" s="32" t="str">
        <f t="shared" si="56"/>
        <v>16.03</v>
      </c>
      <c r="U243" s="33"/>
      <c r="V243" s="31"/>
      <c r="W243" s="31"/>
    </row>
    <row r="244" ht="21.75" hidden="1" customHeight="1" outlineLevel="2">
      <c r="A244" s="20"/>
      <c r="B244" s="21" t="s">
        <v>444</v>
      </c>
      <c r="C244" s="22"/>
      <c r="D244" s="22" t="s">
        <v>38</v>
      </c>
      <c r="E244" s="24" t="s">
        <v>179</v>
      </c>
      <c r="F244" s="25" t="s">
        <v>27</v>
      </c>
      <c r="G244" s="24"/>
      <c r="H244" s="35">
        <v>45252.0</v>
      </c>
      <c r="I244" s="27">
        <f t="shared" si="58"/>
        <v>0</v>
      </c>
      <c r="J244" s="28"/>
      <c r="K244" s="28"/>
      <c r="L244" s="17"/>
      <c r="M244" s="29"/>
      <c r="N244" s="29"/>
      <c r="O244" s="30"/>
      <c r="P244" s="30"/>
      <c r="Q244" s="29"/>
      <c r="R244" s="31"/>
      <c r="S244" s="31" t="str">
        <f t="shared" si="55"/>
        <v>MVP</v>
      </c>
      <c r="T244" s="32" t="str">
        <f t="shared" si="56"/>
        <v>16.04</v>
      </c>
      <c r="U244" s="33"/>
      <c r="V244" s="31"/>
      <c r="W244" s="31"/>
    </row>
    <row r="245" ht="21.75" hidden="1" customHeight="1" outlineLevel="2">
      <c r="A245" s="20"/>
      <c r="B245" s="21" t="s">
        <v>445</v>
      </c>
      <c r="C245" s="22"/>
      <c r="D245" s="22" t="s">
        <v>40</v>
      </c>
      <c r="E245" s="24" t="s">
        <v>179</v>
      </c>
      <c r="F245" s="25" t="s">
        <v>236</v>
      </c>
      <c r="G245" s="24"/>
      <c r="H245" s="35">
        <v>45253.0</v>
      </c>
      <c r="I245" s="27">
        <f t="shared" si="58"/>
        <v>0</v>
      </c>
      <c r="J245" s="28"/>
      <c r="K245" s="28"/>
      <c r="L245" s="17"/>
      <c r="M245" s="29"/>
      <c r="N245" s="29"/>
      <c r="O245" s="30"/>
      <c r="P245" s="30"/>
      <c r="Q245" s="29"/>
      <c r="R245" s="31"/>
      <c r="S245" s="31" t="str">
        <f t="shared" si="55"/>
        <v>MVP</v>
      </c>
      <c r="T245" s="32" t="str">
        <f t="shared" si="56"/>
        <v>16.05</v>
      </c>
      <c r="U245" s="33"/>
      <c r="V245" s="31"/>
      <c r="W245" s="31"/>
    </row>
    <row r="246" ht="21.75" hidden="1" customHeight="1" outlineLevel="2">
      <c r="A246" s="20"/>
      <c r="B246" s="21" t="s">
        <v>446</v>
      </c>
      <c r="C246" s="22"/>
      <c r="D246" s="22" t="s">
        <v>45</v>
      </c>
      <c r="E246" s="24" t="s">
        <v>179</v>
      </c>
      <c r="F246" s="25" t="s">
        <v>41</v>
      </c>
      <c r="G246" s="24"/>
      <c r="H246" s="35">
        <v>45254.0</v>
      </c>
      <c r="I246" s="27">
        <f t="shared" si="58"/>
        <v>0</v>
      </c>
      <c r="J246" s="28"/>
      <c r="K246" s="28"/>
      <c r="L246" s="17"/>
      <c r="M246" s="29"/>
      <c r="N246" s="29"/>
      <c r="O246" s="30"/>
      <c r="P246" s="30"/>
      <c r="Q246" s="29"/>
      <c r="R246" s="31"/>
      <c r="S246" s="31" t="str">
        <f t="shared" si="55"/>
        <v>MVP</v>
      </c>
      <c r="T246" s="32" t="str">
        <f t="shared" si="56"/>
        <v>16.06</v>
      </c>
      <c r="U246" s="33"/>
      <c r="V246" s="31"/>
      <c r="W246" s="31"/>
    </row>
    <row r="247" ht="21.75" hidden="1" customHeight="1" outlineLevel="2">
      <c r="A247" s="20"/>
      <c r="B247" s="21" t="s">
        <v>447</v>
      </c>
      <c r="C247" s="22"/>
      <c r="D247" s="22" t="s">
        <v>47</v>
      </c>
      <c r="E247" s="24" t="s">
        <v>179</v>
      </c>
      <c r="F247" s="25" t="s">
        <v>48</v>
      </c>
      <c r="G247" s="24"/>
      <c r="H247" s="35">
        <v>45255.0</v>
      </c>
      <c r="I247" s="27">
        <f t="shared" si="58"/>
        <v>0</v>
      </c>
      <c r="J247" s="28"/>
      <c r="K247" s="28"/>
      <c r="L247" s="17"/>
      <c r="M247" s="29"/>
      <c r="N247" s="29"/>
      <c r="O247" s="30"/>
      <c r="P247" s="30"/>
      <c r="Q247" s="29"/>
      <c r="R247" s="31"/>
      <c r="S247" s="31" t="str">
        <f t="shared" si="55"/>
        <v>MVP</v>
      </c>
      <c r="T247" s="32" t="str">
        <f t="shared" si="56"/>
        <v>16.07</v>
      </c>
      <c r="U247" s="33"/>
      <c r="V247" s="31"/>
      <c r="W247" s="31"/>
    </row>
    <row r="248" ht="21.75" customHeight="1" outlineLevel="1">
      <c r="A248" s="20"/>
      <c r="B248" s="21" t="s">
        <v>448</v>
      </c>
      <c r="C248" s="22" t="s">
        <v>449</v>
      </c>
      <c r="D248" s="23"/>
      <c r="E248" s="24" t="s">
        <v>21</v>
      </c>
      <c r="F248" s="25" t="s">
        <v>22</v>
      </c>
      <c r="G248" s="24" t="s">
        <v>63</v>
      </c>
      <c r="H248" s="26">
        <f>MAX(H249:H255)</f>
        <v>45252.99818</v>
      </c>
      <c r="I248" s="27" t="str">
        <f>IFERROR(__xludf.DUMMYFUNCTION("SPARKLINE(SUM(I249:I255), {""charttype"", ""bar""; ""max"", J248; ""color1"", ""green""})"),"")</f>
        <v/>
      </c>
      <c r="J248" s="28">
        <f>COUNT(I249:I255)</f>
        <v>7</v>
      </c>
      <c r="K248" s="28" t="str">
        <f>IF(ISNUMBER(B247), K247, "")</f>
        <v/>
      </c>
      <c r="L248" s="17"/>
      <c r="M248" s="29">
        <f>MIN(M249:M255)</f>
        <v>0</v>
      </c>
      <c r="N248" s="29">
        <f>MAX(N249:N255)</f>
        <v>0</v>
      </c>
      <c r="O248" s="30"/>
      <c r="P248" s="30"/>
      <c r="Q248" s="29"/>
      <c r="R248" s="31">
        <f>SUM(R249:R255)</f>
        <v>0</v>
      </c>
      <c r="S248" s="31"/>
      <c r="T248" s="32"/>
      <c r="U248" s="33"/>
      <c r="V248" s="31"/>
      <c r="W248" s="31"/>
    </row>
    <row r="249" ht="21.75" customHeight="1" outlineLevel="2">
      <c r="A249" s="20"/>
      <c r="B249" s="21" t="s">
        <v>450</v>
      </c>
      <c r="C249" s="22"/>
      <c r="D249" s="22" t="s">
        <v>25</v>
      </c>
      <c r="E249" s="24" t="s">
        <v>179</v>
      </c>
      <c r="F249" s="25"/>
      <c r="G249" s="24"/>
      <c r="H249" s="35">
        <v>45240.99817798611</v>
      </c>
      <c r="I249" s="27">
        <f t="shared" ref="I249:I255" si="59">IFERROR(IF($E249="Done", 1, IF(OR($E249="Working on it", $E249="In Review", $E249="On Hold"), 0.5, IF($E249="Not Started", 0, ""))), 0)</f>
        <v>0</v>
      </c>
      <c r="J249" s="28"/>
      <c r="K249" s="28"/>
      <c r="L249" s="17"/>
      <c r="M249" s="29"/>
      <c r="N249" s="29"/>
      <c r="O249" s="30"/>
      <c r="P249" s="30"/>
      <c r="Q249" s="29"/>
      <c r="R249" s="31"/>
      <c r="S249" s="31"/>
      <c r="T249" s="32"/>
      <c r="U249" s="33"/>
      <c r="V249" s="31"/>
      <c r="W249" s="31"/>
    </row>
    <row r="250" ht="21.75" customHeight="1" outlineLevel="2">
      <c r="A250" s="20"/>
      <c r="B250" s="21" t="s">
        <v>451</v>
      </c>
      <c r="C250" s="22"/>
      <c r="D250" s="22" t="s">
        <v>33</v>
      </c>
      <c r="E250" s="24" t="s">
        <v>179</v>
      </c>
      <c r="F250" s="25"/>
      <c r="G250" s="24"/>
      <c r="H250" s="35">
        <v>45242.99817798611</v>
      </c>
      <c r="I250" s="27">
        <f t="shared" si="59"/>
        <v>0</v>
      </c>
      <c r="J250" s="28"/>
      <c r="K250" s="28"/>
      <c r="L250" s="17"/>
      <c r="M250" s="29"/>
      <c r="N250" s="29"/>
      <c r="O250" s="30"/>
      <c r="P250" s="30"/>
      <c r="Q250" s="29"/>
      <c r="R250" s="31"/>
      <c r="S250" s="31"/>
      <c r="T250" s="32"/>
      <c r="U250" s="33"/>
      <c r="V250" s="31"/>
      <c r="W250" s="31"/>
    </row>
    <row r="251" ht="21.75" customHeight="1" outlineLevel="2">
      <c r="A251" s="20"/>
      <c r="B251" s="21" t="s">
        <v>452</v>
      </c>
      <c r="C251" s="22"/>
      <c r="D251" s="22" t="s">
        <v>121</v>
      </c>
      <c r="E251" s="24" t="s">
        <v>179</v>
      </c>
      <c r="F251" s="25"/>
      <c r="G251" s="24"/>
      <c r="H251" s="35">
        <v>45244.99817798611</v>
      </c>
      <c r="I251" s="27">
        <f t="shared" si="59"/>
        <v>0</v>
      </c>
      <c r="J251" s="28"/>
      <c r="K251" s="28"/>
      <c r="L251" s="17"/>
      <c r="M251" s="29"/>
      <c r="N251" s="29"/>
      <c r="O251" s="30"/>
      <c r="P251" s="30"/>
      <c r="Q251" s="29"/>
      <c r="R251" s="31"/>
      <c r="S251" s="31"/>
      <c r="T251" s="32"/>
      <c r="U251" s="33"/>
      <c r="V251" s="31"/>
      <c r="W251" s="31"/>
    </row>
    <row r="252" ht="21.75" customHeight="1" outlineLevel="2">
      <c r="A252" s="20"/>
      <c r="B252" s="21" t="s">
        <v>453</v>
      </c>
      <c r="C252" s="22"/>
      <c r="D252" s="22" t="s">
        <v>38</v>
      </c>
      <c r="E252" s="24" t="s">
        <v>179</v>
      </c>
      <c r="F252" s="25"/>
      <c r="G252" s="24"/>
      <c r="H252" s="35">
        <v>45246.99817798611</v>
      </c>
      <c r="I252" s="27">
        <f t="shared" si="59"/>
        <v>0</v>
      </c>
      <c r="J252" s="28"/>
      <c r="K252" s="28"/>
      <c r="L252" s="17"/>
      <c r="M252" s="29"/>
      <c r="N252" s="29"/>
      <c r="O252" s="30"/>
      <c r="P252" s="30"/>
      <c r="Q252" s="29"/>
      <c r="R252" s="31"/>
      <c r="S252" s="31"/>
      <c r="T252" s="32"/>
      <c r="U252" s="33"/>
      <c r="V252" s="31"/>
      <c r="W252" s="31"/>
    </row>
    <row r="253" ht="21.75" customHeight="1" outlineLevel="2">
      <c r="A253" s="20"/>
      <c r="B253" s="21" t="s">
        <v>454</v>
      </c>
      <c r="C253" s="22"/>
      <c r="D253" s="22" t="s">
        <v>40</v>
      </c>
      <c r="E253" s="24" t="s">
        <v>179</v>
      </c>
      <c r="F253" s="25"/>
      <c r="G253" s="24"/>
      <c r="H253" s="35">
        <v>45248.99817798611</v>
      </c>
      <c r="I253" s="27">
        <f t="shared" si="59"/>
        <v>0</v>
      </c>
      <c r="J253" s="28"/>
      <c r="K253" s="28"/>
      <c r="L253" s="17"/>
      <c r="M253" s="29"/>
      <c r="N253" s="29"/>
      <c r="O253" s="30"/>
      <c r="P253" s="30"/>
      <c r="Q253" s="29"/>
      <c r="R253" s="31"/>
      <c r="S253" s="31"/>
      <c r="T253" s="32"/>
      <c r="U253" s="33"/>
      <c r="V253" s="31"/>
      <c r="W253" s="31"/>
    </row>
    <row r="254" ht="21.75" customHeight="1" outlineLevel="2">
      <c r="A254" s="20"/>
      <c r="B254" s="21" t="s">
        <v>455</v>
      </c>
      <c r="C254" s="22"/>
      <c r="D254" s="22" t="s">
        <v>45</v>
      </c>
      <c r="E254" s="24" t="s">
        <v>179</v>
      </c>
      <c r="F254" s="25"/>
      <c r="G254" s="24"/>
      <c r="H254" s="35">
        <v>45250.99817798611</v>
      </c>
      <c r="I254" s="27">
        <f t="shared" si="59"/>
        <v>0</v>
      </c>
      <c r="J254" s="28"/>
      <c r="K254" s="28"/>
      <c r="L254" s="17"/>
      <c r="M254" s="29"/>
      <c r="N254" s="29"/>
      <c r="O254" s="30"/>
      <c r="P254" s="30"/>
      <c r="Q254" s="29"/>
      <c r="R254" s="31"/>
      <c r="S254" s="31"/>
      <c r="T254" s="32"/>
      <c r="U254" s="33"/>
      <c r="V254" s="31"/>
      <c r="W254" s="31"/>
    </row>
    <row r="255" ht="21.75" customHeight="1" outlineLevel="2">
      <c r="A255" s="20"/>
      <c r="B255" s="21" t="s">
        <v>456</v>
      </c>
      <c r="C255" s="22"/>
      <c r="D255" s="22" t="s">
        <v>47</v>
      </c>
      <c r="E255" s="24" t="s">
        <v>179</v>
      </c>
      <c r="F255" s="25"/>
      <c r="G255" s="24"/>
      <c r="H255" s="35">
        <v>45252.99817798611</v>
      </c>
      <c r="I255" s="27">
        <f t="shared" si="59"/>
        <v>0</v>
      </c>
      <c r="J255" s="28"/>
      <c r="K255" s="28"/>
      <c r="L255" s="17"/>
      <c r="M255" s="29"/>
      <c r="N255" s="29"/>
      <c r="O255" s="30"/>
      <c r="P255" s="30"/>
      <c r="Q255" s="29"/>
      <c r="R255" s="31"/>
      <c r="S255" s="31"/>
      <c r="T255" s="32"/>
      <c r="U255" s="33"/>
      <c r="V255" s="31"/>
      <c r="W255" s="31"/>
    </row>
    <row r="256" ht="21.75" customHeight="1" outlineLevel="1">
      <c r="A256" s="20"/>
      <c r="B256" s="64"/>
      <c r="C256" s="22"/>
      <c r="D256" s="23"/>
      <c r="E256" s="24"/>
      <c r="F256" s="25"/>
      <c r="G256" s="24"/>
      <c r="H256" s="26"/>
      <c r="I256" s="27"/>
      <c r="J256" s="28"/>
      <c r="K256" s="28"/>
      <c r="L256" s="17"/>
      <c r="M256" s="29"/>
      <c r="N256" s="29"/>
      <c r="O256" s="30"/>
      <c r="P256" s="30"/>
      <c r="Q256" s="29"/>
      <c r="R256" s="31"/>
      <c r="S256" s="31"/>
      <c r="T256" s="32"/>
      <c r="U256" s="33"/>
      <c r="V256" s="31"/>
      <c r="W256" s="31"/>
    </row>
    <row r="257" ht="21.75" customHeight="1" outlineLevel="1">
      <c r="A257" s="20"/>
      <c r="B257" s="64"/>
      <c r="C257" s="22"/>
      <c r="D257" s="23"/>
      <c r="E257" s="24"/>
      <c r="F257" s="25"/>
      <c r="G257" s="24"/>
      <c r="H257" s="26"/>
      <c r="I257" s="27"/>
      <c r="J257" s="28"/>
      <c r="K257" s="28"/>
      <c r="L257" s="17"/>
      <c r="M257" s="29"/>
      <c r="N257" s="29"/>
      <c r="O257" s="30"/>
      <c r="P257" s="30"/>
      <c r="Q257" s="29"/>
      <c r="R257" s="31"/>
      <c r="S257" s="31"/>
      <c r="T257" s="32"/>
      <c r="U257" s="33"/>
      <c r="V257" s="31"/>
      <c r="W257" s="31"/>
    </row>
    <row r="258" ht="21.75" customHeight="1" outlineLevel="1">
      <c r="A258" s="20"/>
      <c r="B258" s="64"/>
      <c r="C258" s="22"/>
      <c r="D258" s="23"/>
      <c r="E258" s="24"/>
      <c r="F258" s="25"/>
      <c r="G258" s="24"/>
      <c r="H258" s="26"/>
      <c r="I258" s="27"/>
      <c r="J258" s="28"/>
      <c r="K258" s="28"/>
      <c r="L258" s="17"/>
      <c r="M258" s="29"/>
      <c r="N258" s="29"/>
      <c r="O258" s="30"/>
      <c r="P258" s="30"/>
      <c r="Q258" s="29"/>
      <c r="R258" s="31"/>
      <c r="S258" s="31"/>
      <c r="T258" s="32"/>
      <c r="U258" s="33"/>
      <c r="V258" s="31"/>
      <c r="W258" s="31"/>
    </row>
    <row r="259" ht="21.75" customHeight="1" outlineLevel="1">
      <c r="A259" s="20"/>
      <c r="B259" s="64"/>
      <c r="C259" s="22"/>
      <c r="D259" s="23"/>
      <c r="E259" s="24"/>
      <c r="F259" s="25"/>
      <c r="G259" s="24"/>
      <c r="H259" s="26"/>
      <c r="I259" s="27"/>
      <c r="J259" s="28"/>
      <c r="K259" s="28"/>
      <c r="L259" s="17"/>
      <c r="M259" s="29"/>
      <c r="N259" s="29"/>
      <c r="O259" s="30"/>
      <c r="P259" s="30"/>
      <c r="Q259" s="29"/>
      <c r="R259" s="31"/>
      <c r="S259" s="31"/>
      <c r="T259" s="32"/>
      <c r="U259" s="33"/>
      <c r="V259" s="31"/>
      <c r="W259" s="31"/>
    </row>
    <row r="260" ht="21.75" customHeight="1" outlineLevel="1">
      <c r="A260" s="20"/>
      <c r="B260" s="64"/>
      <c r="C260" s="22"/>
      <c r="D260" s="23"/>
      <c r="E260" s="24"/>
      <c r="F260" s="25"/>
      <c r="G260" s="24"/>
      <c r="H260" s="26"/>
      <c r="I260" s="27"/>
      <c r="J260" s="28"/>
      <c r="K260" s="28"/>
      <c r="L260" s="17"/>
      <c r="M260" s="29"/>
      <c r="N260" s="29"/>
      <c r="O260" s="30"/>
      <c r="P260" s="30"/>
      <c r="Q260" s="29"/>
      <c r="R260" s="31"/>
      <c r="S260" s="31"/>
      <c r="T260" s="32"/>
      <c r="U260" s="33"/>
      <c r="V260" s="31"/>
      <c r="W260" s="31"/>
    </row>
    <row r="261" ht="21.75" customHeight="1" outlineLevel="1">
      <c r="A261" s="20"/>
      <c r="B261" s="64"/>
      <c r="C261" s="22"/>
      <c r="D261" s="23"/>
      <c r="E261" s="24"/>
      <c r="F261" s="25"/>
      <c r="G261" s="24"/>
      <c r="H261" s="26"/>
      <c r="I261" s="27"/>
      <c r="J261" s="28"/>
      <c r="K261" s="28"/>
      <c r="L261" s="17"/>
      <c r="M261" s="29"/>
      <c r="N261" s="29"/>
      <c r="O261" s="30"/>
      <c r="P261" s="30"/>
      <c r="Q261" s="29"/>
      <c r="R261" s="31"/>
      <c r="S261" s="31"/>
      <c r="T261" s="32"/>
      <c r="U261" s="33"/>
      <c r="V261" s="31"/>
      <c r="W261" s="31"/>
    </row>
    <row r="262" ht="21.75" customHeight="1" outlineLevel="1">
      <c r="A262" s="20"/>
      <c r="B262" s="64"/>
      <c r="C262" s="22"/>
      <c r="D262" s="23"/>
      <c r="E262" s="24"/>
      <c r="F262" s="25"/>
      <c r="G262" s="24"/>
      <c r="H262" s="26"/>
      <c r="I262" s="27"/>
      <c r="J262" s="28"/>
      <c r="K262" s="28"/>
      <c r="L262" s="17"/>
      <c r="M262" s="29"/>
      <c r="N262" s="29"/>
      <c r="O262" s="30"/>
      <c r="P262" s="30"/>
      <c r="Q262" s="29"/>
      <c r="R262" s="31"/>
      <c r="S262" s="31"/>
      <c r="T262" s="32"/>
      <c r="U262" s="33"/>
      <c r="V262" s="31"/>
      <c r="W262" s="31"/>
    </row>
    <row r="263" ht="21.75" customHeight="1" outlineLevel="1">
      <c r="A263" s="20"/>
      <c r="B263" s="64"/>
      <c r="C263" s="22"/>
      <c r="D263" s="23"/>
      <c r="E263" s="24"/>
      <c r="F263" s="25"/>
      <c r="G263" s="24"/>
      <c r="H263" s="26"/>
      <c r="I263" s="27"/>
      <c r="J263" s="28"/>
      <c r="K263" s="28"/>
      <c r="L263" s="17"/>
      <c r="M263" s="29"/>
      <c r="N263" s="29"/>
      <c r="O263" s="30"/>
      <c r="P263" s="30"/>
      <c r="Q263" s="29"/>
      <c r="R263" s="31"/>
      <c r="S263" s="31"/>
      <c r="T263" s="32"/>
      <c r="U263" s="33"/>
      <c r="V263" s="31"/>
      <c r="W263" s="31"/>
    </row>
    <row r="264" ht="21.75" customHeight="1" outlineLevel="1">
      <c r="A264" s="20"/>
      <c r="B264" s="64"/>
      <c r="C264" s="22"/>
      <c r="D264" s="23"/>
      <c r="E264" s="24"/>
      <c r="F264" s="25"/>
      <c r="G264" s="24"/>
      <c r="H264" s="26"/>
      <c r="I264" s="27"/>
      <c r="J264" s="28"/>
      <c r="K264" s="28"/>
      <c r="L264" s="17"/>
      <c r="M264" s="29"/>
      <c r="N264" s="29"/>
      <c r="O264" s="30"/>
      <c r="P264" s="30"/>
      <c r="Q264" s="29"/>
      <c r="R264" s="31"/>
      <c r="S264" s="31"/>
      <c r="T264" s="32"/>
      <c r="U264" s="33"/>
      <c r="V264" s="31"/>
      <c r="W264" s="31"/>
    </row>
    <row r="265" ht="21.75" customHeight="1" outlineLevel="1">
      <c r="A265" s="20"/>
      <c r="B265" s="64"/>
      <c r="C265" s="22"/>
      <c r="D265" s="23"/>
      <c r="E265" s="24"/>
      <c r="F265" s="25"/>
      <c r="G265" s="24"/>
      <c r="H265" s="26"/>
      <c r="I265" s="27"/>
      <c r="J265" s="28"/>
      <c r="K265" s="28"/>
      <c r="L265" s="17"/>
      <c r="M265" s="29"/>
      <c r="N265" s="29"/>
      <c r="O265" s="30"/>
      <c r="P265" s="30"/>
      <c r="Q265" s="29"/>
      <c r="R265" s="31"/>
      <c r="S265" s="31"/>
      <c r="T265" s="32"/>
      <c r="U265" s="33"/>
      <c r="V265" s="31"/>
      <c r="W265" s="31"/>
    </row>
    <row r="266" ht="21.75" customHeight="1" outlineLevel="1">
      <c r="A266" s="20"/>
      <c r="B266" s="64"/>
      <c r="C266" s="22"/>
      <c r="D266" s="23"/>
      <c r="E266" s="24"/>
      <c r="F266" s="25"/>
      <c r="G266" s="24"/>
      <c r="H266" s="26"/>
      <c r="I266" s="27"/>
      <c r="J266" s="28"/>
      <c r="K266" s="28"/>
      <c r="L266" s="17"/>
      <c r="M266" s="29"/>
      <c r="N266" s="29"/>
      <c r="O266" s="30"/>
      <c r="P266" s="30"/>
      <c r="Q266" s="29"/>
      <c r="R266" s="31"/>
      <c r="S266" s="31"/>
      <c r="T266" s="32"/>
      <c r="U266" s="33"/>
      <c r="V266" s="31"/>
      <c r="W266" s="31"/>
    </row>
    <row r="267" ht="21.75" customHeight="1" outlineLevel="1">
      <c r="A267" s="20"/>
      <c r="B267" s="64"/>
      <c r="C267" s="22"/>
      <c r="D267" s="23"/>
      <c r="E267" s="24"/>
      <c r="F267" s="25"/>
      <c r="G267" s="24"/>
      <c r="H267" s="26"/>
      <c r="I267" s="27"/>
      <c r="J267" s="28"/>
      <c r="K267" s="28"/>
      <c r="L267" s="17"/>
      <c r="M267" s="29"/>
      <c r="N267" s="29"/>
      <c r="O267" s="30"/>
      <c r="P267" s="30"/>
      <c r="Q267" s="29"/>
      <c r="R267" s="31"/>
      <c r="S267" s="31"/>
      <c r="T267" s="32"/>
      <c r="U267" s="33"/>
      <c r="V267" s="31"/>
      <c r="W267" s="31"/>
    </row>
    <row r="268" ht="21.75" customHeight="1" outlineLevel="1">
      <c r="A268" s="20"/>
      <c r="B268" s="64"/>
      <c r="C268" s="22"/>
      <c r="D268" s="23"/>
      <c r="E268" s="24"/>
      <c r="F268" s="25"/>
      <c r="G268" s="24"/>
      <c r="H268" s="26"/>
      <c r="I268" s="27"/>
      <c r="J268" s="28"/>
      <c r="K268" s="28"/>
      <c r="L268" s="17"/>
      <c r="M268" s="29"/>
      <c r="N268" s="29"/>
      <c r="O268" s="30"/>
      <c r="P268" s="30"/>
      <c r="Q268" s="29"/>
      <c r="R268" s="31"/>
      <c r="S268" s="31"/>
      <c r="T268" s="32"/>
      <c r="U268" s="33"/>
      <c r="V268" s="31"/>
      <c r="W268" s="31"/>
    </row>
    <row r="269" ht="21.75" customHeight="1" outlineLevel="1">
      <c r="A269" s="20"/>
      <c r="B269" s="64"/>
      <c r="C269" s="22"/>
      <c r="D269" s="23"/>
      <c r="E269" s="24"/>
      <c r="F269" s="25"/>
      <c r="G269" s="24"/>
      <c r="H269" s="26"/>
      <c r="I269" s="27"/>
      <c r="J269" s="28"/>
      <c r="K269" s="28"/>
      <c r="L269" s="17"/>
      <c r="M269" s="29"/>
      <c r="N269" s="29"/>
      <c r="O269" s="30"/>
      <c r="P269" s="30"/>
      <c r="Q269" s="29"/>
      <c r="R269" s="31"/>
      <c r="S269" s="31"/>
      <c r="T269" s="32"/>
      <c r="U269" s="33"/>
      <c r="V269" s="31"/>
      <c r="W269" s="31"/>
    </row>
    <row r="270" ht="21.75" customHeight="1" outlineLevel="1">
      <c r="A270" s="20"/>
      <c r="B270" s="64"/>
      <c r="C270" s="22"/>
      <c r="D270" s="23"/>
      <c r="E270" s="24"/>
      <c r="F270" s="25"/>
      <c r="G270" s="24"/>
      <c r="H270" s="26"/>
      <c r="I270" s="27"/>
      <c r="J270" s="28"/>
      <c r="K270" s="28"/>
      <c r="L270" s="17"/>
      <c r="M270" s="29"/>
      <c r="N270" s="29"/>
      <c r="O270" s="30"/>
      <c r="P270" s="30"/>
      <c r="Q270" s="29"/>
      <c r="R270" s="31"/>
      <c r="S270" s="31"/>
      <c r="T270" s="32"/>
      <c r="U270" s="33"/>
      <c r="V270" s="31"/>
      <c r="W270" s="31"/>
    </row>
    <row r="271" ht="21.75" customHeight="1" outlineLevel="1">
      <c r="A271" s="20"/>
      <c r="B271" s="64"/>
      <c r="C271" s="22"/>
      <c r="D271" s="23"/>
      <c r="E271" s="24"/>
      <c r="F271" s="25"/>
      <c r="G271" s="24"/>
      <c r="H271" s="26"/>
      <c r="I271" s="27"/>
      <c r="J271" s="28"/>
      <c r="K271" s="28"/>
      <c r="L271" s="17"/>
      <c r="M271" s="29"/>
      <c r="N271" s="29"/>
      <c r="O271" s="30"/>
      <c r="P271" s="30"/>
      <c r="Q271" s="29"/>
      <c r="R271" s="31"/>
      <c r="S271" s="31"/>
      <c r="T271" s="32"/>
      <c r="U271" s="33"/>
      <c r="V271" s="31"/>
      <c r="W271" s="31"/>
    </row>
    <row r="272" ht="21.75" customHeight="1" outlineLevel="1">
      <c r="A272" s="20"/>
      <c r="B272" s="64"/>
      <c r="C272" s="22"/>
      <c r="D272" s="23"/>
      <c r="E272" s="24"/>
      <c r="F272" s="25"/>
      <c r="G272" s="24"/>
      <c r="H272" s="26"/>
      <c r="I272" s="27"/>
      <c r="J272" s="28"/>
      <c r="K272" s="28"/>
      <c r="L272" s="17"/>
      <c r="M272" s="29"/>
      <c r="N272" s="29"/>
      <c r="O272" s="30"/>
      <c r="P272" s="30"/>
      <c r="Q272" s="29"/>
      <c r="R272" s="31"/>
      <c r="S272" s="31"/>
      <c r="T272" s="32"/>
      <c r="U272" s="33"/>
      <c r="V272" s="31"/>
      <c r="W272" s="31"/>
    </row>
    <row r="273" ht="21.75" customHeight="1" outlineLevel="1">
      <c r="A273" s="20"/>
      <c r="B273" s="64"/>
      <c r="C273" s="22"/>
      <c r="D273" s="23"/>
      <c r="E273" s="24"/>
      <c r="F273" s="25"/>
      <c r="G273" s="24"/>
      <c r="H273" s="26"/>
      <c r="I273" s="27"/>
      <c r="J273" s="28"/>
      <c r="K273" s="28"/>
      <c r="L273" s="17"/>
      <c r="M273" s="29"/>
      <c r="N273" s="29"/>
      <c r="O273" s="30"/>
      <c r="P273" s="30"/>
      <c r="Q273" s="29"/>
      <c r="R273" s="31"/>
      <c r="S273" s="31"/>
      <c r="T273" s="32"/>
      <c r="U273" s="33"/>
      <c r="V273" s="31"/>
      <c r="W273" s="31"/>
    </row>
    <row r="274" ht="21.75" customHeight="1" outlineLevel="1">
      <c r="A274" s="20"/>
      <c r="B274" s="64"/>
      <c r="C274" s="22"/>
      <c r="D274" s="23"/>
      <c r="E274" s="24"/>
      <c r="F274" s="25"/>
      <c r="G274" s="24"/>
      <c r="H274" s="26"/>
      <c r="I274" s="27"/>
      <c r="J274" s="28"/>
      <c r="K274" s="28"/>
      <c r="L274" s="17"/>
      <c r="M274" s="29"/>
      <c r="N274" s="29"/>
      <c r="O274" s="30"/>
      <c r="P274" s="30"/>
      <c r="Q274" s="29"/>
      <c r="R274" s="31"/>
      <c r="S274" s="31"/>
      <c r="T274" s="32"/>
      <c r="U274" s="33"/>
      <c r="V274" s="31"/>
      <c r="W274" s="31"/>
    </row>
    <row r="275" ht="21.75" customHeight="1" outlineLevel="1">
      <c r="A275" s="20"/>
      <c r="B275" s="64"/>
      <c r="C275" s="22"/>
      <c r="D275" s="23"/>
      <c r="E275" s="24"/>
      <c r="F275" s="25"/>
      <c r="G275" s="24"/>
      <c r="H275" s="26"/>
      <c r="I275" s="27"/>
      <c r="J275" s="28"/>
      <c r="K275" s="28"/>
      <c r="L275" s="17"/>
      <c r="M275" s="29"/>
      <c r="N275" s="29"/>
      <c r="O275" s="30"/>
      <c r="P275" s="30"/>
      <c r="Q275" s="29"/>
      <c r="R275" s="31"/>
      <c r="S275" s="31"/>
      <c r="T275" s="32"/>
      <c r="U275" s="33"/>
      <c r="V275" s="31"/>
      <c r="W275" s="31"/>
    </row>
    <row r="276" ht="21.75" customHeight="1" outlineLevel="1">
      <c r="A276" s="20"/>
      <c r="B276" s="64"/>
      <c r="C276" s="22"/>
      <c r="D276" s="23"/>
      <c r="E276" s="24"/>
      <c r="F276" s="25"/>
      <c r="G276" s="24"/>
      <c r="H276" s="26"/>
      <c r="I276" s="27"/>
      <c r="J276" s="28"/>
      <c r="K276" s="28"/>
      <c r="L276" s="17"/>
      <c r="M276" s="29"/>
      <c r="N276" s="29"/>
      <c r="O276" s="30"/>
      <c r="P276" s="30"/>
      <c r="Q276" s="29"/>
      <c r="R276" s="31"/>
      <c r="S276" s="31"/>
      <c r="T276" s="32"/>
      <c r="U276" s="33"/>
      <c r="V276" s="31"/>
      <c r="W276" s="31"/>
    </row>
    <row r="277" ht="21.75" customHeight="1" outlineLevel="1">
      <c r="A277" s="20"/>
      <c r="B277" s="64"/>
      <c r="C277" s="22"/>
      <c r="D277" s="23"/>
      <c r="E277" s="24"/>
      <c r="F277" s="25"/>
      <c r="G277" s="24"/>
      <c r="H277" s="26"/>
      <c r="I277" s="27"/>
      <c r="J277" s="28"/>
      <c r="K277" s="28"/>
      <c r="L277" s="17"/>
      <c r="M277" s="29"/>
      <c r="N277" s="29"/>
      <c r="O277" s="30"/>
      <c r="P277" s="30"/>
      <c r="Q277" s="29"/>
      <c r="R277" s="31"/>
      <c r="S277" s="31"/>
      <c r="T277" s="32"/>
      <c r="U277" s="33"/>
      <c r="V277" s="31"/>
      <c r="W277" s="31"/>
    </row>
    <row r="278" ht="21.75" customHeight="1" outlineLevel="1">
      <c r="A278" s="20"/>
      <c r="B278" s="64"/>
      <c r="C278" s="22"/>
      <c r="D278" s="23"/>
      <c r="E278" s="24"/>
      <c r="F278" s="25"/>
      <c r="G278" s="24"/>
      <c r="H278" s="26"/>
      <c r="I278" s="27"/>
      <c r="J278" s="28"/>
      <c r="K278" s="28"/>
      <c r="L278" s="17"/>
      <c r="M278" s="29"/>
      <c r="N278" s="29"/>
      <c r="O278" s="30"/>
      <c r="P278" s="30"/>
      <c r="Q278" s="29"/>
      <c r="R278" s="31"/>
      <c r="S278" s="31"/>
      <c r="T278" s="32"/>
      <c r="U278" s="33"/>
      <c r="V278" s="31"/>
      <c r="W278" s="31"/>
    </row>
    <row r="279" ht="21.75" customHeight="1" outlineLevel="1">
      <c r="A279" s="20"/>
      <c r="B279" s="64"/>
      <c r="C279" s="22"/>
      <c r="D279" s="23"/>
      <c r="E279" s="24"/>
      <c r="F279" s="25"/>
      <c r="G279" s="24"/>
      <c r="H279" s="26"/>
      <c r="I279" s="27"/>
      <c r="J279" s="28"/>
      <c r="K279" s="28"/>
      <c r="L279" s="17"/>
      <c r="M279" s="29"/>
      <c r="N279" s="29"/>
      <c r="O279" s="30"/>
      <c r="P279" s="30"/>
      <c r="Q279" s="29"/>
      <c r="R279" s="31"/>
      <c r="S279" s="31"/>
      <c r="T279" s="32"/>
      <c r="U279" s="33"/>
      <c r="V279" s="31"/>
      <c r="W279" s="31"/>
    </row>
    <row r="280" ht="21.75" customHeight="1" outlineLevel="1">
      <c r="A280" s="20"/>
      <c r="B280" s="64"/>
      <c r="C280" s="22"/>
      <c r="D280" s="23"/>
      <c r="E280" s="24"/>
      <c r="F280" s="25"/>
      <c r="G280" s="24"/>
      <c r="H280" s="26"/>
      <c r="I280" s="27"/>
      <c r="J280" s="28"/>
      <c r="K280" s="28"/>
      <c r="L280" s="17"/>
      <c r="M280" s="29"/>
      <c r="N280" s="29"/>
      <c r="O280" s="30"/>
      <c r="P280" s="30"/>
      <c r="Q280" s="29"/>
      <c r="R280" s="31"/>
      <c r="S280" s="31"/>
      <c r="T280" s="32"/>
      <c r="U280" s="33"/>
      <c r="V280" s="31"/>
      <c r="W280" s="31"/>
    </row>
    <row r="281" ht="21.75" customHeight="1" outlineLevel="1">
      <c r="A281" s="20"/>
      <c r="B281" s="64"/>
      <c r="C281" s="22"/>
      <c r="D281" s="23"/>
      <c r="E281" s="24"/>
      <c r="F281" s="25"/>
      <c r="G281" s="24"/>
      <c r="H281" s="26"/>
      <c r="I281" s="27"/>
      <c r="J281" s="28"/>
      <c r="K281" s="28"/>
      <c r="L281" s="17"/>
      <c r="M281" s="29"/>
      <c r="N281" s="29"/>
      <c r="O281" s="30"/>
      <c r="P281" s="30"/>
      <c r="Q281" s="29"/>
      <c r="R281" s="31"/>
      <c r="S281" s="31"/>
      <c r="T281" s="32"/>
      <c r="U281" s="33"/>
      <c r="V281" s="31"/>
      <c r="W281" s="31"/>
    </row>
    <row r="282" ht="21.75" customHeight="1" outlineLevel="1">
      <c r="A282" s="20"/>
      <c r="B282" s="64"/>
      <c r="C282" s="22"/>
      <c r="D282" s="23"/>
      <c r="E282" s="24"/>
      <c r="F282" s="25"/>
      <c r="G282" s="24"/>
      <c r="H282" s="26"/>
      <c r="I282" s="27"/>
      <c r="J282" s="28"/>
      <c r="K282" s="28"/>
      <c r="L282" s="17"/>
      <c r="M282" s="29"/>
      <c r="N282" s="29"/>
      <c r="O282" s="30"/>
      <c r="P282" s="30"/>
      <c r="Q282" s="29"/>
      <c r="R282" s="31"/>
      <c r="S282" s="31"/>
      <c r="T282" s="32"/>
      <c r="U282" s="33"/>
      <c r="V282" s="31"/>
      <c r="W282" s="31"/>
    </row>
    <row r="283" ht="21.75" customHeight="1" outlineLevel="1">
      <c r="A283" s="20"/>
      <c r="B283" s="64"/>
      <c r="C283" s="22"/>
      <c r="D283" s="23"/>
      <c r="E283" s="24"/>
      <c r="F283" s="25"/>
      <c r="G283" s="24"/>
      <c r="H283" s="26"/>
      <c r="I283" s="27"/>
      <c r="J283" s="28"/>
      <c r="K283" s="28"/>
      <c r="L283" s="17"/>
      <c r="M283" s="29"/>
      <c r="N283" s="29"/>
      <c r="O283" s="30"/>
      <c r="P283" s="30"/>
      <c r="Q283" s="29"/>
      <c r="R283" s="31"/>
      <c r="S283" s="31"/>
      <c r="T283" s="32"/>
      <c r="U283" s="33"/>
      <c r="V283" s="31"/>
      <c r="W283" s="31"/>
    </row>
    <row r="284" ht="21.75" customHeight="1" outlineLevel="1">
      <c r="A284" s="20"/>
      <c r="B284" s="64"/>
      <c r="C284" s="22"/>
      <c r="D284" s="23"/>
      <c r="E284" s="24"/>
      <c r="F284" s="25"/>
      <c r="G284" s="24"/>
      <c r="H284" s="26"/>
      <c r="I284" s="27"/>
      <c r="J284" s="28"/>
      <c r="K284" s="28"/>
      <c r="L284" s="17"/>
      <c r="M284" s="29"/>
      <c r="N284" s="29"/>
      <c r="O284" s="30"/>
      <c r="P284" s="30"/>
      <c r="Q284" s="29"/>
      <c r="R284" s="31"/>
      <c r="S284" s="31"/>
      <c r="T284" s="32"/>
      <c r="U284" s="33"/>
      <c r="V284" s="31"/>
      <c r="W284" s="31"/>
    </row>
    <row r="285" ht="21.75" customHeight="1" outlineLevel="1">
      <c r="A285" s="20"/>
      <c r="B285" s="64"/>
      <c r="C285" s="22"/>
      <c r="D285" s="23"/>
      <c r="E285" s="24"/>
      <c r="F285" s="25"/>
      <c r="G285" s="24"/>
      <c r="H285" s="26"/>
      <c r="I285" s="27"/>
      <c r="J285" s="28"/>
      <c r="K285" s="28"/>
      <c r="L285" s="17"/>
      <c r="M285" s="29"/>
      <c r="N285" s="29"/>
      <c r="O285" s="30"/>
      <c r="P285" s="30"/>
      <c r="Q285" s="29"/>
      <c r="R285" s="31"/>
      <c r="S285" s="31"/>
      <c r="T285" s="32"/>
      <c r="U285" s="33"/>
      <c r="V285" s="31"/>
      <c r="W285" s="31"/>
    </row>
    <row r="286" ht="21.75" customHeight="1" outlineLevel="1">
      <c r="A286" s="20"/>
      <c r="B286" s="64"/>
      <c r="C286" s="22"/>
      <c r="D286" s="23"/>
      <c r="E286" s="24"/>
      <c r="F286" s="25"/>
      <c r="G286" s="24"/>
      <c r="H286" s="26"/>
      <c r="I286" s="27"/>
      <c r="J286" s="28"/>
      <c r="K286" s="28"/>
      <c r="L286" s="17"/>
      <c r="M286" s="29"/>
      <c r="N286" s="29"/>
      <c r="O286" s="30"/>
      <c r="P286" s="30"/>
      <c r="Q286" s="29"/>
      <c r="R286" s="31"/>
      <c r="S286" s="31"/>
      <c r="T286" s="32"/>
      <c r="U286" s="33"/>
      <c r="V286" s="31"/>
      <c r="W286" s="31"/>
    </row>
    <row r="287" ht="21.75" customHeight="1" outlineLevel="1">
      <c r="A287" s="20"/>
      <c r="B287" s="64"/>
      <c r="C287" s="22"/>
      <c r="D287" s="23"/>
      <c r="E287" s="24"/>
      <c r="F287" s="25"/>
      <c r="G287" s="24"/>
      <c r="H287" s="26"/>
      <c r="I287" s="27"/>
      <c r="J287" s="28"/>
      <c r="K287" s="28"/>
      <c r="L287" s="17"/>
      <c r="M287" s="29"/>
      <c r="N287" s="29"/>
      <c r="O287" s="30"/>
      <c r="P287" s="30"/>
      <c r="Q287" s="29"/>
      <c r="R287" s="31"/>
      <c r="S287" s="31"/>
      <c r="T287" s="32"/>
      <c r="U287" s="33"/>
      <c r="V287" s="31"/>
      <c r="W287" s="31"/>
    </row>
    <row r="288" ht="21.75" customHeight="1" outlineLevel="1">
      <c r="A288" s="20"/>
      <c r="B288" s="64"/>
      <c r="C288" s="22"/>
      <c r="D288" s="23"/>
      <c r="E288" s="24"/>
      <c r="F288" s="25"/>
      <c r="G288" s="24"/>
      <c r="H288" s="26"/>
      <c r="I288" s="27"/>
      <c r="J288" s="28"/>
      <c r="K288" s="28"/>
      <c r="L288" s="17"/>
      <c r="M288" s="29"/>
      <c r="N288" s="29"/>
      <c r="O288" s="30"/>
      <c r="P288" s="30"/>
      <c r="Q288" s="29"/>
      <c r="R288" s="31"/>
      <c r="S288" s="31"/>
      <c r="T288" s="32"/>
      <c r="U288" s="33"/>
      <c r="V288" s="31"/>
      <c r="W288" s="31"/>
    </row>
    <row r="289" ht="21.75" customHeight="1" outlineLevel="1">
      <c r="A289" s="20"/>
      <c r="B289" s="64"/>
      <c r="C289" s="22"/>
      <c r="D289" s="23"/>
      <c r="E289" s="24"/>
      <c r="F289" s="25"/>
      <c r="G289" s="24"/>
      <c r="H289" s="26"/>
      <c r="I289" s="27"/>
      <c r="J289" s="28"/>
      <c r="K289" s="28"/>
      <c r="L289" s="17"/>
      <c r="M289" s="29"/>
      <c r="N289" s="29"/>
      <c r="O289" s="30"/>
      <c r="P289" s="30"/>
      <c r="Q289" s="29"/>
      <c r="R289" s="31"/>
      <c r="S289" s="31"/>
      <c r="T289" s="32"/>
      <c r="U289" s="33"/>
      <c r="V289" s="31"/>
      <c r="W289" s="31"/>
    </row>
    <row r="290" ht="21.75" customHeight="1" outlineLevel="1">
      <c r="A290" s="20"/>
      <c r="B290" s="64"/>
      <c r="C290" s="22"/>
      <c r="D290" s="23"/>
      <c r="E290" s="24"/>
      <c r="F290" s="25"/>
      <c r="G290" s="24"/>
      <c r="H290" s="26"/>
      <c r="I290" s="27"/>
      <c r="J290" s="28"/>
      <c r="K290" s="28"/>
      <c r="L290" s="17"/>
      <c r="M290" s="29"/>
      <c r="N290" s="29"/>
      <c r="O290" s="30"/>
      <c r="P290" s="30"/>
      <c r="Q290" s="29"/>
      <c r="R290" s="31"/>
      <c r="S290" s="31" t="str">
        <f t="shared" ref="S290:S296" si="60">IFERROR(MID(B290, FIND("-", B290) + 1, 3), "")</f>
        <v/>
      </c>
      <c r="T290" s="32" t="str">
        <f t="shared" ref="T290:T296" si="61">IFERROR(MID(B290, 8, LEN(B290)-7), "")
</f>
        <v/>
      </c>
      <c r="U290" s="33"/>
      <c r="V290" s="31"/>
      <c r="W290" s="31"/>
    </row>
    <row r="291" ht="21.75" customHeight="1" outlineLevel="1">
      <c r="A291" s="20"/>
      <c r="B291" s="64"/>
      <c r="C291" s="22"/>
      <c r="D291" s="23"/>
      <c r="E291" s="24"/>
      <c r="F291" s="25"/>
      <c r="G291" s="24"/>
      <c r="H291" s="26"/>
      <c r="I291" s="27"/>
      <c r="J291" s="28"/>
      <c r="K291" s="28"/>
      <c r="L291" s="17"/>
      <c r="M291" s="29"/>
      <c r="N291" s="29"/>
      <c r="O291" s="30"/>
      <c r="P291" s="30"/>
      <c r="Q291" s="29"/>
      <c r="R291" s="31"/>
      <c r="S291" s="31" t="str">
        <f t="shared" si="60"/>
        <v/>
      </c>
      <c r="T291" s="32" t="str">
        <f t="shared" si="61"/>
        <v/>
      </c>
      <c r="U291" s="33"/>
      <c r="V291" s="31"/>
      <c r="W291" s="31"/>
    </row>
    <row r="292" ht="21.75" customHeight="1" outlineLevel="1">
      <c r="A292" s="20"/>
      <c r="B292" s="64"/>
      <c r="C292" s="22"/>
      <c r="D292" s="23"/>
      <c r="E292" s="24"/>
      <c r="F292" s="25"/>
      <c r="G292" s="24"/>
      <c r="H292" s="26"/>
      <c r="I292" s="27"/>
      <c r="J292" s="28"/>
      <c r="K292" s="28"/>
      <c r="L292" s="17"/>
      <c r="M292" s="29"/>
      <c r="N292" s="29"/>
      <c r="O292" s="30"/>
      <c r="P292" s="30"/>
      <c r="Q292" s="29"/>
      <c r="R292" s="31"/>
      <c r="S292" s="31" t="str">
        <f t="shared" si="60"/>
        <v/>
      </c>
      <c r="T292" s="32" t="str">
        <f t="shared" si="61"/>
        <v/>
      </c>
      <c r="U292" s="33"/>
      <c r="V292" s="31"/>
      <c r="W292" s="31"/>
    </row>
    <row r="293" ht="21.75" customHeight="1" outlineLevel="1">
      <c r="A293" s="20"/>
      <c r="B293" s="64"/>
      <c r="C293" s="22"/>
      <c r="D293" s="23"/>
      <c r="E293" s="24"/>
      <c r="F293" s="25"/>
      <c r="G293" s="24"/>
      <c r="H293" s="26"/>
      <c r="I293" s="27"/>
      <c r="J293" s="28"/>
      <c r="K293" s="28"/>
      <c r="L293" s="17"/>
      <c r="M293" s="29"/>
      <c r="N293" s="29"/>
      <c r="O293" s="30"/>
      <c r="P293" s="30"/>
      <c r="Q293" s="29"/>
      <c r="R293" s="31"/>
      <c r="S293" s="31" t="str">
        <f t="shared" si="60"/>
        <v/>
      </c>
      <c r="T293" s="32" t="str">
        <f t="shared" si="61"/>
        <v/>
      </c>
      <c r="U293" s="33"/>
      <c r="V293" s="31"/>
      <c r="W293" s="31"/>
    </row>
    <row r="294" ht="21.75" customHeight="1" outlineLevel="1">
      <c r="A294" s="20"/>
      <c r="B294" s="64"/>
      <c r="C294" s="22"/>
      <c r="D294" s="23"/>
      <c r="E294" s="24"/>
      <c r="F294" s="25"/>
      <c r="G294" s="24"/>
      <c r="H294" s="26"/>
      <c r="I294" s="27"/>
      <c r="J294" s="28"/>
      <c r="K294" s="28"/>
      <c r="L294" s="17"/>
      <c r="M294" s="29"/>
      <c r="N294" s="29"/>
      <c r="O294" s="30"/>
      <c r="P294" s="30"/>
      <c r="Q294" s="29"/>
      <c r="R294" s="31"/>
      <c r="S294" s="31" t="str">
        <f t="shared" si="60"/>
        <v/>
      </c>
      <c r="T294" s="32" t="str">
        <f t="shared" si="61"/>
        <v/>
      </c>
      <c r="U294" s="33"/>
      <c r="V294" s="31"/>
      <c r="W294" s="31"/>
    </row>
    <row r="295" ht="21.75" customHeight="1" outlineLevel="1">
      <c r="A295" s="20"/>
      <c r="B295" s="64"/>
      <c r="C295" s="22"/>
      <c r="D295" s="23"/>
      <c r="E295" s="24"/>
      <c r="F295" s="25"/>
      <c r="G295" s="24"/>
      <c r="H295" s="26"/>
      <c r="I295" s="27"/>
      <c r="J295" s="28"/>
      <c r="K295" s="28"/>
      <c r="L295" s="17"/>
      <c r="M295" s="29"/>
      <c r="N295" s="29"/>
      <c r="O295" s="30"/>
      <c r="P295" s="30"/>
      <c r="Q295" s="29"/>
      <c r="R295" s="31"/>
      <c r="S295" s="31" t="str">
        <f t="shared" si="60"/>
        <v/>
      </c>
      <c r="T295" s="32" t="str">
        <f t="shared" si="61"/>
        <v/>
      </c>
      <c r="U295" s="33"/>
      <c r="V295" s="31"/>
      <c r="W295" s="31"/>
    </row>
    <row r="296" ht="21.75" customHeight="1" outlineLevel="1">
      <c r="A296" s="20"/>
      <c r="B296" s="64"/>
      <c r="C296" s="22"/>
      <c r="D296" s="23"/>
      <c r="E296" s="24"/>
      <c r="F296" s="25"/>
      <c r="G296" s="24"/>
      <c r="H296" s="26"/>
      <c r="I296" s="27"/>
      <c r="J296" s="28"/>
      <c r="K296" s="28"/>
      <c r="L296" s="17"/>
      <c r="M296" s="29"/>
      <c r="N296" s="29"/>
      <c r="O296" s="30"/>
      <c r="P296" s="30"/>
      <c r="Q296" s="29"/>
      <c r="R296" s="31"/>
      <c r="S296" s="31" t="str">
        <f t="shared" si="60"/>
        <v/>
      </c>
      <c r="T296" s="32" t="str">
        <f t="shared" si="61"/>
        <v/>
      </c>
      <c r="U296" s="33"/>
      <c r="V296" s="31"/>
      <c r="W296" s="31"/>
    </row>
    <row r="297" ht="36.0" customHeight="1">
      <c r="A297" s="65"/>
      <c r="B297" s="65" t="s">
        <v>457</v>
      </c>
      <c r="C297" s="65"/>
      <c r="D297" s="66"/>
      <c r="E297" s="67"/>
      <c r="F297" s="68"/>
      <c r="G297" s="67"/>
      <c r="H297" s="66"/>
      <c r="I297" s="66"/>
      <c r="J297" s="67"/>
      <c r="K297" s="66"/>
      <c r="L297" s="17"/>
      <c r="M297" s="69"/>
      <c r="N297" s="70"/>
      <c r="O297" s="70"/>
      <c r="P297" s="70"/>
      <c r="Q297" s="69"/>
      <c r="R297" s="69"/>
      <c r="S297" s="69"/>
      <c r="T297" s="69"/>
      <c r="U297" s="70"/>
      <c r="V297" s="69"/>
      <c r="W297" s="69"/>
    </row>
    <row r="298" ht="21.75" customHeight="1" outlineLevel="1" collapsed="1">
      <c r="A298" s="71"/>
      <c r="B298" s="21" t="s">
        <v>458</v>
      </c>
      <c r="C298" s="22" t="s">
        <v>459</v>
      </c>
      <c r="D298" s="23"/>
      <c r="E298" s="24" t="s">
        <v>21</v>
      </c>
      <c r="F298" s="25" t="s">
        <v>48</v>
      </c>
      <c r="G298" s="24" t="s">
        <v>79</v>
      </c>
      <c r="H298" s="26">
        <f>MAX(H299:H304)</f>
        <v>45216</v>
      </c>
      <c r="I298" s="27" t="str">
        <f>IFERROR(__xludf.DUMMYFUNCTION("SPARKLINE(SUM(I299:I304), {""charttype"", ""bar""; ""max"", J298; ""color1"", ""green""})"),"")</f>
        <v/>
      </c>
      <c r="J298" s="28">
        <f>COUNT(I299:I304)</f>
        <v>5</v>
      </c>
      <c r="K298" s="28"/>
      <c r="L298" s="17"/>
      <c r="M298" s="29"/>
      <c r="N298" s="72"/>
      <c r="O298" s="73"/>
      <c r="P298" s="73"/>
      <c r="Q298" s="72"/>
      <c r="R298" s="31"/>
      <c r="S298" s="31" t="str">
        <f t="shared" ref="S298:S302" si="62">IFERROR(MID(B298, FIND("-", B298) + 1, 3), "")</f>
        <v>PTS</v>
      </c>
      <c r="T298" s="32" t="str">
        <f t="shared" ref="T298:T302" si="63">IFERROR(MID(B298, 8, LEN(B298)-7), "")
</f>
        <v>07</v>
      </c>
      <c r="U298" s="33" t="str">
        <f t="shared" ref="U298:U310" si="64">CONCATENATE(C298, " - ",E298)</f>
        <v>Startup Mistakes - Shorts</v>
      </c>
      <c r="V298" s="31"/>
      <c r="W298" s="31"/>
    </row>
    <row r="299" ht="21.75" hidden="1" customHeight="1" outlineLevel="2">
      <c r="A299" s="71"/>
      <c r="B299" s="21" t="s">
        <v>460</v>
      </c>
      <c r="C299" s="23"/>
      <c r="D299" s="22" t="s">
        <v>25</v>
      </c>
      <c r="E299" s="24" t="s">
        <v>26</v>
      </c>
      <c r="F299" s="25" t="s">
        <v>22</v>
      </c>
      <c r="G299" s="34" t="s">
        <v>459</v>
      </c>
      <c r="H299" s="35">
        <v>45139.0</v>
      </c>
      <c r="I299" s="27">
        <f t="shared" ref="I299:I302" si="65">IFERROR(
    IF($E299="Done", 1,
       IF(OR($E299="Working on it", $E299="In Review"), 0.5,
          IF($E299="Not Started", 0, "")
       )
    ), 
0)</f>
        <v>1</v>
      </c>
      <c r="J299" s="28"/>
      <c r="K299" s="28"/>
      <c r="L299" s="17"/>
      <c r="M299" s="29"/>
      <c r="N299" s="72"/>
      <c r="O299" s="73"/>
      <c r="P299" s="73"/>
      <c r="Q299" s="72"/>
      <c r="R299" s="31"/>
      <c r="S299" s="31" t="str">
        <f t="shared" si="62"/>
        <v>PTS</v>
      </c>
      <c r="T299" s="32" t="str">
        <f t="shared" si="63"/>
        <v>07.1</v>
      </c>
      <c r="U299" s="33" t="str">
        <f t="shared" si="64"/>
        <v> - Done</v>
      </c>
      <c r="V299" s="31"/>
      <c r="W299" s="31"/>
    </row>
    <row r="300" ht="21.75" hidden="1" customHeight="1" outlineLevel="2">
      <c r="A300" s="71"/>
      <c r="B300" s="21" t="s">
        <v>461</v>
      </c>
      <c r="C300" s="23"/>
      <c r="D300" s="22" t="s">
        <v>112</v>
      </c>
      <c r="E300" s="24" t="s">
        <v>26</v>
      </c>
      <c r="F300" s="25" t="s">
        <v>22</v>
      </c>
      <c r="G300" s="74"/>
      <c r="H300" s="35">
        <v>45163.0</v>
      </c>
      <c r="I300" s="27">
        <f t="shared" si="65"/>
        <v>1</v>
      </c>
      <c r="J300" s="28"/>
      <c r="K300" s="28"/>
      <c r="L300" s="17"/>
      <c r="M300" s="29">
        <v>45166.45785535879</v>
      </c>
      <c r="N300" s="29">
        <v>45166.46440972222</v>
      </c>
      <c r="O300" s="73"/>
      <c r="P300" s="73"/>
      <c r="Q300" s="37" t="s">
        <v>31</v>
      </c>
      <c r="R300" s="31">
        <f>N300-M300</f>
        <v>0.006554363426</v>
      </c>
      <c r="S300" s="31" t="str">
        <f t="shared" si="62"/>
        <v>PTS</v>
      </c>
      <c r="T300" s="32" t="str">
        <f t="shared" si="63"/>
        <v>07.2</v>
      </c>
      <c r="U300" s="33" t="str">
        <f t="shared" si="64"/>
        <v> - Done</v>
      </c>
      <c r="V300" s="31"/>
      <c r="W300" s="31"/>
    </row>
    <row r="301" ht="21.75" hidden="1" customHeight="1" outlineLevel="2">
      <c r="A301" s="71"/>
      <c r="B301" s="21" t="s">
        <v>462</v>
      </c>
      <c r="C301" s="23"/>
      <c r="D301" s="22" t="s">
        <v>40</v>
      </c>
      <c r="E301" s="24" t="s">
        <v>26</v>
      </c>
      <c r="F301" s="25" t="s">
        <v>27</v>
      </c>
      <c r="G301" s="74"/>
      <c r="H301" s="35">
        <v>45183.0</v>
      </c>
      <c r="I301" s="27">
        <f t="shared" si="65"/>
        <v>1</v>
      </c>
      <c r="J301" s="28"/>
      <c r="K301" s="28"/>
      <c r="L301" s="17"/>
      <c r="M301" s="29">
        <v>45166.48282538194</v>
      </c>
      <c r="N301" s="75">
        <v>45173.45563513889</v>
      </c>
      <c r="O301" s="36" t="s">
        <v>463</v>
      </c>
      <c r="P301" s="36" t="s">
        <v>464</v>
      </c>
      <c r="Q301" s="37" t="s">
        <v>31</v>
      </c>
      <c r="R301" s="31">
        <v>0.8506944444444444</v>
      </c>
      <c r="S301" s="31" t="str">
        <f t="shared" si="62"/>
        <v>PTS</v>
      </c>
      <c r="T301" s="32" t="str">
        <f t="shared" si="63"/>
        <v>07.3</v>
      </c>
      <c r="U301" s="33" t="str">
        <f t="shared" si="64"/>
        <v> - Done</v>
      </c>
      <c r="V301" s="31"/>
      <c r="W301" s="31"/>
    </row>
    <row r="302" ht="21.75" hidden="1" customHeight="1" outlineLevel="2">
      <c r="A302" s="71"/>
      <c r="B302" s="21" t="s">
        <v>465</v>
      </c>
      <c r="C302" s="23"/>
      <c r="D302" s="22" t="s">
        <v>274</v>
      </c>
      <c r="E302" s="24" t="s">
        <v>26</v>
      </c>
      <c r="F302" s="25" t="s">
        <v>48</v>
      </c>
      <c r="G302" s="74"/>
      <c r="H302" s="35">
        <v>45215.0</v>
      </c>
      <c r="I302" s="27">
        <f t="shared" si="65"/>
        <v>1</v>
      </c>
      <c r="J302" s="28"/>
      <c r="K302" s="28"/>
      <c r="L302" s="17"/>
      <c r="M302" s="29">
        <v>45213.532209490746</v>
      </c>
      <c r="N302" s="75">
        <v>45216.60959033565</v>
      </c>
      <c r="O302" s="36" t="s">
        <v>466</v>
      </c>
      <c r="P302" s="36" t="s">
        <v>467</v>
      </c>
      <c r="Q302" s="37" t="s">
        <v>31</v>
      </c>
      <c r="R302" s="31">
        <v>0.08541666666666667</v>
      </c>
      <c r="S302" s="31" t="str">
        <f t="shared" si="62"/>
        <v>PTS</v>
      </c>
      <c r="T302" s="32" t="str">
        <f t="shared" si="63"/>
        <v>07.4</v>
      </c>
      <c r="U302" s="33" t="str">
        <f t="shared" si="64"/>
        <v> - Done</v>
      </c>
      <c r="V302" s="31"/>
      <c r="W302" s="31"/>
    </row>
    <row r="303" ht="21.75" hidden="1" customHeight="1" outlineLevel="2">
      <c r="A303" s="71"/>
      <c r="B303" s="21" t="s">
        <v>468</v>
      </c>
      <c r="C303" s="23"/>
      <c r="D303" s="22" t="s">
        <v>469</v>
      </c>
      <c r="E303" s="24" t="s">
        <v>26</v>
      </c>
      <c r="F303" s="25" t="s">
        <v>22</v>
      </c>
      <c r="G303" s="74"/>
      <c r="H303" s="35">
        <v>45216.0</v>
      </c>
      <c r="I303" s="27"/>
      <c r="J303" s="28"/>
      <c r="K303" s="28"/>
      <c r="L303" s="17"/>
      <c r="M303" s="29"/>
      <c r="N303" s="72"/>
      <c r="O303" s="73"/>
      <c r="P303" s="73"/>
      <c r="Q303" s="72"/>
      <c r="R303" s="31"/>
      <c r="S303" s="31"/>
      <c r="T303" s="32"/>
      <c r="U303" s="33" t="str">
        <f t="shared" si="64"/>
        <v> - Done</v>
      </c>
      <c r="V303" s="31"/>
      <c r="W303" s="31"/>
    </row>
    <row r="304" ht="21.75" hidden="1" customHeight="1" outlineLevel="2">
      <c r="A304" s="71"/>
      <c r="B304" s="21" t="s">
        <v>470</v>
      </c>
      <c r="C304" s="23"/>
      <c r="D304" s="22" t="s">
        <v>47</v>
      </c>
      <c r="E304" s="24" t="s">
        <v>26</v>
      </c>
      <c r="F304" s="25" t="s">
        <v>22</v>
      </c>
      <c r="G304" s="74"/>
      <c r="H304" s="35">
        <v>45216.0</v>
      </c>
      <c r="I304" s="27">
        <f>IFERROR(
    IF($E304="Done", 1,
       IF(OR($E304="Working on it", $E304="In Review"), 0.5,
          IF($E304="Not Started", 0, "")
       )
    ), 
0)</f>
        <v>1</v>
      </c>
      <c r="J304" s="28"/>
      <c r="K304" s="28"/>
      <c r="L304" s="17"/>
      <c r="M304" s="29"/>
      <c r="N304" s="72"/>
      <c r="O304" s="73"/>
      <c r="P304" s="73"/>
      <c r="Q304" s="72"/>
      <c r="R304" s="31"/>
      <c r="S304" s="31" t="str">
        <f t="shared" ref="S304:S310" si="66">IFERROR(MID(B304, FIND("-", B304) + 1, 3), "")</f>
        <v>PTS</v>
      </c>
      <c r="T304" s="32" t="str">
        <f t="shared" ref="T304:T310" si="67">IFERROR(MID(B304, 8, LEN(B304)-7), "")
</f>
        <v>07.6</v>
      </c>
      <c r="U304" s="33" t="str">
        <f t="shared" si="64"/>
        <v> - Done</v>
      </c>
      <c r="V304" s="31"/>
      <c r="W304" s="31"/>
    </row>
    <row r="305" ht="21.75" customHeight="1" outlineLevel="1" collapsed="1">
      <c r="A305" s="71"/>
      <c r="B305" s="76" t="s">
        <v>471</v>
      </c>
      <c r="C305" s="22" t="s">
        <v>472</v>
      </c>
      <c r="D305" s="23"/>
      <c r="E305" s="24" t="s">
        <v>78</v>
      </c>
      <c r="F305" s="25" t="s">
        <v>22</v>
      </c>
      <c r="G305" s="24" t="s">
        <v>23</v>
      </c>
      <c r="H305" s="26">
        <f>MAX(H306:H309)</f>
        <v>45216</v>
      </c>
      <c r="I305" s="27" t="str">
        <f>IFERROR(__xludf.DUMMYFUNCTION("SPARKLINE(SUM(I306:I309), {""charttype"", ""bar""; ""max"", J305; ""color1"", ""green""})"),"")</f>
        <v/>
      </c>
      <c r="J305" s="28">
        <f>COUNT(I306:I309)</f>
        <v>4</v>
      </c>
      <c r="K305" s="28"/>
      <c r="L305" s="17"/>
      <c r="M305" s="29"/>
      <c r="N305" s="72"/>
      <c r="O305" s="73"/>
      <c r="P305" s="73"/>
      <c r="Q305" s="72"/>
      <c r="R305" s="31"/>
      <c r="S305" s="31" t="str">
        <f t="shared" si="66"/>
        <v>PTS</v>
      </c>
      <c r="T305" s="32" t="str">
        <f t="shared" si="67"/>
        <v>09</v>
      </c>
      <c r="U305" s="33" t="str">
        <f t="shared" si="64"/>
        <v>What is Sales Funnel - Blog</v>
      </c>
      <c r="V305" s="31"/>
      <c r="W305" s="31"/>
    </row>
    <row r="306" ht="21.75" hidden="1" customHeight="1" outlineLevel="2">
      <c r="A306" s="71"/>
      <c r="B306" s="76" t="s">
        <v>473</v>
      </c>
      <c r="C306" s="23"/>
      <c r="D306" s="22" t="s">
        <v>25</v>
      </c>
      <c r="E306" s="24" t="s">
        <v>26</v>
      </c>
      <c r="F306" s="25" t="s">
        <v>22</v>
      </c>
      <c r="G306" s="34" t="s">
        <v>474</v>
      </c>
      <c r="H306" s="35">
        <v>45136.0</v>
      </c>
      <c r="I306" s="27">
        <f t="shared" ref="I306:I309" si="68">IFERROR(
    IF($E306="Done", 1,
       IF(OR($E306="Working on it", $E306="In Review"), 0.5,
          IF($E306="Not Started", 0, "")
       )
    ), 
0)</f>
        <v>1</v>
      </c>
      <c r="J306" s="28"/>
      <c r="K306" s="28"/>
      <c r="L306" s="17"/>
      <c r="M306" s="29"/>
      <c r="N306" s="72"/>
      <c r="O306" s="73"/>
      <c r="P306" s="73"/>
      <c r="Q306" s="72"/>
      <c r="R306" s="31"/>
      <c r="S306" s="31" t="str">
        <f t="shared" si="66"/>
        <v>PTS</v>
      </c>
      <c r="T306" s="32" t="str">
        <f t="shared" si="67"/>
        <v>09.1</v>
      </c>
      <c r="U306" s="33" t="str">
        <f t="shared" si="64"/>
        <v> - Done</v>
      </c>
      <c r="V306" s="31"/>
      <c r="W306" s="31"/>
    </row>
    <row r="307" ht="21.75" hidden="1" customHeight="1" outlineLevel="2">
      <c r="A307" s="71"/>
      <c r="B307" s="76" t="s">
        <v>475</v>
      </c>
      <c r="C307" s="23"/>
      <c r="D307" s="22" t="s">
        <v>476</v>
      </c>
      <c r="E307" s="24" t="s">
        <v>26</v>
      </c>
      <c r="F307" s="25" t="s">
        <v>41</v>
      </c>
      <c r="G307" s="24"/>
      <c r="H307" s="35">
        <v>45182.0</v>
      </c>
      <c r="I307" s="27">
        <f t="shared" si="68"/>
        <v>1</v>
      </c>
      <c r="J307" s="28"/>
      <c r="K307" s="28"/>
      <c r="L307" s="17"/>
      <c r="M307" s="29">
        <v>45173.46117326389</v>
      </c>
      <c r="N307" s="75">
        <v>45183.45346314815</v>
      </c>
      <c r="O307" s="36" t="s">
        <v>477</v>
      </c>
      <c r="P307" s="36" t="s">
        <v>478</v>
      </c>
      <c r="Q307" s="37" t="s">
        <v>31</v>
      </c>
      <c r="R307" s="31">
        <v>9.990277777777777</v>
      </c>
      <c r="S307" s="31" t="str">
        <f t="shared" si="66"/>
        <v>PTS</v>
      </c>
      <c r="T307" s="32" t="str">
        <f t="shared" si="67"/>
        <v>09.2</v>
      </c>
      <c r="U307" s="33" t="str">
        <f t="shared" si="64"/>
        <v> - Done</v>
      </c>
      <c r="V307" s="31"/>
      <c r="W307" s="31"/>
    </row>
    <row r="308" ht="21.75" hidden="1" customHeight="1" outlineLevel="2">
      <c r="A308" s="71"/>
      <c r="B308" s="76" t="s">
        <v>479</v>
      </c>
      <c r="C308" s="23"/>
      <c r="D308" s="22" t="s">
        <v>480</v>
      </c>
      <c r="E308" s="24" t="s">
        <v>26</v>
      </c>
      <c r="F308" s="25" t="s">
        <v>41</v>
      </c>
      <c r="G308" s="24"/>
      <c r="H308" s="35">
        <v>45215.0</v>
      </c>
      <c r="I308" s="27">
        <f t="shared" si="68"/>
        <v>1</v>
      </c>
      <c r="J308" s="28"/>
      <c r="K308" s="28"/>
      <c r="L308" s="17"/>
      <c r="M308" s="29">
        <v>45217.49398907408</v>
      </c>
      <c r="N308" s="75">
        <v>45217.50260143519</v>
      </c>
      <c r="O308" s="36" t="s">
        <v>481</v>
      </c>
      <c r="P308" s="36" t="s">
        <v>482</v>
      </c>
      <c r="Q308" s="37" t="s">
        <v>31</v>
      </c>
      <c r="R308" s="31">
        <v>0.005555555555555556</v>
      </c>
      <c r="S308" s="31" t="str">
        <f t="shared" si="66"/>
        <v>PTS</v>
      </c>
      <c r="T308" s="32" t="str">
        <f t="shared" si="67"/>
        <v>09.3</v>
      </c>
      <c r="U308" s="33" t="str">
        <f t="shared" si="64"/>
        <v> - Done</v>
      </c>
      <c r="V308" s="31"/>
      <c r="W308" s="31"/>
    </row>
    <row r="309" ht="21.75" hidden="1" customHeight="1" outlineLevel="2">
      <c r="A309" s="71"/>
      <c r="B309" s="76" t="s">
        <v>483</v>
      </c>
      <c r="C309" s="23"/>
      <c r="D309" s="22" t="s">
        <v>484</v>
      </c>
      <c r="E309" s="24" t="s">
        <v>26</v>
      </c>
      <c r="F309" s="25" t="s">
        <v>22</v>
      </c>
      <c r="G309" s="24"/>
      <c r="H309" s="35">
        <v>45216.0</v>
      </c>
      <c r="I309" s="27">
        <f t="shared" si="68"/>
        <v>1</v>
      </c>
      <c r="J309" s="28"/>
      <c r="K309" s="28"/>
      <c r="L309" s="17"/>
      <c r="M309" s="29"/>
      <c r="N309" s="72"/>
      <c r="O309" s="73"/>
      <c r="P309" s="73"/>
      <c r="Q309" s="72"/>
      <c r="R309" s="31"/>
      <c r="S309" s="31" t="str">
        <f t="shared" si="66"/>
        <v>PTS</v>
      </c>
      <c r="T309" s="32" t="str">
        <f t="shared" si="67"/>
        <v>09.4</v>
      </c>
      <c r="U309" s="33" t="str">
        <f t="shared" si="64"/>
        <v> - Done</v>
      </c>
      <c r="V309" s="31"/>
      <c r="W309" s="31"/>
    </row>
    <row r="310" ht="21.75" customHeight="1" outlineLevel="1" collapsed="1">
      <c r="A310" s="71"/>
      <c r="B310" s="21" t="s">
        <v>485</v>
      </c>
      <c r="C310" s="22" t="s">
        <v>486</v>
      </c>
      <c r="D310" s="23"/>
      <c r="E310" s="24" t="s">
        <v>21</v>
      </c>
      <c r="F310" s="25" t="s">
        <v>48</v>
      </c>
      <c r="G310" s="24" t="s">
        <v>63</v>
      </c>
      <c r="H310" s="26">
        <f>MAX(H311:H313)</f>
        <v>45240</v>
      </c>
      <c r="I310" s="27" t="str">
        <f>IFERROR(__xludf.DUMMYFUNCTION("SPARKLINE(SUM(I311:I313), {""charttype"", ""bar""; ""max"", J310; ""color1"", ""green""})"),"")</f>
        <v/>
      </c>
      <c r="J310" s="28">
        <f>COUNT(I311:I313)</f>
        <v>3</v>
      </c>
      <c r="K310" s="28" t="str">
        <f>IF(ISNUMBER(B309), K309, "")</f>
        <v/>
      </c>
      <c r="L310" s="17"/>
      <c r="M310" s="29">
        <f>MIN(M311:M313)</f>
        <v>0</v>
      </c>
      <c r="N310" s="72">
        <f>MAX(N311:N313)</f>
        <v>0</v>
      </c>
      <c r="O310" s="73"/>
      <c r="P310" s="73"/>
      <c r="Q310" s="72"/>
      <c r="R310" s="31">
        <f>SUM(R311:R313)</f>
        <v>0</v>
      </c>
      <c r="S310" s="31" t="str">
        <f t="shared" si="66"/>
        <v>PTS</v>
      </c>
      <c r="T310" s="32" t="str">
        <f t="shared" si="67"/>
        <v>10</v>
      </c>
      <c r="U310" s="33" t="str">
        <f t="shared" si="64"/>
        <v>Before vs After - Shorts</v>
      </c>
      <c r="V310" s="31"/>
      <c r="W310" s="31"/>
    </row>
    <row r="311" ht="21.75" hidden="1" customHeight="1" outlineLevel="2">
      <c r="A311" s="71"/>
      <c r="B311" s="21" t="s">
        <v>487</v>
      </c>
      <c r="C311" s="22"/>
      <c r="D311" s="22" t="s">
        <v>25</v>
      </c>
      <c r="E311" s="24" t="s">
        <v>179</v>
      </c>
      <c r="F311" s="25"/>
      <c r="G311" s="24"/>
      <c r="H311" s="35">
        <v>45238.0</v>
      </c>
      <c r="I311" s="27">
        <f t="shared" ref="I311:I313" si="69">IFERROR(IF($E311="Done", 1, IF(OR($E311="Working on it", $E311="In Review", $E311="On Hold"), 0.5, IF($E311="Not Started", 0, ""))), 0)</f>
        <v>0</v>
      </c>
      <c r="J311" s="28"/>
      <c r="K311" s="28"/>
      <c r="L311" s="17"/>
      <c r="M311" s="29"/>
      <c r="N311" s="72"/>
      <c r="O311" s="73"/>
      <c r="P311" s="73"/>
      <c r="Q311" s="72"/>
      <c r="R311" s="31"/>
      <c r="S311" s="31"/>
      <c r="T311" s="32"/>
      <c r="U311" s="33"/>
      <c r="V311" s="31"/>
      <c r="W311" s="31"/>
    </row>
    <row r="312" ht="21.75" hidden="1" customHeight="1" outlineLevel="2">
      <c r="A312" s="71"/>
      <c r="B312" s="21" t="s">
        <v>488</v>
      </c>
      <c r="C312" s="22"/>
      <c r="D312" s="22" t="s">
        <v>45</v>
      </c>
      <c r="E312" s="24" t="s">
        <v>179</v>
      </c>
      <c r="F312" s="25"/>
      <c r="G312" s="24"/>
      <c r="H312" s="35">
        <v>45239.0</v>
      </c>
      <c r="I312" s="27">
        <f t="shared" si="69"/>
        <v>0</v>
      </c>
      <c r="J312" s="28"/>
      <c r="K312" s="28"/>
      <c r="L312" s="17"/>
      <c r="M312" s="29"/>
      <c r="N312" s="72"/>
      <c r="O312" s="73"/>
      <c r="P312" s="73"/>
      <c r="Q312" s="72"/>
      <c r="R312" s="31"/>
      <c r="S312" s="31"/>
      <c r="T312" s="32"/>
      <c r="U312" s="33"/>
      <c r="V312" s="31"/>
      <c r="W312" s="31"/>
    </row>
    <row r="313" ht="21.75" hidden="1" customHeight="1" outlineLevel="2">
      <c r="A313" s="71"/>
      <c r="B313" s="21" t="s">
        <v>489</v>
      </c>
      <c r="C313" s="22"/>
      <c r="D313" s="22" t="s">
        <v>47</v>
      </c>
      <c r="E313" s="24" t="s">
        <v>179</v>
      </c>
      <c r="F313" s="25"/>
      <c r="G313" s="24"/>
      <c r="H313" s="35">
        <v>45240.0</v>
      </c>
      <c r="I313" s="27">
        <f t="shared" si="69"/>
        <v>0</v>
      </c>
      <c r="J313" s="28"/>
      <c r="K313" s="28"/>
      <c r="L313" s="17"/>
      <c r="M313" s="29"/>
      <c r="N313" s="72"/>
      <c r="O313" s="73"/>
      <c r="P313" s="73"/>
      <c r="Q313" s="72"/>
      <c r="R313" s="31"/>
      <c r="S313" s="31"/>
      <c r="T313" s="32"/>
      <c r="U313" s="33"/>
      <c r="V313" s="31"/>
      <c r="W313" s="31"/>
    </row>
    <row r="314" ht="21.75" customHeight="1" outlineLevel="1">
      <c r="A314" s="71"/>
      <c r="B314" s="64"/>
      <c r="C314" s="23"/>
      <c r="D314" s="23"/>
      <c r="E314" s="24"/>
      <c r="F314" s="25"/>
      <c r="G314" s="24"/>
      <c r="H314" s="26"/>
      <c r="I314" s="27"/>
      <c r="J314" s="28"/>
      <c r="K314" s="28"/>
      <c r="L314" s="17"/>
      <c r="M314" s="29"/>
      <c r="N314" s="72"/>
      <c r="O314" s="73"/>
      <c r="P314" s="73"/>
      <c r="Q314" s="72"/>
      <c r="R314" s="31"/>
      <c r="S314" s="31" t="str">
        <f t="shared" ref="S314:S327" si="70">IFERROR(MID(B314, FIND("-", B314) + 1, 3), "")</f>
        <v/>
      </c>
      <c r="T314" s="32" t="str">
        <f t="shared" ref="T314:T327" si="71">IFERROR(MID(B314, 8, LEN(B314)-7), "")
</f>
        <v/>
      </c>
      <c r="U314" s="33"/>
      <c r="V314" s="31"/>
      <c r="W314" s="31"/>
    </row>
    <row r="315" ht="21.75" customHeight="1" outlineLevel="1">
      <c r="A315" s="71"/>
      <c r="B315" s="64"/>
      <c r="C315" s="23"/>
      <c r="D315" s="23"/>
      <c r="E315" s="24"/>
      <c r="F315" s="25"/>
      <c r="G315" s="24"/>
      <c r="H315" s="26"/>
      <c r="I315" s="27"/>
      <c r="J315" s="28"/>
      <c r="K315" s="28"/>
      <c r="L315" s="17"/>
      <c r="M315" s="29"/>
      <c r="N315" s="72"/>
      <c r="O315" s="73"/>
      <c r="P315" s="73"/>
      <c r="Q315" s="72"/>
      <c r="R315" s="31"/>
      <c r="S315" s="31" t="str">
        <f t="shared" si="70"/>
        <v/>
      </c>
      <c r="T315" s="32" t="str">
        <f t="shared" si="71"/>
        <v/>
      </c>
      <c r="U315" s="33"/>
      <c r="V315" s="31"/>
      <c r="W315" s="31"/>
    </row>
    <row r="316" ht="21.75" customHeight="1" outlineLevel="1">
      <c r="A316" s="71"/>
      <c r="B316" s="64"/>
      <c r="C316" s="23"/>
      <c r="D316" s="23"/>
      <c r="E316" s="24"/>
      <c r="F316" s="25"/>
      <c r="G316" s="24"/>
      <c r="H316" s="26"/>
      <c r="I316" s="27"/>
      <c r="J316" s="28"/>
      <c r="K316" s="28"/>
      <c r="L316" s="17"/>
      <c r="M316" s="29"/>
      <c r="N316" s="72"/>
      <c r="O316" s="73"/>
      <c r="P316" s="73"/>
      <c r="Q316" s="72"/>
      <c r="R316" s="31"/>
      <c r="S316" s="31" t="str">
        <f t="shared" si="70"/>
        <v/>
      </c>
      <c r="T316" s="32" t="str">
        <f t="shared" si="71"/>
        <v/>
      </c>
      <c r="U316" s="33"/>
      <c r="V316" s="31"/>
      <c r="W316" s="31"/>
    </row>
    <row r="317" ht="21.75" customHeight="1" outlineLevel="1">
      <c r="A317" s="71"/>
      <c r="B317" s="64"/>
      <c r="C317" s="23"/>
      <c r="D317" s="23"/>
      <c r="E317" s="24"/>
      <c r="F317" s="25"/>
      <c r="G317" s="24"/>
      <c r="H317" s="26"/>
      <c r="I317" s="27"/>
      <c r="J317" s="28"/>
      <c r="K317" s="28"/>
      <c r="L317" s="17"/>
      <c r="M317" s="29"/>
      <c r="N317" s="72"/>
      <c r="O317" s="73"/>
      <c r="P317" s="73"/>
      <c r="Q317" s="72"/>
      <c r="R317" s="31"/>
      <c r="S317" s="31" t="str">
        <f t="shared" si="70"/>
        <v/>
      </c>
      <c r="T317" s="32" t="str">
        <f t="shared" si="71"/>
        <v/>
      </c>
      <c r="U317" s="33"/>
      <c r="V317" s="31"/>
      <c r="W317" s="31"/>
    </row>
    <row r="318" ht="21.75" customHeight="1" outlineLevel="1">
      <c r="A318" s="71"/>
      <c r="B318" s="64"/>
      <c r="C318" s="23"/>
      <c r="D318" s="23"/>
      <c r="E318" s="24"/>
      <c r="F318" s="25"/>
      <c r="G318" s="24"/>
      <c r="H318" s="26"/>
      <c r="I318" s="27"/>
      <c r="J318" s="28"/>
      <c r="K318" s="28"/>
      <c r="L318" s="17"/>
      <c r="M318" s="29"/>
      <c r="N318" s="72"/>
      <c r="O318" s="73"/>
      <c r="P318" s="73"/>
      <c r="Q318" s="72"/>
      <c r="R318" s="31"/>
      <c r="S318" s="31" t="str">
        <f t="shared" si="70"/>
        <v/>
      </c>
      <c r="T318" s="32" t="str">
        <f t="shared" si="71"/>
        <v/>
      </c>
      <c r="U318" s="33"/>
      <c r="V318" s="31"/>
      <c r="W318" s="31"/>
    </row>
    <row r="319" ht="21.75" customHeight="1" outlineLevel="1">
      <c r="A319" s="71"/>
      <c r="B319" s="64"/>
      <c r="C319" s="23"/>
      <c r="D319" s="23"/>
      <c r="E319" s="24"/>
      <c r="F319" s="25"/>
      <c r="G319" s="24"/>
      <c r="H319" s="26"/>
      <c r="I319" s="27"/>
      <c r="J319" s="28"/>
      <c r="K319" s="28"/>
      <c r="L319" s="17"/>
      <c r="M319" s="29"/>
      <c r="N319" s="72"/>
      <c r="O319" s="73"/>
      <c r="P319" s="73"/>
      <c r="Q319" s="72"/>
      <c r="R319" s="31"/>
      <c r="S319" s="31" t="str">
        <f t="shared" si="70"/>
        <v/>
      </c>
      <c r="T319" s="32" t="str">
        <f t="shared" si="71"/>
        <v/>
      </c>
      <c r="U319" s="33"/>
      <c r="V319" s="31"/>
      <c r="W319" s="31"/>
    </row>
    <row r="320" ht="21.75" customHeight="1" outlineLevel="1">
      <c r="A320" s="71"/>
      <c r="B320" s="64"/>
      <c r="C320" s="23"/>
      <c r="D320" s="23"/>
      <c r="E320" s="24"/>
      <c r="F320" s="25"/>
      <c r="G320" s="24"/>
      <c r="H320" s="26"/>
      <c r="I320" s="27"/>
      <c r="J320" s="28"/>
      <c r="K320" s="28"/>
      <c r="L320" s="17"/>
      <c r="M320" s="29"/>
      <c r="N320" s="72"/>
      <c r="O320" s="73"/>
      <c r="P320" s="73"/>
      <c r="Q320" s="72"/>
      <c r="R320" s="31"/>
      <c r="S320" s="31" t="str">
        <f t="shared" si="70"/>
        <v/>
      </c>
      <c r="T320" s="32" t="str">
        <f t="shared" si="71"/>
        <v/>
      </c>
      <c r="U320" s="33"/>
      <c r="V320" s="31"/>
      <c r="W320" s="31"/>
    </row>
    <row r="321" ht="21.75" customHeight="1" outlineLevel="1">
      <c r="A321" s="71"/>
      <c r="B321" s="64"/>
      <c r="C321" s="23"/>
      <c r="D321" s="23"/>
      <c r="E321" s="24"/>
      <c r="F321" s="25"/>
      <c r="G321" s="24"/>
      <c r="H321" s="26"/>
      <c r="I321" s="27"/>
      <c r="J321" s="28"/>
      <c r="K321" s="28"/>
      <c r="L321" s="17"/>
      <c r="M321" s="29"/>
      <c r="N321" s="72"/>
      <c r="O321" s="73"/>
      <c r="P321" s="73"/>
      <c r="Q321" s="72"/>
      <c r="R321" s="31"/>
      <c r="S321" s="31" t="str">
        <f t="shared" si="70"/>
        <v/>
      </c>
      <c r="T321" s="32" t="str">
        <f t="shared" si="71"/>
        <v/>
      </c>
      <c r="U321" s="33"/>
      <c r="V321" s="31"/>
      <c r="W321" s="31"/>
    </row>
    <row r="322" ht="21.75" customHeight="1" outlineLevel="1">
      <c r="A322" s="71"/>
      <c r="B322" s="64"/>
      <c r="C322" s="23"/>
      <c r="D322" s="23"/>
      <c r="E322" s="24"/>
      <c r="F322" s="25"/>
      <c r="G322" s="24"/>
      <c r="H322" s="26"/>
      <c r="I322" s="27"/>
      <c r="J322" s="28"/>
      <c r="K322" s="28"/>
      <c r="L322" s="17"/>
      <c r="M322" s="29"/>
      <c r="N322" s="72"/>
      <c r="O322" s="73"/>
      <c r="P322" s="73"/>
      <c r="Q322" s="72"/>
      <c r="R322" s="31"/>
      <c r="S322" s="31" t="str">
        <f t="shared" si="70"/>
        <v/>
      </c>
      <c r="T322" s="32" t="str">
        <f t="shared" si="71"/>
        <v/>
      </c>
      <c r="U322" s="33"/>
      <c r="V322" s="31"/>
      <c r="W322" s="31"/>
    </row>
    <row r="323" ht="21.75" customHeight="1" outlineLevel="1">
      <c r="A323" s="71"/>
      <c r="B323" s="64"/>
      <c r="C323" s="23"/>
      <c r="D323" s="23"/>
      <c r="E323" s="24"/>
      <c r="F323" s="25"/>
      <c r="G323" s="24"/>
      <c r="H323" s="26"/>
      <c r="I323" s="27"/>
      <c r="J323" s="28"/>
      <c r="K323" s="28"/>
      <c r="L323" s="17"/>
      <c r="M323" s="29"/>
      <c r="N323" s="72"/>
      <c r="O323" s="73"/>
      <c r="P323" s="73"/>
      <c r="Q323" s="72"/>
      <c r="R323" s="72"/>
      <c r="S323" s="31" t="str">
        <f t="shared" si="70"/>
        <v/>
      </c>
      <c r="T323" s="32" t="str">
        <f t="shared" si="71"/>
        <v/>
      </c>
      <c r="U323" s="73"/>
      <c r="V323" s="72"/>
      <c r="W323" s="72"/>
    </row>
    <row r="324" ht="21.75" customHeight="1" outlineLevel="1">
      <c r="A324" s="71"/>
      <c r="B324" s="64"/>
      <c r="C324" s="23"/>
      <c r="D324" s="23"/>
      <c r="E324" s="24"/>
      <c r="F324" s="25"/>
      <c r="G324" s="24"/>
      <c r="H324" s="26"/>
      <c r="I324" s="27"/>
      <c r="J324" s="28"/>
      <c r="K324" s="28"/>
      <c r="L324" s="17"/>
      <c r="M324" s="29"/>
      <c r="N324" s="72"/>
      <c r="O324" s="73"/>
      <c r="P324" s="73"/>
      <c r="Q324" s="72"/>
      <c r="R324" s="72"/>
      <c r="S324" s="31" t="str">
        <f t="shared" si="70"/>
        <v/>
      </c>
      <c r="T324" s="32" t="str">
        <f t="shared" si="71"/>
        <v/>
      </c>
      <c r="U324" s="73"/>
      <c r="V324" s="72"/>
      <c r="W324" s="72"/>
    </row>
    <row r="325" ht="21.75" customHeight="1" outlineLevel="1">
      <c r="A325" s="71"/>
      <c r="B325" s="64"/>
      <c r="C325" s="23"/>
      <c r="D325" s="23"/>
      <c r="E325" s="24"/>
      <c r="F325" s="25"/>
      <c r="G325" s="24"/>
      <c r="H325" s="26"/>
      <c r="I325" s="27"/>
      <c r="J325" s="28"/>
      <c r="K325" s="28"/>
      <c r="L325" s="17"/>
      <c r="M325" s="29"/>
      <c r="N325" s="72"/>
      <c r="O325" s="73"/>
      <c r="P325" s="73"/>
      <c r="Q325" s="72"/>
      <c r="R325" s="72"/>
      <c r="S325" s="31" t="str">
        <f t="shared" si="70"/>
        <v/>
      </c>
      <c r="T325" s="32" t="str">
        <f t="shared" si="71"/>
        <v/>
      </c>
      <c r="U325" s="73"/>
      <c r="V325" s="72"/>
      <c r="W325" s="72"/>
    </row>
    <row r="326" ht="21.75" customHeight="1" outlineLevel="1">
      <c r="A326" s="71"/>
      <c r="B326" s="64"/>
      <c r="C326" s="23"/>
      <c r="D326" s="23"/>
      <c r="E326" s="24"/>
      <c r="F326" s="25"/>
      <c r="G326" s="24"/>
      <c r="H326" s="26"/>
      <c r="I326" s="27"/>
      <c r="J326" s="28"/>
      <c r="K326" s="28"/>
      <c r="L326" s="17"/>
      <c r="M326" s="29"/>
      <c r="N326" s="72"/>
      <c r="O326" s="73"/>
      <c r="P326" s="73"/>
      <c r="Q326" s="72"/>
      <c r="R326" s="72"/>
      <c r="S326" s="31" t="str">
        <f t="shared" si="70"/>
        <v/>
      </c>
      <c r="T326" s="32" t="str">
        <f t="shared" si="71"/>
        <v/>
      </c>
      <c r="U326" s="73"/>
      <c r="V326" s="72"/>
      <c r="W326" s="72"/>
    </row>
    <row r="327" ht="21.75" customHeight="1" outlineLevel="1">
      <c r="A327" s="71"/>
      <c r="B327" s="64"/>
      <c r="C327" s="23"/>
      <c r="D327" s="23"/>
      <c r="E327" s="24"/>
      <c r="F327" s="25"/>
      <c r="G327" s="24"/>
      <c r="H327" s="26"/>
      <c r="I327" s="27"/>
      <c r="J327" s="28"/>
      <c r="K327" s="28" t="str">
        <f>IFERROR(IF(ISNUMBER(INDIRECT("B" &amp; ROW()-1)), INDIRECT("K" &amp; ROW()-1), ""), "")</f>
        <v/>
      </c>
      <c r="L327" s="17"/>
      <c r="M327" s="29"/>
      <c r="N327" s="72"/>
      <c r="O327" s="73"/>
      <c r="P327" s="73"/>
      <c r="Q327" s="72"/>
      <c r="R327" s="72"/>
      <c r="S327" s="31" t="str">
        <f t="shared" si="70"/>
        <v/>
      </c>
      <c r="T327" s="32" t="str">
        <f t="shared" si="71"/>
        <v/>
      </c>
      <c r="U327" s="73"/>
      <c r="V327" s="72"/>
      <c r="W327" s="72"/>
    </row>
    <row r="328" ht="36.0" customHeight="1">
      <c r="A328" s="77"/>
      <c r="B328" s="77" t="s">
        <v>490</v>
      </c>
      <c r="C328" s="77"/>
      <c r="D328" s="78"/>
      <c r="E328" s="79"/>
      <c r="F328" s="80"/>
      <c r="G328" s="79"/>
      <c r="H328" s="78"/>
      <c r="I328" s="78"/>
      <c r="J328" s="79"/>
      <c r="K328" s="78"/>
      <c r="L328" s="17"/>
      <c r="M328" s="81"/>
      <c r="N328" s="82"/>
      <c r="O328" s="82"/>
      <c r="P328" s="82"/>
      <c r="Q328" s="81"/>
      <c r="R328" s="81"/>
      <c r="S328" s="81"/>
      <c r="T328" s="81"/>
      <c r="U328" s="82"/>
      <c r="V328" s="81"/>
      <c r="W328" s="81"/>
    </row>
    <row r="329" ht="21.75" customHeight="1" outlineLevel="1" collapsed="1">
      <c r="A329" s="83"/>
      <c r="B329" s="21" t="s">
        <v>491</v>
      </c>
      <c r="C329" s="22" t="s">
        <v>492</v>
      </c>
      <c r="D329" s="23"/>
      <c r="E329" s="24" t="s">
        <v>21</v>
      </c>
      <c r="F329" s="25" t="s">
        <v>41</v>
      </c>
      <c r="G329" s="24" t="s">
        <v>23</v>
      </c>
      <c r="H329" s="26">
        <f>MAX(H342)</f>
        <v>45178</v>
      </c>
      <c r="I329" s="27" t="str">
        <f>IFERROR(__xludf.DUMMYFUNCTION("SPARKLINE(sum(I342), {""charttype"", ""bar""; ""max"", J329; ""color1"", ""green""})"),"")</f>
        <v/>
      </c>
      <c r="J329" s="28">
        <f>COUNT(I342)</f>
        <v>1</v>
      </c>
      <c r="K329" s="28" t="str">
        <f>IF(ISNUMBER(B328), K328, "")</f>
        <v/>
      </c>
      <c r="L329" s="17"/>
      <c r="M329" s="29"/>
      <c r="N329" s="72"/>
      <c r="O329" s="73"/>
      <c r="P329" s="73"/>
      <c r="Q329" s="72"/>
      <c r="R329" s="31"/>
      <c r="S329" s="31" t="str">
        <f t="shared" ref="S329:S332" si="72">IFERROR(MID(B329, FIND("-", B329) + 1, 3), "")</f>
        <v>NVI</v>
      </c>
      <c r="T329" s="32" t="str">
        <f t="shared" ref="T329:T332" si="73">IFERROR(MID(B329, 8, LEN(B329)-7), "")
</f>
        <v>01</v>
      </c>
      <c r="U329" s="33" t="str">
        <f>CONCATENATE(C329, " - ",E329)</f>
        <v>Asus F15 | RTX 2050 - Shorts</v>
      </c>
      <c r="V329" s="31"/>
      <c r="W329" s="31"/>
    </row>
    <row r="330" ht="21.75" hidden="1" customHeight="1" outlineLevel="2">
      <c r="A330" s="83"/>
      <c r="B330" s="21" t="s">
        <v>493</v>
      </c>
      <c r="C330" s="22"/>
      <c r="D330" s="22" t="s">
        <v>25</v>
      </c>
      <c r="E330" s="24" t="s">
        <v>26</v>
      </c>
      <c r="F330" s="25" t="s">
        <v>22</v>
      </c>
      <c r="G330" s="34" t="s">
        <v>494</v>
      </c>
      <c r="H330" s="35">
        <v>45188.0</v>
      </c>
      <c r="I330" s="27">
        <f t="shared" ref="I330:I332" si="74">IFERROR(IF($E330="Done", 1, IF(OR($E330="Working on it", $E330="In Review"), 0.5, IF($E330="Not Started", 0, ""))), 0)</f>
        <v>1</v>
      </c>
      <c r="J330" s="28"/>
      <c r="K330" s="28"/>
      <c r="L330" s="17"/>
      <c r="M330" s="29"/>
      <c r="N330" s="72"/>
      <c r="O330" s="73"/>
      <c r="P330" s="73"/>
      <c r="Q330" s="72"/>
      <c r="R330" s="31"/>
      <c r="S330" s="31" t="str">
        <f t="shared" si="72"/>
        <v>NVI</v>
      </c>
      <c r="T330" s="32" t="str">
        <f t="shared" si="73"/>
        <v>01.02</v>
      </c>
      <c r="U330" s="33"/>
      <c r="V330" s="31"/>
      <c r="W330" s="31"/>
    </row>
    <row r="331" ht="21.75" hidden="1" customHeight="1" outlineLevel="2">
      <c r="A331" s="83"/>
      <c r="B331" s="21" t="s">
        <v>495</v>
      </c>
      <c r="C331" s="22"/>
      <c r="D331" s="22" t="s">
        <v>33</v>
      </c>
      <c r="E331" s="24" t="s">
        <v>26</v>
      </c>
      <c r="F331" s="25" t="s">
        <v>41</v>
      </c>
      <c r="G331" s="24"/>
      <c r="H331" s="35">
        <v>45189.0</v>
      </c>
      <c r="I331" s="27">
        <f t="shared" si="74"/>
        <v>1</v>
      </c>
      <c r="J331" s="28"/>
      <c r="K331" s="28"/>
      <c r="L331" s="17"/>
      <c r="M331" s="29">
        <v>45190.48823021991</v>
      </c>
      <c r="N331" s="75">
        <v>45191.691117106486</v>
      </c>
      <c r="O331" s="36" t="s">
        <v>496</v>
      </c>
      <c r="P331" s="36" t="s">
        <v>497</v>
      </c>
      <c r="Q331" s="37" t="s">
        <v>31</v>
      </c>
      <c r="R331" s="31">
        <v>0.08611111111111111</v>
      </c>
      <c r="S331" s="31" t="str">
        <f t="shared" si="72"/>
        <v>NVI</v>
      </c>
      <c r="T331" s="32" t="str">
        <f t="shared" si="73"/>
        <v>01.03</v>
      </c>
      <c r="U331" s="33"/>
      <c r="V331" s="31"/>
      <c r="W331" s="31"/>
    </row>
    <row r="332" ht="21.75" hidden="1" customHeight="1" outlineLevel="2">
      <c r="A332" s="83"/>
      <c r="B332" s="21" t="s">
        <v>498</v>
      </c>
      <c r="C332" s="22"/>
      <c r="D332" s="22" t="s">
        <v>40</v>
      </c>
      <c r="E332" s="24" t="s">
        <v>26</v>
      </c>
      <c r="F332" s="25" t="s">
        <v>41</v>
      </c>
      <c r="G332" s="24"/>
      <c r="H332" s="35">
        <v>45195.0</v>
      </c>
      <c r="I332" s="27">
        <f t="shared" si="74"/>
        <v>1</v>
      </c>
      <c r="J332" s="28"/>
      <c r="K332" s="28"/>
      <c r="L332" s="17"/>
      <c r="M332" s="29">
        <v>45191.690996944446</v>
      </c>
      <c r="N332" s="75">
        <v>45196.51304619213</v>
      </c>
      <c r="O332" s="36" t="s">
        <v>499</v>
      </c>
      <c r="P332" s="36" t="s">
        <v>500</v>
      </c>
      <c r="Q332" s="37" t="s">
        <v>31</v>
      </c>
      <c r="R332" s="31">
        <v>0.19375</v>
      </c>
      <c r="S332" s="31" t="str">
        <f t="shared" si="72"/>
        <v>NVI</v>
      </c>
      <c r="T332" s="32" t="str">
        <f t="shared" si="73"/>
        <v>01.05</v>
      </c>
      <c r="U332" s="33"/>
      <c r="V332" s="31"/>
      <c r="W332" s="31"/>
    </row>
    <row r="333" ht="21.75" hidden="1" customHeight="1" outlineLevel="2">
      <c r="A333" s="83"/>
      <c r="B333" s="21" t="s">
        <v>501</v>
      </c>
      <c r="C333" s="22"/>
      <c r="D333" s="22" t="s">
        <v>502</v>
      </c>
      <c r="E333" s="24" t="s">
        <v>26</v>
      </c>
      <c r="F333" s="25" t="s">
        <v>22</v>
      </c>
      <c r="G333" s="24"/>
      <c r="H333" s="35">
        <v>45195.0</v>
      </c>
      <c r="I333" s="27"/>
      <c r="J333" s="28"/>
      <c r="K333" s="28"/>
      <c r="L333" s="17"/>
      <c r="M333" s="29"/>
      <c r="N333" s="75"/>
      <c r="O333" s="36"/>
      <c r="P333" s="36"/>
      <c r="Q333" s="37"/>
      <c r="R333" s="31"/>
      <c r="S333" s="31"/>
      <c r="T333" s="32"/>
      <c r="U333" s="33"/>
      <c r="V333" s="31"/>
      <c r="W333" s="31"/>
    </row>
    <row r="334" ht="21.75" hidden="1" customHeight="1" outlineLevel="2">
      <c r="A334" s="83"/>
      <c r="B334" s="21" t="s">
        <v>503</v>
      </c>
      <c r="C334" s="22"/>
      <c r="D334" s="22" t="s">
        <v>274</v>
      </c>
      <c r="E334" s="24" t="s">
        <v>26</v>
      </c>
      <c r="F334" s="25" t="s">
        <v>41</v>
      </c>
      <c r="G334" s="24"/>
      <c r="H334" s="35">
        <v>45195.0</v>
      </c>
      <c r="I334" s="27">
        <f>IFERROR(IF($E334="Done", 1, IF(OR($E334="Working on it", $E334="In Review"), 0.5, IF($E334="Not Started", 0, ""))), 0)</f>
        <v>1</v>
      </c>
      <c r="J334" s="28"/>
      <c r="K334" s="28"/>
      <c r="L334" s="17"/>
      <c r="M334" s="29"/>
      <c r="N334" s="72"/>
      <c r="O334" s="73"/>
      <c r="P334" s="73"/>
      <c r="Q334" s="72"/>
      <c r="R334" s="31"/>
      <c r="S334" s="31" t="str">
        <f t="shared" ref="S334:S366" si="75">IFERROR(MID(B334, FIND("-", B334) + 1, 3), "")</f>
        <v>NVI</v>
      </c>
      <c r="T334" s="32" t="str">
        <f t="shared" ref="T334:T366" si="76">IFERROR(MID(B334, 8, LEN(B334)-7), "")
</f>
        <v>01.07</v>
      </c>
      <c r="U334" s="33"/>
      <c r="V334" s="31"/>
      <c r="W334" s="31"/>
    </row>
    <row r="335" ht="21.75" customHeight="1" outlineLevel="1" collapsed="1">
      <c r="A335" s="83"/>
      <c r="B335" s="21" t="s">
        <v>504</v>
      </c>
      <c r="C335" s="22" t="s">
        <v>505</v>
      </c>
      <c r="D335" s="23"/>
      <c r="E335" s="24" t="s">
        <v>21</v>
      </c>
      <c r="F335" s="25" t="s">
        <v>41</v>
      </c>
      <c r="G335" s="24" t="s">
        <v>79</v>
      </c>
      <c r="H335" s="26">
        <f>MAX(H336:H341)</f>
        <v>45195</v>
      </c>
      <c r="I335" s="27" t="str">
        <f>IFERROR(__xludf.DUMMYFUNCTION("SPARKLINE(SUM(I336:I341), {""charttype"", ""bar""; ""max"", J335; ""color1"", ""green""})"),"")</f>
        <v/>
      </c>
      <c r="J335" s="28">
        <f>COUNT(I336:I341)</f>
        <v>6</v>
      </c>
      <c r="K335" s="28" t="str">
        <f>IF(ISNUMBER(#REF!), #REF!, "")</f>
        <v/>
      </c>
      <c r="L335" s="17"/>
      <c r="M335" s="29">
        <f>MIN(M336:M341)</f>
        <v>45195.3254</v>
      </c>
      <c r="N335" s="29">
        <f>MAX(N336:N341)</f>
        <v>45195.83018</v>
      </c>
      <c r="O335" s="30"/>
      <c r="P335" s="30"/>
      <c r="Q335" s="29"/>
      <c r="R335" s="31">
        <f>SUM(R336:R341)</f>
        <v>0.4208581713</v>
      </c>
      <c r="S335" s="31" t="str">
        <f t="shared" si="75"/>
        <v>NVI</v>
      </c>
      <c r="T335" s="32" t="str">
        <f t="shared" si="76"/>
        <v>12</v>
      </c>
      <c r="U335" s="33" t="str">
        <f>CONCATENATE(C335, " - ",E335)</f>
        <v>Cyberpunk - Phantom Liberty - Shorts</v>
      </c>
      <c r="V335" s="31"/>
      <c r="W335" s="31"/>
    </row>
    <row r="336" ht="21.75" hidden="1" customHeight="1" outlineLevel="2">
      <c r="A336" s="83"/>
      <c r="B336" s="21" t="s">
        <v>506</v>
      </c>
      <c r="C336" s="22"/>
      <c r="D336" s="22" t="s">
        <v>25</v>
      </c>
      <c r="E336" s="24" t="s">
        <v>26</v>
      </c>
      <c r="F336" s="25" t="s">
        <v>22</v>
      </c>
      <c r="G336" s="34" t="s">
        <v>507</v>
      </c>
      <c r="H336" s="35">
        <v>45194.73787158565</v>
      </c>
      <c r="I336" s="27">
        <f t="shared" ref="I336:I341" si="77">IFERROR(IF($E336="Done", 1, IF(OR($E336="Working on it", $E336="In Review", $E336="On Hold"), 0.5, IF($E336="Not Started", 0, ""))), 0)</f>
        <v>1</v>
      </c>
      <c r="J336" s="28"/>
      <c r="K336" s="28"/>
      <c r="L336" s="17"/>
      <c r="M336" s="29">
        <v>45195.32539993056</v>
      </c>
      <c r="N336" s="29">
        <v>45195.35708061342</v>
      </c>
      <c r="O336" s="36" t="s">
        <v>508</v>
      </c>
      <c r="P336" s="36" t="s">
        <v>509</v>
      </c>
      <c r="Q336" s="37" t="s">
        <v>31</v>
      </c>
      <c r="R336" s="31">
        <v>0.029861111111111113</v>
      </c>
      <c r="S336" s="31" t="str">
        <f t="shared" si="75"/>
        <v>NVI</v>
      </c>
      <c r="T336" s="32" t="str">
        <f t="shared" si="76"/>
        <v>12.01</v>
      </c>
      <c r="U336" s="33"/>
      <c r="V336" s="31"/>
      <c r="W336" s="31"/>
    </row>
    <row r="337" ht="21.75" hidden="1" customHeight="1" outlineLevel="2">
      <c r="A337" s="83"/>
      <c r="B337" s="21" t="s">
        <v>510</v>
      </c>
      <c r="C337" s="22"/>
      <c r="D337" s="22" t="s">
        <v>112</v>
      </c>
      <c r="E337" s="24" t="s">
        <v>26</v>
      </c>
      <c r="F337" s="25" t="s">
        <v>22</v>
      </c>
      <c r="G337" s="24"/>
      <c r="H337" s="35">
        <v>45194.0</v>
      </c>
      <c r="I337" s="27">
        <f t="shared" si="77"/>
        <v>1</v>
      </c>
      <c r="J337" s="28"/>
      <c r="K337" s="28"/>
      <c r="L337" s="17"/>
      <c r="M337" s="29"/>
      <c r="N337" s="29"/>
      <c r="O337" s="30"/>
      <c r="P337" s="30"/>
      <c r="Q337" s="29"/>
      <c r="R337" s="31"/>
      <c r="S337" s="31" t="str">
        <f t="shared" si="75"/>
        <v>NVI</v>
      </c>
      <c r="T337" s="32" t="str">
        <f t="shared" si="76"/>
        <v>12.02</v>
      </c>
      <c r="U337" s="33"/>
      <c r="V337" s="31"/>
      <c r="W337" s="31"/>
    </row>
    <row r="338" ht="21.75" hidden="1" customHeight="1" outlineLevel="2">
      <c r="A338" s="83"/>
      <c r="B338" s="21" t="s">
        <v>511</v>
      </c>
      <c r="C338" s="22"/>
      <c r="D338" s="22" t="s">
        <v>38</v>
      </c>
      <c r="E338" s="24" t="s">
        <v>26</v>
      </c>
      <c r="F338" s="25" t="s">
        <v>22</v>
      </c>
      <c r="G338" s="24"/>
      <c r="H338" s="35">
        <v>45194.73787158565</v>
      </c>
      <c r="I338" s="27">
        <f t="shared" si="77"/>
        <v>1</v>
      </c>
      <c r="J338" s="28"/>
      <c r="K338" s="28"/>
      <c r="L338" s="17"/>
      <c r="M338" s="29">
        <v>45195.402719907404</v>
      </c>
      <c r="N338" s="29">
        <v>45195.40975673611</v>
      </c>
      <c r="O338" s="30"/>
      <c r="P338" s="30"/>
      <c r="Q338" s="37" t="s">
        <v>31</v>
      </c>
      <c r="R338" s="31">
        <v>0.006944444444444444</v>
      </c>
      <c r="S338" s="31" t="str">
        <f t="shared" si="75"/>
        <v>NVI</v>
      </c>
      <c r="T338" s="32" t="str">
        <f t="shared" si="76"/>
        <v>12.03</v>
      </c>
      <c r="U338" s="33"/>
      <c r="V338" s="31"/>
      <c r="W338" s="31"/>
    </row>
    <row r="339" ht="21.75" hidden="1" customHeight="1" outlineLevel="2">
      <c r="A339" s="83"/>
      <c r="B339" s="21" t="s">
        <v>512</v>
      </c>
      <c r="C339" s="22"/>
      <c r="D339" s="22" t="s">
        <v>40</v>
      </c>
      <c r="E339" s="24" t="s">
        <v>26</v>
      </c>
      <c r="F339" s="25" t="s">
        <v>27</v>
      </c>
      <c r="G339" s="24"/>
      <c r="H339" s="35">
        <v>45194.0</v>
      </c>
      <c r="I339" s="27">
        <f t="shared" si="77"/>
        <v>1</v>
      </c>
      <c r="J339" s="28"/>
      <c r="K339" s="28"/>
      <c r="L339" s="17"/>
      <c r="M339" s="29">
        <v>45195.47182283565</v>
      </c>
      <c r="N339" s="29">
        <v>45195.830181006946</v>
      </c>
      <c r="O339" s="36" t="s">
        <v>513</v>
      </c>
      <c r="P339" s="36" t="s">
        <v>514</v>
      </c>
      <c r="Q339" s="37" t="s">
        <v>31</v>
      </c>
      <c r="R339" s="31">
        <f>N339-M339</f>
        <v>0.3583581713</v>
      </c>
      <c r="S339" s="31" t="str">
        <f t="shared" si="75"/>
        <v>NVI</v>
      </c>
      <c r="T339" s="32" t="str">
        <f t="shared" si="76"/>
        <v>12.04</v>
      </c>
      <c r="U339" s="33"/>
      <c r="V339" s="31"/>
      <c r="W339" s="31"/>
    </row>
    <row r="340" ht="21.75" hidden="1" customHeight="1" outlineLevel="2">
      <c r="A340" s="83"/>
      <c r="B340" s="21" t="s">
        <v>515</v>
      </c>
      <c r="C340" s="22"/>
      <c r="D340" s="22" t="s">
        <v>45</v>
      </c>
      <c r="E340" s="24" t="s">
        <v>26</v>
      </c>
      <c r="F340" s="25" t="s">
        <v>41</v>
      </c>
      <c r="G340" s="24"/>
      <c r="H340" s="35">
        <v>45195.0</v>
      </c>
      <c r="I340" s="27">
        <f t="shared" si="77"/>
        <v>1</v>
      </c>
      <c r="J340" s="28"/>
      <c r="K340" s="28"/>
      <c r="L340" s="17"/>
      <c r="M340" s="29">
        <v>45195.60477979167</v>
      </c>
      <c r="N340" s="29">
        <v>45195.630935532405</v>
      </c>
      <c r="O340" s="30"/>
      <c r="P340" s="30"/>
      <c r="Q340" s="37" t="s">
        <v>31</v>
      </c>
      <c r="R340" s="31">
        <v>0.025694444444444443</v>
      </c>
      <c r="S340" s="31" t="str">
        <f t="shared" si="75"/>
        <v>NVI</v>
      </c>
      <c r="T340" s="32" t="str">
        <f t="shared" si="76"/>
        <v>12.05</v>
      </c>
      <c r="U340" s="33"/>
      <c r="V340" s="31"/>
      <c r="W340" s="31"/>
    </row>
    <row r="341" ht="21.75" hidden="1" customHeight="1" outlineLevel="2">
      <c r="A341" s="83"/>
      <c r="B341" s="21" t="s">
        <v>516</v>
      </c>
      <c r="C341" s="22"/>
      <c r="D341" s="22" t="s">
        <v>47</v>
      </c>
      <c r="E341" s="24" t="s">
        <v>26</v>
      </c>
      <c r="F341" s="25" t="s">
        <v>27</v>
      </c>
      <c r="G341" s="24"/>
      <c r="H341" s="35">
        <v>45195.0</v>
      </c>
      <c r="I341" s="27">
        <f t="shared" si="77"/>
        <v>1</v>
      </c>
      <c r="J341" s="28"/>
      <c r="K341" s="28"/>
      <c r="L341" s="17"/>
      <c r="M341" s="29">
        <v>45208.475493136575</v>
      </c>
      <c r="N341" s="29"/>
      <c r="O341" s="36" t="s">
        <v>517</v>
      </c>
      <c r="P341" s="30"/>
      <c r="Q341" s="37" t="s">
        <v>309</v>
      </c>
      <c r="R341" s="31"/>
      <c r="S341" s="31" t="str">
        <f t="shared" si="75"/>
        <v>NVI</v>
      </c>
      <c r="T341" s="32" t="str">
        <f t="shared" si="76"/>
        <v>12.06</v>
      </c>
      <c r="U341" s="33"/>
      <c r="V341" s="31"/>
      <c r="W341" s="31"/>
    </row>
    <row r="342" ht="21.75" hidden="1" customHeight="1" outlineLevel="2">
      <c r="A342" s="83"/>
      <c r="B342" s="21" t="s">
        <v>506</v>
      </c>
      <c r="C342" s="22"/>
      <c r="D342" s="22" t="s">
        <v>518</v>
      </c>
      <c r="E342" s="24" t="s">
        <v>26</v>
      </c>
      <c r="F342" s="25" t="s">
        <v>22</v>
      </c>
      <c r="G342" s="34" t="s">
        <v>519</v>
      </c>
      <c r="H342" s="35">
        <v>45178.0</v>
      </c>
      <c r="I342" s="27">
        <f>IFERROR(IF($E342="Done", 1, IF(OR($E342="Working on it", $E342="In Review"), 0.5, IF($E342="Not Started", 0, ""))), 0)</f>
        <v>1</v>
      </c>
      <c r="J342" s="28"/>
      <c r="K342" s="28"/>
      <c r="L342" s="17"/>
      <c r="M342" s="29">
        <v>45169.687091608794</v>
      </c>
      <c r="N342" s="75">
        <v>45169.69244748843</v>
      </c>
      <c r="O342" s="73"/>
      <c r="P342" s="73"/>
      <c r="Q342" s="37" t="s">
        <v>31</v>
      </c>
      <c r="R342" s="31">
        <v>0.004861111111111111</v>
      </c>
      <c r="S342" s="31" t="str">
        <f t="shared" si="75"/>
        <v>NVI</v>
      </c>
      <c r="T342" s="32" t="str">
        <f t="shared" si="76"/>
        <v>12.01</v>
      </c>
      <c r="U342" s="33"/>
      <c r="V342" s="31"/>
      <c r="W342" s="31"/>
    </row>
    <row r="343" ht="21.75" customHeight="1" outlineLevel="1" collapsed="1">
      <c r="A343" s="83"/>
      <c r="B343" s="21" t="s">
        <v>520</v>
      </c>
      <c r="C343" s="22" t="s">
        <v>521</v>
      </c>
      <c r="D343" s="23"/>
      <c r="E343" s="24" t="s">
        <v>21</v>
      </c>
      <c r="F343" s="25" t="s">
        <v>41</v>
      </c>
      <c r="G343" s="24" t="s">
        <v>63</v>
      </c>
      <c r="H343" s="26">
        <f>MAX(H344:H347)</f>
        <v>45198</v>
      </c>
      <c r="I343" s="27" t="str">
        <f>IFERROR(__xludf.DUMMYFUNCTION("SPARKLINE(SUM(I344:I347), {""charttype"", ""bar""; ""max"", J343; ""color1"", ""green""})"),"")</f>
        <v/>
      </c>
      <c r="J343" s="28">
        <f>COUNT(I344:I347)</f>
        <v>4</v>
      </c>
      <c r="K343" s="28" t="str">
        <f>IF(ISNUMBER(#REF!), #REF!, "")</f>
        <v/>
      </c>
      <c r="L343" s="17"/>
      <c r="M343" s="29">
        <f>MIN(M344:M347)</f>
        <v>45192.7261</v>
      </c>
      <c r="N343" s="29">
        <f>MAX(N344:N347)</f>
        <v>45196.5759</v>
      </c>
      <c r="O343" s="73"/>
      <c r="P343" s="73"/>
      <c r="Q343" s="72"/>
      <c r="R343" s="31">
        <f>SUM(R344:R347)</f>
        <v>0.08819444444</v>
      </c>
      <c r="S343" s="31" t="str">
        <f t="shared" si="75"/>
        <v>NVI</v>
      </c>
      <c r="T343" s="32" t="str">
        <f t="shared" si="76"/>
        <v>02</v>
      </c>
      <c r="U343" s="33" t="str">
        <f>CONCATENATE(C343, " - ",E343)</f>
        <v>MSI Sword 15 | RTX 4060 - Shorts</v>
      </c>
      <c r="V343" s="31"/>
      <c r="W343" s="31"/>
    </row>
    <row r="344" ht="21.75" hidden="1" customHeight="1" outlineLevel="2">
      <c r="A344" s="83"/>
      <c r="B344" s="21" t="s">
        <v>522</v>
      </c>
      <c r="C344" s="22"/>
      <c r="D344" s="22" t="s">
        <v>25</v>
      </c>
      <c r="E344" s="24" t="s">
        <v>26</v>
      </c>
      <c r="F344" s="25" t="s">
        <v>22</v>
      </c>
      <c r="G344" s="34" t="s">
        <v>523</v>
      </c>
      <c r="H344" s="35">
        <v>45192.0</v>
      </c>
      <c r="I344" s="27">
        <f t="shared" ref="I344:I347" si="78">IFERROR(IF($E344="Done", 1, IF(OR($E344="Working on it", $E344="In Review", $E344="On Hold"), 0.5, IF($E344="Not Started", 0, ""))), 0)</f>
        <v>1</v>
      </c>
      <c r="J344" s="28"/>
      <c r="K344" s="28"/>
      <c r="L344" s="17"/>
      <c r="M344" s="29"/>
      <c r="N344" s="29"/>
      <c r="O344" s="73"/>
      <c r="P344" s="73"/>
      <c r="Q344" s="72"/>
      <c r="R344" s="31"/>
      <c r="S344" s="31" t="str">
        <f t="shared" si="75"/>
        <v>NVI</v>
      </c>
      <c r="T344" s="32" t="str">
        <f t="shared" si="76"/>
        <v>02.01</v>
      </c>
      <c r="U344" s="33"/>
      <c r="V344" s="31"/>
      <c r="W344" s="31"/>
    </row>
    <row r="345" ht="21.75" hidden="1" customHeight="1" outlineLevel="2">
      <c r="A345" s="83"/>
      <c r="B345" s="21" t="s">
        <v>524</v>
      </c>
      <c r="C345" s="22"/>
      <c r="D345" s="22" t="s">
        <v>33</v>
      </c>
      <c r="E345" s="24" t="s">
        <v>26</v>
      </c>
      <c r="F345" s="25" t="s">
        <v>41</v>
      </c>
      <c r="G345" s="24"/>
      <c r="H345" s="35">
        <v>45192.0</v>
      </c>
      <c r="I345" s="27">
        <f t="shared" si="78"/>
        <v>1</v>
      </c>
      <c r="J345" s="28"/>
      <c r="K345" s="28"/>
      <c r="L345" s="17"/>
      <c r="M345" s="29">
        <v>45192.72610329861</v>
      </c>
      <c r="N345" s="29">
        <v>45192.809309386575</v>
      </c>
      <c r="O345" s="73"/>
      <c r="P345" s="73"/>
      <c r="Q345" s="37" t="s">
        <v>31</v>
      </c>
      <c r="R345" s="31">
        <v>0.08263888888888889</v>
      </c>
      <c r="S345" s="31" t="str">
        <f t="shared" si="75"/>
        <v>NVI</v>
      </c>
      <c r="T345" s="32" t="str">
        <f t="shared" si="76"/>
        <v>02.02</v>
      </c>
      <c r="U345" s="33"/>
      <c r="V345" s="31"/>
      <c r="W345" s="31"/>
    </row>
    <row r="346" ht="21.75" hidden="1" customHeight="1" outlineLevel="2">
      <c r="A346" s="83"/>
      <c r="B346" s="21" t="s">
        <v>525</v>
      </c>
      <c r="C346" s="22"/>
      <c r="D346" s="22" t="s">
        <v>112</v>
      </c>
      <c r="E346" s="24" t="s">
        <v>26</v>
      </c>
      <c r="F346" s="25" t="s">
        <v>22</v>
      </c>
      <c r="G346" s="24"/>
      <c r="H346" s="35">
        <v>45194.0</v>
      </c>
      <c r="I346" s="27">
        <f t="shared" si="78"/>
        <v>1</v>
      </c>
      <c r="J346" s="28"/>
      <c r="K346" s="28"/>
      <c r="L346" s="17"/>
      <c r="M346" s="29">
        <v>45196.57032949074</v>
      </c>
      <c r="N346" s="29">
        <v>45196.57590484954</v>
      </c>
      <c r="O346" s="73"/>
      <c r="P346" s="73"/>
      <c r="Q346" s="37" t="s">
        <v>31</v>
      </c>
      <c r="R346" s="31">
        <v>0.005555555555555556</v>
      </c>
      <c r="S346" s="31" t="str">
        <f t="shared" si="75"/>
        <v>NVI</v>
      </c>
      <c r="T346" s="32" t="str">
        <f t="shared" si="76"/>
        <v>02.05</v>
      </c>
      <c r="U346" s="33"/>
      <c r="V346" s="31"/>
      <c r="W346" s="31"/>
    </row>
    <row r="347" ht="21.75" hidden="1" customHeight="1" outlineLevel="2">
      <c r="A347" s="83"/>
      <c r="B347" s="21" t="s">
        <v>526</v>
      </c>
      <c r="C347" s="22"/>
      <c r="D347" s="22" t="s">
        <v>40</v>
      </c>
      <c r="E347" s="24" t="s">
        <v>26</v>
      </c>
      <c r="F347" s="25" t="s">
        <v>22</v>
      </c>
      <c r="G347" s="24" t="s">
        <v>237</v>
      </c>
      <c r="H347" s="35">
        <v>45198.0</v>
      </c>
      <c r="I347" s="27">
        <f t="shared" si="78"/>
        <v>1</v>
      </c>
      <c r="J347" s="28"/>
      <c r="K347" s="28"/>
      <c r="L347" s="17"/>
      <c r="M347" s="29"/>
      <c r="N347" s="29"/>
      <c r="O347" s="73"/>
      <c r="P347" s="73"/>
      <c r="Q347" s="72"/>
      <c r="R347" s="31"/>
      <c r="S347" s="31" t="str">
        <f t="shared" si="75"/>
        <v>NVI</v>
      </c>
      <c r="T347" s="32" t="str">
        <f t="shared" si="76"/>
        <v>02.07</v>
      </c>
      <c r="U347" s="33"/>
      <c r="V347" s="31"/>
      <c r="W347" s="31"/>
    </row>
    <row r="348" ht="21.75" customHeight="1" outlineLevel="1" collapsed="1">
      <c r="A348" s="83"/>
      <c r="B348" s="21" t="s">
        <v>527</v>
      </c>
      <c r="C348" s="22" t="s">
        <v>528</v>
      </c>
      <c r="D348" s="23"/>
      <c r="E348" s="24" t="s">
        <v>21</v>
      </c>
      <c r="F348" s="25" t="s">
        <v>41</v>
      </c>
      <c r="G348" s="24" t="s">
        <v>89</v>
      </c>
      <c r="H348" s="26">
        <f>MAX(H349:H355)</f>
        <v>45229</v>
      </c>
      <c r="I348" s="27" t="str">
        <f>IFERROR(__xludf.DUMMYFUNCTION("SPARKLINE(SUM(I349:I355), {""charttype"", ""bar""; ""max"", J348; ""color1"", ""green""})"),"")</f>
        <v/>
      </c>
      <c r="J348" s="28">
        <f>COUNT(I349:I355)</f>
        <v>6</v>
      </c>
      <c r="K348" s="28" t="str">
        <f>IF(ISNUMBER(B376), K376, "")</f>
        <v/>
      </c>
      <c r="L348" s="17"/>
      <c r="M348" s="29">
        <f>MIN(M349:M355)</f>
        <v>45196.58157</v>
      </c>
      <c r="N348" s="29">
        <f>MAX(N349:N355)</f>
        <v>45215.43836</v>
      </c>
      <c r="O348" s="73"/>
      <c r="P348" s="73"/>
      <c r="Q348" s="72"/>
      <c r="R348" s="31">
        <f>SUM(R349:R355)</f>
        <v>0.06944444444</v>
      </c>
      <c r="S348" s="31" t="str">
        <f t="shared" si="75"/>
        <v>NVI</v>
      </c>
      <c r="T348" s="32" t="str">
        <f t="shared" si="76"/>
        <v>05</v>
      </c>
      <c r="U348" s="33" t="str">
        <f>CONCATENATE(C348, " - ",E348)</f>
        <v>Acer Predator - Shorts</v>
      </c>
      <c r="V348" s="31"/>
      <c r="W348" s="31"/>
    </row>
    <row r="349" ht="21.75" hidden="1" customHeight="1" outlineLevel="2">
      <c r="A349" s="83"/>
      <c r="B349" s="21" t="s">
        <v>529</v>
      </c>
      <c r="C349" s="22"/>
      <c r="D349" s="22" t="s">
        <v>25</v>
      </c>
      <c r="E349" s="24" t="s">
        <v>26</v>
      </c>
      <c r="F349" s="25" t="s">
        <v>22</v>
      </c>
      <c r="G349" s="34" t="s">
        <v>530</v>
      </c>
      <c r="H349" s="35">
        <v>45195.425407546296</v>
      </c>
      <c r="I349" s="27">
        <f t="shared" ref="I349:I353" si="79">IFERROR(IF($E349="Done", 1, IF(OR($E349="Working on it", $E349="In Review", $E349="On Hold"), 0.5, IF($E349="Not Started", 0, ""))), 0)</f>
        <v>1</v>
      </c>
      <c r="J349" s="28"/>
      <c r="K349" s="28"/>
      <c r="L349" s="17"/>
      <c r="M349" s="29"/>
      <c r="N349" s="29"/>
      <c r="O349" s="73"/>
      <c r="P349" s="73"/>
      <c r="Q349" s="72"/>
      <c r="R349" s="31"/>
      <c r="S349" s="31" t="str">
        <f t="shared" si="75"/>
        <v>NVI</v>
      </c>
      <c r="T349" s="32" t="str">
        <f t="shared" si="76"/>
        <v>05.01</v>
      </c>
      <c r="U349" s="33"/>
      <c r="V349" s="31"/>
      <c r="W349" s="31"/>
    </row>
    <row r="350" ht="21.75" hidden="1" customHeight="1" outlineLevel="2">
      <c r="A350" s="83"/>
      <c r="B350" s="21" t="s">
        <v>531</v>
      </c>
      <c r="C350" s="22"/>
      <c r="D350" s="22" t="s">
        <v>33</v>
      </c>
      <c r="E350" s="24" t="s">
        <v>26</v>
      </c>
      <c r="F350" s="25" t="s">
        <v>41</v>
      </c>
      <c r="G350" s="24"/>
      <c r="H350" s="35">
        <v>45195.0</v>
      </c>
      <c r="I350" s="27">
        <f t="shared" si="79"/>
        <v>1</v>
      </c>
      <c r="J350" s="28"/>
      <c r="K350" s="28"/>
      <c r="L350" s="17"/>
      <c r="M350" s="29">
        <v>45196.58156961805</v>
      </c>
      <c r="N350" s="29">
        <v>45196.62343090278</v>
      </c>
      <c r="O350" s="73"/>
      <c r="P350" s="73"/>
      <c r="Q350" s="37" t="s">
        <v>31</v>
      </c>
      <c r="R350" s="31">
        <v>0.041666666666666664</v>
      </c>
      <c r="S350" s="31" t="str">
        <f t="shared" si="75"/>
        <v>NVI</v>
      </c>
      <c r="T350" s="32" t="str">
        <f t="shared" si="76"/>
        <v>05.02</v>
      </c>
      <c r="U350" s="33"/>
      <c r="V350" s="31"/>
      <c r="W350" s="31"/>
    </row>
    <row r="351" ht="21.75" hidden="1" customHeight="1" outlineLevel="2">
      <c r="A351" s="83"/>
      <c r="B351" s="21" t="s">
        <v>532</v>
      </c>
      <c r="C351" s="22"/>
      <c r="D351" s="22" t="s">
        <v>533</v>
      </c>
      <c r="E351" s="24" t="s">
        <v>26</v>
      </c>
      <c r="F351" s="25" t="s">
        <v>22</v>
      </c>
      <c r="G351" s="24"/>
      <c r="H351" s="35">
        <v>45201.425407546296</v>
      </c>
      <c r="I351" s="27">
        <f t="shared" si="79"/>
        <v>1</v>
      </c>
      <c r="J351" s="28"/>
      <c r="K351" s="28"/>
      <c r="L351" s="17"/>
      <c r="M351" s="29"/>
      <c r="N351" s="29"/>
      <c r="O351" s="73"/>
      <c r="P351" s="73"/>
      <c r="Q351" s="72"/>
      <c r="R351" s="31"/>
      <c r="S351" s="31" t="str">
        <f t="shared" si="75"/>
        <v>NVI</v>
      </c>
      <c r="T351" s="32" t="str">
        <f t="shared" si="76"/>
        <v>05.04</v>
      </c>
      <c r="U351" s="33"/>
      <c r="V351" s="31"/>
      <c r="W351" s="31"/>
    </row>
    <row r="352" ht="21.75" hidden="1" customHeight="1" outlineLevel="2">
      <c r="A352" s="83"/>
      <c r="B352" s="21" t="s">
        <v>534</v>
      </c>
      <c r="C352" s="22"/>
      <c r="D352" s="22" t="s">
        <v>40</v>
      </c>
      <c r="E352" s="24" t="s">
        <v>26</v>
      </c>
      <c r="F352" s="25" t="s">
        <v>236</v>
      </c>
      <c r="G352" s="24" t="s">
        <v>535</v>
      </c>
      <c r="H352" s="35">
        <v>45215.0</v>
      </c>
      <c r="I352" s="27">
        <f t="shared" si="79"/>
        <v>1</v>
      </c>
      <c r="J352" s="28"/>
      <c r="K352" s="28"/>
      <c r="L352" s="17"/>
      <c r="M352" s="29">
        <v>45211.07901880787</v>
      </c>
      <c r="N352" s="29">
        <v>45215.43835877315</v>
      </c>
      <c r="O352" s="36" t="s">
        <v>536</v>
      </c>
      <c r="P352" s="36" t="s">
        <v>537</v>
      </c>
      <c r="Q352" s="37" t="s">
        <v>31</v>
      </c>
      <c r="R352" s="31">
        <v>0.013194444444444444</v>
      </c>
      <c r="S352" s="31" t="str">
        <f t="shared" si="75"/>
        <v>NVI</v>
      </c>
      <c r="T352" s="32" t="str">
        <f t="shared" si="76"/>
        <v>05.05</v>
      </c>
      <c r="U352" s="33"/>
      <c r="V352" s="31"/>
      <c r="W352" s="31"/>
    </row>
    <row r="353" ht="21.75" hidden="1" customHeight="1" outlineLevel="2">
      <c r="A353" s="83"/>
      <c r="B353" s="21" t="s">
        <v>538</v>
      </c>
      <c r="C353" s="22"/>
      <c r="D353" s="22" t="s">
        <v>303</v>
      </c>
      <c r="E353" s="24" t="s">
        <v>26</v>
      </c>
      <c r="F353" s="25" t="s">
        <v>41</v>
      </c>
      <c r="G353" s="24"/>
      <c r="H353" s="35">
        <v>45207.0</v>
      </c>
      <c r="I353" s="27">
        <f t="shared" si="79"/>
        <v>1</v>
      </c>
      <c r="J353" s="28"/>
      <c r="K353" s="28"/>
      <c r="L353" s="17"/>
      <c r="M353" s="29">
        <v>45209.780001493054</v>
      </c>
      <c r="N353" s="29">
        <v>45209.79459546296</v>
      </c>
      <c r="O353" s="73"/>
      <c r="P353" s="73"/>
      <c r="Q353" s="37" t="s">
        <v>31</v>
      </c>
      <c r="R353" s="31">
        <v>0.014583333333333334</v>
      </c>
      <c r="S353" s="31" t="str">
        <f t="shared" si="75"/>
        <v>NVI</v>
      </c>
      <c r="T353" s="32" t="str">
        <f t="shared" si="76"/>
        <v>05.06</v>
      </c>
      <c r="U353" s="33"/>
      <c r="V353" s="31"/>
      <c r="W353" s="31"/>
    </row>
    <row r="354" ht="21.75" hidden="1" customHeight="1" outlineLevel="2">
      <c r="A354" s="83"/>
      <c r="B354" s="21" t="s">
        <v>539</v>
      </c>
      <c r="C354" s="22"/>
      <c r="D354" s="22" t="s">
        <v>540</v>
      </c>
      <c r="E354" s="24" t="s">
        <v>26</v>
      </c>
      <c r="F354" s="25" t="s">
        <v>236</v>
      </c>
      <c r="G354" s="24"/>
      <c r="H354" s="35">
        <v>45226.0</v>
      </c>
      <c r="I354" s="27"/>
      <c r="J354" s="28"/>
      <c r="K354" s="28"/>
      <c r="L354" s="17"/>
      <c r="M354" s="29"/>
      <c r="N354" s="29"/>
      <c r="O354" s="73"/>
      <c r="P354" s="73"/>
      <c r="Q354" s="37"/>
      <c r="R354" s="31"/>
      <c r="S354" s="31" t="str">
        <f t="shared" si="75"/>
        <v>NVI</v>
      </c>
      <c r="T354" s="32" t="str">
        <f t="shared" si="76"/>
        <v>05.07</v>
      </c>
      <c r="U354" s="33"/>
      <c r="V354" s="31"/>
      <c r="W354" s="31"/>
    </row>
    <row r="355" ht="21.75" hidden="1" customHeight="1" outlineLevel="2">
      <c r="A355" s="83"/>
      <c r="B355" s="21" t="s">
        <v>541</v>
      </c>
      <c r="C355" s="22"/>
      <c r="D355" s="22" t="s">
        <v>47</v>
      </c>
      <c r="E355" s="24" t="s">
        <v>26</v>
      </c>
      <c r="F355" s="25" t="s">
        <v>41</v>
      </c>
      <c r="G355" s="24"/>
      <c r="H355" s="35">
        <v>45229.0</v>
      </c>
      <c r="I355" s="27">
        <f>IFERROR(IF($E355="Done", 1, IF(OR($E355="Working on it", $E355="In Review", $E355="On Hold"), 0.5, IF($E355="Not Started", 0, ""))), 0)</f>
        <v>1</v>
      </c>
      <c r="J355" s="28"/>
      <c r="K355" s="28"/>
      <c r="L355" s="17"/>
      <c r="M355" s="29"/>
      <c r="N355" s="29"/>
      <c r="O355" s="73"/>
      <c r="P355" s="73"/>
      <c r="Q355" s="72"/>
      <c r="R355" s="31"/>
      <c r="S355" s="31" t="str">
        <f t="shared" si="75"/>
        <v>NVI</v>
      </c>
      <c r="T355" s="32" t="str">
        <f t="shared" si="76"/>
        <v>05.08</v>
      </c>
      <c r="U355" s="33"/>
      <c r="V355" s="31"/>
      <c r="W355" s="31"/>
    </row>
    <row r="356" ht="21.75" customHeight="1" outlineLevel="1" collapsed="1">
      <c r="A356" s="83"/>
      <c r="B356" s="21" t="s">
        <v>542</v>
      </c>
      <c r="C356" s="22" t="s">
        <v>543</v>
      </c>
      <c r="D356" s="23"/>
      <c r="E356" s="24" t="s">
        <v>21</v>
      </c>
      <c r="F356" s="25" t="s">
        <v>41</v>
      </c>
      <c r="G356" s="24" t="s">
        <v>89</v>
      </c>
      <c r="H356" s="26">
        <f>MAX(H357:H362)</f>
        <v>45230</v>
      </c>
      <c r="I356" s="27" t="str">
        <f>IFERROR(__xludf.DUMMYFUNCTION("SPARKLINE(SUM(I357:I362), {""charttype"", ""bar""; ""max"", J356; ""color1"", ""green""})"),"")</f>
        <v/>
      </c>
      <c r="J356" s="28">
        <f>COUNT(I357:I362)</f>
        <v>6</v>
      </c>
      <c r="K356" s="28" t="str">
        <f>IF(ISNUMBER(B355), K355, "")</f>
        <v/>
      </c>
      <c r="L356" s="17"/>
      <c r="M356" s="29">
        <f>MIN(M357:M362)</f>
        <v>45196.66225</v>
      </c>
      <c r="N356" s="29">
        <f>MAX(N357:N362)</f>
        <v>45226.67017</v>
      </c>
      <c r="O356" s="73"/>
      <c r="P356" s="73"/>
      <c r="Q356" s="72"/>
      <c r="R356" s="31">
        <f>SUM(R357:R362)</f>
        <v>0.04930555556</v>
      </c>
      <c r="S356" s="31" t="str">
        <f t="shared" si="75"/>
        <v>NVI</v>
      </c>
      <c r="T356" s="32" t="str">
        <f t="shared" si="76"/>
        <v>06</v>
      </c>
      <c r="U356" s="33" t="str">
        <f>CONCATENATE(C356, " - ",E356)</f>
        <v>Acer Predator Neo - Shorts</v>
      </c>
      <c r="V356" s="31"/>
      <c r="W356" s="31"/>
    </row>
    <row r="357" ht="21.75" hidden="1" customHeight="1" outlineLevel="2">
      <c r="A357" s="83"/>
      <c r="B357" s="21" t="s">
        <v>544</v>
      </c>
      <c r="C357" s="22"/>
      <c r="D357" s="22" t="s">
        <v>25</v>
      </c>
      <c r="E357" s="24" t="s">
        <v>26</v>
      </c>
      <c r="F357" s="25" t="s">
        <v>22</v>
      </c>
      <c r="G357" s="34" t="s">
        <v>545</v>
      </c>
      <c r="H357" s="35">
        <v>45195.42557921296</v>
      </c>
      <c r="I357" s="27">
        <f t="shared" ref="I357:I362" si="80">IFERROR(IF($E357="Done", 1, IF(OR($E357="Working on it", $E357="In Review", $E357="On Hold"), 0.5, IF($E357="Not Started", 0, ""))), 0)</f>
        <v>1</v>
      </c>
      <c r="J357" s="28"/>
      <c r="K357" s="28"/>
      <c r="L357" s="17"/>
      <c r="M357" s="29"/>
      <c r="N357" s="29"/>
      <c r="O357" s="73"/>
      <c r="P357" s="73"/>
      <c r="Q357" s="72"/>
      <c r="R357" s="31"/>
      <c r="S357" s="31" t="str">
        <f t="shared" si="75"/>
        <v>NVI</v>
      </c>
      <c r="T357" s="32" t="str">
        <f t="shared" si="76"/>
        <v>06.01</v>
      </c>
      <c r="U357" s="33"/>
      <c r="V357" s="31"/>
      <c r="W357" s="31"/>
    </row>
    <row r="358" ht="21.75" hidden="1" customHeight="1" outlineLevel="2">
      <c r="A358" s="83"/>
      <c r="B358" s="21" t="s">
        <v>546</v>
      </c>
      <c r="C358" s="22"/>
      <c r="D358" s="22" t="s">
        <v>33</v>
      </c>
      <c r="E358" s="24" t="s">
        <v>26</v>
      </c>
      <c r="F358" s="25" t="s">
        <v>41</v>
      </c>
      <c r="G358" s="24"/>
      <c r="H358" s="35">
        <v>45195.0</v>
      </c>
      <c r="I358" s="27">
        <f t="shared" si="80"/>
        <v>1</v>
      </c>
      <c r="J358" s="28"/>
      <c r="K358" s="28"/>
      <c r="L358" s="17"/>
      <c r="M358" s="29">
        <v>45196.662245706015</v>
      </c>
      <c r="N358" s="29">
        <v>45196.694170717594</v>
      </c>
      <c r="O358" s="73"/>
      <c r="P358" s="73"/>
      <c r="Q358" s="37" t="s">
        <v>31</v>
      </c>
      <c r="R358" s="31">
        <v>0.03125</v>
      </c>
      <c r="S358" s="31" t="str">
        <f t="shared" si="75"/>
        <v>NVI</v>
      </c>
      <c r="T358" s="32" t="str">
        <f t="shared" si="76"/>
        <v>06.02</v>
      </c>
      <c r="U358" s="33"/>
      <c r="V358" s="31"/>
      <c r="W358" s="31"/>
    </row>
    <row r="359" ht="21.75" hidden="1" customHeight="1" outlineLevel="2">
      <c r="A359" s="83"/>
      <c r="B359" s="21" t="s">
        <v>547</v>
      </c>
      <c r="C359" s="22"/>
      <c r="D359" s="22" t="s">
        <v>533</v>
      </c>
      <c r="E359" s="24" t="s">
        <v>26</v>
      </c>
      <c r="F359" s="25" t="s">
        <v>22</v>
      </c>
      <c r="G359" s="24"/>
      <c r="H359" s="35">
        <v>45201.42557921296</v>
      </c>
      <c r="I359" s="27">
        <f t="shared" si="80"/>
        <v>1</v>
      </c>
      <c r="J359" s="28"/>
      <c r="K359" s="28"/>
      <c r="L359" s="17"/>
      <c r="M359" s="29"/>
      <c r="N359" s="29"/>
      <c r="O359" s="73"/>
      <c r="P359" s="73"/>
      <c r="Q359" s="72"/>
      <c r="R359" s="31"/>
      <c r="S359" s="31" t="str">
        <f t="shared" si="75"/>
        <v>NVI</v>
      </c>
      <c r="T359" s="32" t="str">
        <f t="shared" si="76"/>
        <v>06.04</v>
      </c>
      <c r="U359" s="33"/>
      <c r="V359" s="31"/>
      <c r="W359" s="31"/>
    </row>
    <row r="360" ht="21.75" hidden="1" customHeight="1" outlineLevel="2">
      <c r="A360" s="83"/>
      <c r="B360" s="21" t="s">
        <v>548</v>
      </c>
      <c r="C360" s="22"/>
      <c r="D360" s="22" t="s">
        <v>40</v>
      </c>
      <c r="E360" s="24" t="s">
        <v>26</v>
      </c>
      <c r="F360" s="25" t="s">
        <v>236</v>
      </c>
      <c r="G360" s="24" t="s">
        <v>535</v>
      </c>
      <c r="H360" s="35">
        <v>45215.0</v>
      </c>
      <c r="I360" s="27">
        <f t="shared" si="80"/>
        <v>1</v>
      </c>
      <c r="J360" s="28"/>
      <c r="K360" s="28"/>
      <c r="L360" s="17"/>
      <c r="M360" s="29">
        <v>45211.09227149306</v>
      </c>
      <c r="N360" s="29">
        <v>45226.670165578704</v>
      </c>
      <c r="O360" s="36" t="s">
        <v>549</v>
      </c>
      <c r="P360" s="36" t="s">
        <v>550</v>
      </c>
      <c r="Q360" s="37" t="s">
        <v>31</v>
      </c>
      <c r="R360" s="31">
        <v>0.008333333333333333</v>
      </c>
      <c r="S360" s="31" t="str">
        <f t="shared" si="75"/>
        <v>NVI</v>
      </c>
      <c r="T360" s="32" t="str">
        <f t="shared" si="76"/>
        <v>06.05</v>
      </c>
      <c r="U360" s="33"/>
      <c r="V360" s="31"/>
      <c r="W360" s="31"/>
    </row>
    <row r="361" ht="21.75" hidden="1" customHeight="1" outlineLevel="2">
      <c r="A361" s="83"/>
      <c r="B361" s="21" t="s">
        <v>551</v>
      </c>
      <c r="C361" s="22"/>
      <c r="D361" s="22" t="s">
        <v>303</v>
      </c>
      <c r="E361" s="24" t="s">
        <v>26</v>
      </c>
      <c r="F361" s="25" t="s">
        <v>41</v>
      </c>
      <c r="G361" s="24"/>
      <c r="H361" s="35">
        <v>45207.0</v>
      </c>
      <c r="I361" s="27">
        <f t="shared" si="80"/>
        <v>1</v>
      </c>
      <c r="J361" s="28"/>
      <c r="K361" s="28"/>
      <c r="L361" s="17"/>
      <c r="M361" s="29">
        <v>45208.477741435185</v>
      </c>
      <c r="N361" s="29">
        <v>45209.43407993056</v>
      </c>
      <c r="O361" s="36" t="s">
        <v>552</v>
      </c>
      <c r="P361" s="36" t="s">
        <v>553</v>
      </c>
      <c r="Q361" s="37" t="s">
        <v>31</v>
      </c>
      <c r="R361" s="31">
        <v>0.009722222222222222</v>
      </c>
      <c r="S361" s="31" t="str">
        <f t="shared" si="75"/>
        <v>NVI</v>
      </c>
      <c r="T361" s="32" t="str">
        <f t="shared" si="76"/>
        <v>06.06</v>
      </c>
      <c r="U361" s="33"/>
      <c r="V361" s="31"/>
      <c r="W361" s="31"/>
    </row>
    <row r="362" ht="21.75" hidden="1" customHeight="1" outlineLevel="2">
      <c r="A362" s="83"/>
      <c r="B362" s="21" t="s">
        <v>554</v>
      </c>
      <c r="C362" s="22"/>
      <c r="D362" s="22" t="s">
        <v>47</v>
      </c>
      <c r="E362" s="24" t="s">
        <v>26</v>
      </c>
      <c r="F362" s="25" t="s">
        <v>22</v>
      </c>
      <c r="G362" s="24"/>
      <c r="H362" s="35">
        <v>45230.0</v>
      </c>
      <c r="I362" s="27">
        <f t="shared" si="80"/>
        <v>1</v>
      </c>
      <c r="J362" s="28"/>
      <c r="K362" s="28"/>
      <c r="L362" s="17"/>
      <c r="M362" s="29"/>
      <c r="N362" s="29"/>
      <c r="O362" s="73"/>
      <c r="P362" s="73"/>
      <c r="Q362" s="72"/>
      <c r="R362" s="31"/>
      <c r="S362" s="31" t="str">
        <f t="shared" si="75"/>
        <v>NVI</v>
      </c>
      <c r="T362" s="32" t="str">
        <f t="shared" si="76"/>
        <v>06.07</v>
      </c>
      <c r="U362" s="33"/>
      <c r="V362" s="31"/>
      <c r="W362" s="31"/>
    </row>
    <row r="363" ht="21.75" customHeight="1" outlineLevel="1" collapsed="1">
      <c r="A363" s="83"/>
      <c r="B363" s="21" t="s">
        <v>555</v>
      </c>
      <c r="C363" s="22" t="s">
        <v>556</v>
      </c>
      <c r="D363" s="23"/>
      <c r="E363" s="24" t="s">
        <v>21</v>
      </c>
      <c r="F363" s="25" t="s">
        <v>41</v>
      </c>
      <c r="G363" s="24" t="s">
        <v>89</v>
      </c>
      <c r="H363" s="26">
        <f>MAX(H364:H370)</f>
        <v>45230</v>
      </c>
      <c r="I363" s="27" t="str">
        <f>IFERROR(__xludf.DUMMYFUNCTION("SPARKLINE(SUM(I364:I370), {""charttype"", ""bar""; ""max"", J363; ""color1"", ""green""})"),"")</f>
        <v/>
      </c>
      <c r="J363" s="28">
        <f>COUNT(I364:I370)</f>
        <v>7</v>
      </c>
      <c r="K363" s="28" t="str">
        <f>IF(ISNUMBER(B383), K383, "")</f>
        <v/>
      </c>
      <c r="L363" s="17"/>
      <c r="M363" s="29">
        <f>MIN(M364:M370)</f>
        <v>45198.70438</v>
      </c>
      <c r="N363" s="29">
        <f>MAX(N364:N370)</f>
        <v>45220.54492</v>
      </c>
      <c r="O363" s="73"/>
      <c r="P363" s="73"/>
      <c r="Q363" s="72"/>
      <c r="R363" s="31">
        <f>SUM(R364:R370)</f>
        <v>0.7430555556</v>
      </c>
      <c r="S363" s="31" t="str">
        <f t="shared" si="75"/>
        <v>NVI</v>
      </c>
      <c r="T363" s="32" t="str">
        <f t="shared" si="76"/>
        <v>08</v>
      </c>
      <c r="U363" s="33" t="str">
        <f>CONCATENATE(C363, " - ",E363)</f>
        <v>HP Victus 15-FA1124TX - Shorts</v>
      </c>
      <c r="V363" s="31"/>
      <c r="W363" s="31"/>
    </row>
    <row r="364" ht="21.75" hidden="1" customHeight="1" outlineLevel="2">
      <c r="A364" s="83"/>
      <c r="B364" s="21" t="s">
        <v>557</v>
      </c>
      <c r="C364" s="22"/>
      <c r="D364" s="22" t="s">
        <v>25</v>
      </c>
      <c r="E364" s="24" t="s">
        <v>26</v>
      </c>
      <c r="F364" s="25" t="s">
        <v>236</v>
      </c>
      <c r="G364" s="34" t="s">
        <v>558</v>
      </c>
      <c r="H364" s="35">
        <v>45207.0</v>
      </c>
      <c r="I364" s="27">
        <f t="shared" ref="I364:I370" si="81">IFERROR(IF($E364="Done", 1, IF(OR($E364="Working on it", $E364="In Review", $E364="On Hold"), 0.5, IF($E364="Not Started", 0, ""))), 0)</f>
        <v>1</v>
      </c>
      <c r="J364" s="28"/>
      <c r="K364" s="28"/>
      <c r="L364" s="17"/>
      <c r="M364" s="29">
        <v>45209.80595166667</v>
      </c>
      <c r="N364" s="29">
        <v>45220.54492082176</v>
      </c>
      <c r="O364" s="36" t="s">
        <v>559</v>
      </c>
      <c r="P364" s="36" t="s">
        <v>560</v>
      </c>
      <c r="Q364" s="37" t="s">
        <v>31</v>
      </c>
      <c r="R364" s="31">
        <v>0.6833333333333333</v>
      </c>
      <c r="S364" s="31" t="str">
        <f t="shared" si="75"/>
        <v>NVI</v>
      </c>
      <c r="T364" s="32" t="str">
        <f t="shared" si="76"/>
        <v>08.01</v>
      </c>
      <c r="U364" s="33"/>
      <c r="V364" s="31"/>
      <c r="W364" s="31"/>
    </row>
    <row r="365" ht="21.75" hidden="1" customHeight="1" outlineLevel="2">
      <c r="A365" s="83"/>
      <c r="B365" s="21" t="s">
        <v>561</v>
      </c>
      <c r="C365" s="22"/>
      <c r="D365" s="22" t="s">
        <v>33</v>
      </c>
      <c r="E365" s="24" t="s">
        <v>26</v>
      </c>
      <c r="F365" s="25" t="s">
        <v>41</v>
      </c>
      <c r="G365" s="24"/>
      <c r="H365" s="35">
        <v>45198.0</v>
      </c>
      <c r="I365" s="27">
        <f t="shared" si="81"/>
        <v>1</v>
      </c>
      <c r="J365" s="28"/>
      <c r="K365" s="28"/>
      <c r="L365" s="17"/>
      <c r="M365" s="29">
        <v>45198.70438388889</v>
      </c>
      <c r="N365" s="29">
        <v>45198.76148773148</v>
      </c>
      <c r="O365" s="73"/>
      <c r="P365" s="73"/>
      <c r="Q365" s="37" t="s">
        <v>31</v>
      </c>
      <c r="R365" s="31">
        <v>0.05694444444444444</v>
      </c>
      <c r="S365" s="31" t="str">
        <f t="shared" si="75"/>
        <v>NVI</v>
      </c>
      <c r="T365" s="32" t="str">
        <f t="shared" si="76"/>
        <v>08.02</v>
      </c>
      <c r="U365" s="33"/>
      <c r="V365" s="31"/>
      <c r="W365" s="31"/>
    </row>
    <row r="366" ht="21.75" hidden="1" customHeight="1" outlineLevel="2">
      <c r="A366" s="83"/>
      <c r="B366" s="21" t="s">
        <v>562</v>
      </c>
      <c r="C366" s="22"/>
      <c r="D366" s="22" t="s">
        <v>533</v>
      </c>
      <c r="E366" s="24" t="s">
        <v>26</v>
      </c>
      <c r="F366" s="25" t="s">
        <v>41</v>
      </c>
      <c r="G366" s="24"/>
      <c r="H366" s="35">
        <v>45207.0</v>
      </c>
      <c r="I366" s="27">
        <f t="shared" si="81"/>
        <v>1</v>
      </c>
      <c r="J366" s="28"/>
      <c r="K366" s="28"/>
      <c r="L366" s="17"/>
      <c r="M366" s="29">
        <v>45209.802613657404</v>
      </c>
      <c r="N366" s="29">
        <v>45209.80324299769</v>
      </c>
      <c r="O366" s="73"/>
      <c r="P366" s="73"/>
      <c r="Q366" s="37" t="s">
        <v>31</v>
      </c>
      <c r="R366" s="31">
        <v>0.0</v>
      </c>
      <c r="S366" s="31" t="str">
        <f t="shared" si="75"/>
        <v>NVI</v>
      </c>
      <c r="T366" s="32" t="str">
        <f t="shared" si="76"/>
        <v>08.04</v>
      </c>
      <c r="U366" s="33"/>
      <c r="V366" s="31"/>
      <c r="W366" s="31"/>
    </row>
    <row r="367" ht="21.75" hidden="1" customHeight="1" outlineLevel="2">
      <c r="A367" s="83"/>
      <c r="B367" s="21" t="s">
        <v>563</v>
      </c>
      <c r="C367" s="22"/>
      <c r="D367" s="22" t="s">
        <v>112</v>
      </c>
      <c r="E367" s="24" t="s">
        <v>26</v>
      </c>
      <c r="F367" s="25" t="s">
        <v>22</v>
      </c>
      <c r="G367" s="24"/>
      <c r="H367" s="35">
        <v>45227.0</v>
      </c>
      <c r="I367" s="27">
        <f t="shared" si="81"/>
        <v>1</v>
      </c>
      <c r="J367" s="28"/>
      <c r="K367" s="28"/>
      <c r="L367" s="17"/>
      <c r="M367" s="29"/>
      <c r="N367" s="29"/>
      <c r="O367" s="73"/>
      <c r="P367" s="73"/>
      <c r="Q367" s="72"/>
      <c r="R367" s="31"/>
      <c r="S367" s="31"/>
      <c r="T367" s="32"/>
      <c r="U367" s="33"/>
      <c r="V367" s="31"/>
      <c r="W367" s="31"/>
    </row>
    <row r="368" ht="21.75" hidden="1" customHeight="1" outlineLevel="2">
      <c r="A368" s="83"/>
      <c r="B368" s="21" t="s">
        <v>564</v>
      </c>
      <c r="C368" s="22"/>
      <c r="D368" s="22" t="s">
        <v>40</v>
      </c>
      <c r="E368" s="24" t="s">
        <v>26</v>
      </c>
      <c r="F368" s="25" t="s">
        <v>236</v>
      </c>
      <c r="G368" s="24"/>
      <c r="H368" s="35">
        <v>45227.0</v>
      </c>
      <c r="I368" s="27">
        <f t="shared" si="81"/>
        <v>1</v>
      </c>
      <c r="J368" s="28"/>
      <c r="K368" s="28"/>
      <c r="L368" s="17"/>
      <c r="M368" s="29"/>
      <c r="N368" s="29"/>
      <c r="O368" s="73"/>
      <c r="P368" s="73"/>
      <c r="Q368" s="72"/>
      <c r="R368" s="31"/>
      <c r="S368" s="31" t="str">
        <f t="shared" ref="S368:S398" si="82">IFERROR(MID(B368, FIND("-", B368) + 1, 3), "")</f>
        <v>NVI</v>
      </c>
      <c r="T368" s="32" t="str">
        <f t="shared" ref="T368:T398" si="83">IFERROR(MID(B368, 8, LEN(B368)-7), "")
</f>
        <v>08.06</v>
      </c>
      <c r="U368" s="33"/>
      <c r="V368" s="31"/>
      <c r="W368" s="31"/>
    </row>
    <row r="369" ht="21.75" hidden="1" customHeight="1" outlineLevel="2">
      <c r="A369" s="83"/>
      <c r="B369" s="21" t="s">
        <v>565</v>
      </c>
      <c r="C369" s="22"/>
      <c r="D369" s="22" t="s">
        <v>303</v>
      </c>
      <c r="E369" s="24" t="s">
        <v>26</v>
      </c>
      <c r="F369" s="25" t="s">
        <v>41</v>
      </c>
      <c r="G369" s="24"/>
      <c r="H369" s="35">
        <v>45209.0</v>
      </c>
      <c r="I369" s="27">
        <f t="shared" si="81"/>
        <v>1</v>
      </c>
      <c r="J369" s="28"/>
      <c r="K369" s="28"/>
      <c r="L369" s="17"/>
      <c r="M369" s="29">
        <v>45209.727357384254</v>
      </c>
      <c r="N369" s="29">
        <v>45209.802193298616</v>
      </c>
      <c r="O369" s="36" t="s">
        <v>566</v>
      </c>
      <c r="P369" s="36" t="s">
        <v>567</v>
      </c>
      <c r="Q369" s="37" t="s">
        <v>31</v>
      </c>
      <c r="R369" s="31">
        <v>0.002777777777777778</v>
      </c>
      <c r="S369" s="31" t="str">
        <f t="shared" si="82"/>
        <v>NVI</v>
      </c>
      <c r="T369" s="32" t="str">
        <f t="shared" si="83"/>
        <v>08.07</v>
      </c>
      <c r="U369" s="33"/>
      <c r="V369" s="31"/>
      <c r="W369" s="31"/>
    </row>
    <row r="370" ht="21.75" hidden="1" customHeight="1" outlineLevel="2">
      <c r="A370" s="83"/>
      <c r="B370" s="21" t="s">
        <v>568</v>
      </c>
      <c r="C370" s="22"/>
      <c r="D370" s="22" t="s">
        <v>47</v>
      </c>
      <c r="E370" s="24" t="s">
        <v>26</v>
      </c>
      <c r="F370" s="25" t="s">
        <v>22</v>
      </c>
      <c r="G370" s="24"/>
      <c r="H370" s="35">
        <v>45230.0</v>
      </c>
      <c r="I370" s="27">
        <f t="shared" si="81"/>
        <v>1</v>
      </c>
      <c r="J370" s="28"/>
      <c r="K370" s="28"/>
      <c r="L370" s="17"/>
      <c r="M370" s="29"/>
      <c r="N370" s="29"/>
      <c r="O370" s="73"/>
      <c r="P370" s="73"/>
      <c r="Q370" s="72"/>
      <c r="R370" s="31"/>
      <c r="S370" s="31" t="str">
        <f t="shared" si="82"/>
        <v>NVI</v>
      </c>
      <c r="T370" s="32" t="str">
        <f t="shared" si="83"/>
        <v>08.08</v>
      </c>
      <c r="U370" s="33"/>
      <c r="V370" s="31"/>
      <c r="W370" s="31"/>
    </row>
    <row r="371" ht="21.75" customHeight="1" outlineLevel="1" collapsed="1">
      <c r="A371" s="83"/>
      <c r="B371" s="21" t="s">
        <v>569</v>
      </c>
      <c r="C371" s="22" t="s">
        <v>570</v>
      </c>
      <c r="D371" s="23"/>
      <c r="E371" s="24" t="s">
        <v>21</v>
      </c>
      <c r="F371" s="25" t="s">
        <v>41</v>
      </c>
      <c r="G371" s="24" t="s">
        <v>89</v>
      </c>
      <c r="H371" s="26">
        <f>MAX(H372:H376)</f>
        <v>45230</v>
      </c>
      <c r="I371" s="27" t="str">
        <f>IFERROR(__xludf.DUMMYFUNCTION("SPARKLINE(SUM(I372:I376), {""charttype"", ""bar""; ""max"", J371; ""color1"", ""green""})"),"")</f>
        <v/>
      </c>
      <c r="J371" s="28">
        <f>COUNT(I372:I376)</f>
        <v>5</v>
      </c>
      <c r="K371" s="28" t="str">
        <f>IF(ISNUMBER(#REF!), #REF!, "")</f>
        <v/>
      </c>
      <c r="L371" s="17"/>
      <c r="M371" s="29">
        <f>MIN(M372:M376)</f>
        <v>45198.65144</v>
      </c>
      <c r="N371" s="29">
        <f>MAX(N372:N376)</f>
        <v>45209.78036</v>
      </c>
      <c r="O371" s="73"/>
      <c r="P371" s="73"/>
      <c r="Q371" s="72"/>
      <c r="R371" s="31">
        <f>SUM(R372:R376)</f>
        <v>0.03194444444</v>
      </c>
      <c r="S371" s="31" t="str">
        <f t="shared" si="82"/>
        <v>NVI</v>
      </c>
      <c r="T371" s="32" t="str">
        <f t="shared" si="83"/>
        <v>04</v>
      </c>
      <c r="U371" s="33" t="str">
        <f>CONCATENATE(C371, " - ",E371)</f>
        <v>Lenovo Legion | RTX 4060 - Shorts</v>
      </c>
      <c r="V371" s="31"/>
      <c r="W371" s="31"/>
    </row>
    <row r="372" ht="21.75" hidden="1" customHeight="1" outlineLevel="2">
      <c r="A372" s="83"/>
      <c r="B372" s="21" t="s">
        <v>571</v>
      </c>
      <c r="C372" s="22"/>
      <c r="D372" s="22" t="s">
        <v>25</v>
      </c>
      <c r="E372" s="24" t="s">
        <v>26</v>
      </c>
      <c r="F372" s="25" t="s">
        <v>22</v>
      </c>
      <c r="G372" s="34" t="s">
        <v>572</v>
      </c>
      <c r="H372" s="35">
        <v>45192.0</v>
      </c>
      <c r="I372" s="27">
        <f t="shared" ref="I372:I376" si="84">IFERROR(IF($E372="Done", 1, IF(OR($E372="Working on it", $E372="In Review", $E372="On Hold"), 0.5, IF($E372="Not Started", 0, ""))), 0)</f>
        <v>1</v>
      </c>
      <c r="J372" s="28"/>
      <c r="K372" s="28"/>
      <c r="L372" s="17"/>
      <c r="M372" s="29"/>
      <c r="N372" s="29"/>
      <c r="O372" s="73"/>
      <c r="P372" s="73"/>
      <c r="Q372" s="72"/>
      <c r="R372" s="31"/>
      <c r="S372" s="31" t="str">
        <f t="shared" si="82"/>
        <v>NVI</v>
      </c>
      <c r="T372" s="32" t="str">
        <f t="shared" si="83"/>
        <v>04.01</v>
      </c>
      <c r="U372" s="33"/>
      <c r="V372" s="31"/>
      <c r="W372" s="31"/>
    </row>
    <row r="373" ht="21.75" hidden="1" customHeight="1" outlineLevel="2">
      <c r="A373" s="83"/>
      <c r="B373" s="21" t="s">
        <v>573</v>
      </c>
      <c r="C373" s="22"/>
      <c r="D373" s="22" t="s">
        <v>33</v>
      </c>
      <c r="E373" s="24" t="s">
        <v>26</v>
      </c>
      <c r="F373" s="25" t="s">
        <v>41</v>
      </c>
      <c r="G373" s="24"/>
      <c r="H373" s="35">
        <v>45197.0</v>
      </c>
      <c r="I373" s="27">
        <f t="shared" si="84"/>
        <v>1</v>
      </c>
      <c r="J373" s="28"/>
      <c r="K373" s="28"/>
      <c r="L373" s="17"/>
      <c r="M373" s="29">
        <v>45198.6514372338</v>
      </c>
      <c r="N373" s="29">
        <v>45198.67078219907</v>
      </c>
      <c r="O373" s="73"/>
      <c r="P373" s="73"/>
      <c r="Q373" s="37" t="s">
        <v>31</v>
      </c>
      <c r="R373" s="31">
        <v>0.01875</v>
      </c>
      <c r="S373" s="31" t="str">
        <f t="shared" si="82"/>
        <v>NVI</v>
      </c>
      <c r="T373" s="32" t="str">
        <f t="shared" si="83"/>
        <v>04.02</v>
      </c>
      <c r="U373" s="33"/>
      <c r="V373" s="31"/>
      <c r="W373" s="31"/>
    </row>
    <row r="374" ht="21.75" hidden="1" customHeight="1" outlineLevel="2">
      <c r="A374" s="83"/>
      <c r="B374" s="21" t="s">
        <v>574</v>
      </c>
      <c r="C374" s="22"/>
      <c r="D374" s="22" t="s">
        <v>533</v>
      </c>
      <c r="E374" s="24" t="s">
        <v>26</v>
      </c>
      <c r="F374" s="25" t="s">
        <v>41</v>
      </c>
      <c r="G374" s="24"/>
      <c r="H374" s="35">
        <v>45208.0</v>
      </c>
      <c r="I374" s="27">
        <f t="shared" si="84"/>
        <v>1</v>
      </c>
      <c r="J374" s="28"/>
      <c r="K374" s="28"/>
      <c r="L374" s="17"/>
      <c r="M374" s="29">
        <v>45209.76657082176</v>
      </c>
      <c r="N374" s="29">
        <v>45209.78035555556</v>
      </c>
      <c r="O374" s="36" t="s">
        <v>575</v>
      </c>
      <c r="P374" s="36" t="s">
        <v>576</v>
      </c>
      <c r="Q374" s="37" t="s">
        <v>31</v>
      </c>
      <c r="R374" s="31">
        <v>0.013194444444444444</v>
      </c>
      <c r="S374" s="31" t="str">
        <f t="shared" si="82"/>
        <v>NVI</v>
      </c>
      <c r="T374" s="32" t="str">
        <f t="shared" si="83"/>
        <v>04.05</v>
      </c>
      <c r="U374" s="33"/>
      <c r="V374" s="31"/>
      <c r="W374" s="31"/>
    </row>
    <row r="375" ht="21.75" hidden="1" customHeight="1" outlineLevel="2">
      <c r="A375" s="83"/>
      <c r="B375" s="21" t="s">
        <v>577</v>
      </c>
      <c r="C375" s="22"/>
      <c r="D375" s="22" t="s">
        <v>40</v>
      </c>
      <c r="E375" s="24" t="s">
        <v>26</v>
      </c>
      <c r="F375" s="25" t="s">
        <v>236</v>
      </c>
      <c r="G375" s="24" t="s">
        <v>237</v>
      </c>
      <c r="H375" s="35">
        <v>45228.0</v>
      </c>
      <c r="I375" s="27">
        <f t="shared" si="84"/>
        <v>1</v>
      </c>
      <c r="J375" s="28"/>
      <c r="K375" s="28"/>
      <c r="L375" s="17"/>
      <c r="M375" s="29"/>
      <c r="N375" s="29"/>
      <c r="O375" s="73"/>
      <c r="P375" s="73"/>
      <c r="Q375" s="72"/>
      <c r="R375" s="31"/>
      <c r="S375" s="31" t="str">
        <f t="shared" si="82"/>
        <v>NVI</v>
      </c>
      <c r="T375" s="32" t="str">
        <f t="shared" si="83"/>
        <v>04.06</v>
      </c>
      <c r="U375" s="33"/>
      <c r="V375" s="31"/>
      <c r="W375" s="31"/>
    </row>
    <row r="376" ht="21.75" hidden="1" customHeight="1" outlineLevel="2">
      <c r="A376" s="83"/>
      <c r="B376" s="21" t="s">
        <v>578</v>
      </c>
      <c r="C376" s="22"/>
      <c r="D376" s="22" t="s">
        <v>47</v>
      </c>
      <c r="E376" s="24" t="s">
        <v>26</v>
      </c>
      <c r="F376" s="25" t="s">
        <v>22</v>
      </c>
      <c r="G376" s="24"/>
      <c r="H376" s="35">
        <v>45230.0</v>
      </c>
      <c r="I376" s="27">
        <f t="shared" si="84"/>
        <v>1</v>
      </c>
      <c r="J376" s="28"/>
      <c r="K376" s="28"/>
      <c r="L376" s="17"/>
      <c r="M376" s="29"/>
      <c r="N376" s="29"/>
      <c r="O376" s="73"/>
      <c r="P376" s="73"/>
      <c r="Q376" s="72"/>
      <c r="R376" s="31"/>
      <c r="S376" s="31" t="str">
        <f t="shared" si="82"/>
        <v>NVI</v>
      </c>
      <c r="T376" s="32" t="str">
        <f t="shared" si="83"/>
        <v>04.07</v>
      </c>
      <c r="U376" s="33"/>
      <c r="V376" s="31"/>
      <c r="W376" s="31"/>
    </row>
    <row r="377" ht="21.75" customHeight="1" outlineLevel="1" collapsed="1">
      <c r="A377" s="83"/>
      <c r="B377" s="21" t="s">
        <v>579</v>
      </c>
      <c r="C377" s="22" t="s">
        <v>580</v>
      </c>
      <c r="D377" s="23"/>
      <c r="E377" s="24" t="s">
        <v>21</v>
      </c>
      <c r="F377" s="25" t="s">
        <v>41</v>
      </c>
      <c r="G377" s="24" t="s">
        <v>89</v>
      </c>
      <c r="H377" s="26">
        <f>MAX(H378:H383)</f>
        <v>45229</v>
      </c>
      <c r="I377" s="27" t="str">
        <f>IFERROR(__xludf.DUMMYFUNCTION("SPARKLINE(SUM(I378:I383), {""charttype"", ""bar""; ""max"", J377; ""color1"", ""green""})"),"")</f>
        <v/>
      </c>
      <c r="J377" s="28">
        <f>COUNT(I378:I383)</f>
        <v>6</v>
      </c>
      <c r="K377" s="28" t="str">
        <f>IF(ISNUMBER(B362), K362, "")</f>
        <v/>
      </c>
      <c r="L377" s="17"/>
      <c r="M377" s="29">
        <f>MIN(M378:M383)</f>
        <v>45202.49158</v>
      </c>
      <c r="N377" s="29">
        <f>MAX(N378:N383)</f>
        <v>45233.43218</v>
      </c>
      <c r="O377" s="73"/>
      <c r="P377" s="73"/>
      <c r="Q377" s="72"/>
      <c r="R377" s="31">
        <f>SUM(R378:R383)</f>
        <v>0.1548611111</v>
      </c>
      <c r="S377" s="31" t="str">
        <f t="shared" si="82"/>
        <v>NVI</v>
      </c>
      <c r="T377" s="32" t="str">
        <f t="shared" si="83"/>
        <v>07</v>
      </c>
      <c r="U377" s="33" t="str">
        <f>CONCATENATE(C377, " - ",E377)</f>
        <v>Acer Nitro V - Shorts</v>
      </c>
      <c r="V377" s="31"/>
      <c r="W377" s="31"/>
    </row>
    <row r="378" ht="21.75" hidden="1" customHeight="1" outlineLevel="2">
      <c r="A378" s="83"/>
      <c r="B378" s="21" t="s">
        <v>581</v>
      </c>
      <c r="C378" s="22"/>
      <c r="D378" s="22" t="s">
        <v>25</v>
      </c>
      <c r="E378" s="24" t="s">
        <v>26</v>
      </c>
      <c r="F378" s="25" t="s">
        <v>22</v>
      </c>
      <c r="G378" s="34" t="s">
        <v>582</v>
      </c>
      <c r="H378" s="35">
        <v>45206.0</v>
      </c>
      <c r="I378" s="27">
        <f t="shared" ref="I378:I383" si="85">IFERROR(IF($E378="Done", 1, IF(OR($E378="Working on it", $E378="In Review", $E378="On Hold"), 0.5, IF($E378="Not Started", 0, ""))), 0)</f>
        <v>1</v>
      </c>
      <c r="J378" s="28"/>
      <c r="K378" s="28"/>
      <c r="L378" s="17"/>
      <c r="M378" s="29">
        <v>45215.59348981481</v>
      </c>
      <c r="N378" s="75">
        <v>45220.54486699074</v>
      </c>
      <c r="O378" s="36" t="s">
        <v>583</v>
      </c>
      <c r="P378" s="36" t="s">
        <v>584</v>
      </c>
      <c r="Q378" s="37" t="s">
        <v>31</v>
      </c>
      <c r="R378" s="31">
        <v>0.09444444444444444</v>
      </c>
      <c r="S378" s="31" t="str">
        <f t="shared" si="82"/>
        <v>NVI</v>
      </c>
      <c r="T378" s="32" t="str">
        <f t="shared" si="83"/>
        <v>07.01</v>
      </c>
      <c r="U378" s="33"/>
      <c r="V378" s="31"/>
      <c r="W378" s="31"/>
    </row>
    <row r="379" ht="21.75" hidden="1" customHeight="1" outlineLevel="2">
      <c r="A379" s="83"/>
      <c r="B379" s="21" t="s">
        <v>585</v>
      </c>
      <c r="C379" s="22"/>
      <c r="D379" s="22" t="s">
        <v>33</v>
      </c>
      <c r="E379" s="24" t="s">
        <v>26</v>
      </c>
      <c r="F379" s="25" t="s">
        <v>41</v>
      </c>
      <c r="G379" s="24"/>
      <c r="H379" s="35">
        <v>45198.0</v>
      </c>
      <c r="I379" s="27">
        <f t="shared" si="85"/>
        <v>1</v>
      </c>
      <c r="J379" s="28"/>
      <c r="K379" s="28"/>
      <c r="L379" s="17"/>
      <c r="M379" s="29">
        <v>45202.49157931713</v>
      </c>
      <c r="N379" s="29">
        <v>45202.5323600463</v>
      </c>
      <c r="O379" s="73"/>
      <c r="P379" s="73"/>
      <c r="Q379" s="37" t="s">
        <v>31</v>
      </c>
      <c r="R379" s="31">
        <v>0.04027777777777778</v>
      </c>
      <c r="S379" s="31" t="str">
        <f t="shared" si="82"/>
        <v>NVI</v>
      </c>
      <c r="T379" s="32" t="str">
        <f t="shared" si="83"/>
        <v>07.02</v>
      </c>
      <c r="U379" s="33"/>
      <c r="V379" s="31"/>
      <c r="W379" s="31"/>
    </row>
    <row r="380" ht="21.75" hidden="1" customHeight="1" outlineLevel="2">
      <c r="A380" s="83"/>
      <c r="B380" s="21" t="s">
        <v>586</v>
      </c>
      <c r="C380" s="22"/>
      <c r="D380" s="22" t="s">
        <v>533</v>
      </c>
      <c r="E380" s="24" t="s">
        <v>26</v>
      </c>
      <c r="F380" s="25" t="s">
        <v>41</v>
      </c>
      <c r="G380" s="24"/>
      <c r="H380" s="35">
        <v>45207.0</v>
      </c>
      <c r="I380" s="27">
        <f t="shared" si="85"/>
        <v>1</v>
      </c>
      <c r="J380" s="28"/>
      <c r="K380" s="28"/>
      <c r="L380" s="17"/>
      <c r="M380" s="29">
        <v>45209.44141104167</v>
      </c>
      <c r="N380" s="29">
        <v>45209.7245133449</v>
      </c>
      <c r="O380" s="36" t="s">
        <v>587</v>
      </c>
      <c r="P380" s="36" t="s">
        <v>588</v>
      </c>
      <c r="Q380" s="37" t="s">
        <v>31</v>
      </c>
      <c r="R380" s="31">
        <v>0.011111111111111112</v>
      </c>
      <c r="S380" s="31" t="str">
        <f t="shared" si="82"/>
        <v>NVI</v>
      </c>
      <c r="T380" s="32" t="str">
        <f t="shared" si="83"/>
        <v>07.04</v>
      </c>
      <c r="U380" s="33"/>
      <c r="V380" s="31"/>
      <c r="W380" s="31"/>
    </row>
    <row r="381" ht="21.75" hidden="1" customHeight="1" outlineLevel="2">
      <c r="A381" s="83"/>
      <c r="B381" s="21" t="s">
        <v>589</v>
      </c>
      <c r="C381" s="22"/>
      <c r="D381" s="22" t="s">
        <v>40</v>
      </c>
      <c r="E381" s="24" t="s">
        <v>26</v>
      </c>
      <c r="F381" s="25" t="s">
        <v>236</v>
      </c>
      <c r="G381" s="24" t="s">
        <v>237</v>
      </c>
      <c r="H381" s="35">
        <v>45217.0</v>
      </c>
      <c r="I381" s="27">
        <f t="shared" si="85"/>
        <v>1</v>
      </c>
      <c r="J381" s="28"/>
      <c r="K381" s="28"/>
      <c r="L381" s="17"/>
      <c r="M381" s="29">
        <v>45211.10482515046</v>
      </c>
      <c r="N381" s="29">
        <v>45233.43218271991</v>
      </c>
      <c r="O381" s="36" t="s">
        <v>590</v>
      </c>
      <c r="P381" s="36" t="s">
        <v>591</v>
      </c>
      <c r="Q381" s="37" t="s">
        <v>31</v>
      </c>
      <c r="R381" s="31">
        <v>0.007638888888888889</v>
      </c>
      <c r="S381" s="31" t="str">
        <f t="shared" si="82"/>
        <v>NVI</v>
      </c>
      <c r="T381" s="32" t="str">
        <f t="shared" si="83"/>
        <v>07.05</v>
      </c>
      <c r="U381" s="33"/>
      <c r="V381" s="31"/>
      <c r="W381" s="31"/>
    </row>
    <row r="382" ht="21.75" hidden="1" customHeight="1" outlineLevel="2">
      <c r="A382" s="83"/>
      <c r="B382" s="21" t="s">
        <v>592</v>
      </c>
      <c r="C382" s="22"/>
      <c r="D382" s="22" t="s">
        <v>593</v>
      </c>
      <c r="E382" s="24" t="s">
        <v>26</v>
      </c>
      <c r="F382" s="25" t="s">
        <v>22</v>
      </c>
      <c r="G382" s="24"/>
      <c r="H382" s="35">
        <v>45209.0</v>
      </c>
      <c r="I382" s="27">
        <f t="shared" si="85"/>
        <v>1</v>
      </c>
      <c r="J382" s="28"/>
      <c r="K382" s="28"/>
      <c r="L382" s="17"/>
      <c r="M382" s="29">
        <v>45208.491006655095</v>
      </c>
      <c r="N382" s="29">
        <v>45208.55649888889</v>
      </c>
      <c r="O382" s="36" t="s">
        <v>594</v>
      </c>
      <c r="P382" s="36" t="s">
        <v>595</v>
      </c>
      <c r="Q382" s="37" t="s">
        <v>31</v>
      </c>
      <c r="R382" s="31">
        <v>0.001388888888888889</v>
      </c>
      <c r="S382" s="31" t="str">
        <f t="shared" si="82"/>
        <v>NVI</v>
      </c>
      <c r="T382" s="32" t="str">
        <f t="shared" si="83"/>
        <v>07.06</v>
      </c>
      <c r="U382" s="33"/>
      <c r="V382" s="31"/>
      <c r="W382" s="31"/>
    </row>
    <row r="383" ht="21.75" hidden="1" customHeight="1" outlineLevel="2">
      <c r="A383" s="83"/>
      <c r="B383" s="21" t="s">
        <v>596</v>
      </c>
      <c r="C383" s="22"/>
      <c r="D383" s="22" t="s">
        <v>47</v>
      </c>
      <c r="E383" s="24" t="s">
        <v>26</v>
      </c>
      <c r="F383" s="25" t="s">
        <v>41</v>
      </c>
      <c r="G383" s="24"/>
      <c r="H383" s="35">
        <v>45229.0</v>
      </c>
      <c r="I383" s="27">
        <f t="shared" si="85"/>
        <v>1</v>
      </c>
      <c r="J383" s="28"/>
      <c r="K383" s="28"/>
      <c r="L383" s="17"/>
      <c r="M383" s="29"/>
      <c r="N383" s="29"/>
      <c r="O383" s="73"/>
      <c r="P383" s="73"/>
      <c r="Q383" s="72"/>
      <c r="R383" s="31"/>
      <c r="S383" s="31" t="str">
        <f t="shared" si="82"/>
        <v>NVI</v>
      </c>
      <c r="T383" s="32" t="str">
        <f t="shared" si="83"/>
        <v>07.07</v>
      </c>
      <c r="U383" s="33"/>
      <c r="V383" s="31"/>
      <c r="W383" s="31"/>
    </row>
    <row r="384" ht="21.75" customHeight="1" outlineLevel="1" collapsed="1">
      <c r="A384" s="83"/>
      <c r="B384" s="21" t="s">
        <v>597</v>
      </c>
      <c r="C384" s="22" t="s">
        <v>598</v>
      </c>
      <c r="D384" s="23"/>
      <c r="E384" s="24" t="s">
        <v>21</v>
      </c>
      <c r="F384" s="25" t="s">
        <v>41</v>
      </c>
      <c r="G384" s="24" t="s">
        <v>89</v>
      </c>
      <c r="H384" s="26">
        <f>MAX(H385:H390)</f>
        <v>45230</v>
      </c>
      <c r="I384" s="27" t="str">
        <f>IFERROR(__xludf.DUMMYFUNCTION("SPARKLINE(SUM(I385:I390), {""charttype"", ""bar""; ""max"", J384; ""color1"", ""green""})"),"")</f>
        <v/>
      </c>
      <c r="J384" s="28">
        <f>COUNT(I385:I390)</f>
        <v>6</v>
      </c>
      <c r="K384" s="28" t="str">
        <f>IF(ISNUMBER(B370), K370, "")</f>
        <v/>
      </c>
      <c r="L384" s="17"/>
      <c r="M384" s="29">
        <f>MIN(M385:M390)</f>
        <v>45208.49502</v>
      </c>
      <c r="N384" s="29">
        <f>MAX(N385:N390)</f>
        <v>45220.54498</v>
      </c>
      <c r="O384" s="73"/>
      <c r="P384" s="73"/>
      <c r="Q384" s="72"/>
      <c r="R384" s="31">
        <f>SUM(R385:R390)</f>
        <v>0.03263888889</v>
      </c>
      <c r="S384" s="31" t="str">
        <f t="shared" si="82"/>
        <v>NVI</v>
      </c>
      <c r="T384" s="32" t="str">
        <f t="shared" si="83"/>
        <v>10</v>
      </c>
      <c r="U384" s="33" t="str">
        <f>CONCATENATE(C384, " - ",E384)</f>
        <v>HP Victus 15-FA0555TX - Shorts</v>
      </c>
      <c r="V384" s="31"/>
      <c r="W384" s="31"/>
    </row>
    <row r="385" ht="21.75" hidden="1" customHeight="1" outlineLevel="2">
      <c r="A385" s="83"/>
      <c r="B385" s="21" t="s">
        <v>599</v>
      </c>
      <c r="C385" s="22"/>
      <c r="D385" s="22" t="s">
        <v>25</v>
      </c>
      <c r="E385" s="24" t="s">
        <v>26</v>
      </c>
      <c r="F385" s="25" t="s">
        <v>236</v>
      </c>
      <c r="G385" s="34" t="s">
        <v>600</v>
      </c>
      <c r="H385" s="35">
        <v>45207.0</v>
      </c>
      <c r="I385" s="27">
        <f t="shared" ref="I385:I390" si="86">IFERROR(IF($E385="Done", 1, IF(OR($E385="Working on it", $E385="In Review", $E385="On Hold"), 0.5, IF($E385="Not Started", 0, ""))), 0)</f>
        <v>1</v>
      </c>
      <c r="J385" s="28"/>
      <c r="K385" s="28"/>
      <c r="L385" s="17"/>
      <c r="M385" s="29"/>
      <c r="N385" s="29"/>
      <c r="O385" s="73"/>
      <c r="P385" s="73"/>
      <c r="Q385" s="72"/>
      <c r="R385" s="31"/>
      <c r="S385" s="31" t="str">
        <f t="shared" si="82"/>
        <v>NVI</v>
      </c>
      <c r="T385" s="32" t="str">
        <f t="shared" si="83"/>
        <v>10.01</v>
      </c>
      <c r="U385" s="33"/>
      <c r="V385" s="31"/>
      <c r="W385" s="31"/>
    </row>
    <row r="386" ht="21.75" hidden="1" customHeight="1" outlineLevel="2">
      <c r="A386" s="83"/>
      <c r="B386" s="21" t="s">
        <v>601</v>
      </c>
      <c r="C386" s="22"/>
      <c r="D386" s="22" t="s">
        <v>33</v>
      </c>
      <c r="E386" s="24" t="s">
        <v>26</v>
      </c>
      <c r="F386" s="25" t="s">
        <v>41</v>
      </c>
      <c r="G386" s="24"/>
      <c r="H386" s="35">
        <v>45198.0</v>
      </c>
      <c r="I386" s="27">
        <f t="shared" si="86"/>
        <v>1</v>
      </c>
      <c r="J386" s="28"/>
      <c r="K386" s="28"/>
      <c r="L386" s="17"/>
      <c r="M386" s="29"/>
      <c r="N386" s="29"/>
      <c r="O386" s="73"/>
      <c r="P386" s="73"/>
      <c r="Q386" s="72"/>
      <c r="R386" s="31"/>
      <c r="S386" s="31" t="str">
        <f t="shared" si="82"/>
        <v>NVI</v>
      </c>
      <c r="T386" s="32" t="str">
        <f t="shared" si="83"/>
        <v>10.02</v>
      </c>
      <c r="U386" s="33"/>
      <c r="V386" s="31"/>
      <c r="W386" s="31"/>
    </row>
    <row r="387" ht="21.75" hidden="1" customHeight="1" outlineLevel="2">
      <c r="A387" s="83"/>
      <c r="B387" s="21" t="s">
        <v>602</v>
      </c>
      <c r="C387" s="22"/>
      <c r="D387" s="22" t="s">
        <v>303</v>
      </c>
      <c r="E387" s="24" t="s">
        <v>26</v>
      </c>
      <c r="F387" s="25" t="s">
        <v>41</v>
      </c>
      <c r="G387" s="24"/>
      <c r="H387" s="35">
        <v>45207.0</v>
      </c>
      <c r="I387" s="27">
        <f t="shared" si="86"/>
        <v>1</v>
      </c>
      <c r="J387" s="28"/>
      <c r="K387" s="28"/>
      <c r="L387" s="17"/>
      <c r="M387" s="29">
        <v>45209.80150288194</v>
      </c>
      <c r="N387" s="29">
        <v>45209.802548796295</v>
      </c>
      <c r="O387" s="36" t="s">
        <v>603</v>
      </c>
      <c r="P387" s="36" t="s">
        <v>604</v>
      </c>
      <c r="Q387" s="37" t="s">
        <v>31</v>
      </c>
      <c r="R387" s="31">
        <v>0.0</v>
      </c>
      <c r="S387" s="31" t="str">
        <f t="shared" si="82"/>
        <v>NVI</v>
      </c>
      <c r="T387" s="32" t="str">
        <f t="shared" si="83"/>
        <v>10.04</v>
      </c>
      <c r="U387" s="33"/>
      <c r="V387" s="31"/>
      <c r="W387" s="31"/>
    </row>
    <row r="388" ht="21.75" hidden="1" customHeight="1" outlineLevel="2">
      <c r="A388" s="83"/>
      <c r="B388" s="21" t="s">
        <v>605</v>
      </c>
      <c r="C388" s="22"/>
      <c r="D388" s="22" t="s">
        <v>40</v>
      </c>
      <c r="E388" s="24" t="s">
        <v>26</v>
      </c>
      <c r="F388" s="25" t="s">
        <v>236</v>
      </c>
      <c r="G388" s="24"/>
      <c r="H388" s="35">
        <v>45208.0</v>
      </c>
      <c r="I388" s="27">
        <f t="shared" si="86"/>
        <v>1</v>
      </c>
      <c r="J388" s="28"/>
      <c r="K388" s="28"/>
      <c r="L388" s="17"/>
      <c r="M388" s="29">
        <v>45211.11320502315</v>
      </c>
      <c r="N388" s="29">
        <v>45220.544984328706</v>
      </c>
      <c r="O388" s="36" t="s">
        <v>606</v>
      </c>
      <c r="P388" s="36" t="s">
        <v>607</v>
      </c>
      <c r="Q388" s="37" t="s">
        <v>31</v>
      </c>
      <c r="R388" s="31">
        <v>0.009027777777777777</v>
      </c>
      <c r="S388" s="31" t="str">
        <f t="shared" si="82"/>
        <v>NVI</v>
      </c>
      <c r="T388" s="32" t="str">
        <f t="shared" si="83"/>
        <v>10.05</v>
      </c>
      <c r="U388" s="33"/>
      <c r="V388" s="31"/>
      <c r="W388" s="31"/>
    </row>
    <row r="389" ht="21.75" hidden="1" customHeight="1" outlineLevel="2">
      <c r="A389" s="83"/>
      <c r="B389" s="21" t="s">
        <v>608</v>
      </c>
      <c r="C389" s="22"/>
      <c r="D389" s="22" t="s">
        <v>609</v>
      </c>
      <c r="E389" s="24" t="s">
        <v>26</v>
      </c>
      <c r="F389" s="25" t="s">
        <v>22</v>
      </c>
      <c r="G389" s="24"/>
      <c r="H389" s="35">
        <v>45209.0</v>
      </c>
      <c r="I389" s="27">
        <f t="shared" si="86"/>
        <v>1</v>
      </c>
      <c r="J389" s="28"/>
      <c r="K389" s="28"/>
      <c r="L389" s="17"/>
      <c r="M389" s="29">
        <v>45208.49501672454</v>
      </c>
      <c r="N389" s="29">
        <v>45208.556445636576</v>
      </c>
      <c r="O389" s="36" t="s">
        <v>610</v>
      </c>
      <c r="P389" s="36" t="s">
        <v>611</v>
      </c>
      <c r="Q389" s="37" t="s">
        <v>31</v>
      </c>
      <c r="R389" s="31">
        <v>0.02361111111111111</v>
      </c>
      <c r="S389" s="31" t="str">
        <f t="shared" si="82"/>
        <v>NVI</v>
      </c>
      <c r="T389" s="32" t="str">
        <f t="shared" si="83"/>
        <v>10.06</v>
      </c>
      <c r="U389" s="33"/>
      <c r="V389" s="31"/>
      <c r="W389" s="31"/>
    </row>
    <row r="390" ht="21.75" hidden="1" customHeight="1" outlineLevel="2">
      <c r="A390" s="83"/>
      <c r="B390" s="21" t="s">
        <v>612</v>
      </c>
      <c r="C390" s="22"/>
      <c r="D390" s="22" t="s">
        <v>47</v>
      </c>
      <c r="E390" s="24" t="s">
        <v>26</v>
      </c>
      <c r="F390" s="25" t="s">
        <v>22</v>
      </c>
      <c r="G390" s="24"/>
      <c r="H390" s="35">
        <v>45230.0</v>
      </c>
      <c r="I390" s="27">
        <f t="shared" si="86"/>
        <v>1</v>
      </c>
      <c r="J390" s="28"/>
      <c r="K390" s="28"/>
      <c r="L390" s="17"/>
      <c r="M390" s="29"/>
      <c r="N390" s="29"/>
      <c r="O390" s="73"/>
      <c r="P390" s="73"/>
      <c r="Q390" s="72"/>
      <c r="R390" s="31"/>
      <c r="S390" s="31" t="str">
        <f t="shared" si="82"/>
        <v>NVI</v>
      </c>
      <c r="T390" s="32" t="str">
        <f t="shared" si="83"/>
        <v>10.07</v>
      </c>
      <c r="U390" s="33"/>
      <c r="V390" s="31"/>
      <c r="W390" s="31"/>
    </row>
    <row r="391" ht="21.75" customHeight="1" outlineLevel="1" collapsed="1">
      <c r="A391" s="83"/>
      <c r="B391" s="21" t="s">
        <v>613</v>
      </c>
      <c r="C391" s="22" t="s">
        <v>614</v>
      </c>
      <c r="D391" s="23"/>
      <c r="E391" s="24" t="s">
        <v>21</v>
      </c>
      <c r="F391" s="25" t="s">
        <v>41</v>
      </c>
      <c r="G391" s="24" t="s">
        <v>89</v>
      </c>
      <c r="H391" s="26">
        <f>MAX(H392:H397)</f>
        <v>45231</v>
      </c>
      <c r="I391" s="27" t="str">
        <f>IFERROR(__xludf.DUMMYFUNCTION("SPARKLINE(SUM(I392:I397), {""charttype"", ""bar""; ""max"", J391; ""color1"", ""green""})"),"")</f>
        <v/>
      </c>
      <c r="J391" s="28">
        <f>COUNT(I392:I397)</f>
        <v>5</v>
      </c>
      <c r="K391" s="28" t="str">
        <f>IF(ISNUMBER(B390), K390, "")</f>
        <v/>
      </c>
      <c r="L391" s="17"/>
      <c r="M391" s="29">
        <f>MIN(M392:M397)</f>
        <v>45198.40658</v>
      </c>
      <c r="N391" s="29">
        <f>MAX(N392:N397)</f>
        <v>45237.58044</v>
      </c>
      <c r="O391" s="73"/>
      <c r="P391" s="73"/>
      <c r="Q391" s="72"/>
      <c r="R391" s="31">
        <f>SUM(R392:R397)</f>
        <v>29.07708333</v>
      </c>
      <c r="S391" s="31" t="str">
        <f t="shared" si="82"/>
        <v>NVI</v>
      </c>
      <c r="T391" s="32" t="str">
        <f t="shared" si="83"/>
        <v>11</v>
      </c>
      <c r="U391" s="33" t="str">
        <f>CONCATENATE(C391, " - ",E391)</f>
        <v>HP Omen 16-XF0060AX - Shorts</v>
      </c>
      <c r="V391" s="31"/>
      <c r="W391" s="31"/>
    </row>
    <row r="392" ht="21.75" hidden="1" customHeight="1" outlineLevel="2">
      <c r="A392" s="83"/>
      <c r="B392" s="21" t="s">
        <v>615</v>
      </c>
      <c r="C392" s="22"/>
      <c r="D392" s="22" t="s">
        <v>25</v>
      </c>
      <c r="E392" s="24" t="s">
        <v>26</v>
      </c>
      <c r="F392" s="25" t="s">
        <v>236</v>
      </c>
      <c r="G392" s="34" t="s">
        <v>616</v>
      </c>
      <c r="H392" s="35">
        <v>45207.0</v>
      </c>
      <c r="I392" s="27">
        <f t="shared" ref="I392:I394" si="87">IFERROR(IF($E392="Done", 1, IF(OR($E392="Working on it", $E392="In Review", $E392="On Hold"), 0.5, IF($E392="Not Started", 0, ""))), 0)</f>
        <v>1</v>
      </c>
      <c r="J392" s="28"/>
      <c r="K392" s="28"/>
      <c r="L392" s="17"/>
      <c r="M392" s="29"/>
      <c r="N392" s="29"/>
      <c r="O392" s="73"/>
      <c r="P392" s="73"/>
      <c r="Q392" s="72"/>
      <c r="R392" s="31"/>
      <c r="S392" s="31" t="str">
        <f t="shared" si="82"/>
        <v>NVI</v>
      </c>
      <c r="T392" s="32" t="str">
        <f t="shared" si="83"/>
        <v>11.01</v>
      </c>
      <c r="U392" s="33"/>
      <c r="V392" s="31"/>
      <c r="W392" s="31"/>
    </row>
    <row r="393" ht="21.75" hidden="1" customHeight="1" outlineLevel="2">
      <c r="A393" s="83"/>
      <c r="B393" s="21" t="s">
        <v>617</v>
      </c>
      <c r="C393" s="22"/>
      <c r="D393" s="22" t="s">
        <v>33</v>
      </c>
      <c r="E393" s="24" t="s">
        <v>26</v>
      </c>
      <c r="F393" s="25" t="s">
        <v>41</v>
      </c>
      <c r="G393" s="24"/>
      <c r="H393" s="35">
        <v>45198.0</v>
      </c>
      <c r="I393" s="27">
        <f t="shared" si="87"/>
        <v>1</v>
      </c>
      <c r="J393" s="28"/>
      <c r="K393" s="28"/>
      <c r="L393" s="17"/>
      <c r="M393" s="29">
        <v>45198.40658106482</v>
      </c>
      <c r="N393" s="29">
        <v>45198.761589050926</v>
      </c>
      <c r="O393" s="36" t="s">
        <v>618</v>
      </c>
      <c r="P393" s="36" t="s">
        <v>619</v>
      </c>
      <c r="Q393" s="37" t="s">
        <v>31</v>
      </c>
      <c r="R393" s="31">
        <v>0.04652777777777778</v>
      </c>
      <c r="S393" s="31" t="str">
        <f t="shared" si="82"/>
        <v>NVI</v>
      </c>
      <c r="T393" s="32" t="str">
        <f t="shared" si="83"/>
        <v>11.02</v>
      </c>
      <c r="U393" s="33"/>
      <c r="V393" s="31"/>
      <c r="W393" s="31"/>
    </row>
    <row r="394" ht="21.75" hidden="1" customHeight="1" outlineLevel="2">
      <c r="A394" s="83"/>
      <c r="B394" s="21" t="s">
        <v>620</v>
      </c>
      <c r="C394" s="22"/>
      <c r="D394" s="22" t="s">
        <v>303</v>
      </c>
      <c r="E394" s="24" t="s">
        <v>26</v>
      </c>
      <c r="F394" s="25" t="s">
        <v>41</v>
      </c>
      <c r="G394" s="24"/>
      <c r="H394" s="35">
        <v>45208.0</v>
      </c>
      <c r="I394" s="27">
        <f t="shared" si="87"/>
        <v>1</v>
      </c>
      <c r="J394" s="28"/>
      <c r="K394" s="28"/>
      <c r="L394" s="17"/>
      <c r="M394" s="29">
        <v>45209.73061600694</v>
      </c>
      <c r="N394" s="29">
        <v>45209.75570483797</v>
      </c>
      <c r="O394" s="36" t="s">
        <v>621</v>
      </c>
      <c r="P394" s="36" t="s">
        <v>622</v>
      </c>
      <c r="Q394" s="37" t="s">
        <v>31</v>
      </c>
      <c r="R394" s="31">
        <v>0.004861111111111111</v>
      </c>
      <c r="S394" s="31" t="str">
        <f t="shared" si="82"/>
        <v>NVI</v>
      </c>
      <c r="T394" s="32" t="str">
        <f t="shared" si="83"/>
        <v>11.04</v>
      </c>
      <c r="U394" s="33"/>
      <c r="V394" s="31"/>
      <c r="W394" s="31"/>
    </row>
    <row r="395" ht="21.75" hidden="1" customHeight="1" outlineLevel="2">
      <c r="A395" s="83"/>
      <c r="B395" s="21" t="s">
        <v>623</v>
      </c>
      <c r="C395" s="22"/>
      <c r="D395" s="22" t="s">
        <v>40</v>
      </c>
      <c r="E395" s="24" t="s">
        <v>26</v>
      </c>
      <c r="F395" s="25" t="s">
        <v>236</v>
      </c>
      <c r="G395" s="24"/>
      <c r="H395" s="35">
        <v>45231.0</v>
      </c>
      <c r="I395" s="27">
        <f>IFERROR(IF($E396="Done", 1, IF(OR($E396="Working on it", $E396="In Review", $E396="On Hold"), 0.5, IF($E396="Not Started", 0, ""))), 0)</f>
        <v>1</v>
      </c>
      <c r="J395" s="28"/>
      <c r="K395" s="28"/>
      <c r="L395" s="17"/>
      <c r="M395" s="29"/>
      <c r="N395" s="29"/>
      <c r="O395" s="73"/>
      <c r="P395" s="73"/>
      <c r="Q395" s="72"/>
      <c r="R395" s="31"/>
      <c r="S395" s="31" t="str">
        <f t="shared" si="82"/>
        <v>NVI</v>
      </c>
      <c r="T395" s="32" t="str">
        <f t="shared" si="83"/>
        <v>11.05</v>
      </c>
      <c r="U395" s="33"/>
      <c r="V395" s="31"/>
      <c r="W395" s="31"/>
    </row>
    <row r="396" ht="21.75" hidden="1" customHeight="1" outlineLevel="2">
      <c r="A396" s="83"/>
      <c r="B396" s="21" t="s">
        <v>624</v>
      </c>
      <c r="C396" s="22"/>
      <c r="D396" s="22" t="s">
        <v>625</v>
      </c>
      <c r="E396" s="24" t="s">
        <v>26</v>
      </c>
      <c r="F396" s="25" t="s">
        <v>22</v>
      </c>
      <c r="G396" s="24"/>
      <c r="H396" s="35">
        <v>45231.0</v>
      </c>
      <c r="I396" s="27"/>
      <c r="J396" s="28"/>
      <c r="K396" s="28"/>
      <c r="L396" s="17"/>
      <c r="M396" s="29">
        <v>45208.49294917824</v>
      </c>
      <c r="N396" s="29">
        <v>45237.58044070602</v>
      </c>
      <c r="O396" s="36" t="s">
        <v>626</v>
      </c>
      <c r="P396" s="36" t="s">
        <v>627</v>
      </c>
      <c r="Q396" s="37" t="s">
        <v>31</v>
      </c>
      <c r="R396" s="31">
        <v>29.025694444444444</v>
      </c>
      <c r="S396" s="31" t="str">
        <f t="shared" si="82"/>
        <v>NVI</v>
      </c>
      <c r="T396" s="32" t="str">
        <f t="shared" si="83"/>
        <v>11.06</v>
      </c>
      <c r="U396" s="33"/>
      <c r="V396" s="31"/>
      <c r="W396" s="31"/>
    </row>
    <row r="397" ht="21.75" hidden="1" customHeight="1" outlineLevel="2">
      <c r="A397" s="83"/>
      <c r="B397" s="21" t="s">
        <v>628</v>
      </c>
      <c r="C397" s="22"/>
      <c r="D397" s="22" t="s">
        <v>47</v>
      </c>
      <c r="E397" s="24" t="s">
        <v>26</v>
      </c>
      <c r="F397" s="25" t="s">
        <v>41</v>
      </c>
      <c r="G397" s="24"/>
      <c r="H397" s="35">
        <v>45231.0</v>
      </c>
      <c r="I397" s="27">
        <f>IFERROR(IF($E397="Done", 1, IF(OR($E397="Working on it", $E397="In Review", $E397="On Hold"), 0.5, IF($E397="Not Started", 0, ""))), 0)</f>
        <v>1</v>
      </c>
      <c r="J397" s="28"/>
      <c r="K397" s="28"/>
      <c r="L397" s="17"/>
      <c r="M397" s="29"/>
      <c r="N397" s="29"/>
      <c r="O397" s="73"/>
      <c r="P397" s="73"/>
      <c r="Q397" s="72"/>
      <c r="R397" s="31"/>
      <c r="S397" s="31" t="str">
        <f t="shared" si="82"/>
        <v>NVI</v>
      </c>
      <c r="T397" s="32" t="str">
        <f t="shared" si="83"/>
        <v>11.07</v>
      </c>
      <c r="U397" s="33"/>
      <c r="V397" s="31"/>
      <c r="W397" s="31"/>
    </row>
    <row r="398" ht="21.75" customHeight="1" outlineLevel="1" collapsed="1">
      <c r="A398" s="83" t="s">
        <v>629</v>
      </c>
      <c r="B398" s="21" t="s">
        <v>630</v>
      </c>
      <c r="C398" s="22" t="s">
        <v>631</v>
      </c>
      <c r="D398" s="23"/>
      <c r="E398" s="24" t="s">
        <v>21</v>
      </c>
      <c r="F398" s="25" t="s">
        <v>41</v>
      </c>
      <c r="G398" s="24" t="s">
        <v>89</v>
      </c>
      <c r="H398" s="26">
        <f>MAX(H399:H402)</f>
        <v>45242</v>
      </c>
      <c r="I398" s="27" t="str">
        <f>IFERROR(__xludf.DUMMYFUNCTION("SPARKLINE(SUM(I399:I402), {""charttype"", ""bar""; ""max"", J398; ""color1"", ""green""})"),"")</f>
        <v/>
      </c>
      <c r="J398" s="28">
        <f>COUNT(I399:I402)</f>
        <v>4</v>
      </c>
      <c r="K398" s="28" t="str">
        <f>IF(ISNUMBER(B397), K397, "")</f>
        <v/>
      </c>
      <c r="L398" s="17"/>
      <c r="M398" s="29">
        <f>MIN(M399:M402)</f>
        <v>45240.78035</v>
      </c>
      <c r="N398" s="29">
        <f>MAX(N399:N402)</f>
        <v>0</v>
      </c>
      <c r="O398" s="73"/>
      <c r="P398" s="73"/>
      <c r="Q398" s="72"/>
      <c r="R398" s="31">
        <f>SUM(R399:R402)</f>
        <v>0</v>
      </c>
      <c r="S398" s="31" t="str">
        <f t="shared" si="82"/>
        <v>NVI</v>
      </c>
      <c r="T398" s="32" t="str">
        <f t="shared" si="83"/>
        <v>13</v>
      </c>
      <c r="U398" s="33" t="str">
        <f t="shared" ref="U398:U403" si="88">CONCATENATE(C398, " - ",E398)</f>
        <v>MSI Laptop 1 - Shorts</v>
      </c>
      <c r="V398" s="31"/>
      <c r="W398" s="31"/>
    </row>
    <row r="399" ht="21.75" hidden="1" customHeight="1" outlineLevel="2">
      <c r="A399" s="83"/>
      <c r="B399" s="21" t="s">
        <v>632</v>
      </c>
      <c r="C399" s="22"/>
      <c r="D399" s="22" t="s">
        <v>25</v>
      </c>
      <c r="E399" s="24" t="s">
        <v>179</v>
      </c>
      <c r="F399" s="25" t="s">
        <v>41</v>
      </c>
      <c r="G399" s="24"/>
      <c r="H399" s="35">
        <v>45240.0</v>
      </c>
      <c r="I399" s="27">
        <f t="shared" ref="I399:I402" si="89">IFERROR(IF($E399="Done", 1, IF(OR($E399="Working on it", $E399="In Review", $E399="On Hold"), 0.5, IF($E399="Not Started", 0, ""))), 0)</f>
        <v>0</v>
      </c>
      <c r="J399" s="28"/>
      <c r="K399" s="28"/>
      <c r="L399" s="17"/>
      <c r="M399" s="29"/>
      <c r="N399" s="29"/>
      <c r="O399" s="73"/>
      <c r="P399" s="73"/>
      <c r="Q399" s="72"/>
      <c r="R399" s="31"/>
      <c r="S399" s="31"/>
      <c r="T399" s="32"/>
      <c r="U399" s="33" t="str">
        <f t="shared" si="88"/>
        <v> - Not Started</v>
      </c>
      <c r="V399" s="31"/>
      <c r="W399" s="31"/>
    </row>
    <row r="400" ht="21.75" hidden="1" customHeight="1" outlineLevel="2">
      <c r="A400" s="83"/>
      <c r="B400" s="21" t="s">
        <v>633</v>
      </c>
      <c r="C400" s="22"/>
      <c r="D400" s="22" t="s">
        <v>33</v>
      </c>
      <c r="E400" s="24" t="s">
        <v>388</v>
      </c>
      <c r="F400" s="25" t="s">
        <v>34</v>
      </c>
      <c r="G400" s="34" t="s">
        <v>634</v>
      </c>
      <c r="H400" s="35">
        <v>45241.0</v>
      </c>
      <c r="I400" s="27">
        <f t="shared" si="89"/>
        <v>0.5</v>
      </c>
      <c r="J400" s="28"/>
      <c r="K400" s="28"/>
      <c r="L400" s="17"/>
      <c r="M400" s="29">
        <v>45240.780351249996</v>
      </c>
      <c r="N400" s="29"/>
      <c r="O400" s="36" t="s">
        <v>635</v>
      </c>
      <c r="P400" s="73"/>
      <c r="Q400" s="37" t="s">
        <v>309</v>
      </c>
      <c r="R400" s="31"/>
      <c r="S400" s="31"/>
      <c r="T400" s="32"/>
      <c r="U400" s="33" t="str">
        <f t="shared" si="88"/>
        <v> - In Review</v>
      </c>
      <c r="V400" s="31"/>
      <c r="W400" s="31"/>
    </row>
    <row r="401" ht="21.75" hidden="1" customHeight="1" outlineLevel="2">
      <c r="A401" s="83"/>
      <c r="B401" s="21" t="s">
        <v>636</v>
      </c>
      <c r="C401" s="22"/>
      <c r="D401" s="22" t="s">
        <v>40</v>
      </c>
      <c r="E401" s="24" t="s">
        <v>179</v>
      </c>
      <c r="F401" s="25" t="s">
        <v>236</v>
      </c>
      <c r="G401" s="24" t="s">
        <v>535</v>
      </c>
      <c r="H401" s="35">
        <v>45241.0</v>
      </c>
      <c r="I401" s="27">
        <f t="shared" si="89"/>
        <v>0</v>
      </c>
      <c r="J401" s="28"/>
      <c r="K401" s="28"/>
      <c r="L401" s="17"/>
      <c r="M401" s="29"/>
      <c r="N401" s="29"/>
      <c r="O401" s="73"/>
      <c r="P401" s="73"/>
      <c r="Q401" s="72"/>
      <c r="R401" s="31"/>
      <c r="S401" s="31"/>
      <c r="T401" s="32"/>
      <c r="U401" s="33" t="str">
        <f t="shared" si="88"/>
        <v> - Not Started</v>
      </c>
      <c r="V401" s="31"/>
      <c r="W401" s="31"/>
    </row>
    <row r="402" ht="21.75" hidden="1" customHeight="1" outlineLevel="2">
      <c r="A402" s="83"/>
      <c r="B402" s="21" t="s">
        <v>637</v>
      </c>
      <c r="C402" s="22"/>
      <c r="D402" s="22" t="s">
        <v>47</v>
      </c>
      <c r="E402" s="24" t="s">
        <v>179</v>
      </c>
      <c r="F402" s="25" t="s">
        <v>22</v>
      </c>
      <c r="G402" s="24"/>
      <c r="H402" s="35">
        <v>45242.0</v>
      </c>
      <c r="I402" s="27">
        <f t="shared" si="89"/>
        <v>0</v>
      </c>
      <c r="J402" s="28"/>
      <c r="K402" s="28"/>
      <c r="L402" s="17"/>
      <c r="M402" s="29"/>
      <c r="N402" s="29"/>
      <c r="O402" s="73"/>
      <c r="P402" s="73"/>
      <c r="Q402" s="72"/>
      <c r="R402" s="31"/>
      <c r="S402" s="31"/>
      <c r="T402" s="32"/>
      <c r="U402" s="33" t="str">
        <f t="shared" si="88"/>
        <v> - Not Started</v>
      </c>
      <c r="V402" s="31"/>
      <c r="W402" s="31"/>
    </row>
    <row r="403" ht="21.75" customHeight="1" outlineLevel="1" collapsed="1">
      <c r="A403" s="83"/>
      <c r="B403" s="21" t="s">
        <v>638</v>
      </c>
      <c r="C403" s="22" t="s">
        <v>639</v>
      </c>
      <c r="D403" s="23"/>
      <c r="E403" s="24" t="s">
        <v>21</v>
      </c>
      <c r="F403" s="25" t="s">
        <v>41</v>
      </c>
      <c r="G403" s="24" t="s">
        <v>89</v>
      </c>
      <c r="H403" s="26">
        <f>MAX(H404:H407)</f>
        <v>45242</v>
      </c>
      <c r="I403" s="27" t="str">
        <f>IFERROR(__xludf.DUMMYFUNCTION("SPARKLINE(SUM(I404:I407), {""charttype"", ""bar""; ""max"", J403; ""color1"", ""green""})"),"")</f>
        <v/>
      </c>
      <c r="J403" s="28">
        <f>COUNT(I404:I407)</f>
        <v>4</v>
      </c>
      <c r="K403" s="28" t="str">
        <f>IF(ISNUMBER(B402), K402, "")</f>
        <v/>
      </c>
      <c r="L403" s="17"/>
      <c r="M403" s="29">
        <f>MIN(M404:M407)</f>
        <v>0</v>
      </c>
      <c r="N403" s="29">
        <f>MAX(N404:N407)</f>
        <v>0</v>
      </c>
      <c r="O403" s="73"/>
      <c r="P403" s="73"/>
      <c r="Q403" s="72"/>
      <c r="R403" s="31">
        <f>SUM(R404:R407)</f>
        <v>0</v>
      </c>
      <c r="S403" s="31" t="str">
        <f>IFERROR(MID(B403, FIND("-", B403) + 1, 3), "")</f>
        <v>NVI</v>
      </c>
      <c r="T403" s="32" t="str">
        <f>IFERROR(MID(B403, 8, LEN(B403)-7), "")
</f>
        <v>14</v>
      </c>
      <c r="U403" s="33" t="str">
        <f t="shared" si="88"/>
        <v>MSI Laptop 2 - Shorts</v>
      </c>
      <c r="V403" s="31"/>
      <c r="W403" s="31"/>
    </row>
    <row r="404" ht="21.75" hidden="1" customHeight="1" outlineLevel="2">
      <c r="A404" s="83"/>
      <c r="B404" s="21" t="s">
        <v>640</v>
      </c>
      <c r="C404" s="22"/>
      <c r="D404" s="22" t="s">
        <v>25</v>
      </c>
      <c r="E404" s="24" t="s">
        <v>179</v>
      </c>
      <c r="F404" s="25" t="s">
        <v>41</v>
      </c>
      <c r="G404" s="24"/>
      <c r="H404" s="35">
        <v>45240.0</v>
      </c>
      <c r="I404" s="27">
        <f t="shared" ref="I404:I407" si="90">IFERROR(IF($E404="Done", 1, IF(OR($E404="Working on it", $E404="In Review", $E404="On Hold"), 0.5, IF($E404="Not Started", 0, ""))), 0)</f>
        <v>0</v>
      </c>
      <c r="J404" s="28"/>
      <c r="K404" s="28"/>
      <c r="L404" s="17"/>
      <c r="M404" s="29"/>
      <c r="N404" s="29"/>
      <c r="O404" s="73"/>
      <c r="P404" s="73"/>
      <c r="Q404" s="72"/>
      <c r="R404" s="31"/>
      <c r="S404" s="31"/>
      <c r="T404" s="32"/>
      <c r="U404" s="33"/>
      <c r="V404" s="31"/>
      <c r="W404" s="31"/>
    </row>
    <row r="405" ht="21.75" hidden="1" customHeight="1" outlineLevel="2">
      <c r="A405" s="83"/>
      <c r="B405" s="21" t="s">
        <v>641</v>
      </c>
      <c r="C405" s="22"/>
      <c r="D405" s="22" t="s">
        <v>33</v>
      </c>
      <c r="E405" s="24" t="s">
        <v>179</v>
      </c>
      <c r="F405" s="25" t="s">
        <v>34</v>
      </c>
      <c r="G405" s="24"/>
      <c r="H405" s="35">
        <v>45241.0</v>
      </c>
      <c r="I405" s="27">
        <f t="shared" si="90"/>
        <v>0</v>
      </c>
      <c r="J405" s="28"/>
      <c r="K405" s="28"/>
      <c r="L405" s="17"/>
      <c r="M405" s="29"/>
      <c r="N405" s="29"/>
      <c r="O405" s="73"/>
      <c r="P405" s="73"/>
      <c r="Q405" s="72"/>
      <c r="R405" s="31"/>
      <c r="S405" s="31"/>
      <c r="T405" s="32"/>
      <c r="U405" s="33"/>
      <c r="V405" s="31"/>
      <c r="W405" s="31"/>
    </row>
    <row r="406" ht="21.75" hidden="1" customHeight="1" outlineLevel="2">
      <c r="A406" s="83"/>
      <c r="B406" s="21" t="s">
        <v>642</v>
      </c>
      <c r="C406" s="22"/>
      <c r="D406" s="22" t="s">
        <v>40</v>
      </c>
      <c r="E406" s="24" t="s">
        <v>179</v>
      </c>
      <c r="F406" s="25" t="s">
        <v>236</v>
      </c>
      <c r="G406" s="24" t="s">
        <v>535</v>
      </c>
      <c r="H406" s="35">
        <v>45241.0</v>
      </c>
      <c r="I406" s="27">
        <f t="shared" si="90"/>
        <v>0</v>
      </c>
      <c r="J406" s="28"/>
      <c r="K406" s="28"/>
      <c r="L406" s="17"/>
      <c r="M406" s="29"/>
      <c r="N406" s="29"/>
      <c r="O406" s="73"/>
      <c r="P406" s="73"/>
      <c r="Q406" s="72"/>
      <c r="R406" s="31"/>
      <c r="S406" s="31"/>
      <c r="T406" s="32"/>
      <c r="U406" s="33"/>
      <c r="V406" s="31"/>
      <c r="W406" s="31"/>
    </row>
    <row r="407" ht="21.75" hidden="1" customHeight="1" outlineLevel="2">
      <c r="A407" s="83"/>
      <c r="B407" s="21" t="s">
        <v>643</v>
      </c>
      <c r="C407" s="22"/>
      <c r="D407" s="22" t="s">
        <v>47</v>
      </c>
      <c r="E407" s="24" t="s">
        <v>179</v>
      </c>
      <c r="F407" s="25" t="s">
        <v>22</v>
      </c>
      <c r="G407" s="24"/>
      <c r="H407" s="35">
        <v>45242.0</v>
      </c>
      <c r="I407" s="27">
        <f t="shared" si="90"/>
        <v>0</v>
      </c>
      <c r="J407" s="28"/>
      <c r="K407" s="28"/>
      <c r="L407" s="17"/>
      <c r="M407" s="29"/>
      <c r="N407" s="29"/>
      <c r="O407" s="73"/>
      <c r="P407" s="73"/>
      <c r="Q407" s="72"/>
      <c r="R407" s="31"/>
      <c r="S407" s="31"/>
      <c r="T407" s="32"/>
      <c r="U407" s="33"/>
      <c r="V407" s="31"/>
      <c r="W407" s="31"/>
    </row>
    <row r="408" ht="21.75" customHeight="1" outlineLevel="1">
      <c r="A408" s="83"/>
      <c r="B408" s="64"/>
      <c r="C408" s="22"/>
      <c r="D408" s="23"/>
      <c r="E408" s="24"/>
      <c r="F408" s="25"/>
      <c r="G408" s="24"/>
      <c r="H408" s="26"/>
      <c r="I408" s="27"/>
      <c r="J408" s="28"/>
      <c r="K408" s="28"/>
      <c r="L408" s="17"/>
      <c r="M408" s="29"/>
      <c r="N408" s="29"/>
      <c r="O408" s="73"/>
      <c r="P408" s="73"/>
      <c r="Q408" s="72"/>
      <c r="R408" s="31"/>
      <c r="S408" s="31" t="str">
        <f t="shared" ref="S408:S425" si="91">IFERROR(MID(B408, FIND("-", B408) + 1, 3), "")</f>
        <v/>
      </c>
      <c r="T408" s="32" t="str">
        <f t="shared" ref="T408:T425" si="92">IFERROR(MID(B408, 8, LEN(B408)-7), "")
</f>
        <v/>
      </c>
      <c r="U408" s="33"/>
      <c r="V408" s="31"/>
      <c r="W408" s="31"/>
    </row>
    <row r="409" ht="21.75" customHeight="1" outlineLevel="1">
      <c r="A409" s="83"/>
      <c r="B409" s="64"/>
      <c r="C409" s="22"/>
      <c r="D409" s="23"/>
      <c r="E409" s="24"/>
      <c r="F409" s="25"/>
      <c r="G409" s="24"/>
      <c r="H409" s="26"/>
      <c r="I409" s="27"/>
      <c r="J409" s="28"/>
      <c r="K409" s="28"/>
      <c r="L409" s="17"/>
      <c r="M409" s="29"/>
      <c r="N409" s="29"/>
      <c r="O409" s="73"/>
      <c r="P409" s="73"/>
      <c r="Q409" s="72"/>
      <c r="R409" s="31"/>
      <c r="S409" s="31" t="str">
        <f t="shared" si="91"/>
        <v/>
      </c>
      <c r="T409" s="32" t="str">
        <f t="shared" si="92"/>
        <v/>
      </c>
      <c r="U409" s="33"/>
      <c r="V409" s="31"/>
      <c r="W409" s="31"/>
    </row>
    <row r="410" ht="21.75" customHeight="1" outlineLevel="1">
      <c r="A410" s="83"/>
      <c r="B410" s="64"/>
      <c r="C410" s="22"/>
      <c r="D410" s="23"/>
      <c r="E410" s="24"/>
      <c r="F410" s="25"/>
      <c r="G410" s="24"/>
      <c r="H410" s="26"/>
      <c r="I410" s="27"/>
      <c r="J410" s="28"/>
      <c r="K410" s="28"/>
      <c r="L410" s="17"/>
      <c r="M410" s="29"/>
      <c r="N410" s="29"/>
      <c r="O410" s="73"/>
      <c r="P410" s="73"/>
      <c r="Q410" s="72"/>
      <c r="R410" s="31"/>
      <c r="S410" s="31" t="str">
        <f t="shared" si="91"/>
        <v/>
      </c>
      <c r="T410" s="32" t="str">
        <f t="shared" si="92"/>
        <v/>
      </c>
      <c r="U410" s="33"/>
      <c r="V410" s="31"/>
      <c r="W410" s="31"/>
    </row>
    <row r="411" ht="21.75" customHeight="1" outlineLevel="1">
      <c r="A411" s="83"/>
      <c r="B411" s="64"/>
      <c r="C411" s="22"/>
      <c r="D411" s="23"/>
      <c r="E411" s="24"/>
      <c r="F411" s="25"/>
      <c r="G411" s="24"/>
      <c r="H411" s="26"/>
      <c r="I411" s="27"/>
      <c r="J411" s="28"/>
      <c r="K411" s="28"/>
      <c r="L411" s="17"/>
      <c r="M411" s="29"/>
      <c r="N411" s="29"/>
      <c r="O411" s="73"/>
      <c r="P411" s="73"/>
      <c r="Q411" s="72"/>
      <c r="R411" s="31"/>
      <c r="S411" s="31" t="str">
        <f t="shared" si="91"/>
        <v/>
      </c>
      <c r="T411" s="32" t="str">
        <f t="shared" si="92"/>
        <v/>
      </c>
      <c r="U411" s="33"/>
      <c r="V411" s="31"/>
      <c r="W411" s="31"/>
    </row>
    <row r="412" ht="21.75" customHeight="1" outlineLevel="1">
      <c r="A412" s="83"/>
      <c r="B412" s="64"/>
      <c r="C412" s="23"/>
      <c r="D412" s="23"/>
      <c r="E412" s="24"/>
      <c r="F412" s="25"/>
      <c r="G412" s="24"/>
      <c r="H412" s="26"/>
      <c r="I412" s="27"/>
      <c r="J412" s="28"/>
      <c r="K412" s="28" t="str">
        <f t="shared" ref="K412:K425" si="93">IFERROR(IF(ISNUMBER(INDIRECT("B" &amp; ROW()-1)), INDIRECT("K" &amp; ROW()-1), ""), "")</f>
        <v/>
      </c>
      <c r="L412" s="17"/>
      <c r="M412" s="29"/>
      <c r="N412" s="29"/>
      <c r="O412" s="73"/>
      <c r="P412" s="73"/>
      <c r="Q412" s="72"/>
      <c r="R412" s="72"/>
      <c r="S412" s="31" t="str">
        <f t="shared" si="91"/>
        <v/>
      </c>
      <c r="T412" s="32" t="str">
        <f t="shared" si="92"/>
        <v/>
      </c>
      <c r="U412" s="73"/>
      <c r="V412" s="72"/>
      <c r="W412" s="72"/>
    </row>
    <row r="413" ht="21.75" customHeight="1" outlineLevel="1">
      <c r="A413" s="83"/>
      <c r="B413" s="64"/>
      <c r="C413" s="23"/>
      <c r="D413" s="23"/>
      <c r="E413" s="24"/>
      <c r="F413" s="25"/>
      <c r="G413" s="24"/>
      <c r="H413" s="26"/>
      <c r="I413" s="27"/>
      <c r="J413" s="28"/>
      <c r="K413" s="28" t="str">
        <f t="shared" si="93"/>
        <v/>
      </c>
      <c r="L413" s="17"/>
      <c r="M413" s="29"/>
      <c r="N413" s="29"/>
      <c r="O413" s="73"/>
      <c r="P413" s="73"/>
      <c r="Q413" s="72"/>
      <c r="R413" s="72"/>
      <c r="S413" s="31" t="str">
        <f t="shared" si="91"/>
        <v/>
      </c>
      <c r="T413" s="32" t="str">
        <f t="shared" si="92"/>
        <v/>
      </c>
      <c r="U413" s="73"/>
      <c r="V413" s="72"/>
      <c r="W413" s="72"/>
    </row>
    <row r="414" ht="21.75" customHeight="1" outlineLevel="1">
      <c r="A414" s="83"/>
      <c r="B414" s="64"/>
      <c r="C414" s="23"/>
      <c r="D414" s="23"/>
      <c r="E414" s="24"/>
      <c r="F414" s="25"/>
      <c r="G414" s="24"/>
      <c r="H414" s="26"/>
      <c r="I414" s="27"/>
      <c r="J414" s="28"/>
      <c r="K414" s="28" t="str">
        <f t="shared" si="93"/>
        <v/>
      </c>
      <c r="L414" s="17"/>
      <c r="M414" s="29"/>
      <c r="N414" s="72"/>
      <c r="O414" s="73"/>
      <c r="P414" s="73"/>
      <c r="Q414" s="72"/>
      <c r="R414" s="72"/>
      <c r="S414" s="31" t="str">
        <f t="shared" si="91"/>
        <v/>
      </c>
      <c r="T414" s="32" t="str">
        <f t="shared" si="92"/>
        <v/>
      </c>
      <c r="U414" s="73"/>
      <c r="V414" s="72"/>
      <c r="W414" s="72"/>
    </row>
    <row r="415" ht="21.75" customHeight="1" outlineLevel="1">
      <c r="A415" s="83"/>
      <c r="B415" s="64"/>
      <c r="C415" s="23"/>
      <c r="D415" s="23"/>
      <c r="E415" s="24"/>
      <c r="F415" s="25"/>
      <c r="G415" s="24"/>
      <c r="H415" s="26"/>
      <c r="I415" s="27"/>
      <c r="J415" s="28"/>
      <c r="K415" s="28" t="str">
        <f t="shared" si="93"/>
        <v/>
      </c>
      <c r="L415" s="17"/>
      <c r="M415" s="29"/>
      <c r="N415" s="72"/>
      <c r="O415" s="73"/>
      <c r="P415" s="73"/>
      <c r="Q415" s="72"/>
      <c r="R415" s="72"/>
      <c r="S415" s="31" t="str">
        <f t="shared" si="91"/>
        <v/>
      </c>
      <c r="T415" s="32" t="str">
        <f t="shared" si="92"/>
        <v/>
      </c>
      <c r="U415" s="73"/>
      <c r="V415" s="72"/>
      <c r="W415" s="72"/>
    </row>
    <row r="416" ht="21.75" customHeight="1" outlineLevel="1">
      <c r="A416" s="83"/>
      <c r="B416" s="64"/>
      <c r="C416" s="23"/>
      <c r="D416" s="23"/>
      <c r="E416" s="24"/>
      <c r="F416" s="25"/>
      <c r="G416" s="24"/>
      <c r="H416" s="26"/>
      <c r="I416" s="27"/>
      <c r="J416" s="28"/>
      <c r="K416" s="28" t="str">
        <f t="shared" si="93"/>
        <v/>
      </c>
      <c r="L416" s="17"/>
      <c r="M416" s="29"/>
      <c r="N416" s="72"/>
      <c r="O416" s="73"/>
      <c r="P416" s="73"/>
      <c r="Q416" s="72"/>
      <c r="R416" s="72"/>
      <c r="S416" s="31" t="str">
        <f t="shared" si="91"/>
        <v/>
      </c>
      <c r="T416" s="32" t="str">
        <f t="shared" si="92"/>
        <v/>
      </c>
      <c r="U416" s="73"/>
      <c r="V416" s="72"/>
      <c r="W416" s="72"/>
    </row>
    <row r="417" ht="21.75" customHeight="1" outlineLevel="1">
      <c r="A417" s="83"/>
      <c r="B417" s="64"/>
      <c r="C417" s="23"/>
      <c r="D417" s="23"/>
      <c r="E417" s="24"/>
      <c r="F417" s="25"/>
      <c r="G417" s="24"/>
      <c r="H417" s="26"/>
      <c r="I417" s="27"/>
      <c r="J417" s="28"/>
      <c r="K417" s="28" t="str">
        <f t="shared" si="93"/>
        <v/>
      </c>
      <c r="L417" s="17"/>
      <c r="M417" s="29"/>
      <c r="N417" s="72"/>
      <c r="O417" s="73"/>
      <c r="P417" s="73"/>
      <c r="Q417" s="72"/>
      <c r="R417" s="72"/>
      <c r="S417" s="31" t="str">
        <f t="shared" si="91"/>
        <v/>
      </c>
      <c r="T417" s="32" t="str">
        <f t="shared" si="92"/>
        <v/>
      </c>
      <c r="U417" s="73"/>
      <c r="V417" s="72"/>
      <c r="W417" s="72"/>
    </row>
    <row r="418" ht="21.75" customHeight="1" outlineLevel="1">
      <c r="A418" s="83"/>
      <c r="B418" s="64"/>
      <c r="C418" s="23"/>
      <c r="D418" s="23"/>
      <c r="E418" s="24"/>
      <c r="F418" s="25"/>
      <c r="G418" s="24"/>
      <c r="H418" s="26"/>
      <c r="I418" s="27"/>
      <c r="J418" s="28"/>
      <c r="K418" s="28" t="str">
        <f t="shared" si="93"/>
        <v/>
      </c>
      <c r="L418" s="17"/>
      <c r="M418" s="29"/>
      <c r="N418" s="72"/>
      <c r="O418" s="73"/>
      <c r="P418" s="73"/>
      <c r="Q418" s="72"/>
      <c r="R418" s="72"/>
      <c r="S418" s="31" t="str">
        <f t="shared" si="91"/>
        <v/>
      </c>
      <c r="T418" s="32" t="str">
        <f t="shared" si="92"/>
        <v/>
      </c>
      <c r="U418" s="73"/>
      <c r="V418" s="72"/>
      <c r="W418" s="72"/>
    </row>
    <row r="419" ht="21.75" customHeight="1" outlineLevel="1">
      <c r="A419" s="83"/>
      <c r="B419" s="64"/>
      <c r="C419" s="23"/>
      <c r="D419" s="23"/>
      <c r="E419" s="24"/>
      <c r="F419" s="25"/>
      <c r="G419" s="24"/>
      <c r="H419" s="26"/>
      <c r="I419" s="27"/>
      <c r="J419" s="28"/>
      <c r="K419" s="28" t="str">
        <f t="shared" si="93"/>
        <v/>
      </c>
      <c r="L419" s="17"/>
      <c r="M419" s="29"/>
      <c r="N419" s="72"/>
      <c r="O419" s="73"/>
      <c r="P419" s="73"/>
      <c r="Q419" s="72"/>
      <c r="R419" s="72"/>
      <c r="S419" s="31" t="str">
        <f t="shared" si="91"/>
        <v/>
      </c>
      <c r="T419" s="32" t="str">
        <f t="shared" si="92"/>
        <v/>
      </c>
      <c r="U419" s="73"/>
      <c r="V419" s="72"/>
      <c r="W419" s="72"/>
    </row>
    <row r="420" ht="21.75" customHeight="1" outlineLevel="1">
      <c r="A420" s="83"/>
      <c r="B420" s="64"/>
      <c r="C420" s="23"/>
      <c r="D420" s="23"/>
      <c r="E420" s="24"/>
      <c r="F420" s="25"/>
      <c r="G420" s="24"/>
      <c r="H420" s="26"/>
      <c r="I420" s="27"/>
      <c r="J420" s="28"/>
      <c r="K420" s="28" t="str">
        <f t="shared" si="93"/>
        <v/>
      </c>
      <c r="L420" s="17"/>
      <c r="M420" s="29"/>
      <c r="N420" s="72"/>
      <c r="O420" s="73"/>
      <c r="P420" s="73"/>
      <c r="Q420" s="72"/>
      <c r="R420" s="72"/>
      <c r="S420" s="31" t="str">
        <f t="shared" si="91"/>
        <v/>
      </c>
      <c r="T420" s="32" t="str">
        <f t="shared" si="92"/>
        <v/>
      </c>
      <c r="U420" s="73"/>
      <c r="V420" s="72"/>
      <c r="W420" s="72"/>
    </row>
    <row r="421" ht="21.75" customHeight="1" outlineLevel="1">
      <c r="A421" s="83"/>
      <c r="B421" s="64"/>
      <c r="C421" s="23"/>
      <c r="D421" s="23"/>
      <c r="E421" s="24"/>
      <c r="F421" s="25"/>
      <c r="G421" s="24"/>
      <c r="H421" s="26"/>
      <c r="I421" s="27"/>
      <c r="J421" s="28"/>
      <c r="K421" s="28" t="str">
        <f t="shared" si="93"/>
        <v/>
      </c>
      <c r="L421" s="17"/>
      <c r="M421" s="29"/>
      <c r="N421" s="72"/>
      <c r="O421" s="73"/>
      <c r="P421" s="73"/>
      <c r="Q421" s="72"/>
      <c r="R421" s="72"/>
      <c r="S421" s="31" t="str">
        <f t="shared" si="91"/>
        <v/>
      </c>
      <c r="T421" s="32" t="str">
        <f t="shared" si="92"/>
        <v/>
      </c>
      <c r="U421" s="73"/>
      <c r="V421" s="72"/>
      <c r="W421" s="72"/>
    </row>
    <row r="422" ht="21.75" customHeight="1" outlineLevel="1">
      <c r="A422" s="83"/>
      <c r="B422" s="64"/>
      <c r="C422" s="23"/>
      <c r="D422" s="23"/>
      <c r="E422" s="24"/>
      <c r="F422" s="25"/>
      <c r="G422" s="24"/>
      <c r="H422" s="26"/>
      <c r="I422" s="27"/>
      <c r="J422" s="28"/>
      <c r="K422" s="28" t="str">
        <f t="shared" si="93"/>
        <v/>
      </c>
      <c r="L422" s="17"/>
      <c r="M422" s="29"/>
      <c r="N422" s="72"/>
      <c r="O422" s="73"/>
      <c r="P422" s="73"/>
      <c r="Q422" s="72"/>
      <c r="R422" s="72"/>
      <c r="S422" s="31" t="str">
        <f t="shared" si="91"/>
        <v/>
      </c>
      <c r="T422" s="32" t="str">
        <f t="shared" si="92"/>
        <v/>
      </c>
      <c r="U422" s="73"/>
      <c r="V422" s="72"/>
      <c r="W422" s="72"/>
    </row>
    <row r="423" ht="21.75" customHeight="1" outlineLevel="1">
      <c r="A423" s="83"/>
      <c r="B423" s="64"/>
      <c r="C423" s="23"/>
      <c r="D423" s="23"/>
      <c r="E423" s="24"/>
      <c r="F423" s="25"/>
      <c r="G423" s="24"/>
      <c r="H423" s="26"/>
      <c r="I423" s="27"/>
      <c r="J423" s="28"/>
      <c r="K423" s="28" t="str">
        <f t="shared" si="93"/>
        <v/>
      </c>
      <c r="L423" s="17"/>
      <c r="M423" s="29"/>
      <c r="N423" s="72"/>
      <c r="O423" s="73"/>
      <c r="P423" s="73"/>
      <c r="Q423" s="72"/>
      <c r="R423" s="72"/>
      <c r="S423" s="31" t="str">
        <f t="shared" si="91"/>
        <v/>
      </c>
      <c r="T423" s="32" t="str">
        <f t="shared" si="92"/>
        <v/>
      </c>
      <c r="U423" s="73"/>
      <c r="V423" s="72"/>
      <c r="W423" s="72"/>
    </row>
    <row r="424" ht="21.75" customHeight="1" outlineLevel="1">
      <c r="A424" s="83"/>
      <c r="B424" s="64"/>
      <c r="C424" s="23"/>
      <c r="D424" s="23"/>
      <c r="E424" s="24"/>
      <c r="F424" s="25"/>
      <c r="G424" s="24"/>
      <c r="H424" s="26"/>
      <c r="I424" s="27"/>
      <c r="J424" s="28"/>
      <c r="K424" s="28" t="str">
        <f t="shared" si="93"/>
        <v/>
      </c>
      <c r="L424" s="17"/>
      <c r="M424" s="29"/>
      <c r="N424" s="72"/>
      <c r="O424" s="73"/>
      <c r="P424" s="73"/>
      <c r="Q424" s="72"/>
      <c r="R424" s="72"/>
      <c r="S424" s="31" t="str">
        <f t="shared" si="91"/>
        <v/>
      </c>
      <c r="T424" s="32" t="str">
        <f t="shared" si="92"/>
        <v/>
      </c>
      <c r="U424" s="73"/>
      <c r="V424" s="72"/>
      <c r="W424" s="72"/>
    </row>
    <row r="425" ht="21.75" customHeight="1" outlineLevel="1">
      <c r="A425" s="84"/>
      <c r="B425" s="64"/>
      <c r="C425" s="23"/>
      <c r="D425" s="23"/>
      <c r="E425" s="24"/>
      <c r="F425" s="25"/>
      <c r="G425" s="24"/>
      <c r="H425" s="26"/>
      <c r="I425" s="27"/>
      <c r="J425" s="28"/>
      <c r="K425" s="28" t="str">
        <f t="shared" si="93"/>
        <v/>
      </c>
      <c r="L425" s="17"/>
      <c r="M425" s="29"/>
      <c r="N425" s="72"/>
      <c r="O425" s="73"/>
      <c r="P425" s="73"/>
      <c r="Q425" s="72"/>
      <c r="R425" s="72"/>
      <c r="S425" s="31" t="str">
        <f t="shared" si="91"/>
        <v/>
      </c>
      <c r="T425" s="32" t="str">
        <f t="shared" si="92"/>
        <v/>
      </c>
      <c r="U425" s="73"/>
      <c r="V425" s="72"/>
      <c r="W425" s="72"/>
    </row>
    <row r="426" ht="36.0" customHeight="1">
      <c r="A426" s="85"/>
      <c r="B426" s="85" t="s">
        <v>644</v>
      </c>
      <c r="C426" s="85"/>
      <c r="D426" s="86"/>
      <c r="E426" s="87"/>
      <c r="F426" s="88"/>
      <c r="G426" s="87"/>
      <c r="H426" s="86"/>
      <c r="I426" s="86"/>
      <c r="J426" s="87"/>
      <c r="K426" s="86"/>
      <c r="L426" s="17"/>
      <c r="M426" s="87"/>
      <c r="N426" s="86"/>
      <c r="O426" s="86"/>
      <c r="P426" s="86"/>
      <c r="Q426" s="87"/>
      <c r="R426" s="87"/>
      <c r="S426" s="87"/>
      <c r="T426" s="87"/>
      <c r="U426" s="86"/>
      <c r="V426" s="87"/>
      <c r="W426" s="87"/>
    </row>
    <row r="427" ht="21.75" customHeight="1" outlineLevel="1" collapsed="1">
      <c r="A427" s="85"/>
      <c r="B427" s="21" t="s">
        <v>645</v>
      </c>
      <c r="C427" s="22" t="s">
        <v>646</v>
      </c>
      <c r="D427" s="23"/>
      <c r="E427" s="24" t="s">
        <v>21</v>
      </c>
      <c r="F427" s="25" t="s">
        <v>48</v>
      </c>
      <c r="G427" s="24" t="s">
        <v>89</v>
      </c>
      <c r="H427" s="35">
        <f>MAX(H428:H431)</f>
        <v>45238</v>
      </c>
      <c r="I427" s="27" t="str">
        <f>IFERROR(__xludf.DUMMYFUNCTION("SPARKLINE(SUM(I428:I431), {""charttype"", ""bar""; ""max"", J427; ""color1"", ""green""})"),"")</f>
        <v/>
      </c>
      <c r="J427" s="28">
        <f>COUNT(I428:I431)</f>
        <v>4</v>
      </c>
      <c r="K427" s="28" t="str">
        <f>IF(ISNUMBER(B458), K458, "")</f>
        <v/>
      </c>
      <c r="L427" s="17"/>
      <c r="M427" s="29">
        <f>MIN(M428:M431)</f>
        <v>45238.5899</v>
      </c>
      <c r="N427" s="72">
        <f>MAX(N428:N431)</f>
        <v>45238.59308</v>
      </c>
      <c r="O427" s="73"/>
      <c r="P427" s="73"/>
      <c r="Q427" s="72"/>
      <c r="R427" s="72">
        <f>SUM(R428:R431)</f>
        <v>0.002777777778</v>
      </c>
      <c r="S427" s="31" t="str">
        <f>IFERROR(MID(B427, FIND("-", B427) + 1, 3), "")</f>
        <v>CTH</v>
      </c>
      <c r="T427" s="32" t="str">
        <f>IFERROR(MID(B427, 8, LEN(B427)-7), "")
</f>
        <v>14</v>
      </c>
      <c r="U427" s="33" t="str">
        <f>CONCATENATE(C427, " - ",E427)</f>
        <v>RTX 4090 Vulcan - Build Reel - Shorts</v>
      </c>
      <c r="V427" s="72"/>
      <c r="W427" s="72"/>
    </row>
    <row r="428" ht="21.75" hidden="1" customHeight="1" outlineLevel="2">
      <c r="A428" s="85"/>
      <c r="B428" s="21" t="s">
        <v>647</v>
      </c>
      <c r="C428" s="22"/>
      <c r="D428" s="22" t="s">
        <v>33</v>
      </c>
      <c r="E428" s="24" t="s">
        <v>26</v>
      </c>
      <c r="F428" s="25" t="s">
        <v>34</v>
      </c>
      <c r="G428" s="24"/>
      <c r="H428" s="35">
        <v>45233.0</v>
      </c>
      <c r="I428" s="27">
        <f t="shared" ref="I428:I431" si="94">IFERROR(IF($E428="Done", 1, IF(OR($E428="Working on it", $E428="In Review", $E428="On Hold"), 0.5, IF($E428="Not Started", 0, ""))), 0)</f>
        <v>1</v>
      </c>
      <c r="J428" s="28"/>
      <c r="K428" s="28"/>
      <c r="L428" s="17"/>
      <c r="M428" s="29"/>
      <c r="N428" s="72"/>
      <c r="O428" s="73"/>
      <c r="P428" s="73"/>
      <c r="Q428" s="72"/>
      <c r="R428" s="72"/>
      <c r="S428" s="31"/>
      <c r="T428" s="32"/>
      <c r="U428" s="73"/>
      <c r="V428" s="72"/>
      <c r="W428" s="72"/>
    </row>
    <row r="429" ht="21.75" hidden="1" customHeight="1" outlineLevel="2">
      <c r="A429" s="85"/>
      <c r="B429" s="21" t="s">
        <v>648</v>
      </c>
      <c r="C429" s="22"/>
      <c r="D429" s="22" t="s">
        <v>40</v>
      </c>
      <c r="E429" s="24" t="s">
        <v>26</v>
      </c>
      <c r="F429" s="25" t="s">
        <v>34</v>
      </c>
      <c r="G429" s="24"/>
      <c r="H429" s="35">
        <v>45233.0</v>
      </c>
      <c r="I429" s="27">
        <f t="shared" si="94"/>
        <v>1</v>
      </c>
      <c r="J429" s="28"/>
      <c r="K429" s="28"/>
      <c r="L429" s="17"/>
      <c r="M429" s="29"/>
      <c r="N429" s="72"/>
      <c r="O429" s="73"/>
      <c r="P429" s="73"/>
      <c r="Q429" s="72"/>
      <c r="R429" s="72"/>
      <c r="S429" s="31"/>
      <c r="T429" s="32"/>
      <c r="U429" s="73"/>
      <c r="V429" s="72"/>
      <c r="W429" s="72"/>
    </row>
    <row r="430" ht="21.75" hidden="1" customHeight="1" outlineLevel="2">
      <c r="A430" s="85"/>
      <c r="B430" s="21" t="s">
        <v>649</v>
      </c>
      <c r="C430" s="22"/>
      <c r="D430" s="22" t="s">
        <v>303</v>
      </c>
      <c r="E430" s="24" t="s">
        <v>26</v>
      </c>
      <c r="F430" s="25" t="s">
        <v>34</v>
      </c>
      <c r="G430" s="24"/>
      <c r="H430" s="35">
        <v>45233.0</v>
      </c>
      <c r="I430" s="27">
        <f t="shared" si="94"/>
        <v>1</v>
      </c>
      <c r="J430" s="28"/>
      <c r="K430" s="28"/>
      <c r="L430" s="17"/>
      <c r="M430" s="29"/>
      <c r="N430" s="72"/>
      <c r="O430" s="73"/>
      <c r="P430" s="73"/>
      <c r="Q430" s="72"/>
      <c r="R430" s="72"/>
      <c r="S430" s="31"/>
      <c r="T430" s="32"/>
      <c r="U430" s="73"/>
      <c r="V430" s="72"/>
      <c r="W430" s="72"/>
    </row>
    <row r="431" ht="21.75" hidden="1" customHeight="1" outlineLevel="2">
      <c r="A431" s="85"/>
      <c r="B431" s="21" t="s">
        <v>650</v>
      </c>
      <c r="C431" s="22"/>
      <c r="D431" s="22" t="s">
        <v>47</v>
      </c>
      <c r="E431" s="24" t="s">
        <v>26</v>
      </c>
      <c r="F431" s="25" t="s">
        <v>48</v>
      </c>
      <c r="G431" s="24"/>
      <c r="H431" s="35">
        <v>45238.0</v>
      </c>
      <c r="I431" s="27">
        <f t="shared" si="94"/>
        <v>1</v>
      </c>
      <c r="J431" s="28"/>
      <c r="K431" s="28"/>
      <c r="L431" s="17"/>
      <c r="M431" s="29">
        <v>45238.589895219906</v>
      </c>
      <c r="N431" s="75">
        <v>45238.59308380787</v>
      </c>
      <c r="O431" s="73"/>
      <c r="P431" s="73"/>
      <c r="Q431" s="37" t="s">
        <v>31</v>
      </c>
      <c r="R431" s="31">
        <v>0.002777777777777778</v>
      </c>
      <c r="S431" s="31"/>
      <c r="T431" s="32"/>
      <c r="U431" s="73"/>
      <c r="V431" s="72"/>
      <c r="W431" s="72"/>
    </row>
    <row r="432" ht="21.75" customHeight="1" outlineLevel="1" collapsed="1">
      <c r="A432" s="85"/>
      <c r="B432" s="21" t="s">
        <v>651</v>
      </c>
      <c r="C432" s="22" t="s">
        <v>652</v>
      </c>
      <c r="D432" s="23"/>
      <c r="E432" s="24" t="s">
        <v>21</v>
      </c>
      <c r="F432" s="25" t="s">
        <v>48</v>
      </c>
      <c r="G432" s="24" t="s">
        <v>89</v>
      </c>
      <c r="H432" s="35">
        <f>MAX(H433:H437)</f>
        <v>45239</v>
      </c>
      <c r="I432" s="27" t="str">
        <f>IFERROR(__xludf.DUMMYFUNCTION("SPARKLINE(SUM(I433:I437), {""charttype"", ""bar""; ""max"", J432; ""color1"", ""green""})"),"")</f>
        <v/>
      </c>
      <c r="J432" s="28">
        <f>COUNT(I433:I437)</f>
        <v>4</v>
      </c>
      <c r="K432" s="28" t="str">
        <f>IF(ISNUMBER(B445), K445, "")</f>
        <v/>
      </c>
      <c r="L432" s="17"/>
      <c r="M432" s="29">
        <f>MIN(M433:M437)</f>
        <v>45237.7004</v>
      </c>
      <c r="N432" s="89">
        <f>MAX(N433:N437)</f>
        <v>45239.73026</v>
      </c>
      <c r="O432" s="73"/>
      <c r="P432" s="73"/>
      <c r="Q432" s="72"/>
      <c r="R432" s="90">
        <f>SUM(R433:R437)</f>
        <v>0.1659722222</v>
      </c>
      <c r="S432" s="31" t="str">
        <f>IFERROR(MID(B432, FIND("-", B432) + 1, 3), "")</f>
        <v>CTH</v>
      </c>
      <c r="T432" s="32" t="str">
        <f>IFERROR(MID(B432, 8, LEN(B432)-7), "")
</f>
        <v>12</v>
      </c>
      <c r="U432" s="33" t="str">
        <f>CONCATENATE(C432, " - ",E432)</f>
        <v>STEM Studies - Shorts</v>
      </c>
      <c r="V432" s="72"/>
      <c r="W432" s="72"/>
    </row>
    <row r="433" ht="21.75" hidden="1" customHeight="1" outlineLevel="2">
      <c r="A433" s="85"/>
      <c r="B433" s="21" t="s">
        <v>653</v>
      </c>
      <c r="C433" s="22"/>
      <c r="D433" s="22" t="s">
        <v>25</v>
      </c>
      <c r="E433" s="24" t="s">
        <v>26</v>
      </c>
      <c r="F433" s="25" t="s">
        <v>41</v>
      </c>
      <c r="G433" s="58" t="s">
        <v>25</v>
      </c>
      <c r="H433" s="35">
        <v>45237.0</v>
      </c>
      <c r="I433" s="27">
        <f t="shared" ref="I433:I435" si="95">IFERROR(IF($E433="Done", 1, IF(OR($E433="Working on it", $E433="In Review", $E433="On Hold"), 0.5, IF($E433="Not Started", 0, ""))), 0)</f>
        <v>1</v>
      </c>
      <c r="J433" s="28"/>
      <c r="K433" s="28"/>
      <c r="L433" s="17"/>
      <c r="M433" s="29">
        <v>45237.70040091436</v>
      </c>
      <c r="N433" s="75">
        <v>45237.75826923611</v>
      </c>
      <c r="O433" s="36" t="s">
        <v>654</v>
      </c>
      <c r="P433" s="36" t="s">
        <v>655</v>
      </c>
      <c r="Q433" s="37" t="s">
        <v>31</v>
      </c>
      <c r="R433" s="31">
        <v>0.05694444444444444</v>
      </c>
      <c r="S433" s="31"/>
      <c r="T433" s="32"/>
      <c r="U433" s="73"/>
      <c r="V433" s="72"/>
      <c r="W433" s="72"/>
    </row>
    <row r="434" ht="21.75" hidden="1" customHeight="1" outlineLevel="2">
      <c r="A434" s="85"/>
      <c r="B434" s="21" t="s">
        <v>656</v>
      </c>
      <c r="C434" s="22"/>
      <c r="D434" s="22" t="s">
        <v>112</v>
      </c>
      <c r="E434" s="24" t="s">
        <v>26</v>
      </c>
      <c r="F434" s="25" t="s">
        <v>48</v>
      </c>
      <c r="G434" s="24"/>
      <c r="H434" s="35">
        <v>45238.0</v>
      </c>
      <c r="I434" s="27">
        <f t="shared" si="95"/>
        <v>1</v>
      </c>
      <c r="J434" s="28"/>
      <c r="K434" s="28"/>
      <c r="L434" s="17"/>
      <c r="M434" s="29">
        <v>45238.60184971065</v>
      </c>
      <c r="N434" s="75">
        <v>45238.605449062496</v>
      </c>
      <c r="O434" s="73"/>
      <c r="P434" s="73"/>
      <c r="Q434" s="37" t="s">
        <v>31</v>
      </c>
      <c r="R434" s="31">
        <v>0.003472222222222222</v>
      </c>
      <c r="S434" s="31"/>
      <c r="T434" s="32"/>
      <c r="U434" s="73"/>
      <c r="V434" s="72"/>
      <c r="W434" s="72"/>
    </row>
    <row r="435" ht="21.75" hidden="1" customHeight="1" outlineLevel="2">
      <c r="A435" s="85"/>
      <c r="B435" s="21" t="s">
        <v>657</v>
      </c>
      <c r="C435" s="22"/>
      <c r="D435" s="22" t="s">
        <v>40</v>
      </c>
      <c r="E435" s="24" t="s">
        <v>26</v>
      </c>
      <c r="F435" s="25" t="s">
        <v>48</v>
      </c>
      <c r="G435" s="24"/>
      <c r="H435" s="35">
        <v>45239.0</v>
      </c>
      <c r="I435" s="27">
        <f t="shared" si="95"/>
        <v>1</v>
      </c>
      <c r="J435" s="28"/>
      <c r="K435" s="28"/>
      <c r="L435" s="17"/>
      <c r="M435" s="29">
        <v>45238.75933209491</v>
      </c>
      <c r="N435" s="75">
        <v>45239.71568774305</v>
      </c>
      <c r="O435" s="36" t="s">
        <v>658</v>
      </c>
      <c r="P435" s="36" t="s">
        <v>659</v>
      </c>
      <c r="Q435" s="37" t="s">
        <v>31</v>
      </c>
      <c r="R435" s="31">
        <v>0.05138888888888889</v>
      </c>
      <c r="S435" s="31"/>
      <c r="T435" s="32"/>
      <c r="U435" s="73"/>
      <c r="V435" s="72"/>
      <c r="W435" s="72"/>
    </row>
    <row r="436" ht="21.75" hidden="1" customHeight="1" outlineLevel="2">
      <c r="A436" s="85"/>
      <c r="B436" s="21" t="s">
        <v>660</v>
      </c>
      <c r="C436" s="22"/>
      <c r="D436" s="22" t="s">
        <v>661</v>
      </c>
      <c r="E436" s="24" t="s">
        <v>26</v>
      </c>
      <c r="F436" s="25" t="s">
        <v>22</v>
      </c>
      <c r="G436" s="24"/>
      <c r="H436" s="35">
        <v>45239.0</v>
      </c>
      <c r="I436" s="27"/>
      <c r="J436" s="28"/>
      <c r="K436" s="28"/>
      <c r="L436" s="17"/>
      <c r="M436" s="29">
        <v>45239.5628125</v>
      </c>
      <c r="N436" s="75">
        <v>45239.6035546412</v>
      </c>
      <c r="O436" s="36" t="s">
        <v>662</v>
      </c>
      <c r="P436" s="36" t="s">
        <v>663</v>
      </c>
      <c r="Q436" s="37" t="s">
        <v>31</v>
      </c>
      <c r="R436" s="31">
        <v>0.04027777777777778</v>
      </c>
      <c r="S436" s="31"/>
      <c r="T436" s="32"/>
      <c r="U436" s="73"/>
      <c r="V436" s="72"/>
      <c r="W436" s="72"/>
    </row>
    <row r="437" ht="21.75" hidden="1" customHeight="1" outlineLevel="2">
      <c r="A437" s="85"/>
      <c r="B437" s="21" t="s">
        <v>664</v>
      </c>
      <c r="C437" s="22"/>
      <c r="D437" s="22" t="s">
        <v>47</v>
      </c>
      <c r="E437" s="24" t="s">
        <v>26</v>
      </c>
      <c r="F437" s="25" t="s">
        <v>48</v>
      </c>
      <c r="G437" s="24"/>
      <c r="H437" s="35">
        <v>45239.0</v>
      </c>
      <c r="I437" s="27">
        <f>IFERROR(IF($E437="Done", 1, IF(OR($E437="Working on it", $E437="In Review", $E437="On Hold"), 0.5, IF($E437="Not Started", 0, ""))), 0)</f>
        <v>1</v>
      </c>
      <c r="J437" s="28"/>
      <c r="K437" s="28"/>
      <c r="L437" s="17"/>
      <c r="M437" s="29">
        <v>45239.71571065972</v>
      </c>
      <c r="N437" s="75">
        <v>45239.730262094905</v>
      </c>
      <c r="O437" s="73"/>
      <c r="P437" s="73"/>
      <c r="Q437" s="37" t="s">
        <v>31</v>
      </c>
      <c r="R437" s="31">
        <v>0.013888888888888888</v>
      </c>
      <c r="S437" s="31"/>
      <c r="T437" s="32"/>
      <c r="U437" s="73"/>
      <c r="V437" s="72"/>
      <c r="W437" s="72"/>
    </row>
    <row r="438" ht="21.75" customHeight="1" outlineLevel="1">
      <c r="A438" s="85"/>
      <c r="B438" s="21" t="s">
        <v>665</v>
      </c>
      <c r="C438" s="22" t="s">
        <v>666</v>
      </c>
      <c r="D438" s="23"/>
      <c r="E438" s="24" t="s">
        <v>21</v>
      </c>
      <c r="F438" s="25" t="s">
        <v>48</v>
      </c>
      <c r="G438" s="24" t="s">
        <v>89</v>
      </c>
      <c r="H438" s="26">
        <f>MAX(H439:H445)</f>
        <v>45241</v>
      </c>
      <c r="I438" s="27" t="str">
        <f>IFERROR(__xludf.DUMMYFUNCTION("SPARKLINE(SUM(I439:I445), {""charttype"", ""bar""; ""max"", J438; ""color1"", ""green""})"),"")</f>
        <v/>
      </c>
      <c r="J438" s="28">
        <f>COUNT(I439:I445)</f>
        <v>3</v>
      </c>
      <c r="K438" s="28" t="str">
        <f>IF(ISNUMBER(#REF!), #REF!, "")</f>
        <v/>
      </c>
      <c r="L438" s="17"/>
      <c r="M438" s="29">
        <f>MIN(M439:M445)</f>
        <v>45230.41719</v>
      </c>
      <c r="N438" s="29">
        <f>MAX(N439:N445)</f>
        <v>45238.66259</v>
      </c>
      <c r="O438" s="73"/>
      <c r="P438" s="73"/>
      <c r="Q438" s="72"/>
      <c r="R438" s="31">
        <f>SUM(R439:R445)</f>
        <v>0.06041666667</v>
      </c>
      <c r="S438" s="31" t="str">
        <f t="shared" ref="S438:S440" si="96">IFERROR(MID(B438, FIND("-", B438) + 1, 3), "")</f>
        <v>CTH</v>
      </c>
      <c r="T438" s="32" t="str">
        <f t="shared" ref="T438:T440" si="97">IFERROR(MID(B438, 8, LEN(B438)-7), "")
</f>
        <v>10</v>
      </c>
      <c r="U438" s="33" t="str">
        <f>CONCATENATE(C438, " - ",E438)</f>
        <v>iGame Center Introduction - Shorts</v>
      </c>
      <c r="V438" s="72"/>
      <c r="W438" s="72"/>
    </row>
    <row r="439" ht="21.75" customHeight="1" outlineLevel="2">
      <c r="A439" s="85"/>
      <c r="B439" s="21" t="s">
        <v>667</v>
      </c>
      <c r="C439" s="22"/>
      <c r="D439" s="22" t="s">
        <v>25</v>
      </c>
      <c r="E439" s="24" t="s">
        <v>26</v>
      </c>
      <c r="F439" s="25" t="s">
        <v>41</v>
      </c>
      <c r="G439" s="34" t="s">
        <v>668</v>
      </c>
      <c r="H439" s="35">
        <v>45228.0</v>
      </c>
      <c r="I439" s="27">
        <f t="shared" ref="I439:I440" si="98">IFERROR(IF($E439="Done", 1, IF(OR($E439="Working on it", $E439="In Review", $E439="On Hold"), 0.5, IF($E439="Not Started", 0, ""))), 0)</f>
        <v>1</v>
      </c>
      <c r="J439" s="28"/>
      <c r="K439" s="28"/>
      <c r="L439" s="17"/>
      <c r="M439" s="29">
        <v>45230.41719364583</v>
      </c>
      <c r="N439" s="75">
        <v>45231.41700486111</v>
      </c>
      <c r="O439" s="36" t="s">
        <v>669</v>
      </c>
      <c r="P439" s="36" t="s">
        <v>670</v>
      </c>
      <c r="Q439" s="37" t="s">
        <v>31</v>
      </c>
      <c r="R439" s="31">
        <v>0.022222222222222223</v>
      </c>
      <c r="S439" s="31" t="str">
        <f t="shared" si="96"/>
        <v>CTH</v>
      </c>
      <c r="T439" s="32" t="str">
        <f t="shared" si="97"/>
        <v>10.01</v>
      </c>
      <c r="U439" s="73"/>
      <c r="V439" s="72"/>
      <c r="W439" s="72"/>
    </row>
    <row r="440" ht="21.75" customHeight="1" outlineLevel="2">
      <c r="A440" s="85"/>
      <c r="B440" s="21" t="s">
        <v>671</v>
      </c>
      <c r="C440" s="22"/>
      <c r="D440" s="22" t="s">
        <v>40</v>
      </c>
      <c r="E440" s="24" t="s">
        <v>26</v>
      </c>
      <c r="F440" s="25" t="s">
        <v>41</v>
      </c>
      <c r="G440" s="24"/>
      <c r="H440" s="35">
        <v>45229.0</v>
      </c>
      <c r="I440" s="27">
        <f t="shared" si="98"/>
        <v>1</v>
      </c>
      <c r="J440" s="28"/>
      <c r="K440" s="28"/>
      <c r="L440" s="17"/>
      <c r="M440" s="29">
        <v>45233.68453810185</v>
      </c>
      <c r="N440" s="75">
        <v>45234.561071041666</v>
      </c>
      <c r="O440" s="36" t="s">
        <v>672</v>
      </c>
      <c r="P440" s="36" t="s">
        <v>673</v>
      </c>
      <c r="Q440" s="37" t="s">
        <v>31</v>
      </c>
      <c r="R440" s="31">
        <v>0.005555555555555556</v>
      </c>
      <c r="S440" s="31" t="str">
        <f t="shared" si="96"/>
        <v>CTH</v>
      </c>
      <c r="T440" s="32" t="str">
        <f t="shared" si="97"/>
        <v>10.03</v>
      </c>
      <c r="U440" s="73"/>
      <c r="V440" s="72"/>
      <c r="W440" s="72"/>
    </row>
    <row r="441" ht="21.75" customHeight="1" outlineLevel="2">
      <c r="A441" s="85"/>
      <c r="B441" s="21" t="s">
        <v>674</v>
      </c>
      <c r="C441" s="22"/>
      <c r="D441" s="22" t="s">
        <v>675</v>
      </c>
      <c r="E441" s="24" t="s">
        <v>26</v>
      </c>
      <c r="F441" s="25" t="s">
        <v>41</v>
      </c>
      <c r="G441" s="24"/>
      <c r="H441" s="35">
        <v>45237.0</v>
      </c>
      <c r="I441" s="27"/>
      <c r="J441" s="28"/>
      <c r="K441" s="28"/>
      <c r="L441" s="17"/>
      <c r="M441" s="29">
        <v>45238.59214018518</v>
      </c>
      <c r="N441" s="75">
        <v>45238.6362924537</v>
      </c>
      <c r="O441" s="36" t="s">
        <v>676</v>
      </c>
      <c r="P441" s="36" t="s">
        <v>677</v>
      </c>
      <c r="Q441" s="37" t="s">
        <v>31</v>
      </c>
      <c r="R441" s="31">
        <v>0.030555555555555555</v>
      </c>
      <c r="S441" s="31"/>
      <c r="T441" s="32"/>
      <c r="U441" s="73"/>
      <c r="V441" s="72"/>
      <c r="W441" s="72"/>
    </row>
    <row r="442" ht="21.75" customHeight="1" outlineLevel="2">
      <c r="A442" s="85"/>
      <c r="B442" s="21" t="s">
        <v>678</v>
      </c>
      <c r="C442" s="22"/>
      <c r="D442" s="22" t="s">
        <v>112</v>
      </c>
      <c r="E442" s="24" t="s">
        <v>26</v>
      </c>
      <c r="F442" s="25" t="s">
        <v>48</v>
      </c>
      <c r="G442" s="24"/>
      <c r="H442" s="35">
        <v>45238.0</v>
      </c>
      <c r="I442" s="27"/>
      <c r="J442" s="28"/>
      <c r="K442" s="28"/>
      <c r="L442" s="17"/>
      <c r="M442" s="29">
        <v>45238.66008244213</v>
      </c>
      <c r="N442" s="75">
        <v>45238.66259015046</v>
      </c>
      <c r="O442" s="36"/>
      <c r="P442" s="36"/>
      <c r="Q442" s="37" t="s">
        <v>31</v>
      </c>
      <c r="R442" s="31">
        <v>0.0020833333333333333</v>
      </c>
      <c r="S442" s="31"/>
      <c r="T442" s="32"/>
      <c r="U442" s="73"/>
      <c r="V442" s="72"/>
      <c r="W442" s="72"/>
    </row>
    <row r="443" ht="21.75" customHeight="1" outlineLevel="2">
      <c r="A443" s="85"/>
      <c r="B443" s="21" t="s">
        <v>674</v>
      </c>
      <c r="C443" s="22"/>
      <c r="D443" s="22" t="s">
        <v>679</v>
      </c>
      <c r="E443" s="24" t="s">
        <v>26</v>
      </c>
      <c r="F443" s="25" t="s">
        <v>48</v>
      </c>
      <c r="G443" s="24"/>
      <c r="H443" s="35">
        <v>45240.0</v>
      </c>
      <c r="I443" s="27"/>
      <c r="J443" s="28"/>
      <c r="K443" s="28"/>
      <c r="L443" s="17"/>
      <c r="M443" s="29"/>
      <c r="N443" s="72"/>
      <c r="O443" s="73"/>
      <c r="P443" s="73"/>
      <c r="Q443" s="72"/>
      <c r="R443" s="72"/>
      <c r="S443" s="31"/>
      <c r="T443" s="32"/>
      <c r="U443" s="73"/>
      <c r="V443" s="72"/>
      <c r="W443" s="72"/>
    </row>
    <row r="444" ht="21.75" customHeight="1" outlineLevel="2">
      <c r="A444" s="85"/>
      <c r="B444" s="21" t="s">
        <v>680</v>
      </c>
      <c r="C444" s="22"/>
      <c r="D444" s="22" t="s">
        <v>40</v>
      </c>
      <c r="E444" s="24" t="s">
        <v>388</v>
      </c>
      <c r="F444" s="25" t="s">
        <v>48</v>
      </c>
      <c r="G444" s="24"/>
      <c r="H444" s="35">
        <v>45240.0</v>
      </c>
      <c r="I444" s="27"/>
      <c r="J444" s="28"/>
      <c r="K444" s="28"/>
      <c r="L444" s="17"/>
      <c r="M444" s="29">
        <v>45239.8228246875</v>
      </c>
      <c r="N444" s="72"/>
      <c r="O444" s="36" t="s">
        <v>681</v>
      </c>
      <c r="P444" s="36" t="s">
        <v>682</v>
      </c>
      <c r="Q444" s="37" t="s">
        <v>309</v>
      </c>
      <c r="R444" s="72"/>
      <c r="S444" s="31"/>
      <c r="T444" s="32"/>
      <c r="U444" s="73"/>
      <c r="V444" s="72"/>
      <c r="W444" s="72"/>
    </row>
    <row r="445" ht="21.75" customHeight="1" outlineLevel="2">
      <c r="A445" s="85"/>
      <c r="B445" s="21" t="s">
        <v>683</v>
      </c>
      <c r="C445" s="22"/>
      <c r="D445" s="22" t="s">
        <v>47</v>
      </c>
      <c r="E445" s="24" t="s">
        <v>179</v>
      </c>
      <c r="F445" s="25" t="s">
        <v>48</v>
      </c>
      <c r="G445" s="24"/>
      <c r="H445" s="35">
        <v>45241.0</v>
      </c>
      <c r="I445" s="27">
        <f>IFERROR(IF($E445="Done", 1, IF(OR($E445="Working on it", $E445="In Review", $E445="On Hold"), 0.5, IF($E445="Not Started", 0, ""))), 0)</f>
        <v>0</v>
      </c>
      <c r="J445" s="28"/>
      <c r="K445" s="28"/>
      <c r="L445" s="17"/>
      <c r="M445" s="29"/>
      <c r="N445" s="72"/>
      <c r="O445" s="73"/>
      <c r="P445" s="73"/>
      <c r="Q445" s="72"/>
      <c r="R445" s="72"/>
      <c r="S445" s="31" t="str">
        <f t="shared" ref="S445:S446" si="99">IFERROR(MID(B445, FIND("-", B445) + 1, 3), "")</f>
        <v>CTH</v>
      </c>
      <c r="T445" s="32" t="str">
        <f t="shared" ref="T445:T446" si="100">IFERROR(MID(B445, 8, LEN(B445)-7), "")
</f>
        <v>10.07</v>
      </c>
      <c r="U445" s="73"/>
      <c r="V445" s="72"/>
      <c r="W445" s="72"/>
    </row>
    <row r="446" ht="21.75" customHeight="1" outlineLevel="1" collapsed="1">
      <c r="A446" s="85"/>
      <c r="B446" s="21" t="s">
        <v>684</v>
      </c>
      <c r="C446" s="22" t="s">
        <v>251</v>
      </c>
      <c r="D446" s="23"/>
      <c r="E446" s="24" t="s">
        <v>51</v>
      </c>
      <c r="F446" s="25" t="s">
        <v>48</v>
      </c>
      <c r="G446" s="24" t="s">
        <v>89</v>
      </c>
      <c r="H446" s="26">
        <f>MAX(H447:H449)</f>
        <v>45242</v>
      </c>
      <c r="I446" s="27" t="str">
        <f>IFERROR(__xludf.DUMMYFUNCTION("SPARKLINE(SUM(I447:I449), {""charttype"", ""bar""; ""max"", J446; ""color1"", ""green""})"),"")</f>
        <v/>
      </c>
      <c r="J446" s="28">
        <f>COUNT(I447:I449)</f>
        <v>3</v>
      </c>
      <c r="K446" s="28" t="str">
        <f>IF(ISNUMBER(B453), K453, "")</f>
        <v/>
      </c>
      <c r="L446" s="17"/>
      <c r="M446" s="29">
        <f>MIN(M447:M449)</f>
        <v>45239.57334</v>
      </c>
      <c r="N446" s="89">
        <f>MAX(N447:N449)</f>
        <v>45240.67572</v>
      </c>
      <c r="O446" s="73"/>
      <c r="P446" s="73"/>
      <c r="Q446" s="72"/>
      <c r="R446" s="90">
        <f>SUM(R447:R449)</f>
        <v>0.1256944444</v>
      </c>
      <c r="S446" s="31" t="str">
        <f t="shared" si="99"/>
        <v>CTH</v>
      </c>
      <c r="T446" s="32" t="str">
        <f t="shared" si="100"/>
        <v>16</v>
      </c>
      <c r="U446" s="33" t="str">
        <f>CONCATENATE(C446, " - ",E446)</f>
        <v>Diwali Post - Insta</v>
      </c>
      <c r="V446" s="72"/>
      <c r="W446" s="72"/>
    </row>
    <row r="447" ht="21.75" hidden="1" customHeight="1" outlineLevel="2">
      <c r="A447" s="85"/>
      <c r="B447" s="21" t="s">
        <v>685</v>
      </c>
      <c r="C447" s="22"/>
      <c r="D447" s="22" t="s">
        <v>686</v>
      </c>
      <c r="E447" s="24" t="s">
        <v>26</v>
      </c>
      <c r="F447" s="25" t="s">
        <v>34</v>
      </c>
      <c r="G447" s="24"/>
      <c r="H447" s="35">
        <v>45239.0</v>
      </c>
      <c r="I447" s="27">
        <f t="shared" ref="I447:I449" si="101">IFERROR(IF($E447="Done", 1, IF(OR($E447="Working on it", $E447="In Review", $E447="On Hold"), 0.5, IF($E447="Not Started", 0, ""))), 0)</f>
        <v>1</v>
      </c>
      <c r="J447" s="28"/>
      <c r="K447" s="28"/>
      <c r="L447" s="17"/>
      <c r="M447" s="29">
        <v>45239.57334055555</v>
      </c>
      <c r="N447" s="75">
        <v>45240.674358159726</v>
      </c>
      <c r="O447" s="36" t="s">
        <v>687</v>
      </c>
      <c r="P447" s="36" t="s">
        <v>688</v>
      </c>
      <c r="Q447" s="37" t="s">
        <v>31</v>
      </c>
      <c r="R447" s="31">
        <v>0.125</v>
      </c>
      <c r="S447" s="31"/>
      <c r="T447" s="32"/>
      <c r="U447" s="73"/>
      <c r="V447" s="72"/>
      <c r="W447" s="72"/>
    </row>
    <row r="448" ht="21.75" hidden="1" customHeight="1" outlineLevel="2">
      <c r="A448" s="85"/>
      <c r="B448" s="21" t="s">
        <v>689</v>
      </c>
      <c r="C448" s="22"/>
      <c r="D448" s="22" t="s">
        <v>125</v>
      </c>
      <c r="E448" s="24" t="s">
        <v>26</v>
      </c>
      <c r="F448" s="25" t="s">
        <v>48</v>
      </c>
      <c r="G448" s="24"/>
      <c r="H448" s="35">
        <v>45240.0</v>
      </c>
      <c r="I448" s="27">
        <f t="shared" si="101"/>
        <v>1</v>
      </c>
      <c r="J448" s="28"/>
      <c r="K448" s="28"/>
      <c r="L448" s="17"/>
      <c r="M448" s="29">
        <v>45240.674616226854</v>
      </c>
      <c r="N448" s="75">
        <v>45240.67571659722</v>
      </c>
      <c r="O448" s="73"/>
      <c r="P448" s="73"/>
      <c r="Q448" s="37" t="s">
        <v>31</v>
      </c>
      <c r="R448" s="31">
        <v>6.944444444444445E-4</v>
      </c>
      <c r="S448" s="31"/>
      <c r="T448" s="32"/>
      <c r="U448" s="73"/>
      <c r="V448" s="72"/>
      <c r="W448" s="72"/>
    </row>
    <row r="449" ht="21.75" hidden="1" customHeight="1" outlineLevel="2">
      <c r="A449" s="85"/>
      <c r="B449" s="21" t="s">
        <v>690</v>
      </c>
      <c r="C449" s="22"/>
      <c r="D449" s="22" t="s">
        <v>47</v>
      </c>
      <c r="E449" s="24" t="s">
        <v>179</v>
      </c>
      <c r="F449" s="25" t="s">
        <v>48</v>
      </c>
      <c r="G449" s="24"/>
      <c r="H449" s="35">
        <v>45242.0</v>
      </c>
      <c r="I449" s="27">
        <f t="shared" si="101"/>
        <v>0</v>
      </c>
      <c r="J449" s="28"/>
      <c r="K449" s="28"/>
      <c r="L449" s="17"/>
      <c r="M449" s="29"/>
      <c r="N449" s="72"/>
      <c r="O449" s="73"/>
      <c r="P449" s="73"/>
      <c r="Q449" s="72"/>
      <c r="R449" s="72"/>
      <c r="S449" s="31"/>
      <c r="T449" s="32"/>
      <c r="U449" s="73"/>
      <c r="V449" s="72"/>
      <c r="W449" s="72"/>
    </row>
    <row r="450" ht="21.75" customHeight="1" outlineLevel="1">
      <c r="A450" s="85"/>
      <c r="B450" s="21" t="s">
        <v>691</v>
      </c>
      <c r="C450" s="22" t="s">
        <v>692</v>
      </c>
      <c r="D450" s="23"/>
      <c r="E450" s="24" t="s">
        <v>21</v>
      </c>
      <c r="F450" s="25" t="s">
        <v>48</v>
      </c>
      <c r="G450" s="24" t="s">
        <v>89</v>
      </c>
      <c r="H450" s="26">
        <f>MAX(H451:H453)</f>
        <v>45243</v>
      </c>
      <c r="I450" s="27" t="str">
        <f>IFERROR(__xludf.DUMMYFUNCTION("SPARKLINE(SUM(I451:I453), {""charttype"", ""bar""; ""max"", J450; ""color1"", ""green""})"),"")</f>
        <v/>
      </c>
      <c r="J450" s="28">
        <f>COUNT(I451:I453)</f>
        <v>3</v>
      </c>
      <c r="K450" s="28" t="str">
        <f>IF(ISNUMBER(B431), K431, "")</f>
        <v/>
      </c>
      <c r="L450" s="17"/>
      <c r="M450" s="29">
        <f>MIN(M451:M453)</f>
        <v>45237.65555</v>
      </c>
      <c r="N450" s="72">
        <f>MAX(N451:N453)</f>
        <v>0</v>
      </c>
      <c r="O450" s="73"/>
      <c r="P450" s="73"/>
      <c r="Q450" s="72"/>
      <c r="R450" s="72">
        <f>SUM(R451:R453)</f>
        <v>0</v>
      </c>
      <c r="S450" s="31" t="str">
        <f>IFERROR(MID(B450, FIND("-", B450) + 1, 3), "")</f>
        <v>CTH</v>
      </c>
      <c r="T450" s="32" t="str">
        <f>IFERROR(MID(B450, 8, LEN(B450)-7), "")
</f>
        <v>15</v>
      </c>
      <c r="U450" s="33" t="str">
        <f>CONCATENATE(C450, " - ",E450)</f>
        <v>POV: you bought your first GPU - Shorts</v>
      </c>
      <c r="V450" s="72"/>
      <c r="W450" s="72"/>
    </row>
    <row r="451" ht="21.75" customHeight="1" outlineLevel="2">
      <c r="A451" s="85"/>
      <c r="B451" s="21" t="s">
        <v>693</v>
      </c>
      <c r="C451" s="22"/>
      <c r="D451" s="22" t="s">
        <v>40</v>
      </c>
      <c r="E451" s="24" t="s">
        <v>388</v>
      </c>
      <c r="F451" s="25" t="s">
        <v>48</v>
      </c>
      <c r="G451" s="58" t="s">
        <v>694</v>
      </c>
      <c r="H451" s="35">
        <v>45240.0</v>
      </c>
      <c r="I451" s="27">
        <f t="shared" ref="I451:I453" si="102">IFERROR(IF($E451="Done", 1, IF(OR($E451="Working on it", $E451="In Review", $E451="On Hold"), 0.5, IF($E451="Not Started", 0, ""))), 0)</f>
        <v>0.5</v>
      </c>
      <c r="J451" s="28"/>
      <c r="K451" s="28"/>
      <c r="L451" s="17"/>
      <c r="M451" s="29">
        <v>45237.65555236111</v>
      </c>
      <c r="N451" s="72"/>
      <c r="O451" s="36" t="s">
        <v>695</v>
      </c>
      <c r="P451" s="36" t="s">
        <v>696</v>
      </c>
      <c r="Q451" s="37" t="s">
        <v>309</v>
      </c>
      <c r="R451" s="72"/>
      <c r="S451" s="31"/>
      <c r="T451" s="32"/>
      <c r="U451" s="73"/>
      <c r="V451" s="72"/>
      <c r="W451" s="72"/>
    </row>
    <row r="452" ht="21.75" customHeight="1" outlineLevel="2">
      <c r="A452" s="85"/>
      <c r="B452" s="21" t="s">
        <v>697</v>
      </c>
      <c r="C452" s="22"/>
      <c r="D452" s="22" t="s">
        <v>698</v>
      </c>
      <c r="E452" s="24" t="s">
        <v>26</v>
      </c>
      <c r="F452" s="25" t="s">
        <v>48</v>
      </c>
      <c r="G452" s="24"/>
      <c r="H452" s="35">
        <v>45238.0</v>
      </c>
      <c r="I452" s="27">
        <f t="shared" si="102"/>
        <v>1</v>
      </c>
      <c r="J452" s="28"/>
      <c r="K452" s="28"/>
      <c r="L452" s="17"/>
      <c r="M452" s="29"/>
      <c r="N452" s="72"/>
      <c r="O452" s="73"/>
      <c r="P452" s="73"/>
      <c r="Q452" s="72"/>
      <c r="R452" s="72"/>
      <c r="S452" s="31"/>
      <c r="T452" s="32"/>
      <c r="U452" s="73"/>
      <c r="V452" s="72"/>
      <c r="W452" s="72"/>
    </row>
    <row r="453" ht="21.75" customHeight="1" outlineLevel="2">
      <c r="A453" s="85"/>
      <c r="B453" s="21" t="s">
        <v>699</v>
      </c>
      <c r="C453" s="22"/>
      <c r="D453" s="22" t="s">
        <v>47</v>
      </c>
      <c r="E453" s="24" t="s">
        <v>179</v>
      </c>
      <c r="F453" s="25" t="s">
        <v>48</v>
      </c>
      <c r="G453" s="24"/>
      <c r="H453" s="35">
        <v>45243.0</v>
      </c>
      <c r="I453" s="27">
        <f t="shared" si="102"/>
        <v>0</v>
      </c>
      <c r="J453" s="28"/>
      <c r="K453" s="28"/>
      <c r="L453" s="17"/>
      <c r="M453" s="29"/>
      <c r="N453" s="72"/>
      <c r="O453" s="73"/>
      <c r="P453" s="73"/>
      <c r="Q453" s="72"/>
      <c r="R453" s="72"/>
      <c r="S453" s="31"/>
      <c r="T453" s="32"/>
      <c r="U453" s="73"/>
      <c r="V453" s="72"/>
      <c r="W453" s="72"/>
    </row>
    <row r="454" ht="21.75" customHeight="1" outlineLevel="1" collapsed="1">
      <c r="A454" s="85"/>
      <c r="B454" s="21" t="s">
        <v>700</v>
      </c>
      <c r="C454" s="22" t="s">
        <v>701</v>
      </c>
      <c r="D454" s="23"/>
      <c r="E454" s="24" t="s">
        <v>21</v>
      </c>
      <c r="F454" s="25" t="s">
        <v>48</v>
      </c>
      <c r="G454" s="24" t="s">
        <v>89</v>
      </c>
      <c r="H454" s="35">
        <f>MAX(H455:H458)</f>
        <v>45244</v>
      </c>
      <c r="I454" s="27" t="str">
        <f>IFERROR(__xludf.DUMMYFUNCTION("SPARKLINE(SUM(I455:I458), {""charttype"", ""bar""; ""max"", J454; ""color1"", ""green""})"),"")</f>
        <v/>
      </c>
      <c r="J454" s="28">
        <f>COUNT(I455:I458)</f>
        <v>4</v>
      </c>
      <c r="K454" s="28" t="str">
        <f>IF(ISNUMBER(B437), K437, "")</f>
        <v/>
      </c>
      <c r="L454" s="17"/>
      <c r="M454" s="29">
        <f>MIN(M455:M458)</f>
        <v>45233.49577</v>
      </c>
      <c r="N454" s="72">
        <f>MAX(N455:N458)</f>
        <v>45233.4999</v>
      </c>
      <c r="O454" s="73"/>
      <c r="P454" s="73"/>
      <c r="Q454" s="72"/>
      <c r="R454" s="72">
        <f>SUM(R455:R458)</f>
        <v>0.003472222222</v>
      </c>
      <c r="S454" s="31" t="str">
        <f>IFERROR(MID(B454, FIND("-", B454) + 1, 3), "")</f>
        <v>CTH</v>
      </c>
      <c r="T454" s="32" t="str">
        <f>IFERROR(MID(B454, 8, LEN(B454)-7), "")
</f>
        <v>13</v>
      </c>
      <c r="U454" s="33" t="str">
        <f>CONCATENATE(C454, " - ",E454)</f>
        <v>PC for Generative AI - Shorts</v>
      </c>
      <c r="V454" s="72"/>
      <c r="W454" s="72"/>
    </row>
    <row r="455" ht="21.75" hidden="1" customHeight="1" outlineLevel="2">
      <c r="A455" s="85"/>
      <c r="B455" s="21" t="s">
        <v>702</v>
      </c>
      <c r="C455" s="22"/>
      <c r="D455" s="22" t="s">
        <v>25</v>
      </c>
      <c r="E455" s="24" t="s">
        <v>26</v>
      </c>
      <c r="F455" s="25" t="s">
        <v>41</v>
      </c>
      <c r="G455" s="34" t="s">
        <v>703</v>
      </c>
      <c r="H455" s="35">
        <v>45232.0</v>
      </c>
      <c r="I455" s="27">
        <f t="shared" ref="I455:I458" si="103">IFERROR(IF($E455="Done", 1, IF(OR($E455="Working on it", $E455="In Review", $E455="On Hold"), 0.5, IF($E455="Not Started", 0, ""))), 0)</f>
        <v>1</v>
      </c>
      <c r="J455" s="28"/>
      <c r="K455" s="28"/>
      <c r="L455" s="17"/>
      <c r="M455" s="29"/>
      <c r="N455" s="72"/>
      <c r="O455" s="73"/>
      <c r="P455" s="73"/>
      <c r="Q455" s="72"/>
      <c r="R455" s="72"/>
      <c r="S455" s="31"/>
      <c r="T455" s="32"/>
      <c r="U455" s="73"/>
      <c r="V455" s="72"/>
      <c r="W455" s="72"/>
    </row>
    <row r="456" ht="21.75" hidden="1" customHeight="1" outlineLevel="2">
      <c r="A456" s="85"/>
      <c r="B456" s="21" t="s">
        <v>704</v>
      </c>
      <c r="C456" s="22"/>
      <c r="D456" s="22" t="s">
        <v>112</v>
      </c>
      <c r="E456" s="24" t="s">
        <v>26</v>
      </c>
      <c r="F456" s="25" t="s">
        <v>48</v>
      </c>
      <c r="G456" s="24"/>
      <c r="H456" s="35">
        <v>45232.0</v>
      </c>
      <c r="I456" s="27">
        <f t="shared" si="103"/>
        <v>1</v>
      </c>
      <c r="J456" s="28"/>
      <c r="K456" s="28"/>
      <c r="L456" s="17"/>
      <c r="M456" s="29">
        <v>45233.49576795139</v>
      </c>
      <c r="N456" s="75">
        <v>45233.49990222222</v>
      </c>
      <c r="O456" s="73"/>
      <c r="P456" s="73"/>
      <c r="Q456" s="37" t="s">
        <v>31</v>
      </c>
      <c r="R456" s="31">
        <v>0.003472222222222222</v>
      </c>
      <c r="S456" s="31"/>
      <c r="T456" s="32"/>
      <c r="U456" s="73"/>
      <c r="V456" s="72"/>
      <c r="W456" s="72"/>
    </row>
    <row r="457" ht="21.75" hidden="1" customHeight="1" outlineLevel="2">
      <c r="A457" s="85"/>
      <c r="B457" s="21" t="s">
        <v>705</v>
      </c>
      <c r="C457" s="22"/>
      <c r="D457" s="22" t="s">
        <v>40</v>
      </c>
      <c r="E457" s="24" t="s">
        <v>388</v>
      </c>
      <c r="F457" s="25" t="s">
        <v>34</v>
      </c>
      <c r="G457" s="24"/>
      <c r="H457" s="35">
        <v>45240.0</v>
      </c>
      <c r="I457" s="27">
        <f t="shared" si="103"/>
        <v>0.5</v>
      </c>
      <c r="J457" s="28"/>
      <c r="K457" s="28"/>
      <c r="L457" s="17"/>
      <c r="M457" s="29">
        <v>45233.71590563658</v>
      </c>
      <c r="N457" s="72"/>
      <c r="O457" s="36" t="s">
        <v>706</v>
      </c>
      <c r="P457" s="73"/>
      <c r="Q457" s="37" t="s">
        <v>309</v>
      </c>
      <c r="R457" s="72"/>
      <c r="S457" s="31"/>
      <c r="T457" s="32"/>
      <c r="U457" s="73"/>
      <c r="V457" s="72"/>
      <c r="W457" s="72"/>
    </row>
    <row r="458" ht="21.75" hidden="1" customHeight="1" outlineLevel="2">
      <c r="A458" s="85"/>
      <c r="B458" s="21" t="s">
        <v>707</v>
      </c>
      <c r="C458" s="22"/>
      <c r="D458" s="22" t="s">
        <v>47</v>
      </c>
      <c r="E458" s="24" t="s">
        <v>179</v>
      </c>
      <c r="F458" s="25" t="s">
        <v>48</v>
      </c>
      <c r="G458" s="24"/>
      <c r="H458" s="35">
        <v>45244.0</v>
      </c>
      <c r="I458" s="27">
        <f t="shared" si="103"/>
        <v>0</v>
      </c>
      <c r="J458" s="28"/>
      <c r="K458" s="28"/>
      <c r="L458" s="17"/>
      <c r="M458" s="29"/>
      <c r="N458" s="72"/>
      <c r="O458" s="73"/>
      <c r="P458" s="73"/>
      <c r="Q458" s="72"/>
      <c r="R458" s="72"/>
      <c r="S458" s="31"/>
      <c r="T458" s="32"/>
      <c r="U458" s="73"/>
      <c r="V458" s="72"/>
      <c r="W458" s="72"/>
    </row>
    <row r="459" ht="21.75" customHeight="1" outlineLevel="1" collapsed="1">
      <c r="A459" s="85"/>
      <c r="B459" s="21" t="s">
        <v>708</v>
      </c>
      <c r="C459" s="22" t="s">
        <v>709</v>
      </c>
      <c r="D459" s="23"/>
      <c r="E459" s="24" t="s">
        <v>21</v>
      </c>
      <c r="F459" s="25" t="s">
        <v>48</v>
      </c>
      <c r="G459" s="24" t="s">
        <v>89</v>
      </c>
      <c r="H459" s="26">
        <f>MAX(H460:H464)</f>
        <v>45245</v>
      </c>
      <c r="I459" s="27" t="str">
        <f>IFERROR(__xludf.DUMMYFUNCTION("SPARKLINE(SUM(I460:I464), {""charttype"", ""bar""; ""max"", J459; ""color1"", ""green""})"),"")</f>
        <v/>
      </c>
      <c r="J459" s="28">
        <f>COUNT(I460:I464)</f>
        <v>5</v>
      </c>
      <c r="K459" s="28" t="str">
        <f>IF(ISNUMBER(B449), K449, "")</f>
        <v/>
      </c>
      <c r="L459" s="17"/>
      <c r="M459" s="29">
        <f>MIN(M460:M464)</f>
        <v>0</v>
      </c>
      <c r="N459" s="72">
        <f>MAX(N460:N464)</f>
        <v>0</v>
      </c>
      <c r="O459" s="73"/>
      <c r="P459" s="73"/>
      <c r="Q459" s="72"/>
      <c r="R459" s="72">
        <f>SUM(R460:R464)</f>
        <v>0</v>
      </c>
      <c r="S459" s="31" t="str">
        <f>IFERROR(MID(B459, FIND("-", B459) + 1, 3), "")</f>
        <v>CTH</v>
      </c>
      <c r="T459" s="32" t="str">
        <f>IFERROR(MID(B459, 8, LEN(B459)-7), "")
</f>
        <v>17</v>
      </c>
      <c r="U459" s="33" t="str">
        <f>CONCATENATE(C459, " - ",E459)</f>
        <v>Ada Lovelace - Power Efficiency - Shorts</v>
      </c>
      <c r="V459" s="72"/>
      <c r="W459" s="72"/>
    </row>
    <row r="460" ht="21.75" hidden="1" customHeight="1" outlineLevel="2">
      <c r="A460" s="85"/>
      <c r="B460" s="21" t="s">
        <v>710</v>
      </c>
      <c r="C460" s="22"/>
      <c r="D460" s="22" t="s">
        <v>25</v>
      </c>
      <c r="E460" s="24" t="s">
        <v>179</v>
      </c>
      <c r="F460" s="25"/>
      <c r="G460" s="24"/>
      <c r="H460" s="35">
        <v>45236.0</v>
      </c>
      <c r="I460" s="27">
        <f t="shared" ref="I460:I464" si="104">IFERROR(IF($E460="Done", 1, IF(OR($E460="Working on it", $E460="In Review", $E460="On Hold"), 0.5, IF($E460="Not Started", 0, ""))), 0)</f>
        <v>0</v>
      </c>
      <c r="J460" s="28"/>
      <c r="K460" s="28"/>
      <c r="L460" s="17"/>
      <c r="M460" s="29"/>
      <c r="N460" s="72"/>
      <c r="O460" s="73"/>
      <c r="P460" s="73"/>
      <c r="Q460" s="72"/>
      <c r="R460" s="72"/>
      <c r="S460" s="31"/>
      <c r="T460" s="32"/>
      <c r="U460" s="73"/>
      <c r="V460" s="72"/>
      <c r="W460" s="72"/>
    </row>
    <row r="461" ht="21.75" hidden="1" customHeight="1" outlineLevel="2">
      <c r="A461" s="85"/>
      <c r="B461" s="21" t="s">
        <v>711</v>
      </c>
      <c r="C461" s="22"/>
      <c r="D461" s="22" t="s">
        <v>33</v>
      </c>
      <c r="E461" s="24" t="s">
        <v>179</v>
      </c>
      <c r="F461" s="25"/>
      <c r="G461" s="24"/>
      <c r="H461" s="35">
        <v>45236.0</v>
      </c>
      <c r="I461" s="27">
        <f t="shared" si="104"/>
        <v>0</v>
      </c>
      <c r="J461" s="28"/>
      <c r="K461" s="28"/>
      <c r="L461" s="17"/>
      <c r="M461" s="29"/>
      <c r="N461" s="72"/>
      <c r="O461" s="73"/>
      <c r="P461" s="73"/>
      <c r="Q461" s="72"/>
      <c r="R461" s="72"/>
      <c r="S461" s="31"/>
      <c r="T461" s="32"/>
      <c r="U461" s="73"/>
      <c r="V461" s="72"/>
      <c r="W461" s="72"/>
    </row>
    <row r="462" ht="21.75" hidden="1" customHeight="1" outlineLevel="2">
      <c r="A462" s="85"/>
      <c r="B462" s="21" t="s">
        <v>712</v>
      </c>
      <c r="C462" s="22"/>
      <c r="D462" s="22" t="s">
        <v>38</v>
      </c>
      <c r="E462" s="24" t="s">
        <v>179</v>
      </c>
      <c r="F462" s="25"/>
      <c r="G462" s="24"/>
      <c r="H462" s="35">
        <v>45236.0</v>
      </c>
      <c r="I462" s="27">
        <f t="shared" si="104"/>
        <v>0</v>
      </c>
      <c r="J462" s="28"/>
      <c r="K462" s="28"/>
      <c r="L462" s="17"/>
      <c r="M462" s="29"/>
      <c r="N462" s="72"/>
      <c r="O462" s="73"/>
      <c r="P462" s="73"/>
      <c r="Q462" s="72"/>
      <c r="R462" s="72"/>
      <c r="S462" s="31"/>
      <c r="T462" s="32"/>
      <c r="U462" s="73"/>
      <c r="V462" s="72"/>
      <c r="W462" s="72"/>
    </row>
    <row r="463" ht="21.75" hidden="1" customHeight="1" outlineLevel="2">
      <c r="A463" s="85"/>
      <c r="B463" s="21" t="s">
        <v>713</v>
      </c>
      <c r="C463" s="22"/>
      <c r="D463" s="22" t="s">
        <v>40</v>
      </c>
      <c r="E463" s="24" t="s">
        <v>179</v>
      </c>
      <c r="F463" s="25"/>
      <c r="G463" s="24"/>
      <c r="H463" s="35">
        <v>45236.0</v>
      </c>
      <c r="I463" s="27">
        <f t="shared" si="104"/>
        <v>0</v>
      </c>
      <c r="J463" s="28"/>
      <c r="K463" s="28"/>
      <c r="L463" s="17"/>
      <c r="M463" s="29"/>
      <c r="N463" s="72"/>
      <c r="O463" s="73"/>
      <c r="P463" s="73"/>
      <c r="Q463" s="72"/>
      <c r="R463" s="72"/>
      <c r="S463" s="31"/>
      <c r="T463" s="32"/>
      <c r="U463" s="73"/>
      <c r="V463" s="72"/>
      <c r="W463" s="72"/>
    </row>
    <row r="464" ht="21.75" hidden="1" customHeight="1" outlineLevel="2">
      <c r="A464" s="85"/>
      <c r="B464" s="21" t="s">
        <v>714</v>
      </c>
      <c r="C464" s="22"/>
      <c r="D464" s="22" t="s">
        <v>47</v>
      </c>
      <c r="E464" s="24" t="s">
        <v>179</v>
      </c>
      <c r="F464" s="25"/>
      <c r="G464" s="24"/>
      <c r="H464" s="35">
        <v>45245.0</v>
      </c>
      <c r="I464" s="27">
        <f t="shared" si="104"/>
        <v>0</v>
      </c>
      <c r="J464" s="28"/>
      <c r="K464" s="28"/>
      <c r="L464" s="17"/>
      <c r="M464" s="29"/>
      <c r="N464" s="72"/>
      <c r="O464" s="73"/>
      <c r="P464" s="73"/>
      <c r="Q464" s="72"/>
      <c r="R464" s="72"/>
      <c r="S464" s="31"/>
      <c r="T464" s="32"/>
      <c r="U464" s="73"/>
      <c r="V464" s="72"/>
      <c r="W464" s="72"/>
    </row>
    <row r="465" ht="21.75" customHeight="1" outlineLevel="1">
      <c r="A465" s="85"/>
      <c r="B465" s="21" t="s">
        <v>715</v>
      </c>
      <c r="C465" s="22" t="s">
        <v>716</v>
      </c>
      <c r="D465" s="23"/>
      <c r="E465" s="24" t="s">
        <v>21</v>
      </c>
      <c r="F465" s="25" t="s">
        <v>48</v>
      </c>
      <c r="G465" s="24" t="s">
        <v>89</v>
      </c>
      <c r="H465" s="26">
        <f>MAX(H466:H470)</f>
        <v>45246</v>
      </c>
      <c r="I465" s="27" t="str">
        <f>IFERROR(__xludf.DUMMYFUNCTION("SPARKLINE(SUM(I466:I470), {""charttype"", ""bar""; ""max"", J465; ""color1"", ""green""})"),"")</f>
        <v/>
      </c>
      <c r="J465" s="28">
        <f>COUNT(I466:I470)</f>
        <v>4</v>
      </c>
      <c r="K465" s="28" t="str">
        <f>IF(ISNUMBER(B464), K464, "")</f>
        <v/>
      </c>
      <c r="L465" s="17"/>
      <c r="M465" s="29">
        <f>MIN(M466:M470)</f>
        <v>45240.79036</v>
      </c>
      <c r="N465" s="72">
        <f>MAX(N466:N470)</f>
        <v>0</v>
      </c>
      <c r="O465" s="73"/>
      <c r="P465" s="73"/>
      <c r="Q465" s="72"/>
      <c r="R465" s="72">
        <f>SUM(R466:R470)</f>
        <v>0</v>
      </c>
      <c r="S465" s="31" t="str">
        <f>IFERROR(MID(B465, FIND("-", B465) + 1, 3), "")</f>
        <v>CTH</v>
      </c>
      <c r="T465" s="32" t="str">
        <f>IFERROR(MID(B465, 8, LEN(B465)-7), "")
</f>
        <v>18</v>
      </c>
      <c r="U465" s="33" t="str">
        <f>CONCATENATE(C465, " - ",E465)</f>
        <v>How to Upgrade your GPU - Shorts</v>
      </c>
      <c r="V465" s="72"/>
      <c r="W465" s="72"/>
    </row>
    <row r="466" ht="21.75" customHeight="1" outlineLevel="2">
      <c r="A466" s="85"/>
      <c r="B466" s="21" t="s">
        <v>717</v>
      </c>
      <c r="C466" s="22"/>
      <c r="D466" s="22" t="s">
        <v>25</v>
      </c>
      <c r="E466" s="24" t="s">
        <v>388</v>
      </c>
      <c r="F466" s="25" t="s">
        <v>41</v>
      </c>
      <c r="G466" s="58" t="s">
        <v>718</v>
      </c>
      <c r="H466" s="35">
        <v>45241.0</v>
      </c>
      <c r="I466" s="27">
        <f>IFERROR(IF($E466="Done", 1, IF(OR($E466="Working on it", $E466="In Review", $E466="On Hold"), 0.5, IF($E466="Not Started", 0, ""))), 0)</f>
        <v>0.5</v>
      </c>
      <c r="J466" s="28"/>
      <c r="K466" s="28"/>
      <c r="L466" s="17"/>
      <c r="M466" s="29">
        <v>45240.79036266204</v>
      </c>
      <c r="N466" s="72"/>
      <c r="O466" s="36" t="s">
        <v>719</v>
      </c>
      <c r="P466" s="73"/>
      <c r="Q466" s="37" t="s">
        <v>309</v>
      </c>
      <c r="R466" s="72"/>
      <c r="S466" s="31"/>
      <c r="T466" s="32"/>
      <c r="U466" s="73"/>
      <c r="V466" s="72"/>
      <c r="W466" s="72"/>
    </row>
    <row r="467" ht="21.75" customHeight="1" outlineLevel="2">
      <c r="A467" s="85"/>
      <c r="B467" s="21" t="s">
        <v>720</v>
      </c>
      <c r="C467" s="22"/>
      <c r="D467" s="22" t="s">
        <v>112</v>
      </c>
      <c r="E467" s="24" t="s">
        <v>179</v>
      </c>
      <c r="F467" s="25" t="s">
        <v>48</v>
      </c>
      <c r="G467" s="24"/>
      <c r="H467" s="35">
        <v>45241.0</v>
      </c>
      <c r="I467" s="27"/>
      <c r="J467" s="28"/>
      <c r="K467" s="28"/>
      <c r="L467" s="17"/>
      <c r="M467" s="29"/>
      <c r="N467" s="72"/>
      <c r="O467" s="73"/>
      <c r="P467" s="73"/>
      <c r="Q467" s="72"/>
      <c r="R467" s="72"/>
      <c r="S467" s="31"/>
      <c r="T467" s="32"/>
      <c r="U467" s="73"/>
      <c r="V467" s="72"/>
      <c r="W467" s="72"/>
    </row>
    <row r="468" ht="21.75" customHeight="1" outlineLevel="2">
      <c r="A468" s="85"/>
      <c r="B468" s="21" t="s">
        <v>721</v>
      </c>
      <c r="C468" s="22"/>
      <c r="D468" s="22" t="s">
        <v>33</v>
      </c>
      <c r="E468" s="24" t="s">
        <v>179</v>
      </c>
      <c r="F468" s="25" t="s">
        <v>34</v>
      </c>
      <c r="G468" s="24"/>
      <c r="H468" s="35">
        <v>45241.0</v>
      </c>
      <c r="I468" s="27">
        <f t="shared" ref="I468:I470" si="105">IFERROR(IF($E468="Done", 1, IF(OR($E468="Working on it", $E468="In Review", $E468="On Hold"), 0.5, IF($E468="Not Started", 0, ""))), 0)</f>
        <v>0</v>
      </c>
      <c r="J468" s="28"/>
      <c r="K468" s="28"/>
      <c r="L468" s="17"/>
      <c r="M468" s="29"/>
      <c r="N468" s="72"/>
      <c r="O468" s="73"/>
      <c r="P468" s="73"/>
      <c r="Q468" s="72"/>
      <c r="R468" s="72"/>
      <c r="S468" s="31"/>
      <c r="T468" s="32"/>
      <c r="U468" s="73"/>
      <c r="V468" s="72"/>
      <c r="W468" s="72"/>
    </row>
    <row r="469" ht="21.75" customHeight="1" outlineLevel="2">
      <c r="A469" s="85"/>
      <c r="B469" s="21" t="s">
        <v>722</v>
      </c>
      <c r="C469" s="22"/>
      <c r="D469" s="22" t="s">
        <v>40</v>
      </c>
      <c r="E469" s="24" t="s">
        <v>179</v>
      </c>
      <c r="F469" s="25" t="s">
        <v>48</v>
      </c>
      <c r="G469" s="24"/>
      <c r="H469" s="35">
        <v>45243.0</v>
      </c>
      <c r="I469" s="27">
        <f t="shared" si="105"/>
        <v>0</v>
      </c>
      <c r="J469" s="28"/>
      <c r="K469" s="28"/>
      <c r="L469" s="17"/>
      <c r="M469" s="29"/>
      <c r="N469" s="72"/>
      <c r="O469" s="73"/>
      <c r="P469" s="73"/>
      <c r="Q469" s="72"/>
      <c r="R469" s="72"/>
      <c r="S469" s="31"/>
      <c r="T469" s="32"/>
      <c r="U469" s="73"/>
      <c r="V469" s="72"/>
      <c r="W469" s="72"/>
    </row>
    <row r="470" ht="21.75" customHeight="1" outlineLevel="2">
      <c r="A470" s="85"/>
      <c r="B470" s="21" t="s">
        <v>723</v>
      </c>
      <c r="C470" s="22"/>
      <c r="D470" s="22" t="s">
        <v>47</v>
      </c>
      <c r="E470" s="24" t="s">
        <v>179</v>
      </c>
      <c r="F470" s="25" t="s">
        <v>48</v>
      </c>
      <c r="G470" s="24"/>
      <c r="H470" s="35">
        <v>45246.0</v>
      </c>
      <c r="I470" s="27">
        <f t="shared" si="105"/>
        <v>0</v>
      </c>
      <c r="J470" s="28"/>
      <c r="K470" s="28"/>
      <c r="L470" s="17"/>
      <c r="M470" s="29"/>
      <c r="N470" s="72"/>
      <c r="O470" s="73"/>
      <c r="P470" s="73"/>
      <c r="Q470" s="72"/>
      <c r="R470" s="72"/>
      <c r="S470" s="31"/>
      <c r="T470" s="32"/>
      <c r="U470" s="73"/>
      <c r="V470" s="72"/>
      <c r="W470" s="72"/>
    </row>
    <row r="471" ht="21.75" customHeight="1" outlineLevel="1" collapsed="1">
      <c r="A471" s="85"/>
      <c r="B471" s="21" t="s">
        <v>724</v>
      </c>
      <c r="C471" s="22" t="s">
        <v>725</v>
      </c>
      <c r="D471" s="23"/>
      <c r="E471" s="24" t="s">
        <v>21</v>
      </c>
      <c r="F471" s="25" t="s">
        <v>48</v>
      </c>
      <c r="G471" s="24" t="s">
        <v>89</v>
      </c>
      <c r="H471" s="26">
        <f>MAX(H472:H475)</f>
        <v>45247</v>
      </c>
      <c r="I471" s="27" t="str">
        <f>IFERROR(__xludf.DUMMYFUNCTION("SPARKLINE(SUM(I472:I475), {""charttype"", ""bar""; ""max"", J471; ""color1"", ""green""})"),"")</f>
        <v/>
      </c>
      <c r="J471" s="28">
        <f>COUNT(I472:I475)</f>
        <v>3</v>
      </c>
      <c r="K471" s="28" t="str">
        <f>IF(ISNUMBER(B470), K470, "")</f>
        <v/>
      </c>
      <c r="L471" s="17"/>
      <c r="M471" s="29">
        <f>MIN(M472:M475)</f>
        <v>0</v>
      </c>
      <c r="N471" s="72">
        <f>MAX(N472:N475)</f>
        <v>0</v>
      </c>
      <c r="O471" s="73"/>
      <c r="P471" s="73"/>
      <c r="Q471" s="72"/>
      <c r="R471" s="72">
        <f>SUM(R472:R475)</f>
        <v>0</v>
      </c>
      <c r="S471" s="31" t="str">
        <f>IFERROR(MID(B471, FIND("-", B471) + 1, 3), "")</f>
        <v>CTH</v>
      </c>
      <c r="T471" s="32" t="str">
        <f>IFERROR(MID(B471, 8, LEN(B471)-7), "")
</f>
        <v>19</v>
      </c>
      <c r="U471" s="33" t="str">
        <f>CONCATENATE(C471, " - ",E471)</f>
        <v>Deep Learning Anti-Aliasing - Shorts</v>
      </c>
      <c r="V471" s="72"/>
      <c r="W471" s="72"/>
    </row>
    <row r="472" ht="21.75" hidden="1" customHeight="1" outlineLevel="2">
      <c r="A472" s="85"/>
      <c r="B472" s="21" t="s">
        <v>726</v>
      </c>
      <c r="C472" s="22"/>
      <c r="D472" s="22" t="s">
        <v>25</v>
      </c>
      <c r="E472" s="24" t="s">
        <v>179</v>
      </c>
      <c r="F472" s="25" t="s">
        <v>41</v>
      </c>
      <c r="G472" s="24"/>
      <c r="H472" s="35">
        <v>45241.0</v>
      </c>
      <c r="I472" s="27">
        <f>IFERROR(IF($E472="Done", 1, IF(OR($E472="Working on it", $E472="In Review", $E472="On Hold"), 0.5, IF($E472="Not Started", 0, ""))), 0)</f>
        <v>0</v>
      </c>
      <c r="J472" s="28"/>
      <c r="K472" s="28"/>
      <c r="L472" s="17"/>
      <c r="M472" s="29"/>
      <c r="N472" s="72"/>
      <c r="O472" s="73"/>
      <c r="P472" s="73"/>
      <c r="Q472" s="72"/>
      <c r="R472" s="72"/>
      <c r="S472" s="31"/>
      <c r="T472" s="32"/>
      <c r="U472" s="73"/>
      <c r="V472" s="72"/>
      <c r="W472" s="72"/>
    </row>
    <row r="473" ht="21.75" hidden="1" customHeight="1" outlineLevel="2">
      <c r="A473" s="85"/>
      <c r="B473" s="21" t="s">
        <v>727</v>
      </c>
      <c r="C473" s="22"/>
      <c r="D473" s="22" t="s">
        <v>112</v>
      </c>
      <c r="E473" s="24" t="s">
        <v>179</v>
      </c>
      <c r="F473" s="25" t="s">
        <v>48</v>
      </c>
      <c r="G473" s="24"/>
      <c r="H473" s="35">
        <v>45244.0</v>
      </c>
      <c r="I473" s="27"/>
      <c r="J473" s="28"/>
      <c r="K473" s="28"/>
      <c r="L473" s="17"/>
      <c r="M473" s="29"/>
      <c r="N473" s="72"/>
      <c r="O473" s="73"/>
      <c r="P473" s="73"/>
      <c r="Q473" s="72"/>
      <c r="R473" s="72"/>
      <c r="S473" s="31"/>
      <c r="T473" s="32"/>
      <c r="U473" s="73"/>
      <c r="V473" s="72"/>
      <c r="W473" s="72"/>
    </row>
    <row r="474" ht="21.75" hidden="1" customHeight="1" outlineLevel="2">
      <c r="A474" s="85"/>
      <c r="B474" s="21" t="s">
        <v>728</v>
      </c>
      <c r="C474" s="22"/>
      <c r="D474" s="22" t="s">
        <v>40</v>
      </c>
      <c r="E474" s="24" t="s">
        <v>179</v>
      </c>
      <c r="F474" s="25" t="s">
        <v>48</v>
      </c>
      <c r="G474" s="24"/>
      <c r="H474" s="35">
        <v>45244.0</v>
      </c>
      <c r="I474" s="27">
        <f t="shared" ref="I474:I475" si="106">IFERROR(IF($E474="Done", 1, IF(OR($E474="Working on it", $E474="In Review", $E474="On Hold"), 0.5, IF($E474="Not Started", 0, ""))), 0)</f>
        <v>0</v>
      </c>
      <c r="J474" s="28"/>
      <c r="K474" s="28"/>
      <c r="L474" s="17"/>
      <c r="M474" s="29"/>
      <c r="N474" s="72"/>
      <c r="O474" s="73"/>
      <c r="P474" s="73"/>
      <c r="Q474" s="72"/>
      <c r="R474" s="72"/>
      <c r="S474" s="31"/>
      <c r="T474" s="32"/>
      <c r="U474" s="73"/>
      <c r="V474" s="72"/>
      <c r="W474" s="72"/>
    </row>
    <row r="475" ht="21.75" hidden="1" customHeight="1" outlineLevel="2">
      <c r="A475" s="85"/>
      <c r="B475" s="21" t="s">
        <v>729</v>
      </c>
      <c r="C475" s="22"/>
      <c r="D475" s="22" t="s">
        <v>47</v>
      </c>
      <c r="E475" s="24" t="s">
        <v>179</v>
      </c>
      <c r="F475" s="25" t="s">
        <v>48</v>
      </c>
      <c r="G475" s="24"/>
      <c r="H475" s="35">
        <v>45247.0</v>
      </c>
      <c r="I475" s="27">
        <f t="shared" si="106"/>
        <v>0</v>
      </c>
      <c r="J475" s="28"/>
      <c r="K475" s="28"/>
      <c r="L475" s="17"/>
      <c r="M475" s="29"/>
      <c r="N475" s="72"/>
      <c r="O475" s="73"/>
      <c r="P475" s="73"/>
      <c r="Q475" s="72"/>
      <c r="R475" s="72"/>
      <c r="S475" s="31"/>
      <c r="T475" s="32"/>
      <c r="U475" s="73"/>
      <c r="V475" s="72"/>
      <c r="W475" s="72"/>
    </row>
    <row r="476" ht="21.75" customHeight="1" outlineLevel="1" collapsed="1">
      <c r="A476" s="85"/>
      <c r="B476" s="21" t="s">
        <v>730</v>
      </c>
      <c r="C476" s="22" t="s">
        <v>731</v>
      </c>
      <c r="D476" s="23"/>
      <c r="E476" s="24" t="s">
        <v>21</v>
      </c>
      <c r="F476" s="25" t="s">
        <v>48</v>
      </c>
      <c r="G476" s="24" t="s">
        <v>89</v>
      </c>
      <c r="H476" s="26">
        <f>MAX(H477:H481)</f>
        <v>45248</v>
      </c>
      <c r="I476" s="27" t="str">
        <f>IFERROR(__xludf.DUMMYFUNCTION("SPARKLINE(SUM(I477:I481), {""charttype"", ""bar""; ""max"", J476; ""color1"", ""green""})"),"")</f>
        <v/>
      </c>
      <c r="J476" s="28">
        <f>COUNT(I477:I481)</f>
        <v>5</v>
      </c>
      <c r="K476" s="28" t="str">
        <f>IF(ISNUMBER(B475), K475, "")</f>
        <v/>
      </c>
      <c r="L476" s="17"/>
      <c r="M476" s="29">
        <f>MIN(M477:M481)</f>
        <v>0</v>
      </c>
      <c r="N476" s="72">
        <f>MAX(N477:N481)</f>
        <v>0</v>
      </c>
      <c r="O476" s="73"/>
      <c r="P476" s="73"/>
      <c r="Q476" s="72"/>
      <c r="R476" s="72">
        <f>SUM(R477:R481)</f>
        <v>0</v>
      </c>
      <c r="S476" s="31" t="str">
        <f>IFERROR(MID(B476, FIND("-", B476) + 1, 3), "")</f>
        <v>CTH</v>
      </c>
      <c r="T476" s="32" t="str">
        <f>IFERROR(MID(B476, 8, LEN(B476)-7), "")
</f>
        <v>20</v>
      </c>
      <c r="U476" s="33" t="str">
        <f>CONCATENATE(C476, " - ",E476)</f>
        <v>When can you upgrade your GPU - Shorts</v>
      </c>
      <c r="V476" s="72"/>
      <c r="W476" s="72"/>
    </row>
    <row r="477" ht="21.75" hidden="1" customHeight="1" outlineLevel="2">
      <c r="A477" s="85"/>
      <c r="B477" s="21" t="s">
        <v>732</v>
      </c>
      <c r="C477" s="22"/>
      <c r="D477" s="22" t="s">
        <v>25</v>
      </c>
      <c r="E477" s="24" t="s">
        <v>179</v>
      </c>
      <c r="F477" s="25" t="s">
        <v>41</v>
      </c>
      <c r="G477" s="24"/>
      <c r="H477" s="35">
        <v>45242.0</v>
      </c>
      <c r="I477" s="27">
        <f t="shared" ref="I477:I481" si="107">IFERROR(IF($E477="Done", 1, IF(OR($E477="Working on it", $E477="In Review", $E477="On Hold"), 0.5, IF($E477="Not Started", 0, ""))), 0)</f>
        <v>0</v>
      </c>
      <c r="J477" s="28"/>
      <c r="K477" s="28"/>
      <c r="L477" s="17"/>
      <c r="M477" s="29"/>
      <c r="N477" s="72"/>
      <c r="O477" s="73"/>
      <c r="P477" s="73"/>
      <c r="Q477" s="72"/>
      <c r="R477" s="72"/>
      <c r="S477" s="31"/>
      <c r="T477" s="32"/>
      <c r="U477" s="73"/>
      <c r="V477" s="72"/>
      <c r="W477" s="72"/>
    </row>
    <row r="478" ht="21.75" hidden="1" customHeight="1" outlineLevel="2">
      <c r="A478" s="85"/>
      <c r="B478" s="21" t="s">
        <v>733</v>
      </c>
      <c r="C478" s="22"/>
      <c r="D478" s="22" t="s">
        <v>112</v>
      </c>
      <c r="E478" s="24" t="s">
        <v>179</v>
      </c>
      <c r="F478" s="25" t="s">
        <v>48</v>
      </c>
      <c r="G478" s="24"/>
      <c r="H478" s="35">
        <v>45243.0</v>
      </c>
      <c r="I478" s="27">
        <f t="shared" si="107"/>
        <v>0</v>
      </c>
      <c r="J478" s="28"/>
      <c r="K478" s="28"/>
      <c r="L478" s="17"/>
      <c r="M478" s="29"/>
      <c r="N478" s="72"/>
      <c r="O478" s="73"/>
      <c r="P478" s="73"/>
      <c r="Q478" s="72"/>
      <c r="R478" s="72"/>
      <c r="S478" s="31"/>
      <c r="T478" s="32"/>
      <c r="U478" s="73"/>
      <c r="V478" s="72"/>
      <c r="W478" s="72"/>
    </row>
    <row r="479" ht="21.75" hidden="1" customHeight="1" outlineLevel="2">
      <c r="A479" s="85"/>
      <c r="B479" s="21" t="s">
        <v>734</v>
      </c>
      <c r="C479" s="22"/>
      <c r="D479" s="22" t="s">
        <v>33</v>
      </c>
      <c r="E479" s="24" t="s">
        <v>179</v>
      </c>
      <c r="F479" s="25" t="s">
        <v>34</v>
      </c>
      <c r="G479" s="24"/>
      <c r="H479" s="35">
        <v>45244.0</v>
      </c>
      <c r="I479" s="27">
        <f t="shared" si="107"/>
        <v>0</v>
      </c>
      <c r="J479" s="28"/>
      <c r="K479" s="28"/>
      <c r="L479" s="17"/>
      <c r="M479" s="29"/>
      <c r="N479" s="72"/>
      <c r="O479" s="73"/>
      <c r="P479" s="73"/>
      <c r="Q479" s="72"/>
      <c r="R479" s="72"/>
      <c r="S479" s="31"/>
      <c r="T479" s="32"/>
      <c r="U479" s="73"/>
      <c r="V479" s="72"/>
      <c r="W479" s="72"/>
    </row>
    <row r="480" ht="21.75" hidden="1" customHeight="1" outlineLevel="2">
      <c r="A480" s="85"/>
      <c r="B480" s="21" t="s">
        <v>735</v>
      </c>
      <c r="C480" s="22"/>
      <c r="D480" s="22" t="s">
        <v>40</v>
      </c>
      <c r="E480" s="24" t="s">
        <v>179</v>
      </c>
      <c r="F480" s="25" t="s">
        <v>48</v>
      </c>
      <c r="G480" s="24"/>
      <c r="H480" s="35">
        <v>45245.0</v>
      </c>
      <c r="I480" s="27">
        <f t="shared" si="107"/>
        <v>0</v>
      </c>
      <c r="J480" s="28"/>
      <c r="K480" s="28"/>
      <c r="L480" s="17"/>
      <c r="M480" s="29"/>
      <c r="N480" s="72"/>
      <c r="O480" s="73"/>
      <c r="P480" s="73"/>
      <c r="Q480" s="72"/>
      <c r="R480" s="72"/>
      <c r="S480" s="31"/>
      <c r="T480" s="32"/>
      <c r="U480" s="73"/>
      <c r="V480" s="72"/>
      <c r="W480" s="72"/>
    </row>
    <row r="481" ht="21.75" hidden="1" customHeight="1" outlineLevel="2">
      <c r="A481" s="85"/>
      <c r="B481" s="21" t="s">
        <v>736</v>
      </c>
      <c r="C481" s="22"/>
      <c r="D481" s="22" t="s">
        <v>47</v>
      </c>
      <c r="E481" s="24" t="s">
        <v>179</v>
      </c>
      <c r="F481" s="25" t="s">
        <v>48</v>
      </c>
      <c r="G481" s="24"/>
      <c r="H481" s="35">
        <v>45248.0</v>
      </c>
      <c r="I481" s="27">
        <f t="shared" si="107"/>
        <v>0</v>
      </c>
      <c r="J481" s="28"/>
      <c r="K481" s="28"/>
      <c r="L481" s="17"/>
      <c r="M481" s="29"/>
      <c r="N481" s="72"/>
      <c r="O481" s="73"/>
      <c r="P481" s="73"/>
      <c r="Q481" s="72"/>
      <c r="R481" s="72"/>
      <c r="S481" s="31"/>
      <c r="T481" s="32"/>
      <c r="U481" s="73"/>
      <c r="V481" s="72"/>
      <c r="W481" s="72"/>
    </row>
    <row r="482" ht="21.75" customHeight="1" outlineLevel="1" collapsed="1">
      <c r="A482" s="85"/>
      <c r="B482" s="21" t="s">
        <v>737</v>
      </c>
      <c r="C482" s="22" t="s">
        <v>738</v>
      </c>
      <c r="D482" s="23"/>
      <c r="E482" s="24" t="s">
        <v>51</v>
      </c>
      <c r="F482" s="25" t="s">
        <v>48</v>
      </c>
      <c r="G482" s="24" t="s">
        <v>89</v>
      </c>
      <c r="H482" s="26">
        <f>MAX(H483:H485)</f>
        <v>45249</v>
      </c>
      <c r="I482" s="27" t="str">
        <f>IFERROR(__xludf.DUMMYFUNCTION("SPARKLINE(SUM(I483:I485), {""charttype"", ""bar""; ""max"", J482; ""color1"", ""green""})"),"")</f>
        <v/>
      </c>
      <c r="J482" s="28">
        <f>COUNT(I483:I485)</f>
        <v>3</v>
      </c>
      <c r="K482" s="28" t="str">
        <f>IF(ISNUMBER(B481), K481, "")</f>
        <v/>
      </c>
      <c r="L482" s="17"/>
      <c r="M482" s="29">
        <f>MIN(M483:M485)</f>
        <v>0</v>
      </c>
      <c r="N482" s="72">
        <f>MAX(N483:N485)</f>
        <v>0</v>
      </c>
      <c r="O482" s="73"/>
      <c r="P482" s="73"/>
      <c r="Q482" s="72"/>
      <c r="R482" s="72">
        <f>SUM(R483:R485)</f>
        <v>0</v>
      </c>
      <c r="S482" s="31" t="str">
        <f>IFERROR(MID(B482, FIND("-", B482) + 1, 3), "")</f>
        <v>CTH</v>
      </c>
      <c r="T482" s="32" t="str">
        <f>IFERROR(MID(B482, 8, LEN(B482)-7), "")
</f>
        <v>21</v>
      </c>
      <c r="U482" s="33" t="str">
        <f>CONCATENATE(C482, " - ",E482)</f>
        <v>Product Showcase - Insta</v>
      </c>
      <c r="V482" s="72"/>
      <c r="W482" s="72"/>
    </row>
    <row r="483" ht="21.75" hidden="1" customHeight="1" outlineLevel="2">
      <c r="A483" s="85"/>
      <c r="B483" s="21" t="s">
        <v>739</v>
      </c>
      <c r="C483" s="22"/>
      <c r="D483" s="22" t="s">
        <v>25</v>
      </c>
      <c r="E483" s="24" t="s">
        <v>179</v>
      </c>
      <c r="F483" s="25" t="s">
        <v>41</v>
      </c>
      <c r="G483" s="58" t="s">
        <v>740</v>
      </c>
      <c r="H483" s="35">
        <v>45244.0</v>
      </c>
      <c r="I483" s="27">
        <f t="shared" ref="I483:I485" si="108">IFERROR(IF($E483="Done", 1, IF(OR($E483="Working on it", $E483="In Review", $E483="On Hold"), 0.5, IF($E483="Not Started", 0, ""))), 0)</f>
        <v>0</v>
      </c>
      <c r="J483" s="28"/>
      <c r="K483" s="28"/>
      <c r="L483" s="17"/>
      <c r="M483" s="29"/>
      <c r="N483" s="72"/>
      <c r="O483" s="73"/>
      <c r="P483" s="73"/>
      <c r="Q483" s="72"/>
      <c r="R483" s="72"/>
      <c r="S483" s="31"/>
      <c r="T483" s="32"/>
      <c r="U483" s="33"/>
      <c r="V483" s="72"/>
      <c r="W483" s="72"/>
    </row>
    <row r="484" ht="21.75" hidden="1" customHeight="1" outlineLevel="2">
      <c r="A484" s="85"/>
      <c r="B484" s="21" t="s">
        <v>741</v>
      </c>
      <c r="C484" s="22"/>
      <c r="D484" s="22" t="s">
        <v>40</v>
      </c>
      <c r="E484" s="24" t="s">
        <v>179</v>
      </c>
      <c r="F484" s="25" t="s">
        <v>34</v>
      </c>
      <c r="G484" s="24"/>
      <c r="H484" s="35">
        <v>45246.0</v>
      </c>
      <c r="I484" s="27">
        <f t="shared" si="108"/>
        <v>0</v>
      </c>
      <c r="J484" s="28"/>
      <c r="K484" s="28"/>
      <c r="L484" s="17"/>
      <c r="M484" s="29"/>
      <c r="N484" s="72"/>
      <c r="O484" s="73"/>
      <c r="P484" s="73"/>
      <c r="Q484" s="72"/>
      <c r="R484" s="72"/>
      <c r="S484" s="31"/>
      <c r="T484" s="32"/>
      <c r="U484" s="73"/>
      <c r="V484" s="72"/>
      <c r="W484" s="72"/>
    </row>
    <row r="485" ht="21.75" hidden="1" customHeight="1" outlineLevel="2">
      <c r="A485" s="85"/>
      <c r="B485" s="21" t="s">
        <v>742</v>
      </c>
      <c r="C485" s="22"/>
      <c r="D485" s="22" t="s">
        <v>47</v>
      </c>
      <c r="E485" s="24" t="s">
        <v>179</v>
      </c>
      <c r="F485" s="25" t="s">
        <v>48</v>
      </c>
      <c r="G485" s="24"/>
      <c r="H485" s="35">
        <v>45249.0</v>
      </c>
      <c r="I485" s="27">
        <f t="shared" si="108"/>
        <v>0</v>
      </c>
      <c r="J485" s="28"/>
      <c r="K485" s="28"/>
      <c r="L485" s="17"/>
      <c r="M485" s="29"/>
      <c r="N485" s="72"/>
      <c r="O485" s="73"/>
      <c r="P485" s="73"/>
      <c r="Q485" s="72"/>
      <c r="R485" s="72"/>
      <c r="S485" s="31"/>
      <c r="T485" s="32"/>
      <c r="U485" s="73"/>
      <c r="V485" s="72"/>
      <c r="W485" s="72"/>
    </row>
    <row r="486" ht="21.75" customHeight="1" outlineLevel="1">
      <c r="A486" s="85"/>
      <c r="B486" s="64"/>
      <c r="C486" s="23"/>
      <c r="D486" s="23"/>
      <c r="E486" s="24"/>
      <c r="F486" s="25"/>
      <c r="G486" s="24"/>
      <c r="H486" s="26"/>
      <c r="I486" s="27"/>
      <c r="J486" s="28"/>
      <c r="K486" s="28" t="str">
        <f t="shared" ref="K486:K495" si="109">IFERROR(IF(ISNUMBER(INDIRECT("B" &amp; ROW()-1)), INDIRECT("K" &amp; ROW()-1), ""), "")</f>
        <v/>
      </c>
      <c r="L486" s="17"/>
      <c r="M486" s="29"/>
      <c r="N486" s="72"/>
      <c r="O486" s="73"/>
      <c r="P486" s="73"/>
      <c r="Q486" s="72"/>
      <c r="R486" s="72"/>
      <c r="S486" s="31" t="str">
        <f t="shared" ref="S486:S495" si="110">IFERROR(MID(B486, FIND("-", B486) + 1, 3), "")</f>
        <v/>
      </c>
      <c r="T486" s="32" t="str">
        <f t="shared" ref="T486:T495" si="111">IFERROR(MID(B486, 8, LEN(B486)-7), "")
</f>
        <v/>
      </c>
      <c r="U486" s="73"/>
      <c r="V486" s="72"/>
      <c r="W486" s="72"/>
    </row>
    <row r="487" ht="21.75" customHeight="1" outlineLevel="1">
      <c r="A487" s="85"/>
      <c r="B487" s="64"/>
      <c r="C487" s="23"/>
      <c r="D487" s="23"/>
      <c r="E487" s="24"/>
      <c r="F487" s="25"/>
      <c r="G487" s="24"/>
      <c r="H487" s="26"/>
      <c r="I487" s="27"/>
      <c r="J487" s="28"/>
      <c r="K487" s="28" t="str">
        <f t="shared" si="109"/>
        <v/>
      </c>
      <c r="L487" s="17"/>
      <c r="M487" s="29"/>
      <c r="N487" s="72"/>
      <c r="O487" s="73"/>
      <c r="P487" s="73"/>
      <c r="Q487" s="72"/>
      <c r="R487" s="72"/>
      <c r="S487" s="31" t="str">
        <f t="shared" si="110"/>
        <v/>
      </c>
      <c r="T487" s="32" t="str">
        <f t="shared" si="111"/>
        <v/>
      </c>
      <c r="U487" s="73"/>
      <c r="V487" s="72"/>
      <c r="W487" s="72"/>
    </row>
    <row r="488" ht="21.75" customHeight="1" outlineLevel="1">
      <c r="A488" s="85"/>
      <c r="B488" s="64"/>
      <c r="C488" s="23"/>
      <c r="D488" s="23"/>
      <c r="E488" s="24"/>
      <c r="F488" s="25"/>
      <c r="G488" s="24"/>
      <c r="H488" s="26"/>
      <c r="I488" s="27"/>
      <c r="J488" s="28"/>
      <c r="K488" s="28" t="str">
        <f t="shared" si="109"/>
        <v/>
      </c>
      <c r="L488" s="17"/>
      <c r="M488" s="29"/>
      <c r="N488" s="72"/>
      <c r="O488" s="73"/>
      <c r="P488" s="73"/>
      <c r="Q488" s="72"/>
      <c r="R488" s="72"/>
      <c r="S488" s="31" t="str">
        <f t="shared" si="110"/>
        <v/>
      </c>
      <c r="T488" s="32" t="str">
        <f t="shared" si="111"/>
        <v/>
      </c>
      <c r="U488" s="73"/>
      <c r="V488" s="72"/>
      <c r="W488" s="72"/>
    </row>
    <row r="489" ht="21.75" customHeight="1" outlineLevel="1">
      <c r="A489" s="85"/>
      <c r="B489" s="64"/>
      <c r="C489" s="23"/>
      <c r="D489" s="23"/>
      <c r="E489" s="24"/>
      <c r="F489" s="25"/>
      <c r="G489" s="24"/>
      <c r="H489" s="26"/>
      <c r="I489" s="27"/>
      <c r="J489" s="28"/>
      <c r="K489" s="28" t="str">
        <f t="shared" si="109"/>
        <v/>
      </c>
      <c r="L489" s="17"/>
      <c r="M489" s="29"/>
      <c r="N489" s="72"/>
      <c r="O489" s="73"/>
      <c r="P489" s="73"/>
      <c r="Q489" s="72"/>
      <c r="R489" s="72"/>
      <c r="S489" s="31" t="str">
        <f t="shared" si="110"/>
        <v/>
      </c>
      <c r="T489" s="32" t="str">
        <f t="shared" si="111"/>
        <v/>
      </c>
      <c r="U489" s="73"/>
      <c r="V489" s="72"/>
      <c r="W489" s="72"/>
    </row>
    <row r="490" ht="21.75" customHeight="1" outlineLevel="1">
      <c r="A490" s="85"/>
      <c r="B490" s="64"/>
      <c r="C490" s="23"/>
      <c r="D490" s="23"/>
      <c r="E490" s="24"/>
      <c r="F490" s="25"/>
      <c r="G490" s="24"/>
      <c r="H490" s="26"/>
      <c r="I490" s="27"/>
      <c r="J490" s="28"/>
      <c r="K490" s="28" t="str">
        <f t="shared" si="109"/>
        <v/>
      </c>
      <c r="L490" s="17"/>
      <c r="M490" s="29"/>
      <c r="N490" s="72"/>
      <c r="O490" s="73"/>
      <c r="P490" s="73"/>
      <c r="Q490" s="72"/>
      <c r="R490" s="72"/>
      <c r="S490" s="31" t="str">
        <f t="shared" si="110"/>
        <v/>
      </c>
      <c r="T490" s="32" t="str">
        <f t="shared" si="111"/>
        <v/>
      </c>
      <c r="U490" s="73"/>
      <c r="V490" s="72"/>
      <c r="W490" s="72"/>
    </row>
    <row r="491" ht="21.75" customHeight="1" outlineLevel="1">
      <c r="A491" s="85"/>
      <c r="B491" s="64"/>
      <c r="C491" s="23"/>
      <c r="D491" s="23"/>
      <c r="E491" s="24"/>
      <c r="F491" s="25"/>
      <c r="G491" s="24"/>
      <c r="H491" s="26"/>
      <c r="I491" s="27"/>
      <c r="J491" s="28"/>
      <c r="K491" s="28" t="str">
        <f t="shared" si="109"/>
        <v/>
      </c>
      <c r="L491" s="17"/>
      <c r="M491" s="29"/>
      <c r="N491" s="72"/>
      <c r="O491" s="73"/>
      <c r="P491" s="73"/>
      <c r="Q491" s="72"/>
      <c r="R491" s="72"/>
      <c r="S491" s="31" t="str">
        <f t="shared" si="110"/>
        <v/>
      </c>
      <c r="T491" s="32" t="str">
        <f t="shared" si="111"/>
        <v/>
      </c>
      <c r="U491" s="73"/>
      <c r="V491" s="72"/>
      <c r="W491" s="72"/>
    </row>
    <row r="492" ht="21.75" customHeight="1" outlineLevel="1">
      <c r="A492" s="85"/>
      <c r="B492" s="64"/>
      <c r="C492" s="23"/>
      <c r="D492" s="23"/>
      <c r="E492" s="24"/>
      <c r="F492" s="25"/>
      <c r="G492" s="24"/>
      <c r="H492" s="26"/>
      <c r="I492" s="27"/>
      <c r="J492" s="28"/>
      <c r="K492" s="28" t="str">
        <f t="shared" si="109"/>
        <v/>
      </c>
      <c r="L492" s="17"/>
      <c r="M492" s="29"/>
      <c r="N492" s="72"/>
      <c r="O492" s="73"/>
      <c r="P492" s="73"/>
      <c r="Q492" s="72"/>
      <c r="R492" s="72"/>
      <c r="S492" s="31" t="str">
        <f t="shared" si="110"/>
        <v/>
      </c>
      <c r="T492" s="32" t="str">
        <f t="shared" si="111"/>
        <v/>
      </c>
      <c r="U492" s="73"/>
      <c r="V492" s="72"/>
      <c r="W492" s="72"/>
    </row>
    <row r="493" ht="21.75" customHeight="1" outlineLevel="1">
      <c r="A493" s="85"/>
      <c r="B493" s="64"/>
      <c r="C493" s="23"/>
      <c r="D493" s="23"/>
      <c r="E493" s="24"/>
      <c r="F493" s="25"/>
      <c r="G493" s="24"/>
      <c r="H493" s="26"/>
      <c r="I493" s="27"/>
      <c r="J493" s="28"/>
      <c r="K493" s="28" t="str">
        <f t="shared" si="109"/>
        <v/>
      </c>
      <c r="L493" s="17"/>
      <c r="M493" s="29"/>
      <c r="N493" s="72"/>
      <c r="O493" s="73"/>
      <c r="P493" s="73"/>
      <c r="Q493" s="72"/>
      <c r="R493" s="72"/>
      <c r="S493" s="31" t="str">
        <f t="shared" si="110"/>
        <v/>
      </c>
      <c r="T493" s="32" t="str">
        <f t="shared" si="111"/>
        <v/>
      </c>
      <c r="U493" s="73"/>
      <c r="V493" s="72"/>
      <c r="W493" s="72"/>
    </row>
    <row r="494" ht="21.75" customHeight="1" outlineLevel="1">
      <c r="A494" s="85"/>
      <c r="B494" s="64"/>
      <c r="C494" s="23"/>
      <c r="D494" s="23"/>
      <c r="E494" s="24"/>
      <c r="F494" s="25"/>
      <c r="G494" s="24"/>
      <c r="H494" s="26"/>
      <c r="I494" s="27"/>
      <c r="J494" s="28"/>
      <c r="K494" s="28" t="str">
        <f t="shared" si="109"/>
        <v/>
      </c>
      <c r="L494" s="17"/>
      <c r="M494" s="29"/>
      <c r="N494" s="72"/>
      <c r="O494" s="73"/>
      <c r="P494" s="73"/>
      <c r="Q494" s="72"/>
      <c r="R494" s="72"/>
      <c r="S494" s="31" t="str">
        <f t="shared" si="110"/>
        <v/>
      </c>
      <c r="T494" s="32" t="str">
        <f t="shared" si="111"/>
        <v/>
      </c>
      <c r="U494" s="73"/>
      <c r="V494" s="72"/>
      <c r="W494" s="72"/>
    </row>
    <row r="495" ht="21.75" customHeight="1" outlineLevel="1">
      <c r="A495" s="85"/>
      <c r="B495" s="64"/>
      <c r="C495" s="23"/>
      <c r="D495" s="23"/>
      <c r="E495" s="24"/>
      <c r="F495" s="25"/>
      <c r="G495" s="24"/>
      <c r="H495" s="26"/>
      <c r="I495" s="27"/>
      <c r="J495" s="28"/>
      <c r="K495" s="28" t="str">
        <f t="shared" si="109"/>
        <v/>
      </c>
      <c r="L495" s="17"/>
      <c r="M495" s="29"/>
      <c r="N495" s="72"/>
      <c r="O495" s="73"/>
      <c r="P495" s="73"/>
      <c r="Q495" s="72"/>
      <c r="R495" s="72"/>
      <c r="S495" s="31" t="str">
        <f t="shared" si="110"/>
        <v/>
      </c>
      <c r="T495" s="32" t="str">
        <f t="shared" si="111"/>
        <v/>
      </c>
      <c r="U495" s="73"/>
      <c r="V495" s="72"/>
      <c r="W495" s="72"/>
    </row>
    <row r="496" ht="36.0" customHeight="1">
      <c r="A496" s="91"/>
      <c r="B496" s="91" t="s">
        <v>743</v>
      </c>
      <c r="C496" s="91"/>
      <c r="D496" s="92"/>
      <c r="E496" s="93"/>
      <c r="F496" s="94"/>
      <c r="G496" s="93"/>
      <c r="H496" s="92"/>
      <c r="I496" s="92"/>
      <c r="J496" s="93"/>
      <c r="K496" s="92"/>
      <c r="L496" s="17"/>
      <c r="M496" s="95"/>
      <c r="N496" s="96"/>
      <c r="O496" s="96"/>
      <c r="P496" s="96"/>
      <c r="Q496" s="95"/>
      <c r="R496" s="95"/>
      <c r="S496" s="95"/>
      <c r="T496" s="95"/>
      <c r="U496" s="96"/>
      <c r="V496" s="95"/>
      <c r="W496" s="95"/>
    </row>
    <row r="497" ht="21.75" customHeight="1" outlineLevel="1" collapsed="1">
      <c r="A497" s="97"/>
      <c r="B497" s="23" t="s">
        <v>744</v>
      </c>
      <c r="C497" s="98" t="s">
        <v>745</v>
      </c>
      <c r="D497" s="23"/>
      <c r="E497" s="46" t="s">
        <v>21</v>
      </c>
      <c r="F497" s="46" t="s">
        <v>34</v>
      </c>
      <c r="G497" s="46" t="s">
        <v>79</v>
      </c>
      <c r="H497" s="47">
        <f>MAX(H498:H500)</f>
        <v>45218</v>
      </c>
      <c r="I497" s="99" t="str">
        <f>IFERROR(__xludf.DUMMYFUNCTION("SPARKLINE(SUM(I498:I500), {""charttype"", ""bar""; ""max"", J497; ""color1"", ""green""})"),"")</f>
        <v/>
      </c>
      <c r="J497" s="100">
        <f>SUM(I498:I500)</f>
        <v>3</v>
      </c>
      <c r="K497" s="28" t="str">
        <f>IF(ISNUMBER(B496), K496, "")</f>
        <v/>
      </c>
      <c r="L497" s="101"/>
      <c r="M497" s="102">
        <f>MIN(M498:M500)</f>
        <v>45217.48147</v>
      </c>
      <c r="N497" s="102">
        <f>MAX(N498:N500)</f>
        <v>45218.8018</v>
      </c>
      <c r="O497" s="103"/>
      <c r="P497" s="103"/>
      <c r="Q497" s="72"/>
      <c r="R497" s="90">
        <f>SUM(R498:R500)</f>
        <v>0.05694444444</v>
      </c>
      <c r="S497" s="42" t="str">
        <f t="shared" ref="S497:S501" si="112">IFERROR(MID(B497, FIND("-", B497) + 1, 3), "")</f>
        <v>MAC</v>
      </c>
      <c r="T497" s="104" t="str">
        <f t="shared" ref="T497:T501" si="113">IFERROR(MID(B497, 8, LEN(B497)-7), "")
</f>
        <v>01</v>
      </c>
      <c r="U497" s="33" t="str">
        <f>CONCATENATE(C497, " - ",E497)</f>
        <v>Coming Soon - Shorts</v>
      </c>
      <c r="V497" s="105"/>
      <c r="W497" s="105"/>
    </row>
    <row r="498" ht="21.75" hidden="1" customHeight="1" outlineLevel="2">
      <c r="A498" s="97"/>
      <c r="B498" s="98" t="s">
        <v>746</v>
      </c>
      <c r="C498" s="23"/>
      <c r="D498" s="23" t="s">
        <v>33</v>
      </c>
      <c r="E498" s="51" t="s">
        <v>26</v>
      </c>
      <c r="F498" s="46" t="s">
        <v>747</v>
      </c>
      <c r="G498" s="46"/>
      <c r="H498" s="47">
        <v>45216.0</v>
      </c>
      <c r="I498" s="27">
        <f t="shared" ref="I498:I500" si="114">IFERROR(IF($E498="Done", 1, IF(OR($E498="Working on it", $E498="In Review", $E498="On Hold"), 0.5, IF($E498="Not Started", 0, ""))), 0)</f>
        <v>1</v>
      </c>
      <c r="J498" s="106"/>
      <c r="K498" s="106"/>
      <c r="L498" s="101"/>
      <c r="M498" s="102"/>
      <c r="N498" s="107"/>
      <c r="O498" s="103"/>
      <c r="P498" s="103"/>
      <c r="Q498" s="72"/>
      <c r="R498" s="90"/>
      <c r="S498" s="42" t="str">
        <f t="shared" si="112"/>
        <v>MAC</v>
      </c>
      <c r="T498" s="104" t="str">
        <f t="shared" si="113"/>
        <v>01.02</v>
      </c>
      <c r="U498" s="108"/>
      <c r="V498" s="105"/>
      <c r="W498" s="105"/>
    </row>
    <row r="499" ht="21.75" hidden="1" customHeight="1" outlineLevel="2">
      <c r="A499" s="97"/>
      <c r="B499" s="98" t="s">
        <v>748</v>
      </c>
      <c r="C499" s="23"/>
      <c r="D499" s="23" t="s">
        <v>40</v>
      </c>
      <c r="E499" s="51" t="s">
        <v>26</v>
      </c>
      <c r="F499" s="46" t="s">
        <v>34</v>
      </c>
      <c r="G499" s="58" t="s">
        <v>749</v>
      </c>
      <c r="H499" s="53">
        <v>45212.0</v>
      </c>
      <c r="I499" s="27">
        <f t="shared" si="114"/>
        <v>1</v>
      </c>
      <c r="J499" s="106"/>
      <c r="K499" s="106"/>
      <c r="L499" s="101"/>
      <c r="M499" s="29">
        <v>45217.481466875004</v>
      </c>
      <c r="N499" s="109">
        <v>45218.80179855324</v>
      </c>
      <c r="O499" s="110" t="s">
        <v>750</v>
      </c>
      <c r="P499" s="110" t="s">
        <v>751</v>
      </c>
      <c r="Q499" s="37" t="s">
        <v>31</v>
      </c>
      <c r="R499" s="31">
        <v>0.05694444444444444</v>
      </c>
      <c r="S499" s="42" t="str">
        <f t="shared" si="112"/>
        <v>MAC</v>
      </c>
      <c r="T499" s="104" t="str">
        <f t="shared" si="113"/>
        <v>01.05</v>
      </c>
      <c r="U499" s="108"/>
      <c r="V499" s="105"/>
      <c r="W499" s="105"/>
    </row>
    <row r="500" ht="21.75" hidden="1" customHeight="1" outlineLevel="2">
      <c r="A500" s="97"/>
      <c r="B500" s="98" t="s">
        <v>752</v>
      </c>
      <c r="C500" s="23"/>
      <c r="D500" s="23" t="s">
        <v>47</v>
      </c>
      <c r="E500" s="51" t="s">
        <v>26</v>
      </c>
      <c r="F500" s="46" t="s">
        <v>34</v>
      </c>
      <c r="G500" s="46"/>
      <c r="H500" s="53">
        <v>45218.0</v>
      </c>
      <c r="I500" s="27">
        <f t="shared" si="114"/>
        <v>1</v>
      </c>
      <c r="J500" s="106"/>
      <c r="K500" s="106"/>
      <c r="L500" s="101"/>
      <c r="M500" s="102"/>
      <c r="N500" s="107"/>
      <c r="O500" s="103"/>
      <c r="P500" s="103"/>
      <c r="Q500" s="72"/>
      <c r="R500" s="90"/>
      <c r="S500" s="42" t="str">
        <f t="shared" si="112"/>
        <v>MAC</v>
      </c>
      <c r="T500" s="104" t="str">
        <f t="shared" si="113"/>
        <v>01.07</v>
      </c>
      <c r="U500" s="108"/>
      <c r="V500" s="105"/>
      <c r="W500" s="105"/>
    </row>
    <row r="501" ht="21.75" customHeight="1" outlineLevel="1" collapsed="1">
      <c r="A501" s="97"/>
      <c r="B501" s="23" t="s">
        <v>753</v>
      </c>
      <c r="C501" s="98" t="s">
        <v>754</v>
      </c>
      <c r="D501" s="23"/>
      <c r="E501" s="46" t="s">
        <v>51</v>
      </c>
      <c r="F501" s="46" t="s">
        <v>34</v>
      </c>
      <c r="G501" s="46" t="s">
        <v>23</v>
      </c>
      <c r="H501" s="47">
        <f>MAX(H502:H503)</f>
        <v>45218</v>
      </c>
      <c r="I501" s="99" t="str">
        <f>IFERROR(__xludf.DUMMYFUNCTION("SPARKLINE(SUM(I502:I503), {""charttype"", ""bar""; ""max"", J501; ""color1"", ""green""})"),"")</f>
        <v/>
      </c>
      <c r="J501" s="28">
        <f>COUNT(I502:I503)</f>
        <v>2</v>
      </c>
      <c r="K501" s="28" t="str">
        <f>IF(ISNUMBER(B533), K533, "")</f>
        <v/>
      </c>
      <c r="L501" s="101"/>
      <c r="M501" s="102">
        <f>MIN(M502:M503)</f>
        <v>45215.747</v>
      </c>
      <c r="N501" s="89">
        <f>MAX(N502:N503)</f>
        <v>45219.5151</v>
      </c>
      <c r="O501" s="103"/>
      <c r="P501" s="103"/>
      <c r="Q501" s="72"/>
      <c r="R501" s="90">
        <f>SUM(R502:R503)</f>
        <v>0.001388888889</v>
      </c>
      <c r="S501" s="42" t="str">
        <f t="shared" si="112"/>
        <v>MAC</v>
      </c>
      <c r="T501" s="104" t="str">
        <f t="shared" si="113"/>
        <v>10</v>
      </c>
      <c r="U501" s="33" t="str">
        <f>CONCATENATE(C501, " - ",E501)</f>
        <v>Utopian Academy - Classes - Insta</v>
      </c>
      <c r="V501" s="105"/>
      <c r="W501" s="105"/>
    </row>
    <row r="502" ht="21.75" hidden="1" customHeight="1" outlineLevel="2">
      <c r="A502" s="97"/>
      <c r="B502" s="98" t="s">
        <v>755</v>
      </c>
      <c r="C502" s="23"/>
      <c r="D502" s="23" t="s">
        <v>756</v>
      </c>
      <c r="E502" s="51" t="s">
        <v>26</v>
      </c>
      <c r="F502" s="46" t="s">
        <v>34</v>
      </c>
      <c r="G502" s="111" t="s">
        <v>757</v>
      </c>
      <c r="H502" s="47">
        <v>45215.0</v>
      </c>
      <c r="I502" s="27">
        <f t="shared" ref="I502:I503" si="115">IFERROR(IF($E502="Done", 1, IF(OR($E502="Working on it", $E502="In Review", $E502="On Hold"), 0.5, IF($E502="Not Started", 0, ""))), 0)</f>
        <v>1</v>
      </c>
      <c r="J502" s="106"/>
      <c r="K502" s="106"/>
      <c r="L502" s="101"/>
      <c r="M502" s="29">
        <v>45215.74699581019</v>
      </c>
      <c r="N502" s="112">
        <v>45217.64996949074</v>
      </c>
      <c r="O502" s="110" t="s">
        <v>758</v>
      </c>
      <c r="P502" s="110" t="s">
        <v>759</v>
      </c>
      <c r="Q502" s="37"/>
      <c r="R502" s="31"/>
      <c r="S502" s="42"/>
      <c r="T502" s="104"/>
      <c r="U502" s="108"/>
      <c r="V502" s="105"/>
      <c r="W502" s="105"/>
    </row>
    <row r="503" ht="21.75" hidden="1" customHeight="1" outlineLevel="2">
      <c r="A503" s="97"/>
      <c r="B503" s="98" t="s">
        <v>760</v>
      </c>
      <c r="C503" s="23"/>
      <c r="D503" s="23" t="s">
        <v>47</v>
      </c>
      <c r="E503" s="51" t="s">
        <v>26</v>
      </c>
      <c r="F503" s="46" t="s">
        <v>34</v>
      </c>
      <c r="G503" s="46"/>
      <c r="H503" s="53">
        <v>45218.0</v>
      </c>
      <c r="I503" s="27">
        <f t="shared" si="115"/>
        <v>1</v>
      </c>
      <c r="J503" s="106"/>
      <c r="K503" s="106"/>
      <c r="L503" s="101"/>
      <c r="M503" s="29">
        <v>45219.51357109954</v>
      </c>
      <c r="N503" s="112">
        <v>45219.515102627316</v>
      </c>
      <c r="O503" s="103"/>
      <c r="P503" s="103"/>
      <c r="Q503" s="37" t="s">
        <v>31</v>
      </c>
      <c r="R503" s="31">
        <v>0.001388888888888889</v>
      </c>
      <c r="S503" s="42"/>
      <c r="T503" s="104"/>
      <c r="U503" s="108"/>
      <c r="V503" s="105"/>
      <c r="W503" s="105"/>
    </row>
    <row r="504" ht="21.75" customHeight="1" outlineLevel="1" collapsed="1">
      <c r="A504" s="97"/>
      <c r="B504" s="23" t="s">
        <v>761</v>
      </c>
      <c r="C504" s="98" t="s">
        <v>762</v>
      </c>
      <c r="D504" s="23"/>
      <c r="E504" s="46" t="s">
        <v>51</v>
      </c>
      <c r="F504" s="46" t="s">
        <v>34</v>
      </c>
      <c r="G504" s="46" t="s">
        <v>63</v>
      </c>
      <c r="H504" s="47">
        <f>MAX(H505:H506)</f>
        <v>45219</v>
      </c>
      <c r="I504" s="99" t="str">
        <f>IFERROR(__xludf.DUMMYFUNCTION("SPARKLINE(SUM(I505:I506), {""charttype"", ""bar""; ""max"", J504; ""color1"", ""green""})"),"")</f>
        <v/>
      </c>
      <c r="J504" s="28">
        <f>COUNT(I505:I506)</f>
        <v>2</v>
      </c>
      <c r="K504" s="28" t="str">
        <f>IF(ISNUMBER(B546), K546, "")</f>
        <v/>
      </c>
      <c r="L504" s="101"/>
      <c r="M504" s="102">
        <f>MIN(M505:M506)</f>
        <v>0</v>
      </c>
      <c r="N504" s="72">
        <f>MAX(N505:N506)</f>
        <v>0</v>
      </c>
      <c r="O504" s="103"/>
      <c r="P504" s="103"/>
      <c r="Q504" s="72"/>
      <c r="R504" s="90">
        <f>SUM(R505:R506)</f>
        <v>0</v>
      </c>
      <c r="S504" s="42"/>
      <c r="T504" s="104"/>
      <c r="U504" s="33" t="str">
        <f>CONCATENATE(C504, " - ",E504)</f>
        <v>MaCaw School - Classes - Insta</v>
      </c>
      <c r="V504" s="105"/>
      <c r="W504" s="105"/>
    </row>
    <row r="505" ht="21.75" hidden="1" customHeight="1" outlineLevel="2">
      <c r="A505" s="97"/>
      <c r="B505" s="98" t="s">
        <v>763</v>
      </c>
      <c r="C505" s="23"/>
      <c r="D505" s="23" t="s">
        <v>756</v>
      </c>
      <c r="E505" s="51" t="s">
        <v>26</v>
      </c>
      <c r="F505" s="46" t="s">
        <v>34</v>
      </c>
      <c r="G505" s="111" t="s">
        <v>764</v>
      </c>
      <c r="H505" s="47">
        <v>45215.0</v>
      </c>
      <c r="I505" s="27">
        <f t="shared" ref="I505:I506" si="116">IFERROR(IF($E505="Done", 1, IF(OR($E505="Working on it", $E505="In Review", $E505="On Hold"), 0.5, IF($E505="Not Started", 0, ""))), 0)</f>
        <v>1</v>
      </c>
      <c r="J505" s="106"/>
      <c r="K505" s="106" t="str">
        <f t="shared" ref="K505:K506" si="117">IFERROR(IF(ISNUMBER(INDIRECT("B" &amp; ROW()-1)), INDIRECT("K" &amp; ROW()-1), ""), "")</f>
        <v/>
      </c>
      <c r="L505" s="101"/>
      <c r="M505" s="102"/>
      <c r="N505" s="103"/>
      <c r="O505" s="103"/>
      <c r="P505" s="103"/>
      <c r="Q505" s="72"/>
      <c r="R505" s="90"/>
      <c r="S505" s="42" t="str">
        <f t="shared" ref="S505:S508" si="118">IFERROR(MID(B505, FIND("-", B505) + 1, 3), "")</f>
        <v>MAC</v>
      </c>
      <c r="T505" s="104" t="str">
        <f t="shared" ref="T505:T508" si="119">IFERROR(MID(B505, 8, LEN(B505)-7), "")
</f>
        <v>11.01</v>
      </c>
      <c r="U505" s="108"/>
      <c r="V505" s="105"/>
      <c r="W505" s="105"/>
    </row>
    <row r="506" ht="21.75" hidden="1" customHeight="1" outlineLevel="2">
      <c r="A506" s="97"/>
      <c r="B506" s="98" t="s">
        <v>765</v>
      </c>
      <c r="C506" s="23"/>
      <c r="D506" s="23" t="s">
        <v>47</v>
      </c>
      <c r="E506" s="51" t="s">
        <v>26</v>
      </c>
      <c r="F506" s="46" t="s">
        <v>34</v>
      </c>
      <c r="G506" s="46"/>
      <c r="H506" s="53">
        <v>45219.0</v>
      </c>
      <c r="I506" s="27">
        <f t="shared" si="116"/>
        <v>1</v>
      </c>
      <c r="J506" s="106"/>
      <c r="K506" s="106" t="str">
        <f t="shared" si="117"/>
        <v/>
      </c>
      <c r="L506" s="101"/>
      <c r="M506" s="102"/>
      <c r="N506" s="103"/>
      <c r="O506" s="103"/>
      <c r="P506" s="103"/>
      <c r="Q506" s="72"/>
      <c r="R506" s="90"/>
      <c r="S506" s="42" t="str">
        <f t="shared" si="118"/>
        <v>MAC</v>
      </c>
      <c r="T506" s="104" t="str">
        <f t="shared" si="119"/>
        <v>11.02</v>
      </c>
      <c r="U506" s="108"/>
      <c r="V506" s="105"/>
      <c r="W506" s="105"/>
    </row>
    <row r="507" ht="21.75" customHeight="1" outlineLevel="1" collapsed="1">
      <c r="A507" s="97"/>
      <c r="B507" s="23" t="s">
        <v>766</v>
      </c>
      <c r="C507" s="98" t="s">
        <v>767</v>
      </c>
      <c r="D507" s="23"/>
      <c r="E507" s="46" t="s">
        <v>21</v>
      </c>
      <c r="F507" s="46" t="s">
        <v>34</v>
      </c>
      <c r="G507" s="46" t="s">
        <v>79</v>
      </c>
      <c r="H507" s="47">
        <f>MAX(H508:H511)</f>
        <v>45226</v>
      </c>
      <c r="I507" s="99" t="str">
        <f>IFERROR(__xludf.DUMMYFUNCTION("SPARKLINE(SUM(I508:I511), {""charttype"", ""bar""; ""max"", J507; ""color1"", ""green""})"),"")</f>
        <v/>
      </c>
      <c r="J507" s="28">
        <f>COUNT(I508:I511)</f>
        <v>3</v>
      </c>
      <c r="K507" s="28" t="str">
        <f>IF(ISNUMBER(B500), K500, "")</f>
        <v/>
      </c>
      <c r="L507" s="101"/>
      <c r="M507" s="102">
        <f>MIN(M508:M511)</f>
        <v>45213.49894</v>
      </c>
      <c r="N507" s="102">
        <f>MAX(N508:N511)</f>
        <v>45226.49474</v>
      </c>
      <c r="O507" s="103"/>
      <c r="P507" s="103"/>
      <c r="Q507" s="72"/>
      <c r="R507" s="90">
        <f>SUM(R508:R511)</f>
        <v>0.3965277778</v>
      </c>
      <c r="S507" s="42" t="str">
        <f t="shared" si="118"/>
        <v>MAC</v>
      </c>
      <c r="T507" s="104" t="str">
        <f t="shared" si="119"/>
        <v>02</v>
      </c>
      <c r="U507" s="33" t="str">
        <f>CONCATENATE(C507, " - ",E507)</f>
        <v>Kuchipudi Teacher Intro - Shorts</v>
      </c>
      <c r="V507" s="105"/>
      <c r="W507" s="105"/>
    </row>
    <row r="508" ht="21.75" hidden="1" customHeight="1" outlineLevel="2">
      <c r="A508" s="97"/>
      <c r="B508" s="98" t="s">
        <v>768</v>
      </c>
      <c r="C508" s="23"/>
      <c r="D508" s="23" t="s">
        <v>33</v>
      </c>
      <c r="E508" s="113" t="s">
        <v>26</v>
      </c>
      <c r="F508" s="46" t="s">
        <v>22</v>
      </c>
      <c r="G508" s="46"/>
      <c r="H508" s="47">
        <v>45213.871957986106</v>
      </c>
      <c r="I508" s="27">
        <f>IFERROR(IF($E508="Done", 1, IF(OR($E508="Working on it", $E508="In Review", $E508="On Hold"), 0.5, IF($E508="Not Started", 0, ""))), 0)</f>
        <v>1</v>
      </c>
      <c r="J508" s="106"/>
      <c r="K508" s="106"/>
      <c r="L508" s="101"/>
      <c r="M508" s="102">
        <v>45213.498935185184</v>
      </c>
      <c r="N508" s="107">
        <v>45213.74925887732</v>
      </c>
      <c r="O508" s="103" t="s">
        <v>769</v>
      </c>
      <c r="P508" s="103" t="s">
        <v>770</v>
      </c>
      <c r="Q508" s="72" t="s">
        <v>31</v>
      </c>
      <c r="R508" s="90">
        <v>0.10416666666666667</v>
      </c>
      <c r="S508" s="42" t="str">
        <f t="shared" si="118"/>
        <v>MAC</v>
      </c>
      <c r="T508" s="104" t="str">
        <f t="shared" si="119"/>
        <v>02.02</v>
      </c>
      <c r="U508" s="108"/>
      <c r="V508" s="105"/>
      <c r="W508" s="105"/>
    </row>
    <row r="509" ht="21.75" hidden="1" customHeight="1" outlineLevel="2">
      <c r="A509" s="97"/>
      <c r="B509" s="98" t="s">
        <v>771</v>
      </c>
      <c r="C509" s="23"/>
      <c r="D509" s="23" t="s">
        <v>772</v>
      </c>
      <c r="E509" s="51" t="s">
        <v>26</v>
      </c>
      <c r="F509" s="46" t="s">
        <v>34</v>
      </c>
      <c r="G509" s="111" t="s">
        <v>773</v>
      </c>
      <c r="H509" s="53">
        <v>45217.0</v>
      </c>
      <c r="I509" s="27"/>
      <c r="J509" s="106"/>
      <c r="K509" s="106"/>
      <c r="L509" s="101"/>
      <c r="M509" s="29">
        <v>45220.42846101851</v>
      </c>
      <c r="N509" s="109">
        <v>45226.494738622685</v>
      </c>
      <c r="O509" s="110" t="s">
        <v>774</v>
      </c>
      <c r="P509" s="110" t="s">
        <v>775</v>
      </c>
      <c r="Q509" s="37" t="s">
        <v>31</v>
      </c>
      <c r="R509" s="31">
        <v>0.2923611111111111</v>
      </c>
      <c r="S509" s="42"/>
      <c r="T509" s="104"/>
      <c r="U509" s="108"/>
      <c r="V509" s="105"/>
      <c r="W509" s="105"/>
    </row>
    <row r="510" ht="21.75" hidden="1" customHeight="1" outlineLevel="2">
      <c r="A510" s="97"/>
      <c r="B510" s="98" t="s">
        <v>776</v>
      </c>
      <c r="C510" s="23"/>
      <c r="D510" s="23" t="s">
        <v>125</v>
      </c>
      <c r="E510" s="51" t="s">
        <v>26</v>
      </c>
      <c r="F510" s="46" t="s">
        <v>34</v>
      </c>
      <c r="G510" s="46"/>
      <c r="H510" s="53">
        <v>45226.0</v>
      </c>
      <c r="I510" s="27">
        <f t="shared" ref="I510:I511" si="120">IFERROR(IF($E510="Done", 1, IF(OR($E510="Working on it", $E510="In Review", $E510="On Hold"), 0.5, IF($E510="Not Started", 0, ""))), 0)</f>
        <v>1</v>
      </c>
      <c r="J510" s="106"/>
      <c r="K510" s="106"/>
      <c r="L510" s="101"/>
      <c r="M510" s="102"/>
      <c r="N510" s="107"/>
      <c r="O510" s="103"/>
      <c r="P510" s="103"/>
      <c r="Q510" s="72"/>
      <c r="R510" s="90"/>
      <c r="S510" s="42" t="str">
        <f t="shared" ref="S510:S543" si="121">IFERROR(MID(B510, FIND("-", B510) + 1, 3), "")</f>
        <v>MAC</v>
      </c>
      <c r="T510" s="104" t="str">
        <f t="shared" ref="T510:T543" si="122">IFERROR(MID(B510, 8, LEN(B510)-7), "")
</f>
        <v>02.05</v>
      </c>
      <c r="U510" s="108"/>
      <c r="V510" s="105"/>
      <c r="W510" s="105"/>
    </row>
    <row r="511" ht="21.75" hidden="1" customHeight="1" outlineLevel="2">
      <c r="A511" s="97"/>
      <c r="B511" s="98" t="s">
        <v>777</v>
      </c>
      <c r="C511" s="23"/>
      <c r="D511" s="23" t="s">
        <v>47</v>
      </c>
      <c r="E511" s="51" t="s">
        <v>26</v>
      </c>
      <c r="F511" s="46" t="s">
        <v>34</v>
      </c>
      <c r="G511" s="46"/>
      <c r="H511" s="53">
        <v>45226.0</v>
      </c>
      <c r="I511" s="27">
        <f t="shared" si="120"/>
        <v>1</v>
      </c>
      <c r="J511" s="106"/>
      <c r="K511" s="106"/>
      <c r="L511" s="101"/>
      <c r="M511" s="102"/>
      <c r="N511" s="107"/>
      <c r="O511" s="103"/>
      <c r="P511" s="103"/>
      <c r="Q511" s="72"/>
      <c r="R511" s="90"/>
      <c r="S511" s="42" t="str">
        <f t="shared" si="121"/>
        <v>MAC</v>
      </c>
      <c r="T511" s="104" t="str">
        <f t="shared" si="122"/>
        <v>02.07</v>
      </c>
      <c r="U511" s="108"/>
      <c r="V511" s="105"/>
      <c r="W511" s="105"/>
    </row>
    <row r="512" ht="21.75" customHeight="1" outlineLevel="1" collapsed="1">
      <c r="A512" s="97"/>
      <c r="B512" s="23" t="s">
        <v>778</v>
      </c>
      <c r="C512" s="98" t="s">
        <v>779</v>
      </c>
      <c r="D512" s="23"/>
      <c r="E512" s="46" t="s">
        <v>51</v>
      </c>
      <c r="F512" s="46" t="s">
        <v>34</v>
      </c>
      <c r="G512" s="46" t="s">
        <v>23</v>
      </c>
      <c r="H512" s="47">
        <f>MAX(H513:H515)</f>
        <v>45226</v>
      </c>
      <c r="I512" s="99" t="str">
        <f>IFERROR(__xludf.DUMMYFUNCTION("SPARKLINE(SUM(I513:I515), {""charttype"", ""bar""; ""max"", J512; ""color1"", ""green""})"),"")</f>
        <v/>
      </c>
      <c r="J512" s="28">
        <f>COUNT(I513:I515)</f>
        <v>3</v>
      </c>
      <c r="K512" s="28" t="str">
        <f>IF(ISNUMBER(B511), K511, "")</f>
        <v/>
      </c>
      <c r="L512" s="101"/>
      <c r="M512" s="102">
        <f>MIN(M513:M515)</f>
        <v>45225.64426</v>
      </c>
      <c r="N512" s="102">
        <f>MAX(N513:N515)</f>
        <v>45226.49479</v>
      </c>
      <c r="O512" s="103"/>
      <c r="P512" s="103"/>
      <c r="Q512" s="72"/>
      <c r="R512" s="90">
        <f>SUM(R513:R515)</f>
        <v>0.01388888889</v>
      </c>
      <c r="S512" s="42" t="str">
        <f t="shared" si="121"/>
        <v>MAC</v>
      </c>
      <c r="T512" s="104" t="str">
        <f t="shared" si="122"/>
        <v>03</v>
      </c>
      <c r="U512" s="33" t="str">
        <f>CONCATENATE(C512, " - ",E512)</f>
        <v>Kuchipudi Teacher Photos - Insta</v>
      </c>
      <c r="V512" s="105"/>
      <c r="W512" s="105"/>
    </row>
    <row r="513" ht="21.75" hidden="1" customHeight="1" outlineLevel="2">
      <c r="A513" s="97"/>
      <c r="B513" s="98" t="s">
        <v>780</v>
      </c>
      <c r="C513" s="23"/>
      <c r="D513" s="23" t="s">
        <v>33</v>
      </c>
      <c r="E513" s="113" t="s">
        <v>26</v>
      </c>
      <c r="F513" s="46" t="s">
        <v>22</v>
      </c>
      <c r="G513" s="46"/>
      <c r="H513" s="47">
        <v>45213.872180555554</v>
      </c>
      <c r="I513" s="27">
        <f t="shared" ref="I513:I515" si="123">IFERROR(IF($E513="Done", 1, IF(OR($E513="Working on it", $E513="In Review", $E513="On Hold"), 0.5, IF($E513="Not Started", 0, ""))), 0)</f>
        <v>1</v>
      </c>
      <c r="J513" s="106"/>
      <c r="K513" s="106"/>
      <c r="L513" s="101"/>
      <c r="M513" s="102"/>
      <c r="N513" s="107"/>
      <c r="O513" s="103"/>
      <c r="P513" s="103"/>
      <c r="Q513" s="72"/>
      <c r="R513" s="90"/>
      <c r="S513" s="42" t="str">
        <f t="shared" si="121"/>
        <v>MAC</v>
      </c>
      <c r="T513" s="104" t="str">
        <f t="shared" si="122"/>
        <v>03.02</v>
      </c>
      <c r="U513" s="108"/>
      <c r="V513" s="105"/>
      <c r="W513" s="105"/>
    </row>
    <row r="514" ht="21.75" hidden="1" customHeight="1" outlineLevel="2">
      <c r="A514" s="97"/>
      <c r="B514" s="98" t="s">
        <v>781</v>
      </c>
      <c r="C514" s="23"/>
      <c r="D514" s="23" t="s">
        <v>756</v>
      </c>
      <c r="E514" s="51" t="s">
        <v>26</v>
      </c>
      <c r="F514" s="46" t="s">
        <v>34</v>
      </c>
      <c r="G514" s="46"/>
      <c r="H514" s="53">
        <v>45219.0</v>
      </c>
      <c r="I514" s="27">
        <f t="shared" si="123"/>
        <v>1</v>
      </c>
      <c r="J514" s="106"/>
      <c r="K514" s="106"/>
      <c r="L514" s="101"/>
      <c r="M514" s="29">
        <v>45225.64425885417</v>
      </c>
      <c r="N514" s="109">
        <v>45226.494792488425</v>
      </c>
      <c r="O514" s="110" t="s">
        <v>782</v>
      </c>
      <c r="P514" s="110" t="s">
        <v>783</v>
      </c>
      <c r="Q514" s="37" t="s">
        <v>31</v>
      </c>
      <c r="R514" s="31">
        <v>0.013888888888888888</v>
      </c>
      <c r="S514" s="42" t="str">
        <f t="shared" si="121"/>
        <v>MAC</v>
      </c>
      <c r="T514" s="104" t="str">
        <f t="shared" si="122"/>
        <v>03.03</v>
      </c>
      <c r="U514" s="108"/>
      <c r="V514" s="105"/>
      <c r="W514" s="105"/>
    </row>
    <row r="515" ht="21.75" hidden="1" customHeight="1" outlineLevel="2">
      <c r="A515" s="97"/>
      <c r="B515" s="98" t="s">
        <v>784</v>
      </c>
      <c r="C515" s="23"/>
      <c r="D515" s="23" t="s">
        <v>47</v>
      </c>
      <c r="E515" s="51" t="s">
        <v>26</v>
      </c>
      <c r="F515" s="46" t="s">
        <v>34</v>
      </c>
      <c r="G515" s="46"/>
      <c r="H515" s="53">
        <v>45226.0</v>
      </c>
      <c r="I515" s="27">
        <f t="shared" si="123"/>
        <v>1</v>
      </c>
      <c r="J515" s="106"/>
      <c r="K515" s="106"/>
      <c r="L515" s="101"/>
      <c r="M515" s="102"/>
      <c r="N515" s="107"/>
      <c r="O515" s="103"/>
      <c r="P515" s="103"/>
      <c r="Q515" s="72"/>
      <c r="R515" s="90"/>
      <c r="S515" s="42" t="str">
        <f t="shared" si="121"/>
        <v>MAC</v>
      </c>
      <c r="T515" s="104" t="str">
        <f t="shared" si="122"/>
        <v>03.04</v>
      </c>
      <c r="U515" s="108"/>
      <c r="V515" s="105"/>
      <c r="W515" s="105"/>
    </row>
    <row r="516" ht="21.75" customHeight="1" outlineLevel="1" collapsed="1">
      <c r="A516" s="97"/>
      <c r="B516" s="23" t="s">
        <v>785</v>
      </c>
      <c r="C516" s="98" t="s">
        <v>786</v>
      </c>
      <c r="D516" s="23"/>
      <c r="E516" s="46" t="s">
        <v>21</v>
      </c>
      <c r="F516" s="46" t="s">
        <v>27</v>
      </c>
      <c r="G516" s="46" t="s">
        <v>63</v>
      </c>
      <c r="H516" s="47">
        <f>MAX(H517:H520)</f>
        <v>45227</v>
      </c>
      <c r="I516" s="99" t="str">
        <f>IFERROR(__xludf.DUMMYFUNCTION("SPARKLINE(SUM(I517:I520), {""charttype"", ""bar""; ""max"", J516; ""color1"", ""green""})"),"")</f>
        <v/>
      </c>
      <c r="J516" s="28">
        <f>COUNT(I517:I520)</f>
        <v>4</v>
      </c>
      <c r="K516" s="28" t="str">
        <f>IF(ISNUMBER(B542), K542, "")</f>
        <v/>
      </c>
      <c r="L516" s="101"/>
      <c r="M516" s="102">
        <f>MIN(M517:M520)</f>
        <v>45222.64694</v>
      </c>
      <c r="N516" s="102">
        <f>MAX(N517:N520)</f>
        <v>45226.49485</v>
      </c>
      <c r="O516" s="103"/>
      <c r="P516" s="103"/>
      <c r="Q516" s="72"/>
      <c r="R516" s="90">
        <f>SUM(R517:R520)</f>
        <v>0.02638888889</v>
      </c>
      <c r="S516" s="42" t="str">
        <f t="shared" si="121"/>
        <v>MAC</v>
      </c>
      <c r="T516" s="104" t="str">
        <f t="shared" si="122"/>
        <v>06</v>
      </c>
      <c r="U516" s="33" t="str">
        <f>CONCATENATE(C516, " - ",E516)</f>
        <v>Yoga Teacher Intro - Shorts</v>
      </c>
      <c r="V516" s="105"/>
      <c r="W516" s="105"/>
    </row>
    <row r="517" ht="21.75" hidden="1" customHeight="1" outlineLevel="2">
      <c r="A517" s="114"/>
      <c r="B517" s="98" t="s">
        <v>787</v>
      </c>
      <c r="C517" s="23"/>
      <c r="D517" s="23" t="s">
        <v>33</v>
      </c>
      <c r="E517" s="113" t="s">
        <v>26</v>
      </c>
      <c r="F517" s="46" t="s">
        <v>747</v>
      </c>
      <c r="G517" s="46"/>
      <c r="H517" s="47">
        <v>45215.0</v>
      </c>
      <c r="I517" s="27">
        <f t="shared" ref="I517:I520" si="124">IFERROR(IF($E517="Done", 1, IF(OR($E517="Working on it", $E517="In Review", $E517="On Hold"), 0.5, IF($E517="Not Started", 0, ""))), 0)</f>
        <v>1</v>
      </c>
      <c r="J517" s="106"/>
      <c r="K517" s="106"/>
      <c r="L517" s="101"/>
      <c r="M517" s="102"/>
      <c r="N517" s="107"/>
      <c r="O517" s="103"/>
      <c r="P517" s="103"/>
      <c r="Q517" s="72"/>
      <c r="R517" s="90"/>
      <c r="S517" s="115" t="str">
        <f t="shared" si="121"/>
        <v>MAC</v>
      </c>
      <c r="T517" s="116" t="str">
        <f t="shared" si="122"/>
        <v>06.02</v>
      </c>
      <c r="U517" s="117"/>
      <c r="V517" s="28"/>
      <c r="W517" s="28"/>
    </row>
    <row r="518" ht="21.75" hidden="1" customHeight="1" outlineLevel="2">
      <c r="A518" s="114"/>
      <c r="B518" s="98" t="s">
        <v>788</v>
      </c>
      <c r="C518" s="23"/>
      <c r="D518" s="23" t="s">
        <v>533</v>
      </c>
      <c r="E518" s="51" t="s">
        <v>26</v>
      </c>
      <c r="F518" s="46" t="s">
        <v>34</v>
      </c>
      <c r="G518" s="46"/>
      <c r="H518" s="47">
        <v>45220.0</v>
      </c>
      <c r="I518" s="27">
        <f t="shared" si="124"/>
        <v>1</v>
      </c>
      <c r="J518" s="106"/>
      <c r="K518" s="106"/>
      <c r="L518" s="101"/>
      <c r="M518" s="102"/>
      <c r="N518" s="107"/>
      <c r="O518" s="103"/>
      <c r="P518" s="103"/>
      <c r="Q518" s="72"/>
      <c r="R518" s="90"/>
      <c r="S518" s="115" t="str">
        <f t="shared" si="121"/>
        <v>MAC</v>
      </c>
      <c r="T518" s="116" t="str">
        <f t="shared" si="122"/>
        <v>06.04</v>
      </c>
      <c r="U518" s="117"/>
      <c r="V518" s="28"/>
      <c r="W518" s="28"/>
    </row>
    <row r="519" ht="21.75" hidden="1" customHeight="1" outlineLevel="2">
      <c r="A519" s="114"/>
      <c r="B519" s="98" t="s">
        <v>789</v>
      </c>
      <c r="C519" s="23"/>
      <c r="D519" s="23" t="s">
        <v>40</v>
      </c>
      <c r="E519" s="51" t="s">
        <v>26</v>
      </c>
      <c r="F519" s="25" t="s">
        <v>34</v>
      </c>
      <c r="G519" s="46"/>
      <c r="H519" s="47">
        <v>45221.0</v>
      </c>
      <c r="I519" s="27">
        <f t="shared" si="124"/>
        <v>1</v>
      </c>
      <c r="J519" s="106"/>
      <c r="K519" s="106"/>
      <c r="L519" s="101"/>
      <c r="M519" s="29">
        <v>45222.64694416667</v>
      </c>
      <c r="N519" s="109">
        <v>45226.49485447917</v>
      </c>
      <c r="O519" s="110" t="s">
        <v>790</v>
      </c>
      <c r="P519" s="110" t="s">
        <v>791</v>
      </c>
      <c r="Q519" s="37" t="s">
        <v>31</v>
      </c>
      <c r="R519" s="31">
        <v>0.02638888888888889</v>
      </c>
      <c r="S519" s="115" t="str">
        <f t="shared" si="121"/>
        <v>MAC</v>
      </c>
      <c r="T519" s="116" t="str">
        <f t="shared" si="122"/>
        <v>06.05</v>
      </c>
      <c r="U519" s="117"/>
      <c r="V519" s="28"/>
      <c r="W519" s="28"/>
    </row>
    <row r="520" ht="21.75" hidden="1" customHeight="1" outlineLevel="2">
      <c r="A520" s="114"/>
      <c r="B520" s="98" t="s">
        <v>792</v>
      </c>
      <c r="C520" s="23"/>
      <c r="D520" s="23" t="s">
        <v>47</v>
      </c>
      <c r="E520" s="51" t="s">
        <v>26</v>
      </c>
      <c r="F520" s="46" t="s">
        <v>34</v>
      </c>
      <c r="G520" s="46"/>
      <c r="H520" s="53">
        <v>45227.0</v>
      </c>
      <c r="I520" s="27">
        <f t="shared" si="124"/>
        <v>1</v>
      </c>
      <c r="J520" s="106"/>
      <c r="K520" s="106"/>
      <c r="L520" s="101"/>
      <c r="M520" s="102"/>
      <c r="N520" s="107"/>
      <c r="O520" s="103"/>
      <c r="P520" s="103"/>
      <c r="Q520" s="72"/>
      <c r="R520" s="90"/>
      <c r="S520" s="115" t="str">
        <f t="shared" si="121"/>
        <v>MAC</v>
      </c>
      <c r="T520" s="116" t="str">
        <f t="shared" si="122"/>
        <v>06.07</v>
      </c>
      <c r="U520" s="117"/>
      <c r="V520" s="28"/>
      <c r="W520" s="28"/>
    </row>
    <row r="521" ht="21.75" customHeight="1" outlineLevel="1" collapsed="1">
      <c r="A521" s="97"/>
      <c r="B521" s="23" t="s">
        <v>793</v>
      </c>
      <c r="C521" s="98" t="s">
        <v>794</v>
      </c>
      <c r="D521" s="23"/>
      <c r="E521" s="46" t="s">
        <v>51</v>
      </c>
      <c r="F521" s="46" t="s">
        <v>27</v>
      </c>
      <c r="G521" s="46" t="s">
        <v>63</v>
      </c>
      <c r="H521" s="47">
        <f>MAX(H522:H524)</f>
        <v>45227</v>
      </c>
      <c r="I521" s="99" t="str">
        <f>IFERROR(__xludf.DUMMYFUNCTION("SPARKLINE(SUM(I522:I524), {""charttype"", ""bar""; ""max"", J521; ""color1"", ""green""})"),"")</f>
        <v/>
      </c>
      <c r="J521" s="28">
        <f>COUNT(I522:I524)</f>
        <v>3</v>
      </c>
      <c r="K521" s="28" t="str">
        <f>IF(ISNUMBER(B520), K520, "")</f>
        <v/>
      </c>
      <c r="L521" s="101"/>
      <c r="M521" s="102">
        <f>MIN(M522:M524)</f>
        <v>0</v>
      </c>
      <c r="N521" s="102">
        <f>MAX(N522:N524)</f>
        <v>0</v>
      </c>
      <c r="O521" s="103"/>
      <c r="P521" s="103"/>
      <c r="Q521" s="72"/>
      <c r="R521" s="90">
        <f>SUM(R522:R524)</f>
        <v>0</v>
      </c>
      <c r="S521" s="42" t="str">
        <f t="shared" si="121"/>
        <v>MAC</v>
      </c>
      <c r="T521" s="104" t="str">
        <f t="shared" si="122"/>
        <v>07</v>
      </c>
      <c r="U521" s="33" t="str">
        <f>CONCATENATE(C521, " - ",E521)</f>
        <v>Yoga Teacher Photos - Insta</v>
      </c>
      <c r="V521" s="105"/>
      <c r="W521" s="105"/>
    </row>
    <row r="522" ht="21.75" hidden="1" customHeight="1" outlineLevel="2">
      <c r="A522" s="97"/>
      <c r="B522" s="98" t="s">
        <v>795</v>
      </c>
      <c r="C522" s="23"/>
      <c r="D522" s="23" t="s">
        <v>33</v>
      </c>
      <c r="E522" s="113" t="s">
        <v>26</v>
      </c>
      <c r="F522" s="46" t="s">
        <v>747</v>
      </c>
      <c r="G522" s="46"/>
      <c r="H522" s="47">
        <v>45218.0</v>
      </c>
      <c r="I522" s="27">
        <f t="shared" ref="I522:I524" si="125">IFERROR(IF($E522="Done", 1, IF(OR($E522="Working on it", $E522="In Review", $E522="On Hold"), 0.5, IF($E522="Not Started", 0, ""))), 0)</f>
        <v>1</v>
      </c>
      <c r="J522" s="106"/>
      <c r="K522" s="106"/>
      <c r="L522" s="101"/>
      <c r="M522" s="102"/>
      <c r="N522" s="107"/>
      <c r="O522" s="103"/>
      <c r="P522" s="103"/>
      <c r="Q522" s="72"/>
      <c r="R522" s="90"/>
      <c r="S522" s="42" t="str">
        <f t="shared" si="121"/>
        <v>MAC</v>
      </c>
      <c r="T522" s="104" t="str">
        <f t="shared" si="122"/>
        <v>07.02</v>
      </c>
      <c r="U522" s="108"/>
      <c r="V522" s="105"/>
      <c r="W522" s="105"/>
    </row>
    <row r="523" ht="21.75" hidden="1" customHeight="1" outlineLevel="2">
      <c r="A523" s="97"/>
      <c r="B523" s="98" t="s">
        <v>796</v>
      </c>
      <c r="C523" s="23"/>
      <c r="D523" s="23" t="s">
        <v>797</v>
      </c>
      <c r="E523" s="51" t="s">
        <v>26</v>
      </c>
      <c r="F523" s="46" t="s">
        <v>34</v>
      </c>
      <c r="G523" s="46"/>
      <c r="H523" s="47">
        <v>45222.0</v>
      </c>
      <c r="I523" s="27">
        <f t="shared" si="125"/>
        <v>1</v>
      </c>
      <c r="J523" s="106"/>
      <c r="K523" s="106"/>
      <c r="L523" s="101"/>
      <c r="M523" s="102"/>
      <c r="N523" s="107"/>
      <c r="O523" s="103"/>
      <c r="P523" s="103"/>
      <c r="Q523" s="72"/>
      <c r="R523" s="90"/>
      <c r="S523" s="42" t="str">
        <f t="shared" si="121"/>
        <v>MAC</v>
      </c>
      <c r="T523" s="104" t="str">
        <f t="shared" si="122"/>
        <v>07.03</v>
      </c>
      <c r="U523" s="108"/>
      <c r="V523" s="105"/>
      <c r="W523" s="105"/>
    </row>
    <row r="524" ht="21.75" hidden="1" customHeight="1" outlineLevel="2">
      <c r="A524" s="97"/>
      <c r="B524" s="98" t="s">
        <v>798</v>
      </c>
      <c r="C524" s="23"/>
      <c r="D524" s="23" t="s">
        <v>47</v>
      </c>
      <c r="E524" s="51" t="s">
        <v>26</v>
      </c>
      <c r="F524" s="46" t="s">
        <v>34</v>
      </c>
      <c r="G524" s="46"/>
      <c r="H524" s="53">
        <v>45227.0</v>
      </c>
      <c r="I524" s="27">
        <f t="shared" si="125"/>
        <v>1</v>
      </c>
      <c r="J524" s="106"/>
      <c r="K524" s="106"/>
      <c r="L524" s="101"/>
      <c r="M524" s="102"/>
      <c r="N524" s="107"/>
      <c r="O524" s="103"/>
      <c r="P524" s="103"/>
      <c r="Q524" s="72"/>
      <c r="R524" s="90"/>
      <c r="S524" s="42" t="str">
        <f t="shared" si="121"/>
        <v>MAC</v>
      </c>
      <c r="T524" s="104" t="str">
        <f t="shared" si="122"/>
        <v>07.04</v>
      </c>
      <c r="U524" s="108"/>
      <c r="V524" s="105"/>
      <c r="W524" s="105"/>
    </row>
    <row r="525" ht="21.75" customHeight="1" outlineLevel="1" collapsed="1">
      <c r="A525" s="97"/>
      <c r="B525" s="23" t="s">
        <v>799</v>
      </c>
      <c r="C525" s="98" t="s">
        <v>800</v>
      </c>
      <c r="D525" s="23"/>
      <c r="E525" s="46" t="s">
        <v>21</v>
      </c>
      <c r="F525" s="46" t="s">
        <v>27</v>
      </c>
      <c r="G525" s="46" t="s">
        <v>89</v>
      </c>
      <c r="H525" s="47">
        <f>MAX(H526:H529)</f>
        <v>45228</v>
      </c>
      <c r="I525" s="99" t="str">
        <f>IFERROR(__xludf.DUMMYFUNCTION("SPARKLINE(SUM(I526:I529), {""charttype"", ""bar""; ""max"", J525; ""color1"", ""green""})"),"")</f>
        <v/>
      </c>
      <c r="J525" s="28">
        <f>COUNT(I526:I529)</f>
        <v>4</v>
      </c>
      <c r="K525" s="28" t="str">
        <f>IF(ISNUMBER(B524), K524, "")</f>
        <v/>
      </c>
      <c r="L525" s="101"/>
      <c r="M525" s="102">
        <f>MIN(M526:M529)</f>
        <v>45222.68136</v>
      </c>
      <c r="N525" s="102">
        <f>MAX(N526:N529)</f>
        <v>45226.4949</v>
      </c>
      <c r="O525" s="103"/>
      <c r="P525" s="103"/>
      <c r="Q525" s="72"/>
      <c r="R525" s="90">
        <f>SUM(R526:R529)</f>
        <v>0.01458333333</v>
      </c>
      <c r="S525" s="42" t="str">
        <f t="shared" si="121"/>
        <v>MAC</v>
      </c>
      <c r="T525" s="104" t="str">
        <f t="shared" si="122"/>
        <v>08</v>
      </c>
      <c r="U525" s="33" t="str">
        <f>CONCATENATE(C525, " - ",E525)</f>
        <v>Art &amp; Craft Teacher Intro - Shorts</v>
      </c>
      <c r="V525" s="105"/>
      <c r="W525" s="105"/>
    </row>
    <row r="526" ht="21.75" hidden="1" customHeight="1" outlineLevel="2">
      <c r="A526" s="97"/>
      <c r="B526" s="98" t="s">
        <v>801</v>
      </c>
      <c r="C526" s="23"/>
      <c r="D526" s="23" t="s">
        <v>33</v>
      </c>
      <c r="E526" s="113" t="s">
        <v>26</v>
      </c>
      <c r="F526" s="46" t="s">
        <v>34</v>
      </c>
      <c r="G526" s="46"/>
      <c r="H526" s="47">
        <v>45213.873419166666</v>
      </c>
      <c r="I526" s="27">
        <f t="shared" ref="I526:I529" si="126">IFERROR(IF($E526="Done", 1, IF(OR($E526="Working on it", $E526="In Review", $E526="On Hold"), 0.5, IF($E526="Not Started", 0, ""))), 0)</f>
        <v>1</v>
      </c>
      <c r="J526" s="106"/>
      <c r="K526" s="106"/>
      <c r="L526" s="101"/>
      <c r="M526" s="102"/>
      <c r="N526" s="107"/>
      <c r="O526" s="103"/>
      <c r="P526" s="103"/>
      <c r="Q526" s="72"/>
      <c r="R526" s="90"/>
      <c r="S526" s="42" t="str">
        <f t="shared" si="121"/>
        <v>MAC</v>
      </c>
      <c r="T526" s="104" t="str">
        <f t="shared" si="122"/>
        <v>08.02</v>
      </c>
      <c r="U526" s="108"/>
      <c r="V526" s="105"/>
      <c r="W526" s="105"/>
    </row>
    <row r="527" ht="21.75" hidden="1" customHeight="1" outlineLevel="2">
      <c r="A527" s="97"/>
      <c r="B527" s="98" t="s">
        <v>802</v>
      </c>
      <c r="C527" s="23"/>
      <c r="D527" s="23" t="s">
        <v>533</v>
      </c>
      <c r="E527" s="51" t="s">
        <v>26</v>
      </c>
      <c r="F527" s="46" t="s">
        <v>34</v>
      </c>
      <c r="G527" s="46"/>
      <c r="H527" s="47">
        <v>45222.0</v>
      </c>
      <c r="I527" s="27">
        <f t="shared" si="126"/>
        <v>1</v>
      </c>
      <c r="J527" s="106"/>
      <c r="K527" s="106"/>
      <c r="L527" s="101"/>
      <c r="M527" s="102"/>
      <c r="N527" s="107"/>
      <c r="O527" s="103"/>
      <c r="P527" s="103"/>
      <c r="Q527" s="72"/>
      <c r="R527" s="90"/>
      <c r="S527" s="42" t="str">
        <f t="shared" si="121"/>
        <v>MAC</v>
      </c>
      <c r="T527" s="104" t="str">
        <f t="shared" si="122"/>
        <v>08.04</v>
      </c>
      <c r="U527" s="108"/>
      <c r="V527" s="105"/>
      <c r="W527" s="105"/>
    </row>
    <row r="528" ht="21.75" hidden="1" customHeight="1" outlineLevel="2">
      <c r="A528" s="97"/>
      <c r="B528" s="98" t="s">
        <v>803</v>
      </c>
      <c r="C528" s="23"/>
      <c r="D528" s="23" t="s">
        <v>40</v>
      </c>
      <c r="E528" s="51" t="s">
        <v>26</v>
      </c>
      <c r="F528" s="25" t="s">
        <v>34</v>
      </c>
      <c r="G528" s="46"/>
      <c r="H528" s="47">
        <v>45223.0</v>
      </c>
      <c r="I528" s="27">
        <f t="shared" si="126"/>
        <v>1</v>
      </c>
      <c r="J528" s="106"/>
      <c r="K528" s="106"/>
      <c r="L528" s="101"/>
      <c r="M528" s="29">
        <v>45222.681360208335</v>
      </c>
      <c r="N528" s="109">
        <v>45226.49489752315</v>
      </c>
      <c r="O528" s="110" t="s">
        <v>804</v>
      </c>
      <c r="P528" s="110" t="s">
        <v>805</v>
      </c>
      <c r="Q528" s="37" t="s">
        <v>31</v>
      </c>
      <c r="R528" s="31">
        <v>0.014583333333333334</v>
      </c>
      <c r="S528" s="42" t="str">
        <f t="shared" si="121"/>
        <v>MAC</v>
      </c>
      <c r="T528" s="104" t="str">
        <f t="shared" si="122"/>
        <v>08.05</v>
      </c>
      <c r="U528" s="108"/>
      <c r="V528" s="105"/>
      <c r="W528" s="105"/>
    </row>
    <row r="529" ht="21.75" hidden="1" customHeight="1" outlineLevel="2">
      <c r="A529" s="97"/>
      <c r="B529" s="98" t="s">
        <v>806</v>
      </c>
      <c r="C529" s="23"/>
      <c r="D529" s="23" t="s">
        <v>47</v>
      </c>
      <c r="E529" s="51" t="s">
        <v>26</v>
      </c>
      <c r="F529" s="46" t="s">
        <v>34</v>
      </c>
      <c r="G529" s="46"/>
      <c r="H529" s="53">
        <v>45228.0</v>
      </c>
      <c r="I529" s="27">
        <f t="shared" si="126"/>
        <v>1</v>
      </c>
      <c r="J529" s="106"/>
      <c r="K529" s="106"/>
      <c r="L529" s="101"/>
      <c r="M529" s="102"/>
      <c r="N529" s="107"/>
      <c r="O529" s="103"/>
      <c r="P529" s="103"/>
      <c r="Q529" s="72"/>
      <c r="R529" s="90"/>
      <c r="S529" s="42" t="str">
        <f t="shared" si="121"/>
        <v>MAC</v>
      </c>
      <c r="T529" s="104" t="str">
        <f t="shared" si="122"/>
        <v>08.07</v>
      </c>
      <c r="U529" s="108"/>
      <c r="V529" s="105"/>
      <c r="W529" s="105"/>
    </row>
    <row r="530" ht="21.75" customHeight="1" outlineLevel="1" collapsed="1">
      <c r="A530" s="97"/>
      <c r="B530" s="23" t="s">
        <v>807</v>
      </c>
      <c r="C530" s="98" t="s">
        <v>808</v>
      </c>
      <c r="D530" s="23"/>
      <c r="E530" s="46" t="s">
        <v>51</v>
      </c>
      <c r="F530" s="46" t="s">
        <v>27</v>
      </c>
      <c r="G530" s="46" t="s">
        <v>89</v>
      </c>
      <c r="H530" s="47">
        <f>MAX(H531:H533)</f>
        <v>45228</v>
      </c>
      <c r="I530" s="99" t="str">
        <f>IFERROR(__xludf.DUMMYFUNCTION("SPARKLINE(SUM(I531:I533), {""charttype"", ""bar""; ""max"", J530; ""color1"", ""green""})"),"")</f>
        <v/>
      </c>
      <c r="J530" s="28">
        <f>COUNT(I531:I533)</f>
        <v>3</v>
      </c>
      <c r="K530" s="28" t="str">
        <f>IF(ISNUMBER(B529), K529, "")</f>
        <v/>
      </c>
      <c r="L530" s="101"/>
      <c r="M530" s="102">
        <f>MIN(M531:M533)</f>
        <v>0</v>
      </c>
      <c r="N530" s="102">
        <f>MAX(N531:N533)</f>
        <v>0</v>
      </c>
      <c r="O530" s="103"/>
      <c r="P530" s="103"/>
      <c r="Q530" s="72"/>
      <c r="R530" s="90">
        <f>SUM(R531:R533)</f>
        <v>0</v>
      </c>
      <c r="S530" s="42" t="str">
        <f t="shared" si="121"/>
        <v>MAC</v>
      </c>
      <c r="T530" s="104" t="str">
        <f t="shared" si="122"/>
        <v>09</v>
      </c>
      <c r="U530" s="33" t="str">
        <f>CONCATENATE(C530, " - ",E530)</f>
        <v>Art &amp; Craft Teacher Photos - Insta</v>
      </c>
      <c r="V530" s="105"/>
      <c r="W530" s="105"/>
    </row>
    <row r="531" ht="21.75" hidden="1" customHeight="1" outlineLevel="2">
      <c r="A531" s="97"/>
      <c r="B531" s="98" t="s">
        <v>809</v>
      </c>
      <c r="C531" s="23"/>
      <c r="D531" s="23" t="s">
        <v>33</v>
      </c>
      <c r="E531" s="113" t="s">
        <v>26</v>
      </c>
      <c r="F531" s="46" t="s">
        <v>34</v>
      </c>
      <c r="G531" s="118"/>
      <c r="H531" s="47">
        <v>45213.87365260417</v>
      </c>
      <c r="I531" s="48">
        <f t="shared" ref="I531:I533" si="127">IFERROR(IF($E531="Done", 1, IF(OR($E531="Working on it", $E531="In Review", $E531="On Hold"), 0.5, IF($E531="Not Started", 0, ""))), 0)</f>
        <v>1</v>
      </c>
      <c r="J531" s="28"/>
      <c r="K531" s="28"/>
      <c r="L531" s="39"/>
      <c r="M531" s="40"/>
      <c r="N531" s="105"/>
      <c r="O531" s="38"/>
      <c r="P531" s="38"/>
      <c r="Q531" s="105"/>
      <c r="R531" s="42"/>
      <c r="S531" s="42" t="str">
        <f t="shared" si="121"/>
        <v>MAC</v>
      </c>
      <c r="T531" s="104" t="str">
        <f t="shared" si="122"/>
        <v>09.02</v>
      </c>
      <c r="U531" s="108"/>
      <c r="V531" s="105"/>
      <c r="W531" s="105"/>
    </row>
    <row r="532" ht="21.75" hidden="1" customHeight="1" outlineLevel="2">
      <c r="A532" s="97"/>
      <c r="B532" s="98" t="s">
        <v>810</v>
      </c>
      <c r="C532" s="23"/>
      <c r="D532" s="23" t="s">
        <v>797</v>
      </c>
      <c r="E532" s="51" t="s">
        <v>26</v>
      </c>
      <c r="F532" s="46" t="s">
        <v>34</v>
      </c>
      <c r="G532" s="118"/>
      <c r="H532" s="47">
        <v>45224.0</v>
      </c>
      <c r="I532" s="48">
        <f t="shared" si="127"/>
        <v>1</v>
      </c>
      <c r="J532" s="28"/>
      <c r="K532" s="28"/>
      <c r="L532" s="39"/>
      <c r="M532" s="40"/>
      <c r="N532" s="105"/>
      <c r="O532" s="38"/>
      <c r="P532" s="38"/>
      <c r="Q532" s="105"/>
      <c r="R532" s="42"/>
      <c r="S532" s="42" t="str">
        <f t="shared" si="121"/>
        <v>MAC</v>
      </c>
      <c r="T532" s="104" t="str">
        <f t="shared" si="122"/>
        <v>09.03</v>
      </c>
      <c r="U532" s="108"/>
      <c r="V532" s="105"/>
      <c r="W532" s="105"/>
    </row>
    <row r="533" ht="21.75" hidden="1" customHeight="1" outlineLevel="2">
      <c r="A533" s="97"/>
      <c r="B533" s="98" t="s">
        <v>811</v>
      </c>
      <c r="C533" s="23"/>
      <c r="D533" s="23" t="s">
        <v>47</v>
      </c>
      <c r="E533" s="51" t="s">
        <v>26</v>
      </c>
      <c r="F533" s="46" t="s">
        <v>34</v>
      </c>
      <c r="G533" s="118"/>
      <c r="H533" s="53">
        <v>45228.0</v>
      </c>
      <c r="I533" s="48">
        <f t="shared" si="127"/>
        <v>1</v>
      </c>
      <c r="J533" s="28"/>
      <c r="K533" s="28"/>
      <c r="L533" s="39"/>
      <c r="M533" s="40"/>
      <c r="N533" s="105"/>
      <c r="O533" s="38"/>
      <c r="P533" s="38"/>
      <c r="Q533" s="105"/>
      <c r="R533" s="42"/>
      <c r="S533" s="42" t="str">
        <f t="shared" si="121"/>
        <v>MAC</v>
      </c>
      <c r="T533" s="104" t="str">
        <f t="shared" si="122"/>
        <v>09.04</v>
      </c>
      <c r="U533" s="108"/>
      <c r="V533" s="105"/>
      <c r="W533" s="105"/>
    </row>
    <row r="534" ht="21.75" customHeight="1" outlineLevel="1" collapsed="1">
      <c r="A534" s="97"/>
      <c r="B534" s="23" t="s">
        <v>812</v>
      </c>
      <c r="C534" s="98" t="s">
        <v>813</v>
      </c>
      <c r="D534" s="23"/>
      <c r="E534" s="46" t="s">
        <v>21</v>
      </c>
      <c r="F534" s="46" t="s">
        <v>27</v>
      </c>
      <c r="G534" s="46" t="s">
        <v>23</v>
      </c>
      <c r="H534" s="47">
        <f>MAX(H535:H538)</f>
        <v>45231</v>
      </c>
      <c r="I534" s="99" t="str">
        <f>IFERROR(__xludf.DUMMYFUNCTION("SPARKLINE(SUM(I535:I538), {""charttype"", ""bar""; ""max"", J534; ""color1"", ""green""})"),"")</f>
        <v/>
      </c>
      <c r="J534" s="28">
        <f>COUNT(I535:I538)</f>
        <v>4</v>
      </c>
      <c r="K534" s="28" t="str">
        <f>IF(ISNUMBER(B515), K515, "")</f>
        <v/>
      </c>
      <c r="L534" s="101"/>
      <c r="M534" s="102">
        <f>MIN(M535:M538)</f>
        <v>45213.49894</v>
      </c>
      <c r="N534" s="102">
        <f>MAX(N535:N538)</f>
        <v>45227.73874</v>
      </c>
      <c r="O534" s="103"/>
      <c r="P534" s="103"/>
      <c r="Q534" s="72"/>
      <c r="R534" s="90">
        <f>SUM(R535:R538)</f>
        <v>1.819444444</v>
      </c>
      <c r="S534" s="42" t="str">
        <f t="shared" si="121"/>
        <v>MAC</v>
      </c>
      <c r="T534" s="104" t="str">
        <f t="shared" si="122"/>
        <v>04</v>
      </c>
      <c r="U534" s="33" t="str">
        <f>CONCATENATE(C534, " - ",E534)</f>
        <v>Music Teachers Intro - Shorts</v>
      </c>
      <c r="V534" s="105"/>
      <c r="W534" s="105"/>
    </row>
    <row r="535" ht="21.75" hidden="1" customHeight="1" outlineLevel="2">
      <c r="A535" s="97"/>
      <c r="B535" s="98" t="s">
        <v>814</v>
      </c>
      <c r="C535" s="23"/>
      <c r="D535" s="23" t="s">
        <v>33</v>
      </c>
      <c r="E535" s="113" t="s">
        <v>26</v>
      </c>
      <c r="F535" s="46" t="s">
        <v>34</v>
      </c>
      <c r="G535" s="46"/>
      <c r="H535" s="47">
        <v>45213.0</v>
      </c>
      <c r="I535" s="27">
        <f t="shared" ref="I535:I538" si="128">IFERROR(IF($E535="Done", 1, IF(OR($E535="Working on it", $E535="In Review", $E535="On Hold"), 0.5, IF($E535="Not Started", 0, ""))), 0)</f>
        <v>1</v>
      </c>
      <c r="J535" s="106"/>
      <c r="K535" s="106"/>
      <c r="L535" s="101"/>
      <c r="M535" s="102">
        <v>45213.498935185184</v>
      </c>
      <c r="N535" s="107">
        <v>45213.74925887732</v>
      </c>
      <c r="O535" s="103" t="s">
        <v>769</v>
      </c>
      <c r="P535" s="103" t="s">
        <v>770</v>
      </c>
      <c r="Q535" s="72" t="s">
        <v>31</v>
      </c>
      <c r="R535" s="90">
        <v>0.10416666666666667</v>
      </c>
      <c r="S535" s="42" t="str">
        <f t="shared" si="121"/>
        <v>MAC</v>
      </c>
      <c r="T535" s="104" t="str">
        <f t="shared" si="122"/>
        <v>04.02</v>
      </c>
      <c r="U535" s="108"/>
      <c r="V535" s="105"/>
      <c r="W535" s="105"/>
    </row>
    <row r="536" ht="21.75" hidden="1" customHeight="1" outlineLevel="2">
      <c r="A536" s="97"/>
      <c r="B536" s="98" t="s">
        <v>815</v>
      </c>
      <c r="C536" s="23"/>
      <c r="D536" s="23" t="s">
        <v>533</v>
      </c>
      <c r="E536" s="51" t="s">
        <v>26</v>
      </c>
      <c r="F536" s="46" t="s">
        <v>34</v>
      </c>
      <c r="G536" s="46"/>
      <c r="H536" s="47">
        <v>45218.0</v>
      </c>
      <c r="I536" s="27">
        <f t="shared" si="128"/>
        <v>1</v>
      </c>
      <c r="J536" s="106"/>
      <c r="K536" s="106"/>
      <c r="L536" s="101"/>
      <c r="M536" s="102"/>
      <c r="N536" s="107"/>
      <c r="O536" s="103"/>
      <c r="P536" s="103"/>
      <c r="Q536" s="72"/>
      <c r="R536" s="90"/>
      <c r="S536" s="42" t="str">
        <f t="shared" si="121"/>
        <v>MAC</v>
      </c>
      <c r="T536" s="104" t="str">
        <f t="shared" si="122"/>
        <v>04.04</v>
      </c>
      <c r="U536" s="108"/>
      <c r="V536" s="105"/>
      <c r="W536" s="105"/>
    </row>
    <row r="537" ht="21.75" hidden="1" customHeight="1" outlineLevel="2">
      <c r="A537" s="97"/>
      <c r="B537" s="98" t="s">
        <v>816</v>
      </c>
      <c r="C537" s="23"/>
      <c r="D537" s="23" t="s">
        <v>40</v>
      </c>
      <c r="E537" s="51" t="s">
        <v>26</v>
      </c>
      <c r="F537" s="25" t="s">
        <v>34</v>
      </c>
      <c r="G537" s="46"/>
      <c r="H537" s="53">
        <v>45228.0</v>
      </c>
      <c r="I537" s="27">
        <f t="shared" si="128"/>
        <v>1</v>
      </c>
      <c r="J537" s="106"/>
      <c r="K537" s="106"/>
      <c r="L537" s="101"/>
      <c r="M537" s="29">
        <v>45222.70040914352</v>
      </c>
      <c r="N537" s="109">
        <v>45227.73873844907</v>
      </c>
      <c r="O537" s="110" t="s">
        <v>817</v>
      </c>
      <c r="P537" s="110" t="s">
        <v>818</v>
      </c>
      <c r="Q537" s="37" t="s">
        <v>31</v>
      </c>
      <c r="R537" s="31">
        <v>1.7152777777777777</v>
      </c>
      <c r="S537" s="42" t="str">
        <f t="shared" si="121"/>
        <v>MAC</v>
      </c>
      <c r="T537" s="104" t="str">
        <f t="shared" si="122"/>
        <v>04.05</v>
      </c>
      <c r="U537" s="108"/>
      <c r="V537" s="105"/>
      <c r="W537" s="105"/>
    </row>
    <row r="538" ht="21.75" hidden="1" customHeight="1" outlineLevel="2">
      <c r="A538" s="97"/>
      <c r="B538" s="98" t="s">
        <v>819</v>
      </c>
      <c r="C538" s="23"/>
      <c r="D538" s="23" t="s">
        <v>47</v>
      </c>
      <c r="E538" s="51" t="s">
        <v>26</v>
      </c>
      <c r="F538" s="46" t="s">
        <v>34</v>
      </c>
      <c r="G538" s="46"/>
      <c r="H538" s="53">
        <v>45231.0</v>
      </c>
      <c r="I538" s="27">
        <f t="shared" si="128"/>
        <v>1</v>
      </c>
      <c r="J538" s="106"/>
      <c r="K538" s="106"/>
      <c r="L538" s="101"/>
      <c r="M538" s="102"/>
      <c r="N538" s="107"/>
      <c r="O538" s="103"/>
      <c r="P538" s="103"/>
      <c r="Q538" s="72"/>
      <c r="R538" s="90"/>
      <c r="S538" s="42" t="str">
        <f t="shared" si="121"/>
        <v>MAC</v>
      </c>
      <c r="T538" s="104" t="str">
        <f t="shared" si="122"/>
        <v>04.07</v>
      </c>
      <c r="U538" s="108"/>
      <c r="V538" s="105"/>
      <c r="W538" s="105"/>
    </row>
    <row r="539" ht="21.75" customHeight="1" outlineLevel="1" collapsed="1">
      <c r="A539" s="97"/>
      <c r="B539" s="23" t="s">
        <v>820</v>
      </c>
      <c r="C539" s="98" t="s">
        <v>821</v>
      </c>
      <c r="D539" s="23"/>
      <c r="E539" s="46" t="s">
        <v>51</v>
      </c>
      <c r="F539" s="46" t="s">
        <v>27</v>
      </c>
      <c r="G539" s="46" t="s">
        <v>63</v>
      </c>
      <c r="H539" s="47">
        <f>MAX(H540:H542)</f>
        <v>45230</v>
      </c>
      <c r="I539" s="99" t="str">
        <f>IFERROR(__xludf.DUMMYFUNCTION("SPARKLINE(SUM(I540:I542), {""charttype"", ""bar""; ""max"", J539; ""color1"", ""green""})"),"")</f>
        <v/>
      </c>
      <c r="J539" s="28">
        <f>COUNT(I540:I542)</f>
        <v>3</v>
      </c>
      <c r="K539" s="28" t="str">
        <f>IF(ISNUMBER(B538), K538, "")</f>
        <v/>
      </c>
      <c r="L539" s="101"/>
      <c r="M539" s="102">
        <f>MIN(M540:M542)</f>
        <v>45227.64876</v>
      </c>
      <c r="N539" s="102">
        <f>MAX(N540:N542)</f>
        <v>45227.6798</v>
      </c>
      <c r="O539" s="103"/>
      <c r="P539" s="103"/>
      <c r="Q539" s="72"/>
      <c r="R539" s="90">
        <f>SUM(R540:R542)</f>
        <v>0.02986111111</v>
      </c>
      <c r="S539" s="42" t="str">
        <f t="shared" si="121"/>
        <v>MAC</v>
      </c>
      <c r="T539" s="104" t="str">
        <f t="shared" si="122"/>
        <v>05</v>
      </c>
      <c r="U539" s="33" t="str">
        <f>CONCATENATE(C539, " - ",E539)</f>
        <v>Music Teachers Photos - Insta</v>
      </c>
      <c r="V539" s="105"/>
      <c r="W539" s="105"/>
    </row>
    <row r="540" ht="21.75" hidden="1" customHeight="1" outlineLevel="2">
      <c r="A540" s="97"/>
      <c r="B540" s="98" t="s">
        <v>822</v>
      </c>
      <c r="C540" s="23"/>
      <c r="D540" s="23" t="s">
        <v>33</v>
      </c>
      <c r="E540" s="113" t="s">
        <v>26</v>
      </c>
      <c r="F540" s="46" t="s">
        <v>34</v>
      </c>
      <c r="G540" s="46"/>
      <c r="H540" s="47">
        <v>45219.0</v>
      </c>
      <c r="I540" s="27">
        <f t="shared" ref="I540:I542" si="129">IFERROR(IF($E540="Done", 1, IF(OR($E540="Working on it", $E540="In Review", $E540="On Hold"), 0.5, IF($E540="Not Started", 0, ""))), 0)</f>
        <v>1</v>
      </c>
      <c r="J540" s="106"/>
      <c r="K540" s="106"/>
      <c r="L540" s="101"/>
      <c r="M540" s="102"/>
      <c r="N540" s="107"/>
      <c r="O540" s="103"/>
      <c r="P540" s="103"/>
      <c r="Q540" s="72"/>
      <c r="R540" s="90"/>
      <c r="S540" s="42" t="str">
        <f t="shared" si="121"/>
        <v>MAC</v>
      </c>
      <c r="T540" s="104" t="str">
        <f t="shared" si="122"/>
        <v>05.02</v>
      </c>
      <c r="U540" s="108"/>
      <c r="V540" s="105"/>
      <c r="W540" s="105"/>
    </row>
    <row r="541" ht="21.75" hidden="1" customHeight="1" outlineLevel="2">
      <c r="A541" s="97"/>
      <c r="B541" s="119" t="s">
        <v>823</v>
      </c>
      <c r="C541" s="120"/>
      <c r="D541" s="120" t="s">
        <v>756</v>
      </c>
      <c r="E541" s="51" t="s">
        <v>26</v>
      </c>
      <c r="F541" s="46" t="s">
        <v>34</v>
      </c>
      <c r="G541" s="46"/>
      <c r="H541" s="53">
        <v>45228.0</v>
      </c>
      <c r="I541" s="27">
        <f t="shared" si="129"/>
        <v>1</v>
      </c>
      <c r="J541" s="121"/>
      <c r="K541" s="121"/>
      <c r="L541" s="101"/>
      <c r="M541" s="29">
        <v>45227.67670474537</v>
      </c>
      <c r="N541" s="109">
        <v>45227.679800682876</v>
      </c>
      <c r="O541" s="122"/>
      <c r="P541" s="122"/>
      <c r="Q541" s="37" t="s">
        <v>31</v>
      </c>
      <c r="R541" s="31">
        <v>0.002777777777777778</v>
      </c>
      <c r="S541" s="42" t="str">
        <f t="shared" si="121"/>
        <v>MAC</v>
      </c>
      <c r="T541" s="104" t="str">
        <f t="shared" si="122"/>
        <v>05.03</v>
      </c>
      <c r="U541" s="123"/>
      <c r="V541" s="124"/>
      <c r="W541" s="124"/>
    </row>
    <row r="542" ht="21.75" hidden="1" customHeight="1" outlineLevel="2">
      <c r="A542" s="97"/>
      <c r="B542" s="98" t="s">
        <v>824</v>
      </c>
      <c r="C542" s="23"/>
      <c r="D542" s="23" t="s">
        <v>47</v>
      </c>
      <c r="E542" s="51" t="s">
        <v>26</v>
      </c>
      <c r="F542" s="46" t="s">
        <v>34</v>
      </c>
      <c r="G542" s="46"/>
      <c r="H542" s="53">
        <v>45230.0</v>
      </c>
      <c r="I542" s="27">
        <f t="shared" si="129"/>
        <v>1</v>
      </c>
      <c r="J542" s="106"/>
      <c r="K542" s="106"/>
      <c r="L542" s="101"/>
      <c r="M542" s="29">
        <v>45227.648760509255</v>
      </c>
      <c r="N542" s="109">
        <v>45227.6765294213</v>
      </c>
      <c r="O542" s="103"/>
      <c r="P542" s="103"/>
      <c r="Q542" s="37" t="s">
        <v>31</v>
      </c>
      <c r="R542" s="31">
        <v>0.027083333333333334</v>
      </c>
      <c r="S542" s="42" t="str">
        <f t="shared" si="121"/>
        <v>MAC</v>
      </c>
      <c r="T542" s="104" t="str">
        <f t="shared" si="122"/>
        <v>05.04</v>
      </c>
      <c r="U542" s="108"/>
      <c r="V542" s="105"/>
      <c r="W542" s="105"/>
    </row>
    <row r="543" ht="21.75" customHeight="1" outlineLevel="1" collapsed="1">
      <c r="A543" s="97"/>
      <c r="B543" s="21" t="s">
        <v>825</v>
      </c>
      <c r="C543" s="22" t="s">
        <v>251</v>
      </c>
      <c r="D543" s="23"/>
      <c r="E543" s="24" t="s">
        <v>51</v>
      </c>
      <c r="F543" s="25" t="s">
        <v>34</v>
      </c>
      <c r="G543" s="24" t="s">
        <v>23</v>
      </c>
      <c r="H543" s="26">
        <f>MAX(H544:H545)</f>
        <v>45241</v>
      </c>
      <c r="I543" s="27" t="str">
        <f>IFERROR(__xludf.DUMMYFUNCTION("SPARKLINE(SUM(I544:I545), {""charttype"", ""bar""; ""max"", J543; ""color1"", ""green""})"),"")</f>
        <v/>
      </c>
      <c r="J543" s="28">
        <f>COUNT(I544:I545)</f>
        <v>2</v>
      </c>
      <c r="K543" s="28" t="str">
        <f>IF(ISNUMBER(B542), K542, "")</f>
        <v/>
      </c>
      <c r="L543" s="17"/>
      <c r="M543" s="29">
        <f>MIN(M544:M545)</f>
        <v>45240.59742</v>
      </c>
      <c r="N543" s="72">
        <f>MAX(N544:N545)</f>
        <v>0</v>
      </c>
      <c r="O543" s="73"/>
      <c r="P543" s="73"/>
      <c r="Q543" s="72"/>
      <c r="R543" s="72">
        <f>SUM(R544:R545)</f>
        <v>0</v>
      </c>
      <c r="S543" s="31" t="str">
        <f t="shared" si="121"/>
        <v>MAC</v>
      </c>
      <c r="T543" s="32" t="str">
        <f t="shared" si="122"/>
        <v>12</v>
      </c>
      <c r="U543" s="73"/>
      <c r="V543" s="72"/>
      <c r="W543" s="72"/>
    </row>
    <row r="544" ht="21.75" hidden="1" customHeight="1" outlineLevel="2">
      <c r="A544" s="97"/>
      <c r="B544" s="21" t="s">
        <v>826</v>
      </c>
      <c r="C544" s="22"/>
      <c r="D544" s="22" t="s">
        <v>40</v>
      </c>
      <c r="E544" s="24" t="s">
        <v>388</v>
      </c>
      <c r="F544" s="25" t="s">
        <v>34</v>
      </c>
      <c r="G544" s="24"/>
      <c r="H544" s="35">
        <v>45240.0</v>
      </c>
      <c r="I544" s="27">
        <f t="shared" ref="I544:I545" si="130">IFERROR(IF($E544="Done", 1, IF(OR($E544="Working on it", $E544="In Review", $E544="On Hold"), 0.5, IF($E544="Not Started", 0, ""))), 0)</f>
        <v>0.5</v>
      </c>
      <c r="J544" s="28"/>
      <c r="K544" s="28"/>
      <c r="L544" s="17"/>
      <c r="M544" s="29">
        <v>45240.597415613425</v>
      </c>
      <c r="N544" s="72"/>
      <c r="O544" s="36" t="s">
        <v>827</v>
      </c>
      <c r="P544" s="73"/>
      <c r="Q544" s="37" t="s">
        <v>309</v>
      </c>
      <c r="R544" s="72"/>
      <c r="S544" s="31"/>
      <c r="T544" s="32"/>
      <c r="U544" s="73"/>
      <c r="V544" s="72"/>
      <c r="W544" s="72"/>
    </row>
    <row r="545" ht="21.75" hidden="1" customHeight="1" outlineLevel="2">
      <c r="A545" s="97"/>
      <c r="B545" s="21" t="s">
        <v>828</v>
      </c>
      <c r="C545" s="22"/>
      <c r="D545" s="22" t="s">
        <v>47</v>
      </c>
      <c r="E545" s="24" t="s">
        <v>179</v>
      </c>
      <c r="F545" s="25" t="s">
        <v>34</v>
      </c>
      <c r="G545" s="24"/>
      <c r="H545" s="35">
        <v>45241.0</v>
      </c>
      <c r="I545" s="27">
        <f t="shared" si="130"/>
        <v>0</v>
      </c>
      <c r="J545" s="28"/>
      <c r="K545" s="28"/>
      <c r="L545" s="17"/>
      <c r="M545" s="29"/>
      <c r="N545" s="72"/>
      <c r="O545" s="73"/>
      <c r="P545" s="73"/>
      <c r="Q545" s="72"/>
      <c r="R545" s="72"/>
      <c r="S545" s="31"/>
      <c r="T545" s="32"/>
      <c r="U545" s="73"/>
      <c r="V545" s="72"/>
      <c r="W545" s="72"/>
    </row>
    <row r="546" ht="21.75" customHeight="1" outlineLevel="1">
      <c r="A546" s="97"/>
      <c r="B546" s="64"/>
      <c r="C546" s="23"/>
      <c r="D546" s="23"/>
      <c r="E546" s="24"/>
      <c r="F546" s="25"/>
      <c r="G546" s="24"/>
      <c r="H546" s="26"/>
      <c r="I546" s="27"/>
      <c r="J546" s="28"/>
      <c r="K546" s="28" t="str">
        <f t="shared" ref="K546:K557" si="131">IFERROR(IF(ISNUMBER(INDIRECT("B" &amp; ROW()-1)), INDIRECT("K" &amp; ROW()-1), ""), "")</f>
        <v/>
      </c>
      <c r="L546" s="17"/>
      <c r="M546" s="29"/>
      <c r="N546" s="72"/>
      <c r="O546" s="73"/>
      <c r="P546" s="73"/>
      <c r="Q546" s="72"/>
      <c r="R546" s="72"/>
      <c r="S546" s="31" t="str">
        <f t="shared" ref="S546:S557" si="132">IFERROR(MID(B546, FIND("-", B546) + 1, 3), "")</f>
        <v/>
      </c>
      <c r="T546" s="32" t="str">
        <f t="shared" ref="T546:T557" si="133">IFERROR(MID(B546, 8, LEN(B546)-7), "")
</f>
        <v/>
      </c>
      <c r="U546" s="73"/>
      <c r="V546" s="72"/>
      <c r="W546" s="72"/>
    </row>
    <row r="547" ht="21.75" customHeight="1" outlineLevel="1">
      <c r="A547" s="97"/>
      <c r="B547" s="64"/>
      <c r="C547" s="23"/>
      <c r="D547" s="23"/>
      <c r="E547" s="24"/>
      <c r="F547" s="25"/>
      <c r="G547" s="24"/>
      <c r="H547" s="26"/>
      <c r="I547" s="27"/>
      <c r="J547" s="28"/>
      <c r="K547" s="28" t="str">
        <f t="shared" si="131"/>
        <v/>
      </c>
      <c r="L547" s="17"/>
      <c r="M547" s="29"/>
      <c r="N547" s="72"/>
      <c r="O547" s="73"/>
      <c r="P547" s="73"/>
      <c r="Q547" s="72"/>
      <c r="R547" s="72"/>
      <c r="S547" s="31" t="str">
        <f t="shared" si="132"/>
        <v/>
      </c>
      <c r="T547" s="32" t="str">
        <f t="shared" si="133"/>
        <v/>
      </c>
      <c r="U547" s="73"/>
      <c r="V547" s="72"/>
      <c r="W547" s="72"/>
    </row>
    <row r="548" ht="21.75" customHeight="1" outlineLevel="1">
      <c r="A548" s="97"/>
      <c r="B548" s="64"/>
      <c r="C548" s="23"/>
      <c r="D548" s="23"/>
      <c r="E548" s="24"/>
      <c r="F548" s="25"/>
      <c r="G548" s="24"/>
      <c r="H548" s="26"/>
      <c r="I548" s="27"/>
      <c r="J548" s="28"/>
      <c r="K548" s="28" t="str">
        <f t="shared" si="131"/>
        <v/>
      </c>
      <c r="L548" s="17"/>
      <c r="M548" s="29"/>
      <c r="N548" s="72"/>
      <c r="O548" s="73"/>
      <c r="P548" s="73"/>
      <c r="Q548" s="72"/>
      <c r="R548" s="72"/>
      <c r="S548" s="31" t="str">
        <f t="shared" si="132"/>
        <v/>
      </c>
      <c r="T548" s="32" t="str">
        <f t="shared" si="133"/>
        <v/>
      </c>
      <c r="U548" s="73"/>
      <c r="V548" s="72"/>
      <c r="W548" s="72"/>
    </row>
    <row r="549" ht="21.75" customHeight="1" outlineLevel="1">
      <c r="A549" s="97"/>
      <c r="B549" s="64"/>
      <c r="C549" s="23"/>
      <c r="D549" s="23"/>
      <c r="E549" s="24"/>
      <c r="F549" s="25"/>
      <c r="G549" s="24"/>
      <c r="H549" s="26"/>
      <c r="I549" s="27"/>
      <c r="J549" s="28"/>
      <c r="K549" s="28" t="str">
        <f t="shared" si="131"/>
        <v/>
      </c>
      <c r="L549" s="17"/>
      <c r="M549" s="29"/>
      <c r="N549" s="72"/>
      <c r="O549" s="73"/>
      <c r="P549" s="73"/>
      <c r="Q549" s="72"/>
      <c r="R549" s="72"/>
      <c r="S549" s="31" t="str">
        <f t="shared" si="132"/>
        <v/>
      </c>
      <c r="T549" s="32" t="str">
        <f t="shared" si="133"/>
        <v/>
      </c>
      <c r="U549" s="73"/>
      <c r="V549" s="72"/>
      <c r="W549" s="72"/>
    </row>
    <row r="550" ht="21.75" customHeight="1" outlineLevel="1">
      <c r="A550" s="97"/>
      <c r="B550" s="64"/>
      <c r="C550" s="23"/>
      <c r="D550" s="23"/>
      <c r="E550" s="24"/>
      <c r="F550" s="25"/>
      <c r="G550" s="24"/>
      <c r="H550" s="26"/>
      <c r="I550" s="27"/>
      <c r="J550" s="28"/>
      <c r="K550" s="28" t="str">
        <f t="shared" si="131"/>
        <v/>
      </c>
      <c r="L550" s="17"/>
      <c r="M550" s="29"/>
      <c r="N550" s="72"/>
      <c r="O550" s="73"/>
      <c r="P550" s="73"/>
      <c r="Q550" s="72"/>
      <c r="R550" s="72"/>
      <c r="S550" s="31" t="str">
        <f t="shared" si="132"/>
        <v/>
      </c>
      <c r="T550" s="32" t="str">
        <f t="shared" si="133"/>
        <v/>
      </c>
      <c r="U550" s="73"/>
      <c r="V550" s="72"/>
      <c r="W550" s="72"/>
    </row>
    <row r="551" ht="21.75" customHeight="1" outlineLevel="1">
      <c r="A551" s="97"/>
      <c r="B551" s="64"/>
      <c r="C551" s="23"/>
      <c r="D551" s="23"/>
      <c r="E551" s="24"/>
      <c r="F551" s="25"/>
      <c r="G551" s="24"/>
      <c r="H551" s="26"/>
      <c r="I551" s="27"/>
      <c r="J551" s="28"/>
      <c r="K551" s="28" t="str">
        <f t="shared" si="131"/>
        <v/>
      </c>
      <c r="L551" s="17"/>
      <c r="M551" s="29"/>
      <c r="N551" s="72"/>
      <c r="O551" s="73"/>
      <c r="P551" s="73"/>
      <c r="Q551" s="72"/>
      <c r="R551" s="72"/>
      <c r="S551" s="31" t="str">
        <f t="shared" si="132"/>
        <v/>
      </c>
      <c r="T551" s="32" t="str">
        <f t="shared" si="133"/>
        <v/>
      </c>
      <c r="U551" s="73"/>
      <c r="V551" s="72"/>
      <c r="W551" s="72"/>
    </row>
    <row r="552" ht="21.75" customHeight="1" outlineLevel="1">
      <c r="A552" s="97"/>
      <c r="B552" s="64"/>
      <c r="C552" s="23"/>
      <c r="D552" s="23"/>
      <c r="E552" s="24"/>
      <c r="F552" s="25"/>
      <c r="G552" s="24"/>
      <c r="H552" s="26"/>
      <c r="I552" s="27"/>
      <c r="J552" s="28"/>
      <c r="K552" s="28" t="str">
        <f t="shared" si="131"/>
        <v/>
      </c>
      <c r="L552" s="17"/>
      <c r="M552" s="29"/>
      <c r="N552" s="72"/>
      <c r="O552" s="73"/>
      <c r="P552" s="73"/>
      <c r="Q552" s="72"/>
      <c r="R552" s="72"/>
      <c r="S552" s="31" t="str">
        <f t="shared" si="132"/>
        <v/>
      </c>
      <c r="T552" s="32" t="str">
        <f t="shared" si="133"/>
        <v/>
      </c>
      <c r="U552" s="73"/>
      <c r="V552" s="72"/>
      <c r="W552" s="72"/>
    </row>
    <row r="553" ht="21.75" customHeight="1" outlineLevel="1">
      <c r="A553" s="97"/>
      <c r="B553" s="64"/>
      <c r="C553" s="23"/>
      <c r="D553" s="23"/>
      <c r="E553" s="24"/>
      <c r="F553" s="25"/>
      <c r="G553" s="24"/>
      <c r="H553" s="26"/>
      <c r="I553" s="27"/>
      <c r="J553" s="28"/>
      <c r="K553" s="28" t="str">
        <f t="shared" si="131"/>
        <v/>
      </c>
      <c r="L553" s="17"/>
      <c r="M553" s="29"/>
      <c r="N553" s="72"/>
      <c r="O553" s="73"/>
      <c r="P553" s="73"/>
      <c r="Q553" s="72"/>
      <c r="R553" s="72"/>
      <c r="S553" s="31" t="str">
        <f t="shared" si="132"/>
        <v/>
      </c>
      <c r="T553" s="32" t="str">
        <f t="shared" si="133"/>
        <v/>
      </c>
      <c r="U553" s="73"/>
      <c r="V553" s="72"/>
      <c r="W553" s="72"/>
    </row>
    <row r="554" ht="21.75" customHeight="1" outlineLevel="1">
      <c r="A554" s="97"/>
      <c r="B554" s="64"/>
      <c r="C554" s="23"/>
      <c r="D554" s="23"/>
      <c r="E554" s="24"/>
      <c r="F554" s="25"/>
      <c r="G554" s="24"/>
      <c r="H554" s="26"/>
      <c r="I554" s="27"/>
      <c r="J554" s="28"/>
      <c r="K554" s="28" t="str">
        <f t="shared" si="131"/>
        <v/>
      </c>
      <c r="L554" s="17"/>
      <c r="M554" s="29"/>
      <c r="N554" s="72"/>
      <c r="O554" s="73"/>
      <c r="P554" s="73"/>
      <c r="Q554" s="72"/>
      <c r="R554" s="72"/>
      <c r="S554" s="31" t="str">
        <f t="shared" si="132"/>
        <v/>
      </c>
      <c r="T554" s="32" t="str">
        <f t="shared" si="133"/>
        <v/>
      </c>
      <c r="U554" s="73"/>
      <c r="V554" s="72"/>
      <c r="W554" s="72"/>
    </row>
    <row r="555" ht="21.75" customHeight="1" outlineLevel="1">
      <c r="A555" s="97"/>
      <c r="B555" s="64"/>
      <c r="C555" s="23"/>
      <c r="D555" s="23"/>
      <c r="E555" s="24"/>
      <c r="F555" s="25"/>
      <c r="G555" s="24"/>
      <c r="H555" s="26"/>
      <c r="I555" s="27"/>
      <c r="J555" s="28"/>
      <c r="K555" s="28" t="str">
        <f t="shared" si="131"/>
        <v/>
      </c>
      <c r="L555" s="17"/>
      <c r="M555" s="29"/>
      <c r="N555" s="72"/>
      <c r="O555" s="73"/>
      <c r="P555" s="73"/>
      <c r="Q555" s="72"/>
      <c r="R555" s="72"/>
      <c r="S555" s="31" t="str">
        <f t="shared" si="132"/>
        <v/>
      </c>
      <c r="T555" s="32" t="str">
        <f t="shared" si="133"/>
        <v/>
      </c>
      <c r="U555" s="73"/>
      <c r="V555" s="72"/>
      <c r="W555" s="72"/>
    </row>
    <row r="556" ht="21.75" customHeight="1" outlineLevel="1">
      <c r="A556" s="97"/>
      <c r="B556" s="64"/>
      <c r="C556" s="23"/>
      <c r="D556" s="23"/>
      <c r="E556" s="24"/>
      <c r="F556" s="25"/>
      <c r="G556" s="24"/>
      <c r="H556" s="26"/>
      <c r="I556" s="27"/>
      <c r="J556" s="28"/>
      <c r="K556" s="28" t="str">
        <f t="shared" si="131"/>
        <v/>
      </c>
      <c r="L556" s="17"/>
      <c r="M556" s="29"/>
      <c r="N556" s="72"/>
      <c r="O556" s="73"/>
      <c r="P556" s="73"/>
      <c r="Q556" s="72"/>
      <c r="R556" s="72"/>
      <c r="S556" s="31" t="str">
        <f t="shared" si="132"/>
        <v/>
      </c>
      <c r="T556" s="32" t="str">
        <f t="shared" si="133"/>
        <v/>
      </c>
      <c r="U556" s="73"/>
      <c r="V556" s="72"/>
      <c r="W556" s="72"/>
    </row>
    <row r="557" ht="21.75" customHeight="1" outlineLevel="1">
      <c r="A557" s="97"/>
      <c r="B557" s="64"/>
      <c r="C557" s="23"/>
      <c r="D557" s="23"/>
      <c r="E557" s="24"/>
      <c r="F557" s="25"/>
      <c r="G557" s="24"/>
      <c r="H557" s="26"/>
      <c r="I557" s="27"/>
      <c r="J557" s="28"/>
      <c r="K557" s="28" t="str">
        <f t="shared" si="131"/>
        <v/>
      </c>
      <c r="L557" s="17"/>
      <c r="M557" s="29"/>
      <c r="N557" s="72"/>
      <c r="O557" s="73"/>
      <c r="P557" s="73"/>
      <c r="Q557" s="72"/>
      <c r="R557" s="72"/>
      <c r="S557" s="31" t="str">
        <f t="shared" si="132"/>
        <v/>
      </c>
      <c r="T557" s="32" t="str">
        <f t="shared" si="133"/>
        <v/>
      </c>
      <c r="U557" s="73"/>
      <c r="V557" s="72"/>
      <c r="W557" s="72"/>
    </row>
    <row r="558" ht="36.0" customHeight="1">
      <c r="A558" s="125"/>
      <c r="B558" s="125" t="s">
        <v>829</v>
      </c>
      <c r="C558" s="125"/>
      <c r="D558" s="126"/>
      <c r="E558" s="127"/>
      <c r="F558" s="128"/>
      <c r="G558" s="127"/>
      <c r="H558" s="126"/>
      <c r="I558" s="126"/>
      <c r="J558" s="127"/>
      <c r="K558" s="126"/>
      <c r="L558" s="17"/>
      <c r="M558" s="129"/>
      <c r="N558" s="130"/>
      <c r="O558" s="130"/>
      <c r="P558" s="130"/>
      <c r="Q558" s="129"/>
      <c r="R558" s="129"/>
      <c r="S558" s="129"/>
      <c r="T558" s="129"/>
      <c r="U558" s="130"/>
      <c r="V558" s="129"/>
      <c r="W558" s="129"/>
    </row>
    <row r="559" ht="21.75" customHeight="1" outlineLevel="1" collapsed="1">
      <c r="A559" s="131"/>
      <c r="B559" s="21" t="s">
        <v>830</v>
      </c>
      <c r="C559" s="22" t="s">
        <v>831</v>
      </c>
      <c r="D559" s="22"/>
      <c r="E559" s="24" t="s">
        <v>51</v>
      </c>
      <c r="F559" s="25" t="s">
        <v>41</v>
      </c>
      <c r="G559" s="24" t="s">
        <v>63</v>
      </c>
      <c r="H559" s="26">
        <f>MAX(H560:H562)</f>
        <v>45229.43138</v>
      </c>
      <c r="I559" s="27" t="str">
        <f>IFERROR(__xludf.DUMMYFUNCTION("SPARKLINE(SUM(I560:I562), {""charttype"", ""bar""; ""max"", J559; ""color1"", ""green""})"),"")</f>
        <v/>
      </c>
      <c r="J559" s="28">
        <f>COUNT(I560:I562)</f>
        <v>3</v>
      </c>
      <c r="K559" s="28" t="str">
        <f>IF(ISNUMBER(#REF!), #REF!, "")</f>
        <v/>
      </c>
      <c r="L559" s="17"/>
      <c r="M559" s="29">
        <f>MIN(M560:M562)</f>
        <v>45229.51323</v>
      </c>
      <c r="N559" s="89">
        <f>MAX(N560:N562)</f>
        <v>45229.58472</v>
      </c>
      <c r="O559" s="73"/>
      <c r="P559" s="73"/>
      <c r="Q559" s="72"/>
      <c r="R559" s="90">
        <f>SUM(R560:R562)</f>
        <v>0.00625</v>
      </c>
      <c r="S559" s="31" t="str">
        <f>IFERROR(MID(B559, FIND("-", B559) + 1, 3), "")</f>
        <v>INN</v>
      </c>
      <c r="T559" s="32" t="str">
        <f>IFERROR(MID(B559, 8, LEN(B559)-7), "")
</f>
        <v>13</v>
      </c>
      <c r="U559" s="33" t="str">
        <f>CONCATENATE(C559, " - ",E559)</f>
        <v>RTX 4070 iCHILL - Feature - Insta</v>
      </c>
      <c r="V559" s="72"/>
      <c r="W559" s="72"/>
    </row>
    <row r="560" ht="21.75" hidden="1" customHeight="1" outlineLevel="2">
      <c r="A560" s="131"/>
      <c r="B560" s="21" t="s">
        <v>832</v>
      </c>
      <c r="C560" s="23"/>
      <c r="D560" s="22" t="s">
        <v>25</v>
      </c>
      <c r="E560" s="24" t="s">
        <v>26</v>
      </c>
      <c r="F560" s="25" t="s">
        <v>41</v>
      </c>
      <c r="G560" s="58" t="s">
        <v>833</v>
      </c>
      <c r="H560" s="35">
        <v>45229.431375671295</v>
      </c>
      <c r="I560" s="27">
        <f t="shared" ref="I560:I562" si="134">IFERROR(IF($E560="Done", 1, IF(OR($E560="Working on it", $E560="In Review", $E560="On Hold"), 0.5, IF($E560="Not Started", 0, ""))), 0)</f>
        <v>1</v>
      </c>
      <c r="J560" s="28"/>
      <c r="K560" s="28"/>
      <c r="L560" s="17"/>
      <c r="M560" s="29">
        <v>45229.57586795139</v>
      </c>
      <c r="N560" s="75">
        <v>45229.58193177084</v>
      </c>
      <c r="O560" s="73"/>
      <c r="P560" s="73"/>
      <c r="Q560" s="37" t="s">
        <v>31</v>
      </c>
      <c r="R560" s="31">
        <v>0.005555555555555556</v>
      </c>
      <c r="S560" s="31"/>
      <c r="T560" s="32"/>
      <c r="U560" s="73"/>
      <c r="V560" s="72"/>
      <c r="W560" s="72"/>
    </row>
    <row r="561" ht="21.75" hidden="1" customHeight="1" outlineLevel="2">
      <c r="A561" s="131"/>
      <c r="B561" s="21" t="s">
        <v>834</v>
      </c>
      <c r="C561" s="23"/>
      <c r="D561" s="22" t="s">
        <v>797</v>
      </c>
      <c r="E561" s="24" t="s">
        <v>26</v>
      </c>
      <c r="F561" s="25" t="s">
        <v>41</v>
      </c>
      <c r="G561" s="24"/>
      <c r="H561" s="35">
        <v>45229.431375671295</v>
      </c>
      <c r="I561" s="27">
        <f t="shared" si="134"/>
        <v>1</v>
      </c>
      <c r="J561" s="28"/>
      <c r="K561" s="28"/>
      <c r="L561" s="17"/>
      <c r="M561" s="29">
        <v>45229.513225648145</v>
      </c>
      <c r="N561" s="75">
        <v>45229.58471627315</v>
      </c>
      <c r="O561" s="36" t="s">
        <v>835</v>
      </c>
      <c r="P561" s="36" t="s">
        <v>836</v>
      </c>
      <c r="Q561" s="37" t="s">
        <v>31</v>
      </c>
      <c r="R561" s="31">
        <v>6.944444444444445E-4</v>
      </c>
      <c r="S561" s="31"/>
      <c r="T561" s="32"/>
      <c r="U561" s="73"/>
      <c r="V561" s="72"/>
      <c r="W561" s="72"/>
    </row>
    <row r="562" ht="21.75" hidden="1" customHeight="1" outlineLevel="2">
      <c r="A562" s="131"/>
      <c r="B562" s="21" t="s">
        <v>837</v>
      </c>
      <c r="C562" s="23"/>
      <c r="D562" s="22" t="s">
        <v>47</v>
      </c>
      <c r="E562" s="24" t="s">
        <v>26</v>
      </c>
      <c r="F562" s="25" t="s">
        <v>41</v>
      </c>
      <c r="G562" s="24"/>
      <c r="H562" s="35">
        <v>45229.431375671295</v>
      </c>
      <c r="I562" s="27">
        <f t="shared" si="134"/>
        <v>1</v>
      </c>
      <c r="J562" s="28"/>
      <c r="K562" s="28"/>
      <c r="L562" s="17"/>
      <c r="M562" s="29"/>
      <c r="N562" s="72"/>
      <c r="O562" s="73"/>
      <c r="P562" s="73"/>
      <c r="Q562" s="72"/>
      <c r="R562" s="72"/>
      <c r="S562" s="31"/>
      <c r="T562" s="32"/>
      <c r="U562" s="73"/>
      <c r="V562" s="72"/>
      <c r="W562" s="72"/>
    </row>
    <row r="563" ht="21.75" customHeight="1" outlineLevel="1" collapsed="1">
      <c r="A563" s="131"/>
      <c r="B563" s="21" t="s">
        <v>838</v>
      </c>
      <c r="C563" s="22" t="s">
        <v>839</v>
      </c>
      <c r="D563" s="22"/>
      <c r="E563" s="24" t="s">
        <v>51</v>
      </c>
      <c r="F563" s="25" t="s">
        <v>41</v>
      </c>
      <c r="G563" s="24" t="s">
        <v>63</v>
      </c>
      <c r="H563" s="26">
        <f>MAX(H564:H566)</f>
        <v>45229.45208</v>
      </c>
      <c r="I563" s="27" t="str">
        <f>IFERROR(__xludf.DUMMYFUNCTION("SPARKLINE(SUM(I564:I566), {""charttype"", ""bar""; ""max"", J563; ""color1"", ""green""})"),"")</f>
        <v/>
      </c>
      <c r="J563" s="28">
        <f>COUNT(I564:I566)</f>
        <v>3</v>
      </c>
      <c r="K563" s="28" t="str">
        <f>IF(ISNUMBER(B562), K562, "")</f>
        <v/>
      </c>
      <c r="L563" s="17"/>
      <c r="M563" s="29">
        <f>MIN(M564:M566)</f>
        <v>45229.45234</v>
      </c>
      <c r="N563" s="89">
        <f>MAX(N564:N566)</f>
        <v>45229.58522</v>
      </c>
      <c r="O563" s="73"/>
      <c r="P563" s="73"/>
      <c r="Q563" s="72"/>
      <c r="R563" s="90">
        <f>SUM(R564:R566)</f>
        <v>0</v>
      </c>
      <c r="S563" s="31" t="str">
        <f>IFERROR(MID(B563, FIND("-", B563) + 1, 3), "")</f>
        <v>INN</v>
      </c>
      <c r="T563" s="32" t="str">
        <f>IFERROR(MID(B563, 8, LEN(B563)-7), "")
</f>
        <v>14</v>
      </c>
      <c r="U563" s="33" t="str">
        <f>CONCATENATE(C563, " - ",E563)</f>
        <v>Further with AI - X3 OC - Insta</v>
      </c>
      <c r="V563" s="72"/>
      <c r="W563" s="72"/>
    </row>
    <row r="564" ht="21.75" hidden="1" customHeight="1" outlineLevel="2">
      <c r="A564" s="131"/>
      <c r="B564" s="21" t="s">
        <v>840</v>
      </c>
      <c r="C564" s="22"/>
      <c r="D564" s="22" t="s">
        <v>25</v>
      </c>
      <c r="E564" s="24" t="s">
        <v>26</v>
      </c>
      <c r="F564" s="25" t="s">
        <v>41</v>
      </c>
      <c r="G564" s="58" t="s">
        <v>833</v>
      </c>
      <c r="H564" s="35">
        <v>45229.45207675926</v>
      </c>
      <c r="I564" s="27">
        <f t="shared" ref="I564:I566" si="135">IFERROR(IF($E564="Done", 1, IF(OR($E564="Working on it", $E564="In Review", $E564="On Hold"), 0.5, IF($E564="Not Started", 0, ""))), 0)</f>
        <v>1</v>
      </c>
      <c r="J564" s="28"/>
      <c r="K564" s="28"/>
      <c r="L564" s="17"/>
      <c r="M564" s="29">
        <v>45229.45233590278</v>
      </c>
      <c r="N564" s="75">
        <v>45229.45243971064</v>
      </c>
      <c r="O564" s="73"/>
      <c r="P564" s="73"/>
      <c r="Q564" s="37" t="s">
        <v>31</v>
      </c>
      <c r="R564" s="31">
        <v>0.0</v>
      </c>
      <c r="S564" s="31"/>
      <c r="T564" s="32"/>
      <c r="U564" s="73"/>
      <c r="V564" s="72"/>
      <c r="W564" s="72"/>
    </row>
    <row r="565" ht="21.75" hidden="1" customHeight="1" outlineLevel="2">
      <c r="A565" s="131"/>
      <c r="B565" s="21" t="s">
        <v>841</v>
      </c>
      <c r="C565" s="22"/>
      <c r="D565" s="22" t="s">
        <v>797</v>
      </c>
      <c r="E565" s="24" t="s">
        <v>26</v>
      </c>
      <c r="F565" s="25" t="s">
        <v>41</v>
      </c>
      <c r="G565" s="24"/>
      <c r="H565" s="35">
        <v>45229.45207675926</v>
      </c>
      <c r="I565" s="27">
        <f t="shared" si="135"/>
        <v>1</v>
      </c>
      <c r="J565" s="28"/>
      <c r="K565" s="28"/>
      <c r="L565" s="17"/>
      <c r="M565" s="29"/>
      <c r="N565" s="72"/>
      <c r="O565" s="73"/>
      <c r="P565" s="73"/>
      <c r="Q565" s="72"/>
      <c r="R565" s="72"/>
      <c r="S565" s="31"/>
      <c r="T565" s="32"/>
      <c r="U565" s="73"/>
      <c r="V565" s="72"/>
      <c r="W565" s="72"/>
    </row>
    <row r="566" ht="21.75" hidden="1" customHeight="1" outlineLevel="2">
      <c r="A566" s="131"/>
      <c r="B566" s="21" t="s">
        <v>842</v>
      </c>
      <c r="C566" s="22"/>
      <c r="D566" s="22" t="s">
        <v>47</v>
      </c>
      <c r="E566" s="24" t="s">
        <v>26</v>
      </c>
      <c r="F566" s="25" t="s">
        <v>41</v>
      </c>
      <c r="G566" s="24"/>
      <c r="H566" s="35">
        <v>45229.45207675926</v>
      </c>
      <c r="I566" s="27">
        <f t="shared" si="135"/>
        <v>1</v>
      </c>
      <c r="J566" s="28"/>
      <c r="K566" s="28"/>
      <c r="L566" s="17"/>
      <c r="M566" s="29">
        <v>45229.584637569445</v>
      </c>
      <c r="N566" s="75">
        <v>45229.58521711806</v>
      </c>
      <c r="O566" s="73"/>
      <c r="P566" s="73"/>
      <c r="Q566" s="37" t="s">
        <v>31</v>
      </c>
      <c r="R566" s="31">
        <v>0.0</v>
      </c>
      <c r="S566" s="31"/>
      <c r="T566" s="32"/>
      <c r="U566" s="73"/>
      <c r="V566" s="72"/>
      <c r="W566" s="72"/>
    </row>
    <row r="567" ht="21.75" customHeight="1" outlineLevel="1" collapsed="1">
      <c r="A567" s="132" t="s">
        <v>105</v>
      </c>
      <c r="B567" s="21" t="s">
        <v>843</v>
      </c>
      <c r="C567" s="22" t="s">
        <v>844</v>
      </c>
      <c r="D567" s="22"/>
      <c r="E567" s="24" t="s">
        <v>51</v>
      </c>
      <c r="F567" s="25" t="s">
        <v>41</v>
      </c>
      <c r="G567" s="24" t="s">
        <v>63</v>
      </c>
      <c r="H567" s="26">
        <f>MAX(H568:H569)</f>
        <v>45231</v>
      </c>
      <c r="I567" s="27" t="str">
        <f>IFERROR(__xludf.DUMMYFUNCTION("SPARKLINE(SUM(I568:I569), {""charttype"", ""bar""; ""max"", J567; ""color1"", ""green""})"),"")</f>
        <v/>
      </c>
      <c r="J567" s="28">
        <f>COUNT(I568:I569)</f>
        <v>2</v>
      </c>
      <c r="K567" s="28" t="str">
        <f>IF(ISNUMBER(B566), K566, "")</f>
        <v/>
      </c>
      <c r="L567" s="17"/>
      <c r="M567" s="29">
        <f>MIN(M568:M569)</f>
        <v>45229.74356</v>
      </c>
      <c r="N567" s="89">
        <f>MAX(N568:N569)</f>
        <v>45229.81287</v>
      </c>
      <c r="O567" s="73"/>
      <c r="P567" s="73"/>
      <c r="Q567" s="72"/>
      <c r="R567" s="90">
        <f>SUM(R568:R569)</f>
        <v>0.001388888889</v>
      </c>
      <c r="S567" s="31" t="str">
        <f>IFERROR(MID(B567, FIND("-", B567) + 1, 3), "")</f>
        <v>INN</v>
      </c>
      <c r="T567" s="32" t="str">
        <f>IFERROR(MID(B567, 8, LEN(B567)-7), "")
</f>
        <v>15</v>
      </c>
      <c r="U567" s="33" t="str">
        <f>CONCATENATE(C567, " - ",E567)</f>
        <v>Build Photo - Insta</v>
      </c>
      <c r="V567" s="72"/>
      <c r="W567" s="72"/>
    </row>
    <row r="568" ht="21.75" hidden="1" customHeight="1" outlineLevel="2">
      <c r="A568" s="131"/>
      <c r="B568" s="21" t="s">
        <v>845</v>
      </c>
      <c r="C568" s="22"/>
      <c r="D568" s="22" t="s">
        <v>40</v>
      </c>
      <c r="E568" s="24" t="s">
        <v>26</v>
      </c>
      <c r="F568" s="25" t="s">
        <v>41</v>
      </c>
      <c r="G568" s="24"/>
      <c r="H568" s="35">
        <v>45231.0</v>
      </c>
      <c r="I568" s="27">
        <f t="shared" ref="I568:I569" si="136">IFERROR(IF($E568="Done", 1, IF(OR($E568="Working on it", $E568="In Review", $E568="On Hold"), 0.5, IF($E568="Not Started", 0, ""))), 0)</f>
        <v>1</v>
      </c>
      <c r="J568" s="28"/>
      <c r="K568" s="28"/>
      <c r="L568" s="17"/>
      <c r="M568" s="29">
        <v>45229.7435649074</v>
      </c>
      <c r="N568" s="75">
        <v>45229.812867534725</v>
      </c>
      <c r="O568" s="36" t="s">
        <v>846</v>
      </c>
      <c r="P568" s="36" t="s">
        <v>847</v>
      </c>
      <c r="Q568" s="37" t="s">
        <v>31</v>
      </c>
      <c r="R568" s="31">
        <v>0.001388888888888889</v>
      </c>
      <c r="S568" s="31"/>
      <c r="T568" s="32"/>
      <c r="U568" s="73"/>
      <c r="V568" s="72"/>
      <c r="W568" s="72"/>
    </row>
    <row r="569" ht="21.75" hidden="1" customHeight="1" outlineLevel="2">
      <c r="A569" s="131"/>
      <c r="B569" s="21" t="s">
        <v>848</v>
      </c>
      <c r="C569" s="22"/>
      <c r="D569" s="22" t="s">
        <v>47</v>
      </c>
      <c r="E569" s="24" t="s">
        <v>26</v>
      </c>
      <c r="F569" s="25" t="s">
        <v>41</v>
      </c>
      <c r="G569" s="24"/>
      <c r="H569" s="35">
        <v>45230.0</v>
      </c>
      <c r="I569" s="27">
        <f t="shared" si="136"/>
        <v>1</v>
      </c>
      <c r="J569" s="28"/>
      <c r="K569" s="28"/>
      <c r="L569" s="17"/>
      <c r="M569" s="29"/>
      <c r="N569" s="72"/>
      <c r="O569" s="73"/>
      <c r="P569" s="73"/>
      <c r="Q569" s="72"/>
      <c r="R569" s="72"/>
      <c r="S569" s="31"/>
      <c r="T569" s="32"/>
      <c r="U569" s="73"/>
      <c r="V569" s="72"/>
      <c r="W569" s="72"/>
    </row>
    <row r="570" ht="21.75" customHeight="1" outlineLevel="1" collapsed="1">
      <c r="A570" s="131"/>
      <c r="B570" s="21" t="s">
        <v>849</v>
      </c>
      <c r="C570" s="22" t="s">
        <v>701</v>
      </c>
      <c r="D570" s="23"/>
      <c r="E570" s="24" t="s">
        <v>21</v>
      </c>
      <c r="F570" s="25" t="s">
        <v>41</v>
      </c>
      <c r="G570" s="24" t="s">
        <v>23</v>
      </c>
      <c r="H570" s="26">
        <f>MAX(H571:H574)</f>
        <v>45230</v>
      </c>
      <c r="I570" s="27" t="str">
        <f>IFERROR(__xludf.DUMMYFUNCTION("SPARKLINE(SUM(I571:I574), {""charttype"", ""bar""; ""max"", J570; ""color1"", ""green""})"),"")</f>
        <v/>
      </c>
      <c r="J570" s="28">
        <f>COUNT(I571:I574)</f>
        <v>4</v>
      </c>
      <c r="K570" s="28" t="str">
        <f>IF(ISNUMBER(B569), K569, "")</f>
        <v/>
      </c>
      <c r="L570" s="17"/>
      <c r="M570" s="29">
        <f>MIN(M571:M574)</f>
        <v>45229.58754</v>
      </c>
      <c r="N570" s="89">
        <f>MAX(N571:N574)</f>
        <v>45230.78679</v>
      </c>
      <c r="O570" s="73"/>
      <c r="P570" s="73"/>
      <c r="Q570" s="72"/>
      <c r="R570" s="90">
        <f>SUM(R571:R574)</f>
        <v>0.04930555556</v>
      </c>
      <c r="S570" s="31" t="str">
        <f>IFERROR(MID(B570, FIND("-", B570) + 1, 3), "")</f>
        <v>INN</v>
      </c>
      <c r="T570" s="32" t="str">
        <f>IFERROR(MID(B570, 8, LEN(B570)-7), "")
</f>
        <v>16</v>
      </c>
      <c r="U570" s="33" t="str">
        <f>CONCATENATE(C570, " - ",E570)</f>
        <v>PC for Generative AI - Shorts</v>
      </c>
      <c r="V570" s="72"/>
      <c r="W570" s="72"/>
    </row>
    <row r="571" ht="21.75" hidden="1" customHeight="1" outlineLevel="2">
      <c r="A571" s="131"/>
      <c r="B571" s="21" t="s">
        <v>850</v>
      </c>
      <c r="C571" s="22"/>
      <c r="D571" s="22" t="s">
        <v>25</v>
      </c>
      <c r="E571" s="24" t="s">
        <v>26</v>
      </c>
      <c r="F571" s="25" t="s">
        <v>41</v>
      </c>
      <c r="G571" s="133" t="s">
        <v>851</v>
      </c>
      <c r="H571" s="35">
        <v>45229.483859513886</v>
      </c>
      <c r="I571" s="27">
        <f t="shared" ref="I571:I574" si="137">IFERROR(IF($E571="Done", 1, IF(OR($E571="Working on it", $E571="In Review", $E571="On Hold"), 0.5, IF($E571="Not Started", 0, ""))), 0)</f>
        <v>1</v>
      </c>
      <c r="J571" s="28"/>
      <c r="K571" s="28"/>
      <c r="L571" s="17"/>
      <c r="M571" s="29">
        <v>45229.58753584491</v>
      </c>
      <c r="N571" s="75">
        <v>45230.50251622685</v>
      </c>
      <c r="O571" s="36" t="s">
        <v>852</v>
      </c>
      <c r="P571" s="36" t="s">
        <v>853</v>
      </c>
      <c r="Q571" s="37" t="s">
        <v>31</v>
      </c>
      <c r="R571" s="31">
        <v>0.02361111111111111</v>
      </c>
      <c r="S571" s="31"/>
      <c r="T571" s="32"/>
      <c r="U571" s="73"/>
      <c r="V571" s="72"/>
      <c r="W571" s="72"/>
    </row>
    <row r="572" ht="21.75" hidden="1" customHeight="1" outlineLevel="2">
      <c r="A572" s="131"/>
      <c r="B572" s="21" t="s">
        <v>854</v>
      </c>
      <c r="C572" s="22"/>
      <c r="D572" s="22" t="s">
        <v>112</v>
      </c>
      <c r="E572" s="24" t="s">
        <v>26</v>
      </c>
      <c r="F572" s="25" t="s">
        <v>34</v>
      </c>
      <c r="G572" s="24"/>
      <c r="H572" s="35">
        <v>45229.0</v>
      </c>
      <c r="I572" s="27">
        <f t="shared" si="137"/>
        <v>1</v>
      </c>
      <c r="J572" s="28"/>
      <c r="K572" s="28"/>
      <c r="L572" s="17"/>
      <c r="M572" s="29">
        <v>45230.51499625</v>
      </c>
      <c r="N572" s="75">
        <v>45230.52558378472</v>
      </c>
      <c r="O572" s="36" t="s">
        <v>855</v>
      </c>
      <c r="P572" s="36" t="s">
        <v>856</v>
      </c>
      <c r="Q572" s="37" t="s">
        <v>31</v>
      </c>
      <c r="R572" s="31">
        <v>0.008333333333333333</v>
      </c>
      <c r="S572" s="31"/>
      <c r="T572" s="32"/>
      <c r="U572" s="73"/>
      <c r="V572" s="72"/>
      <c r="W572" s="72"/>
    </row>
    <row r="573" ht="21.75" hidden="1" customHeight="1" outlineLevel="2">
      <c r="A573" s="131"/>
      <c r="B573" s="21" t="s">
        <v>857</v>
      </c>
      <c r="C573" s="22"/>
      <c r="D573" s="22" t="s">
        <v>40</v>
      </c>
      <c r="E573" s="24" t="s">
        <v>26</v>
      </c>
      <c r="F573" s="25" t="s">
        <v>236</v>
      </c>
      <c r="G573" s="24"/>
      <c r="H573" s="35">
        <v>45229.0</v>
      </c>
      <c r="I573" s="27">
        <f t="shared" si="137"/>
        <v>1</v>
      </c>
      <c r="J573" s="28"/>
      <c r="K573" s="28"/>
      <c r="L573" s="17"/>
      <c r="M573" s="29">
        <v>45230.58683188657</v>
      </c>
      <c r="N573" s="75">
        <v>45230.786788171295</v>
      </c>
      <c r="O573" s="36" t="s">
        <v>858</v>
      </c>
      <c r="P573" s="36" t="s">
        <v>859</v>
      </c>
      <c r="Q573" s="37" t="s">
        <v>31</v>
      </c>
      <c r="R573" s="31">
        <v>0.017361111111111112</v>
      </c>
      <c r="S573" s="31"/>
      <c r="T573" s="32"/>
      <c r="U573" s="73"/>
      <c r="V573" s="72"/>
      <c r="W573" s="72"/>
    </row>
    <row r="574" ht="21.75" hidden="1" customHeight="1" outlineLevel="2">
      <c r="A574" s="131"/>
      <c r="B574" s="21" t="s">
        <v>860</v>
      </c>
      <c r="C574" s="22"/>
      <c r="D574" s="22" t="s">
        <v>47</v>
      </c>
      <c r="E574" s="24" t="s">
        <v>26</v>
      </c>
      <c r="F574" s="25" t="s">
        <v>41</v>
      </c>
      <c r="G574" s="24"/>
      <c r="H574" s="35">
        <v>45230.0</v>
      </c>
      <c r="I574" s="27">
        <f t="shared" si="137"/>
        <v>1</v>
      </c>
      <c r="J574" s="28"/>
      <c r="K574" s="28"/>
      <c r="L574" s="17"/>
      <c r="M574" s="29"/>
      <c r="N574" s="72"/>
      <c r="O574" s="73"/>
      <c r="P574" s="73"/>
      <c r="Q574" s="72"/>
      <c r="R574" s="72"/>
      <c r="S574" s="31"/>
      <c r="T574" s="32"/>
      <c r="U574" s="73"/>
      <c r="V574" s="72"/>
      <c r="W574" s="72"/>
    </row>
    <row r="575" ht="21.75" customHeight="1" outlineLevel="1" collapsed="1">
      <c r="A575" s="131"/>
      <c r="B575" s="21" t="s">
        <v>861</v>
      </c>
      <c r="C575" s="22" t="s">
        <v>862</v>
      </c>
      <c r="D575" s="23"/>
      <c r="E575" s="24" t="s">
        <v>51</v>
      </c>
      <c r="F575" s="25" t="s">
        <v>41</v>
      </c>
      <c r="G575" s="24" t="s">
        <v>63</v>
      </c>
      <c r="H575" s="26">
        <f>MAX(H576:H577)</f>
        <v>45231</v>
      </c>
      <c r="I575" s="27" t="str">
        <f>IFERROR(__xludf.DUMMYFUNCTION("SPARKLINE(SUM(I576:I577), {""charttype"", ""bar""; ""max"", J575; ""color1"", ""green""})"),"")</f>
        <v/>
      </c>
      <c r="J575" s="28">
        <f>COUNT(I576:I577)</f>
        <v>2</v>
      </c>
      <c r="K575" s="28" t="str">
        <f>IF(ISNUMBER(B574), K574, "")</f>
        <v/>
      </c>
      <c r="L575" s="17"/>
      <c r="M575" s="29">
        <f>MIN(M576:M577)</f>
        <v>45231.54443</v>
      </c>
      <c r="N575" s="89">
        <f>MAX(N576:N577)</f>
        <v>45232.43605</v>
      </c>
      <c r="O575" s="73"/>
      <c r="P575" s="73"/>
      <c r="Q575" s="72"/>
      <c r="R575" s="90">
        <f>SUM(R576:R577)</f>
        <v>0.01458333333</v>
      </c>
      <c r="S575" s="31" t="str">
        <f>IFERROR(MID(B575, FIND("-", B575) + 1, 3), "")</f>
        <v>INN</v>
      </c>
      <c r="T575" s="32" t="str">
        <f>IFERROR(MID(B575, 8, LEN(B575)-7), "")
</f>
        <v>17</v>
      </c>
      <c r="U575" s="33" t="str">
        <f>CONCATENATE(C575, " - ",E575)</f>
        <v>Gaming Meme - Insta</v>
      </c>
      <c r="V575" s="72"/>
      <c r="W575" s="72"/>
    </row>
    <row r="576" ht="21.75" hidden="1" customHeight="1" outlineLevel="2">
      <c r="A576" s="131"/>
      <c r="B576" s="21" t="s">
        <v>863</v>
      </c>
      <c r="C576" s="22"/>
      <c r="D576" s="22" t="s">
        <v>40</v>
      </c>
      <c r="E576" s="24" t="s">
        <v>26</v>
      </c>
      <c r="F576" s="25" t="s">
        <v>41</v>
      </c>
      <c r="G576" s="24"/>
      <c r="H576" s="35">
        <v>45230.0</v>
      </c>
      <c r="I576" s="27">
        <f t="shared" ref="I576:I577" si="138">IFERROR(IF($E576="Done", 1, IF(OR($E576="Working on it", $E576="In Review", $E576="On Hold"), 0.5, IF($E576="Not Started", 0, ""))), 0)</f>
        <v>1</v>
      </c>
      <c r="J576" s="28"/>
      <c r="K576" s="28"/>
      <c r="L576" s="17"/>
      <c r="M576" s="29">
        <v>45231.544430787035</v>
      </c>
      <c r="N576" s="75">
        <v>45231.57962957176</v>
      </c>
      <c r="O576" s="36" t="s">
        <v>864</v>
      </c>
      <c r="P576" s="36" t="s">
        <v>865</v>
      </c>
      <c r="Q576" s="37" t="s">
        <v>31</v>
      </c>
      <c r="R576" s="31">
        <v>0.009722222222222222</v>
      </c>
      <c r="S576" s="31"/>
      <c r="T576" s="32"/>
      <c r="U576" s="73"/>
      <c r="V576" s="72"/>
      <c r="W576" s="72"/>
    </row>
    <row r="577" ht="21.75" hidden="1" customHeight="1" outlineLevel="2">
      <c r="A577" s="131"/>
      <c r="B577" s="21" t="s">
        <v>866</v>
      </c>
      <c r="C577" s="22"/>
      <c r="D577" s="22" t="s">
        <v>47</v>
      </c>
      <c r="E577" s="24" t="s">
        <v>26</v>
      </c>
      <c r="F577" s="25" t="s">
        <v>41</v>
      </c>
      <c r="G577" s="24"/>
      <c r="H577" s="35">
        <v>45231.0</v>
      </c>
      <c r="I577" s="27">
        <f t="shared" si="138"/>
        <v>1</v>
      </c>
      <c r="J577" s="28"/>
      <c r="K577" s="28"/>
      <c r="L577" s="17"/>
      <c r="M577" s="29">
        <v>45231.57437859954</v>
      </c>
      <c r="N577" s="75">
        <v>45232.436051481476</v>
      </c>
      <c r="O577" s="36" t="s">
        <v>867</v>
      </c>
      <c r="P577" s="36" t="s">
        <v>868</v>
      </c>
      <c r="Q577" s="37" t="s">
        <v>31</v>
      </c>
      <c r="R577" s="31">
        <v>0.004861111111111111</v>
      </c>
      <c r="S577" s="31"/>
      <c r="T577" s="32"/>
      <c r="U577" s="73"/>
      <c r="V577" s="72"/>
      <c r="W577" s="72"/>
    </row>
    <row r="578" ht="21.75" customHeight="1" outlineLevel="1" collapsed="1">
      <c r="A578" s="131"/>
      <c r="B578" s="21" t="s">
        <v>869</v>
      </c>
      <c r="C578" s="22" t="s">
        <v>870</v>
      </c>
      <c r="D578" s="23"/>
      <c r="E578" s="24" t="s">
        <v>51</v>
      </c>
      <c r="F578" s="25" t="s">
        <v>41</v>
      </c>
      <c r="G578" s="24" t="s">
        <v>89</v>
      </c>
      <c r="H578" s="26">
        <f>MAX(H579:H580)</f>
        <v>45232</v>
      </c>
      <c r="I578" s="27" t="str">
        <f>IFERROR(__xludf.DUMMYFUNCTION("SPARKLINE(SUM(I579:I580), {""charttype"", ""bar""; ""max"", J578; ""color1"", ""green""})"),"")</f>
        <v/>
      </c>
      <c r="J578" s="100">
        <f>SUM(I579:I580)</f>
        <v>2</v>
      </c>
      <c r="K578" s="28" t="str">
        <f>IF(ISNUMBER(#REF!), #REF!, "")</f>
        <v/>
      </c>
      <c r="L578" s="17"/>
      <c r="M578" s="29">
        <f>MIN(M579:M580)</f>
        <v>45232.48612</v>
      </c>
      <c r="N578" s="89">
        <f>MAX(N579:N580)</f>
        <v>45233.47312</v>
      </c>
      <c r="O578" s="73"/>
      <c r="P578" s="73"/>
      <c r="Q578" s="72"/>
      <c r="R578" s="90">
        <f>SUM(R579:R580)</f>
        <v>0.004861111111</v>
      </c>
      <c r="S578" s="31" t="str">
        <f>IFERROR(MID(B578, FIND("-", B578) + 1, 3), "")</f>
        <v>INN</v>
      </c>
      <c r="T578" s="32" t="str">
        <f>IFERROR(MID(B578, 8, LEN(B578)-7), "")
</f>
        <v>19</v>
      </c>
      <c r="U578" s="33" t="str">
        <f>CONCATENATE(C578, " - ",E578)</f>
        <v>Product Photo - Insta</v>
      </c>
      <c r="V578" s="72"/>
      <c r="W578" s="72"/>
    </row>
    <row r="579" ht="21.75" hidden="1" customHeight="1" outlineLevel="2">
      <c r="A579" s="131"/>
      <c r="B579" s="21" t="s">
        <v>871</v>
      </c>
      <c r="C579" s="22"/>
      <c r="D579" s="22" t="s">
        <v>40</v>
      </c>
      <c r="E579" s="24" t="s">
        <v>26</v>
      </c>
      <c r="F579" s="25" t="s">
        <v>41</v>
      </c>
      <c r="G579" s="24"/>
      <c r="H579" s="35">
        <v>45232.0</v>
      </c>
      <c r="I579" s="27">
        <f t="shared" ref="I579:I580" si="139">IFERROR(IF($E579="Done", 1, IF(OR($E579="Working on it", $E579="In Review", $E579="On Hold"), 0.5, IF($E579="Not Started", 0, ""))), 0)</f>
        <v>1</v>
      </c>
      <c r="J579" s="28"/>
      <c r="K579" s="28"/>
      <c r="L579" s="17"/>
      <c r="M579" s="29">
        <v>45232.48611703704</v>
      </c>
      <c r="N579" s="75">
        <v>45233.47311851852</v>
      </c>
      <c r="O579" s="36" t="s">
        <v>872</v>
      </c>
      <c r="P579" s="36" t="s">
        <v>873</v>
      </c>
      <c r="Q579" s="37" t="s">
        <v>31</v>
      </c>
      <c r="R579" s="31">
        <v>0.004861111111111111</v>
      </c>
      <c r="S579" s="31"/>
      <c r="T579" s="32"/>
      <c r="U579" s="73"/>
      <c r="V579" s="72"/>
      <c r="W579" s="72"/>
    </row>
    <row r="580" ht="21.75" hidden="1" customHeight="1" outlineLevel="2">
      <c r="A580" s="131"/>
      <c r="B580" s="21" t="s">
        <v>874</v>
      </c>
      <c r="C580" s="22"/>
      <c r="D580" s="22" t="s">
        <v>47</v>
      </c>
      <c r="E580" s="24" t="s">
        <v>26</v>
      </c>
      <c r="F580" s="25"/>
      <c r="G580" s="24"/>
      <c r="H580" s="35">
        <v>45232.0</v>
      </c>
      <c r="I580" s="27">
        <f t="shared" si="139"/>
        <v>1</v>
      </c>
      <c r="J580" s="28"/>
      <c r="K580" s="28"/>
      <c r="L580" s="17"/>
      <c r="M580" s="29"/>
      <c r="N580" s="72"/>
      <c r="O580" s="73"/>
      <c r="P580" s="73"/>
      <c r="Q580" s="72"/>
      <c r="R580" s="72"/>
      <c r="S580" s="31"/>
      <c r="T580" s="32"/>
      <c r="U580" s="73"/>
      <c r="V580" s="72"/>
      <c r="W580" s="72"/>
    </row>
    <row r="581" ht="21.75" customHeight="1" outlineLevel="1" collapsed="1">
      <c r="A581" s="131"/>
      <c r="B581" s="21" t="s">
        <v>875</v>
      </c>
      <c r="C581" s="22" t="s">
        <v>876</v>
      </c>
      <c r="D581" s="23"/>
      <c r="E581" s="24" t="s">
        <v>21</v>
      </c>
      <c r="F581" s="25" t="s">
        <v>41</v>
      </c>
      <c r="G581" s="24" t="s">
        <v>63</v>
      </c>
      <c r="H581" s="26">
        <f>MAX(H582:H583)</f>
        <v>45233</v>
      </c>
      <c r="I581" s="27" t="str">
        <f>IFERROR(__xludf.DUMMYFUNCTION("SPARKLINE(SUM(I582:I583), {""charttype"", ""bar""; ""max"", J581; ""color1"", ""green""})"),"")</f>
        <v/>
      </c>
      <c r="J581" s="28">
        <f>COUNT(I582:I583)</f>
        <v>2</v>
      </c>
      <c r="K581" s="28" t="str">
        <f>IF(ISNUMBER(B580), K580, "")</f>
        <v/>
      </c>
      <c r="L581" s="17"/>
      <c r="M581" s="29">
        <f>MIN(M582:M583)</f>
        <v>45233.542</v>
      </c>
      <c r="N581" s="89">
        <f>MAX(N582:N583)</f>
        <v>45234.56184</v>
      </c>
      <c r="O581" s="73"/>
      <c r="P581" s="73"/>
      <c r="Q581" s="72"/>
      <c r="R581" s="90">
        <f>SUM(R582:R583)</f>
        <v>0.006944444444</v>
      </c>
      <c r="S581" s="31" t="str">
        <f>IFERROR(MID(B581, FIND("-", B581) + 1, 3), "")</f>
        <v>INN</v>
      </c>
      <c r="T581" s="32" t="str">
        <f>IFERROR(MID(B581, 8, LEN(B581)-7), "")
</f>
        <v>20</v>
      </c>
      <c r="U581" s="33" t="str">
        <f>CONCATENATE(C581, " - ",E581)</f>
        <v>Build Reel - Shorts</v>
      </c>
      <c r="V581" s="72"/>
      <c r="W581" s="72"/>
    </row>
    <row r="582" ht="21.75" hidden="1" customHeight="1" outlineLevel="2">
      <c r="A582" s="131"/>
      <c r="B582" s="21" t="s">
        <v>877</v>
      </c>
      <c r="C582" s="22"/>
      <c r="D582" s="22" t="s">
        <v>40</v>
      </c>
      <c r="E582" s="24" t="s">
        <v>26</v>
      </c>
      <c r="F582" s="25"/>
      <c r="G582" s="24"/>
      <c r="H582" s="35">
        <v>45233.0</v>
      </c>
      <c r="I582" s="27">
        <f t="shared" ref="I582:I583" si="140">IFERROR(IF($E582="Done", 1, IF(OR($E582="Working on it", $E582="In Review", $E582="On Hold"), 0.5, IF($E582="Not Started", 0, ""))), 0)</f>
        <v>1</v>
      </c>
      <c r="J582" s="28"/>
      <c r="K582" s="28"/>
      <c r="L582" s="17"/>
      <c r="M582" s="29">
        <v>45233.54200483796</v>
      </c>
      <c r="N582" s="75">
        <v>45234.561840891205</v>
      </c>
      <c r="O582" s="36" t="s">
        <v>878</v>
      </c>
      <c r="P582" s="36" t="s">
        <v>879</v>
      </c>
      <c r="Q582" s="37" t="s">
        <v>31</v>
      </c>
      <c r="R582" s="31">
        <v>0.006944444444444444</v>
      </c>
      <c r="S582" s="31"/>
      <c r="T582" s="32"/>
      <c r="U582" s="73"/>
      <c r="V582" s="72"/>
      <c r="W582" s="72"/>
    </row>
    <row r="583" ht="21.75" hidden="1" customHeight="1" outlineLevel="2">
      <c r="A583" s="131"/>
      <c r="B583" s="21" t="s">
        <v>880</v>
      </c>
      <c r="C583" s="22"/>
      <c r="D583" s="22" t="s">
        <v>47</v>
      </c>
      <c r="E583" s="24" t="s">
        <v>26</v>
      </c>
      <c r="F583" s="25"/>
      <c r="G583" s="24"/>
      <c r="H583" s="35">
        <v>45233.0</v>
      </c>
      <c r="I583" s="27">
        <f t="shared" si="140"/>
        <v>1</v>
      </c>
      <c r="J583" s="28"/>
      <c r="K583" s="28"/>
      <c r="L583" s="17"/>
      <c r="M583" s="29">
        <v>45234.561857106484</v>
      </c>
      <c r="N583" s="72"/>
      <c r="O583" s="73"/>
      <c r="P583" s="73"/>
      <c r="Q583" s="37" t="s">
        <v>17</v>
      </c>
      <c r="R583" s="72"/>
      <c r="S583" s="31"/>
      <c r="T583" s="32"/>
      <c r="U583" s="73"/>
      <c r="V583" s="72"/>
      <c r="W583" s="72"/>
    </row>
    <row r="584" ht="21.75" customHeight="1" outlineLevel="1" collapsed="1">
      <c r="A584" s="131"/>
      <c r="B584" s="21" t="s">
        <v>881</v>
      </c>
      <c r="C584" s="22" t="s">
        <v>882</v>
      </c>
      <c r="D584" s="23"/>
      <c r="E584" s="24" t="s">
        <v>51</v>
      </c>
      <c r="F584" s="25" t="s">
        <v>41</v>
      </c>
      <c r="G584" s="24" t="s">
        <v>63</v>
      </c>
      <c r="H584" s="26">
        <f>MAX(H585:H586)</f>
        <v>45234</v>
      </c>
      <c r="I584" s="27" t="str">
        <f>IFERROR(__xludf.DUMMYFUNCTION("SPARKLINE(SUM(I585:I586), {""charttype"", ""bar""; ""max"", J584; ""color1"", ""green""})"),"")</f>
        <v/>
      </c>
      <c r="J584" s="28">
        <f>COUNT(I585:I586)</f>
        <v>2</v>
      </c>
      <c r="K584" s="28" t="str">
        <f>IF(ISNUMBER(B583), K583, "")</f>
        <v/>
      </c>
      <c r="L584" s="17"/>
      <c r="M584" s="29">
        <f>MIN(M585:M586)</f>
        <v>45234.40079</v>
      </c>
      <c r="N584" s="89">
        <f>MAX(N585:N586)</f>
        <v>45234.56196</v>
      </c>
      <c r="O584" s="73"/>
      <c r="P584" s="73"/>
      <c r="Q584" s="72"/>
      <c r="R584" s="90">
        <f>SUM(R585:R586)</f>
        <v>0.005555555556</v>
      </c>
      <c r="S584" s="31" t="str">
        <f>IFERROR(MID(B584, FIND("-", B584) + 1, 3), "")</f>
        <v>INN</v>
      </c>
      <c r="T584" s="32" t="str">
        <f>IFERROR(MID(B584, 8, LEN(B584)-7), "")
</f>
        <v>21</v>
      </c>
      <c r="U584" s="33" t="str">
        <f>CONCATENATE(C584, " - ",E584)</f>
        <v>Call of duty 3  - Insta</v>
      </c>
      <c r="V584" s="72"/>
      <c r="W584" s="72"/>
    </row>
    <row r="585" ht="21.75" hidden="1" customHeight="1" outlineLevel="2">
      <c r="A585" s="131"/>
      <c r="B585" s="21" t="s">
        <v>883</v>
      </c>
      <c r="C585" s="22"/>
      <c r="D585" s="22" t="s">
        <v>40</v>
      </c>
      <c r="E585" s="24" t="s">
        <v>26</v>
      </c>
      <c r="F585" s="25" t="s">
        <v>41</v>
      </c>
      <c r="G585" s="24"/>
      <c r="H585" s="35">
        <v>45234.0</v>
      </c>
      <c r="I585" s="27">
        <f t="shared" ref="I585:I586" si="141">IFERROR(IF($E585="Done", 1, IF(OR($E585="Working on it", $E585="In Review", $E585="On Hold"), 0.5, IF($E585="Not Started", 0, ""))), 0)</f>
        <v>1</v>
      </c>
      <c r="J585" s="28"/>
      <c r="K585" s="28"/>
      <c r="L585" s="17"/>
      <c r="M585" s="29">
        <v>45234.40079260417</v>
      </c>
      <c r="N585" s="75">
        <v>45234.56196390046</v>
      </c>
      <c r="O585" s="36" t="s">
        <v>884</v>
      </c>
      <c r="P585" s="36" t="s">
        <v>885</v>
      </c>
      <c r="Q585" s="37" t="s">
        <v>31</v>
      </c>
      <c r="R585" s="31">
        <v>0.005555555555555556</v>
      </c>
      <c r="S585" s="31"/>
      <c r="T585" s="32"/>
      <c r="U585" s="73"/>
      <c r="V585" s="72"/>
      <c r="W585" s="72"/>
    </row>
    <row r="586" ht="21.75" hidden="1" customHeight="1" outlineLevel="2">
      <c r="A586" s="131"/>
      <c r="B586" s="21" t="s">
        <v>886</v>
      </c>
      <c r="C586" s="22"/>
      <c r="D586" s="22" t="s">
        <v>47</v>
      </c>
      <c r="E586" s="24" t="s">
        <v>26</v>
      </c>
      <c r="F586" s="25" t="s">
        <v>41</v>
      </c>
      <c r="G586" s="24"/>
      <c r="H586" s="35">
        <v>45234.0</v>
      </c>
      <c r="I586" s="27">
        <f t="shared" si="141"/>
        <v>1</v>
      </c>
      <c r="J586" s="28"/>
      <c r="K586" s="28"/>
      <c r="L586" s="17"/>
      <c r="M586" s="29"/>
      <c r="N586" s="72"/>
      <c r="O586" s="73"/>
      <c r="P586" s="73"/>
      <c r="Q586" s="72"/>
      <c r="R586" s="72"/>
      <c r="S586" s="31"/>
      <c r="T586" s="32"/>
      <c r="U586" s="73"/>
      <c r="V586" s="72"/>
      <c r="W586" s="72"/>
    </row>
    <row r="587" ht="21.75" customHeight="1" outlineLevel="1" collapsed="1">
      <c r="A587" s="131"/>
      <c r="B587" s="21" t="s">
        <v>887</v>
      </c>
      <c r="C587" s="22" t="s">
        <v>888</v>
      </c>
      <c r="D587" s="23"/>
      <c r="E587" s="24" t="s">
        <v>51</v>
      </c>
      <c r="F587" s="25" t="s">
        <v>41</v>
      </c>
      <c r="G587" s="24" t="s">
        <v>63</v>
      </c>
      <c r="H587" s="26">
        <f>MAX(H588:H589)</f>
        <v>45235</v>
      </c>
      <c r="I587" s="27" t="str">
        <f>IFERROR(__xludf.DUMMYFUNCTION("SPARKLINE(SUM(I588:I589), {""charttype"", ""bar""; ""max"", J587; ""color1"", ""green""})"),"")</f>
        <v/>
      </c>
      <c r="J587" s="28">
        <f>COUNT(I588:I589)</f>
        <v>2</v>
      </c>
      <c r="K587" s="28" t="str">
        <f>IF(ISNUMBER(B586), K586, "")</f>
        <v/>
      </c>
      <c r="L587" s="17"/>
      <c r="M587" s="29">
        <f>MIN(M588:M589)</f>
        <v>45234.6882</v>
      </c>
      <c r="N587" s="89">
        <f>MAX(N588:N589)</f>
        <v>45236.50616</v>
      </c>
      <c r="O587" s="73"/>
      <c r="P587" s="73"/>
      <c r="Q587" s="72"/>
      <c r="R587" s="90">
        <f>SUM(R588:R589)</f>
        <v>0.003472222222</v>
      </c>
      <c r="S587" s="31" t="str">
        <f>IFERROR(MID(B587, FIND("-", B587) + 1, 3), "")</f>
        <v>INN</v>
      </c>
      <c r="T587" s="32" t="str">
        <f>IFERROR(MID(B587, 8, LEN(B587)-7), "")
</f>
        <v>22</v>
      </c>
      <c r="U587" s="33" t="str">
        <f>CONCATENATE(C587, " - ",E587)</f>
        <v>This or that? - Assassins Creed Mirage - Insta</v>
      </c>
      <c r="V587" s="72"/>
      <c r="W587" s="72"/>
    </row>
    <row r="588" ht="21.75" hidden="1" customHeight="1" outlineLevel="2">
      <c r="A588" s="131"/>
      <c r="B588" s="21" t="s">
        <v>889</v>
      </c>
      <c r="C588" s="22"/>
      <c r="D588" s="22" t="s">
        <v>40</v>
      </c>
      <c r="E588" s="24" t="s">
        <v>26</v>
      </c>
      <c r="F588" s="25"/>
      <c r="G588" s="24"/>
      <c r="H588" s="35">
        <v>45235.0</v>
      </c>
      <c r="I588" s="27">
        <f t="shared" ref="I588:I589" si="142">IFERROR(IF($E588="Done", 1, IF(OR($E588="Working on it", $E588="In Review", $E588="On Hold"), 0.5, IF($E588="Not Started", 0, ""))), 0)</f>
        <v>1</v>
      </c>
      <c r="J588" s="28"/>
      <c r="K588" s="28"/>
      <c r="L588" s="17"/>
      <c r="M588" s="29">
        <v>45234.688196030096</v>
      </c>
      <c r="N588" s="75">
        <v>45236.5061649537</v>
      </c>
      <c r="O588" s="36" t="s">
        <v>890</v>
      </c>
      <c r="P588" s="36" t="s">
        <v>891</v>
      </c>
      <c r="Q588" s="37" t="s">
        <v>31</v>
      </c>
      <c r="R588" s="31">
        <v>0.003472222222222222</v>
      </c>
      <c r="S588" s="31"/>
      <c r="T588" s="32"/>
      <c r="U588" s="73"/>
      <c r="V588" s="72"/>
      <c r="W588" s="72"/>
    </row>
    <row r="589" ht="21.75" hidden="1" customHeight="1" outlineLevel="2">
      <c r="A589" s="131"/>
      <c r="B589" s="21" t="s">
        <v>892</v>
      </c>
      <c r="C589" s="22"/>
      <c r="D589" s="22" t="s">
        <v>47</v>
      </c>
      <c r="E589" s="24" t="s">
        <v>26</v>
      </c>
      <c r="F589" s="25"/>
      <c r="G589" s="24"/>
      <c r="H589" s="35">
        <v>45235.0</v>
      </c>
      <c r="I589" s="27">
        <f t="shared" si="142"/>
        <v>1</v>
      </c>
      <c r="J589" s="28"/>
      <c r="K589" s="28"/>
      <c r="L589" s="17"/>
      <c r="M589" s="29"/>
      <c r="N589" s="72"/>
      <c r="O589" s="73"/>
      <c r="P589" s="73"/>
      <c r="Q589" s="72"/>
      <c r="R589" s="72"/>
      <c r="S589" s="31"/>
      <c r="T589" s="32"/>
      <c r="U589" s="73"/>
      <c r="V589" s="72"/>
      <c r="W589" s="72"/>
    </row>
    <row r="590" ht="21.75" customHeight="1" outlineLevel="1" collapsed="1">
      <c r="A590" s="131"/>
      <c r="B590" s="21" t="s">
        <v>893</v>
      </c>
      <c r="C590" s="22" t="s">
        <v>894</v>
      </c>
      <c r="D590" s="23"/>
      <c r="E590" s="24" t="s">
        <v>51</v>
      </c>
      <c r="F590" s="25" t="s">
        <v>41</v>
      </c>
      <c r="G590" s="24" t="s">
        <v>63</v>
      </c>
      <c r="H590" s="26">
        <f>MAX(H591:H592)</f>
        <v>45237</v>
      </c>
      <c r="I590" s="27" t="str">
        <f>IFERROR(__xludf.DUMMYFUNCTION("SPARKLINE(SUM(I591:I592), {""charttype"", ""bar""; ""max"", J590; ""color1"", ""green""})"),"")</f>
        <v/>
      </c>
      <c r="J590" s="28">
        <f>COUNT(I591:I592)</f>
        <v>2</v>
      </c>
      <c r="K590" s="28" t="str">
        <f>IF(ISNUMBER(B589), K589, "")</f>
        <v/>
      </c>
      <c r="L590" s="17"/>
      <c r="M590" s="29">
        <f>MIN(M591:M592)</f>
        <v>45234.76665</v>
      </c>
      <c r="N590" s="89">
        <f>MAX(N591:N592)</f>
        <v>45236.50594</v>
      </c>
      <c r="O590" s="73"/>
      <c r="P590" s="73"/>
      <c r="Q590" s="72"/>
      <c r="R590" s="90">
        <f>SUM(R591:R592)</f>
        <v>0.04375</v>
      </c>
      <c r="S590" s="31" t="str">
        <f>IFERROR(MID(B590, FIND("-", B590) + 1, 3), "")</f>
        <v>INN</v>
      </c>
      <c r="T590" s="32" t="str">
        <f>IFERROR(MID(B590, 8, LEN(B590)-7), "")
</f>
        <v>23</v>
      </c>
      <c r="U590" s="33" t="str">
        <f>CONCATENATE(C590, " - ",E590)</f>
        <v>Product feature 4070 Twin - Insta</v>
      </c>
      <c r="V590" s="72"/>
      <c r="W590" s="72"/>
    </row>
    <row r="591" ht="21.75" hidden="1" customHeight="1" outlineLevel="2">
      <c r="A591" s="131"/>
      <c r="B591" s="21" t="s">
        <v>895</v>
      </c>
      <c r="C591" s="22"/>
      <c r="D591" s="22" t="s">
        <v>40</v>
      </c>
      <c r="E591" s="24" t="s">
        <v>26</v>
      </c>
      <c r="F591" s="25" t="s">
        <v>41</v>
      </c>
      <c r="G591" s="24"/>
      <c r="H591" s="35">
        <v>45237.0</v>
      </c>
      <c r="I591" s="27">
        <f t="shared" ref="I591:I592" si="143">IFERROR(IF($E591="Done", 1, IF(OR($E591="Working on it", $E591="In Review", $E591="On Hold"), 0.5, IF($E591="Not Started", 0, ""))), 0)</f>
        <v>1</v>
      </c>
      <c r="J591" s="28"/>
      <c r="K591" s="28"/>
      <c r="L591" s="17"/>
      <c r="M591" s="29">
        <v>45234.76665481481</v>
      </c>
      <c r="N591" s="75">
        <v>45236.50594375</v>
      </c>
      <c r="O591" s="36" t="s">
        <v>896</v>
      </c>
      <c r="P591" s="36" t="s">
        <v>897</v>
      </c>
      <c r="Q591" s="37" t="s">
        <v>31</v>
      </c>
      <c r="R591" s="31">
        <v>0.04375</v>
      </c>
      <c r="S591" s="31"/>
      <c r="T591" s="32"/>
      <c r="U591" s="73"/>
      <c r="V591" s="72"/>
      <c r="W591" s="72"/>
    </row>
    <row r="592" ht="21.75" hidden="1" customHeight="1" outlineLevel="2">
      <c r="A592" s="131"/>
      <c r="B592" s="21" t="s">
        <v>898</v>
      </c>
      <c r="C592" s="22"/>
      <c r="D592" s="22" t="s">
        <v>47</v>
      </c>
      <c r="E592" s="24" t="s">
        <v>26</v>
      </c>
      <c r="F592" s="25" t="s">
        <v>41</v>
      </c>
      <c r="G592" s="24"/>
      <c r="H592" s="35">
        <v>45237.0</v>
      </c>
      <c r="I592" s="27">
        <f t="shared" si="143"/>
        <v>1</v>
      </c>
      <c r="J592" s="28"/>
      <c r="K592" s="28"/>
      <c r="L592" s="17"/>
      <c r="M592" s="29"/>
      <c r="N592" s="72"/>
      <c r="O592" s="73"/>
      <c r="P592" s="73"/>
      <c r="Q592" s="72"/>
      <c r="R592" s="72"/>
      <c r="S592" s="31"/>
      <c r="T592" s="32"/>
      <c r="U592" s="73"/>
      <c r="V592" s="72"/>
      <c r="W592" s="72"/>
    </row>
    <row r="593" ht="21.75" customHeight="1" outlineLevel="1" collapsed="1">
      <c r="A593" s="131"/>
      <c r="B593" s="21" t="s">
        <v>899</v>
      </c>
      <c r="C593" s="22" t="s">
        <v>900</v>
      </c>
      <c r="D593" s="23"/>
      <c r="E593" s="24" t="s">
        <v>51</v>
      </c>
      <c r="F593" s="25" t="s">
        <v>41</v>
      </c>
      <c r="G593" s="24" t="s">
        <v>63</v>
      </c>
      <c r="H593" s="26">
        <f>MAX(H594:H595)</f>
        <v>45238</v>
      </c>
      <c r="I593" s="27" t="str">
        <f>IFERROR(__xludf.DUMMYFUNCTION("SPARKLINE(SUM(I594:I595), {""charttype"", ""bar""; ""max"", J593; ""color1"", ""green""})"),"")</f>
        <v/>
      </c>
      <c r="J593" s="28">
        <f>COUNT(I594:I595)</f>
        <v>2</v>
      </c>
      <c r="K593" s="28" t="str">
        <f>IF(ISNUMBER(#REF!), #REF!, "")</f>
        <v/>
      </c>
      <c r="L593" s="17"/>
      <c r="M593" s="29">
        <f>MIN(M594:M595)</f>
        <v>45236.45787</v>
      </c>
      <c r="N593" s="89">
        <f>MAX(N594:N595)</f>
        <v>45236.45905</v>
      </c>
      <c r="O593" s="73"/>
      <c r="P593" s="73"/>
      <c r="Q593" s="72"/>
      <c r="R593" s="90">
        <f>SUM(R594:R595)</f>
        <v>0.0006944444444</v>
      </c>
      <c r="S593" s="31" t="str">
        <f>IFERROR(MID(B593, FIND("-", B593) + 1, 3), "")</f>
        <v>INN</v>
      </c>
      <c r="T593" s="32" t="str">
        <f>IFERROR(MID(B593, 8, LEN(B593)-7), "")
</f>
        <v>26</v>
      </c>
      <c r="U593" s="33" t="str">
        <f>CONCATENATE(C593, " - ",E593)</f>
        <v>Build photo - Insta</v>
      </c>
      <c r="V593" s="72"/>
      <c r="W593" s="72"/>
    </row>
    <row r="594" ht="21.75" hidden="1" customHeight="1" outlineLevel="2">
      <c r="A594" s="131"/>
      <c r="B594" s="21" t="s">
        <v>901</v>
      </c>
      <c r="C594" s="22"/>
      <c r="D594" s="22" t="s">
        <v>40</v>
      </c>
      <c r="E594" s="24" t="s">
        <v>26</v>
      </c>
      <c r="F594" s="25" t="s">
        <v>41</v>
      </c>
      <c r="G594" s="24"/>
      <c r="H594" s="35">
        <v>45236.0</v>
      </c>
      <c r="I594" s="27">
        <f t="shared" ref="I594:I595" si="144">IFERROR(IF($E594="Done", 1, IF(OR($E594="Working on it", $E594="In Review", $E594="On Hold"), 0.5, IF($E594="Not Started", 0, ""))), 0)</f>
        <v>1</v>
      </c>
      <c r="J594" s="28"/>
      <c r="K594" s="28"/>
      <c r="L594" s="17"/>
      <c r="M594" s="29">
        <v>45236.45787283564</v>
      </c>
      <c r="N594" s="75">
        <v>45236.459047233795</v>
      </c>
      <c r="O594" s="73"/>
      <c r="P594" s="73"/>
      <c r="Q594" s="37" t="s">
        <v>31</v>
      </c>
      <c r="R594" s="31">
        <v>6.944444444444445E-4</v>
      </c>
      <c r="S594" s="31"/>
      <c r="T594" s="32"/>
      <c r="U594" s="73"/>
      <c r="V594" s="72"/>
      <c r="W594" s="72"/>
    </row>
    <row r="595" ht="21.75" hidden="1" customHeight="1" outlineLevel="2">
      <c r="A595" s="131"/>
      <c r="B595" s="21" t="s">
        <v>902</v>
      </c>
      <c r="C595" s="22"/>
      <c r="D595" s="22" t="s">
        <v>47</v>
      </c>
      <c r="E595" s="24" t="s">
        <v>26</v>
      </c>
      <c r="F595" s="25" t="s">
        <v>41</v>
      </c>
      <c r="G595" s="24"/>
      <c r="H595" s="35">
        <v>45238.0</v>
      </c>
      <c r="I595" s="27">
        <f t="shared" si="144"/>
        <v>1</v>
      </c>
      <c r="J595" s="28"/>
      <c r="K595" s="28"/>
      <c r="L595" s="17"/>
      <c r="M595" s="29"/>
      <c r="N595" s="72"/>
      <c r="O595" s="73"/>
      <c r="P595" s="73"/>
      <c r="Q595" s="72"/>
      <c r="R595" s="72"/>
      <c r="S595" s="31"/>
      <c r="T595" s="32"/>
      <c r="U595" s="73"/>
      <c r="V595" s="72"/>
      <c r="W595" s="72"/>
    </row>
    <row r="596" ht="21.75" customHeight="1" outlineLevel="1" collapsed="1">
      <c r="A596" s="131"/>
      <c r="B596" s="21" t="s">
        <v>903</v>
      </c>
      <c r="C596" s="22" t="s">
        <v>904</v>
      </c>
      <c r="D596" s="23"/>
      <c r="E596" s="24" t="s">
        <v>51</v>
      </c>
      <c r="F596" s="25" t="s">
        <v>41</v>
      </c>
      <c r="G596" s="24" t="s">
        <v>63</v>
      </c>
      <c r="H596" s="26">
        <f>MAX(H597:H598)</f>
        <v>45239</v>
      </c>
      <c r="I596" s="27" t="str">
        <f>IFERROR(__xludf.DUMMYFUNCTION("SPARKLINE(SUM(I597:I598), {""charttype"", ""bar""; ""max"", J596; ""color1"", ""green""})"),"")</f>
        <v/>
      </c>
      <c r="J596" s="100">
        <f>SUM(I597:I598)</f>
        <v>2</v>
      </c>
      <c r="K596" s="28" t="str">
        <f>IF(ISNUMBER(B609), K609, "")</f>
        <v/>
      </c>
      <c r="L596" s="17"/>
      <c r="M596" s="29">
        <f>MIN(M597:M598)</f>
        <v>45239.52776</v>
      </c>
      <c r="N596" s="89">
        <f>MAX(N597:N598)</f>
        <v>45239.52807</v>
      </c>
      <c r="O596" s="73"/>
      <c r="P596" s="73"/>
      <c r="Q596" s="72"/>
      <c r="R596" s="90">
        <f>SUM(R597:R598)</f>
        <v>0</v>
      </c>
      <c r="S596" s="31" t="str">
        <f>IFERROR(MID(B596, FIND("-", B596) + 1, 3), "")</f>
        <v>INN</v>
      </c>
      <c r="T596" s="32" t="str">
        <f>IFERROR(MID(B596, 8, LEN(B596)-7), "")
</f>
        <v>30</v>
      </c>
      <c r="U596" s="73"/>
      <c r="V596" s="72"/>
      <c r="W596" s="72"/>
    </row>
    <row r="597" ht="21.75" hidden="1" customHeight="1" outlineLevel="2">
      <c r="A597" s="131"/>
      <c r="B597" s="21" t="s">
        <v>905</v>
      </c>
      <c r="C597" s="22"/>
      <c r="D597" s="22" t="s">
        <v>40</v>
      </c>
      <c r="E597" s="24" t="s">
        <v>26</v>
      </c>
      <c r="F597" s="25"/>
      <c r="G597" s="24"/>
      <c r="H597" s="35">
        <v>45239.0</v>
      </c>
      <c r="I597" s="27">
        <f t="shared" ref="I597:I598" si="145">IFERROR(IF($E597="Done", 1, IF(OR($E597="Working on it", $E597="In Review", $E597="On Hold"), 0.5, IF($E597="Not Started", 0, ""))), 0)</f>
        <v>1</v>
      </c>
      <c r="J597" s="28"/>
      <c r="K597" s="28"/>
      <c r="L597" s="17"/>
      <c r="M597" s="29">
        <v>45239.52775815972</v>
      </c>
      <c r="N597" s="75">
        <v>45239.528066388884</v>
      </c>
      <c r="O597" s="73"/>
      <c r="P597" s="73"/>
      <c r="Q597" s="37" t="s">
        <v>31</v>
      </c>
      <c r="R597" s="31">
        <v>0.0</v>
      </c>
      <c r="S597" s="31"/>
      <c r="T597" s="32"/>
      <c r="U597" s="73"/>
      <c r="V597" s="72"/>
      <c r="W597" s="72"/>
    </row>
    <row r="598" ht="21.75" hidden="1" customHeight="1" outlineLevel="2">
      <c r="A598" s="131"/>
      <c r="B598" s="21" t="s">
        <v>906</v>
      </c>
      <c r="C598" s="22"/>
      <c r="D598" s="22" t="s">
        <v>47</v>
      </c>
      <c r="E598" s="24" t="s">
        <v>26</v>
      </c>
      <c r="F598" s="25"/>
      <c r="G598" s="24"/>
      <c r="H598" s="35">
        <v>45239.0</v>
      </c>
      <c r="I598" s="27">
        <f t="shared" si="145"/>
        <v>1</v>
      </c>
      <c r="J598" s="28"/>
      <c r="K598" s="28"/>
      <c r="L598" s="17"/>
      <c r="M598" s="29">
        <v>45239.52783515047</v>
      </c>
      <c r="N598" s="75">
        <v>45239.528074456015</v>
      </c>
      <c r="O598" s="36" t="s">
        <v>907</v>
      </c>
      <c r="P598" s="36" t="s">
        <v>908</v>
      </c>
      <c r="Q598" s="37" t="s">
        <v>31</v>
      </c>
      <c r="R598" s="31">
        <v>0.0</v>
      </c>
      <c r="S598" s="31"/>
      <c r="T598" s="32"/>
      <c r="U598" s="73"/>
      <c r="V598" s="72"/>
      <c r="W598" s="72"/>
    </row>
    <row r="599" ht="21.75" customHeight="1" outlineLevel="1" collapsed="1">
      <c r="A599" s="131"/>
      <c r="B599" s="21" t="s">
        <v>909</v>
      </c>
      <c r="C599" s="22" t="s">
        <v>910</v>
      </c>
      <c r="D599" s="23"/>
      <c r="E599" s="24" t="s">
        <v>51</v>
      </c>
      <c r="F599" s="25" t="s">
        <v>41</v>
      </c>
      <c r="G599" s="24" t="s">
        <v>63</v>
      </c>
      <c r="H599" s="26">
        <f>MAX(H600:H601)</f>
        <v>45239</v>
      </c>
      <c r="I599" s="27" t="str">
        <f>IFERROR(__xludf.DUMMYFUNCTION("SPARKLINE(SUM(I600:I601), {""charttype"", ""bar""; ""max"", J599; ""color1"", ""green""})"),"")</f>
        <v/>
      </c>
      <c r="J599" s="28">
        <f>COUNT(I600:I601)</f>
        <v>2</v>
      </c>
      <c r="K599" s="28" t="str">
        <f>IF(ISNUMBER(B616), K616, "")</f>
        <v/>
      </c>
      <c r="L599" s="17"/>
      <c r="M599" s="29">
        <f>MIN(M600:M601)</f>
        <v>45239.52696</v>
      </c>
      <c r="N599" s="89">
        <f>MAX(N600:N601)</f>
        <v>45239.69371</v>
      </c>
      <c r="O599" s="73"/>
      <c r="P599" s="73"/>
      <c r="Q599" s="72"/>
      <c r="R599" s="90">
        <f>SUM(R600:R601)</f>
        <v>0.002777777778</v>
      </c>
      <c r="S599" s="31"/>
      <c r="T599" s="32"/>
      <c r="U599" s="73"/>
      <c r="V599" s="72"/>
      <c r="W599" s="72"/>
    </row>
    <row r="600" ht="21.75" hidden="1" customHeight="1" outlineLevel="2">
      <c r="A600" s="131"/>
      <c r="B600" s="21" t="s">
        <v>911</v>
      </c>
      <c r="C600" s="22"/>
      <c r="D600" s="22" t="s">
        <v>40</v>
      </c>
      <c r="E600" s="24" t="s">
        <v>26</v>
      </c>
      <c r="F600" s="25" t="s">
        <v>41</v>
      </c>
      <c r="G600" s="24"/>
      <c r="H600" s="35">
        <v>45239.0</v>
      </c>
      <c r="I600" s="27">
        <f t="shared" ref="I600:I601" si="146">IFERROR(IF($E600="Done", 1, IF(OR($E600="Working on it", $E600="In Review", $E600="On Hold"), 0.5, IF($E600="Not Started", 0, ""))), 0)</f>
        <v>1</v>
      </c>
      <c r="J600" s="28"/>
      <c r="K600" s="28"/>
      <c r="L600" s="17"/>
      <c r="M600" s="29">
        <v>45239.52695824074</v>
      </c>
      <c r="N600" s="75">
        <v>45239.551280995365</v>
      </c>
      <c r="O600" s="36" t="s">
        <v>912</v>
      </c>
      <c r="P600" s="36" t="s">
        <v>913</v>
      </c>
      <c r="Q600" s="37" t="s">
        <v>31</v>
      </c>
      <c r="R600" s="31">
        <v>0.002777777777777778</v>
      </c>
      <c r="S600" s="31"/>
      <c r="T600" s="32"/>
      <c r="U600" s="73"/>
      <c r="V600" s="72"/>
      <c r="W600" s="72"/>
    </row>
    <row r="601" ht="21.75" hidden="1" customHeight="1" outlineLevel="2">
      <c r="A601" s="131"/>
      <c r="B601" s="21" t="s">
        <v>914</v>
      </c>
      <c r="C601" s="22"/>
      <c r="D601" s="22" t="s">
        <v>47</v>
      </c>
      <c r="E601" s="24" t="s">
        <v>26</v>
      </c>
      <c r="F601" s="25" t="s">
        <v>41</v>
      </c>
      <c r="G601" s="24"/>
      <c r="H601" s="35">
        <v>45239.0</v>
      </c>
      <c r="I601" s="27">
        <f t="shared" si="146"/>
        <v>1</v>
      </c>
      <c r="J601" s="28"/>
      <c r="K601" s="28"/>
      <c r="L601" s="17"/>
      <c r="M601" s="29">
        <v>45239.6934253588</v>
      </c>
      <c r="N601" s="75">
        <v>45239.693705694444</v>
      </c>
      <c r="O601" s="73"/>
      <c r="P601" s="73"/>
      <c r="Q601" s="37" t="s">
        <v>31</v>
      </c>
      <c r="R601" s="31">
        <v>0.0</v>
      </c>
      <c r="S601" s="31"/>
      <c r="T601" s="32"/>
      <c r="U601" s="73"/>
      <c r="V601" s="72"/>
      <c r="W601" s="72"/>
    </row>
    <row r="602" ht="21.75" customHeight="1" outlineLevel="1" collapsed="1">
      <c r="A602" s="131"/>
      <c r="B602" s="21" t="s">
        <v>915</v>
      </c>
      <c r="C602" s="22" t="s">
        <v>916</v>
      </c>
      <c r="D602" s="23"/>
      <c r="E602" s="24" t="s">
        <v>21</v>
      </c>
      <c r="F602" s="25" t="s">
        <v>41</v>
      </c>
      <c r="G602" s="24" t="s">
        <v>63</v>
      </c>
      <c r="H602" s="26">
        <f>MAX(H603:H606)</f>
        <v>45240</v>
      </c>
      <c r="I602" s="27" t="str">
        <f>IFERROR(__xludf.DUMMYFUNCTION("SPARKLINE(SUM(I603:I606), {""charttype"", ""bar""; ""max"", J602; ""color1"", ""green""})"),"")</f>
        <v/>
      </c>
      <c r="J602" s="28">
        <f>COUNT(I603:I606)</f>
        <v>4</v>
      </c>
      <c r="K602" s="28" t="str">
        <f>IF(ISNUMBER(#REF!), #REF!, "")</f>
        <v/>
      </c>
      <c r="L602" s="17"/>
      <c r="M602" s="29">
        <f>MIN(M603:M606)</f>
        <v>45238.62449</v>
      </c>
      <c r="N602" s="89">
        <f>MAX(N603:N606)</f>
        <v>45240.75162</v>
      </c>
      <c r="O602" s="73"/>
      <c r="P602" s="73"/>
      <c r="Q602" s="72"/>
      <c r="R602" s="90">
        <f>SUM(R603:R606)</f>
        <v>0.125</v>
      </c>
      <c r="S602" s="31" t="str">
        <f>IFERROR(MID(B602, FIND("-", B602) + 1, 3), "")</f>
        <v>INN</v>
      </c>
      <c r="T602" s="32" t="str">
        <f>IFERROR(MID(B602, 8, LEN(B602)-7), "")
</f>
        <v>29</v>
      </c>
      <c r="U602" s="33" t="str">
        <f>CONCATENATE(C602, " - ",E602)</f>
        <v>Troubleshoot GPU issues - Shorts</v>
      </c>
      <c r="V602" s="72"/>
      <c r="W602" s="72"/>
    </row>
    <row r="603" ht="21.75" hidden="1" customHeight="1" outlineLevel="2">
      <c r="A603" s="131"/>
      <c r="B603" s="21" t="s">
        <v>917</v>
      </c>
      <c r="C603" s="22"/>
      <c r="D603" s="22" t="s">
        <v>918</v>
      </c>
      <c r="E603" s="24" t="s">
        <v>26</v>
      </c>
      <c r="F603" s="25" t="s">
        <v>41</v>
      </c>
      <c r="G603" s="133" t="s">
        <v>919</v>
      </c>
      <c r="H603" s="35">
        <v>45237.0</v>
      </c>
      <c r="I603" s="27">
        <f t="shared" ref="I603:I606" si="147">IFERROR(IF($E603="Done", 1, IF(OR($E603="Working on it", $E603="In Review", $E603="On Hold"), 0.5, IF($E603="Not Started", 0, ""))), 0)</f>
        <v>1</v>
      </c>
      <c r="J603" s="28"/>
      <c r="K603" s="28"/>
      <c r="L603" s="17"/>
      <c r="M603" s="29">
        <v>45238.62448719908</v>
      </c>
      <c r="N603" s="75">
        <v>45238.63682429398</v>
      </c>
      <c r="O603" s="36" t="s">
        <v>920</v>
      </c>
      <c r="P603" s="36" t="s">
        <v>921</v>
      </c>
      <c r="Q603" s="37" t="s">
        <v>31</v>
      </c>
      <c r="R603" s="31">
        <v>0.008333333333333333</v>
      </c>
      <c r="S603" s="31"/>
      <c r="T603" s="32"/>
      <c r="U603" s="73"/>
      <c r="V603" s="72"/>
      <c r="W603" s="72"/>
    </row>
    <row r="604" ht="21.75" hidden="1" customHeight="1" outlineLevel="2">
      <c r="A604" s="131"/>
      <c r="B604" s="21" t="s">
        <v>922</v>
      </c>
      <c r="C604" s="22"/>
      <c r="D604" s="22" t="s">
        <v>923</v>
      </c>
      <c r="E604" s="24" t="s">
        <v>26</v>
      </c>
      <c r="F604" s="25" t="s">
        <v>34</v>
      </c>
      <c r="G604" s="58" t="s">
        <v>924</v>
      </c>
      <c r="H604" s="35">
        <v>45239.0</v>
      </c>
      <c r="I604" s="27">
        <f t="shared" si="147"/>
        <v>1</v>
      </c>
      <c r="J604" s="28"/>
      <c r="K604" s="28"/>
      <c r="L604" s="17"/>
      <c r="M604" s="29">
        <v>45239.59088408564</v>
      </c>
      <c r="N604" s="75">
        <v>45239.73713958333</v>
      </c>
      <c r="O604" s="36" t="s">
        <v>925</v>
      </c>
      <c r="P604" s="36" t="s">
        <v>926</v>
      </c>
      <c r="Q604" s="37" t="s">
        <v>31</v>
      </c>
      <c r="R604" s="31">
        <v>0.017361111111111112</v>
      </c>
      <c r="S604" s="31"/>
      <c r="T604" s="32"/>
      <c r="U604" s="73"/>
      <c r="V604" s="72"/>
      <c r="W604" s="72"/>
    </row>
    <row r="605" ht="21.75" hidden="1" customHeight="1" outlineLevel="2">
      <c r="A605" s="131"/>
      <c r="B605" s="21" t="s">
        <v>927</v>
      </c>
      <c r="C605" s="22"/>
      <c r="D605" s="22" t="s">
        <v>40</v>
      </c>
      <c r="E605" s="24" t="s">
        <v>26</v>
      </c>
      <c r="F605" s="25" t="s">
        <v>41</v>
      </c>
      <c r="G605" s="24"/>
      <c r="H605" s="35">
        <v>45239.0</v>
      </c>
      <c r="I605" s="27">
        <f t="shared" si="147"/>
        <v>1</v>
      </c>
      <c r="J605" s="28"/>
      <c r="K605" s="28"/>
      <c r="L605" s="17"/>
      <c r="M605" s="29">
        <v>45239.69568722222</v>
      </c>
      <c r="N605" s="75">
        <v>45240.471310312496</v>
      </c>
      <c r="O605" s="36" t="s">
        <v>928</v>
      </c>
      <c r="P605" s="36" t="s">
        <v>929</v>
      </c>
      <c r="Q605" s="37" t="s">
        <v>31</v>
      </c>
      <c r="R605" s="31">
        <v>0.09930555555555555</v>
      </c>
      <c r="S605" s="31"/>
      <c r="T605" s="32"/>
      <c r="U605" s="73"/>
      <c r="V605" s="72"/>
      <c r="W605" s="72"/>
    </row>
    <row r="606" ht="21.75" hidden="1" customHeight="1" outlineLevel="2">
      <c r="A606" s="131"/>
      <c r="B606" s="21" t="s">
        <v>930</v>
      </c>
      <c r="C606" s="22"/>
      <c r="D606" s="22" t="s">
        <v>47</v>
      </c>
      <c r="E606" s="24" t="s">
        <v>26</v>
      </c>
      <c r="F606" s="25" t="s">
        <v>41</v>
      </c>
      <c r="G606" s="24"/>
      <c r="H606" s="35">
        <v>45240.0</v>
      </c>
      <c r="I606" s="27">
        <f t="shared" si="147"/>
        <v>1</v>
      </c>
      <c r="J606" s="28"/>
      <c r="K606" s="28"/>
      <c r="L606" s="17"/>
      <c r="M606" s="29">
        <v>45240.75107547454</v>
      </c>
      <c r="N606" s="75">
        <v>45240.75162115741</v>
      </c>
      <c r="O606" s="73"/>
      <c r="P606" s="73"/>
      <c r="Q606" s="37" t="s">
        <v>31</v>
      </c>
      <c r="R606" s="31">
        <v>0.0</v>
      </c>
      <c r="S606" s="31"/>
      <c r="T606" s="32"/>
      <c r="U606" s="73"/>
      <c r="V606" s="72"/>
      <c r="W606" s="72"/>
    </row>
    <row r="607" ht="21.75" customHeight="1" outlineLevel="1" collapsed="1">
      <c r="A607" s="131"/>
      <c r="B607" s="21" t="s">
        <v>931</v>
      </c>
      <c r="C607" s="22" t="s">
        <v>251</v>
      </c>
      <c r="D607" s="23"/>
      <c r="E607" s="24" t="s">
        <v>51</v>
      </c>
      <c r="F607" s="25" t="s">
        <v>41</v>
      </c>
      <c r="G607" s="24" t="s">
        <v>23</v>
      </c>
      <c r="H607" s="26">
        <f>MAX(H608:H609)</f>
        <v>45241</v>
      </c>
      <c r="I607" s="27" t="str">
        <f>IFERROR(__xludf.DUMMYFUNCTION("SPARKLINE(SUM(I608:I609), {""charttype"", ""bar""; ""max"", J607; ""color1"", ""green""})"),"")</f>
        <v/>
      </c>
      <c r="J607" s="28">
        <f>COUNT(I608:I609)</f>
        <v>2</v>
      </c>
      <c r="K607" s="28" t="str">
        <f>IF(ISNUMBER(B614), K614, "")</f>
        <v/>
      </c>
      <c r="L607" s="17"/>
      <c r="M607" s="29">
        <f>MIN(M608:M609)</f>
        <v>45240.57424</v>
      </c>
      <c r="N607" s="72">
        <f>MAX(N608:N609)</f>
        <v>0</v>
      </c>
      <c r="O607" s="73"/>
      <c r="P607" s="73"/>
      <c r="Q607" s="72"/>
      <c r="R607" s="72">
        <f>SUM(R608:R609)</f>
        <v>0</v>
      </c>
      <c r="S607" s="31" t="str">
        <f>IFERROR(MID(B607, FIND("-", B607) + 1, 3), "")</f>
        <v>INN</v>
      </c>
      <c r="T607" s="32" t="str">
        <f>IFERROR(MID(B607, 8, LEN(B607)-7), "")
</f>
        <v>28</v>
      </c>
      <c r="U607" s="33" t="str">
        <f>CONCATENATE(C607, " - ",E607)</f>
        <v>Diwali Post - Insta</v>
      </c>
      <c r="V607" s="72"/>
      <c r="W607" s="72"/>
    </row>
    <row r="608" ht="21.75" hidden="1" customHeight="1" outlineLevel="2">
      <c r="A608" s="131"/>
      <c r="B608" s="21" t="s">
        <v>932</v>
      </c>
      <c r="C608" s="22"/>
      <c r="D608" s="22" t="s">
        <v>40</v>
      </c>
      <c r="E608" s="24" t="s">
        <v>388</v>
      </c>
      <c r="F608" s="25" t="s">
        <v>34</v>
      </c>
      <c r="G608" s="24"/>
      <c r="H608" s="35">
        <v>45240.0</v>
      </c>
      <c r="I608" s="27">
        <f t="shared" ref="I608:I609" si="148">IFERROR(IF($E608="Done", 1, IF(OR($E608="Working on it", $E608="In Review", $E608="On Hold"), 0.5, IF($E608="Not Started", 0, ""))), 0)</f>
        <v>0.5</v>
      </c>
      <c r="J608" s="28"/>
      <c r="K608" s="28"/>
      <c r="L608" s="17"/>
      <c r="M608" s="29">
        <v>45240.57424486111</v>
      </c>
      <c r="N608" s="72"/>
      <c r="O608" s="36" t="s">
        <v>933</v>
      </c>
      <c r="P608" s="73"/>
      <c r="Q608" s="37" t="s">
        <v>309</v>
      </c>
      <c r="R608" s="72"/>
      <c r="S608" s="31"/>
      <c r="T608" s="32"/>
      <c r="U608" s="73"/>
      <c r="V608" s="72"/>
      <c r="W608" s="72"/>
    </row>
    <row r="609" ht="21.75" hidden="1" customHeight="1" outlineLevel="2">
      <c r="A609" s="131"/>
      <c r="B609" s="21" t="s">
        <v>934</v>
      </c>
      <c r="C609" s="22"/>
      <c r="D609" s="22" t="s">
        <v>47</v>
      </c>
      <c r="E609" s="24" t="s">
        <v>179</v>
      </c>
      <c r="F609" s="25" t="s">
        <v>41</v>
      </c>
      <c r="G609" s="24"/>
      <c r="H609" s="35">
        <v>45241.0</v>
      </c>
      <c r="I609" s="27">
        <f t="shared" si="148"/>
        <v>0</v>
      </c>
      <c r="J609" s="28"/>
      <c r="K609" s="28"/>
      <c r="L609" s="17"/>
      <c r="M609" s="29"/>
      <c r="N609" s="72"/>
      <c r="O609" s="73"/>
      <c r="P609" s="73"/>
      <c r="Q609" s="72"/>
      <c r="R609" s="72"/>
      <c r="S609" s="31"/>
      <c r="T609" s="32"/>
      <c r="U609" s="73"/>
      <c r="V609" s="72"/>
      <c r="W609" s="72"/>
    </row>
    <row r="610" ht="21.75" customHeight="1" outlineLevel="1" collapsed="1">
      <c r="A610" s="131"/>
      <c r="B610" s="21" t="s">
        <v>935</v>
      </c>
      <c r="C610" s="22" t="s">
        <v>936</v>
      </c>
      <c r="D610" s="23"/>
      <c r="E610" s="24" t="s">
        <v>21</v>
      </c>
      <c r="F610" s="25" t="s">
        <v>41</v>
      </c>
      <c r="G610" s="24" t="s">
        <v>63</v>
      </c>
      <c r="H610" s="26">
        <f>MAX(H611:H614)</f>
        <v>45243</v>
      </c>
      <c r="I610" s="27" t="str">
        <f>IFERROR(__xludf.DUMMYFUNCTION("SPARKLINE(SUM(I611:I614), {""charttype"", ""bar""; ""max"", J610; ""color1"", ""green""})"),"")</f>
        <v/>
      </c>
      <c r="J610" s="28">
        <f>COUNT(I611:I614)</f>
        <v>4</v>
      </c>
      <c r="K610" s="28" t="str">
        <f>IF(ISNUMBER(B606), K606, "")</f>
        <v/>
      </c>
      <c r="L610" s="17"/>
      <c r="M610" s="29">
        <f>MIN(M611:M614)</f>
        <v>45238.70456</v>
      </c>
      <c r="N610" s="89">
        <f>MAX(N611:N614)</f>
        <v>45240.41363</v>
      </c>
      <c r="O610" s="73"/>
      <c r="P610" s="73"/>
      <c r="Q610" s="72"/>
      <c r="R610" s="90">
        <f>SUM(R611:R614)</f>
        <v>0.05486111111</v>
      </c>
      <c r="S610" s="31" t="str">
        <f>IFERROR(MID(B610, FIND("-", B610) + 1, 3), "")</f>
        <v>INN</v>
      </c>
      <c r="T610" s="32" t="str">
        <f>IFERROR(MID(B610, 8, LEN(B610)-7), "")
</f>
        <v>27</v>
      </c>
      <c r="U610" s="33" t="str">
        <f>CONCATENATE(C610, " - ",E610)</f>
        <v>NVIDIA RTX Video Super Resolution - Shorts</v>
      </c>
      <c r="V610" s="72"/>
      <c r="W610" s="72"/>
    </row>
    <row r="611" ht="21.75" hidden="1" customHeight="1" outlineLevel="2">
      <c r="A611" s="131"/>
      <c r="B611" s="21" t="s">
        <v>937</v>
      </c>
      <c r="C611" s="22"/>
      <c r="D611" s="22" t="s">
        <v>25</v>
      </c>
      <c r="E611" s="24" t="s">
        <v>26</v>
      </c>
      <c r="F611" s="25" t="s">
        <v>27</v>
      </c>
      <c r="G611" s="58" t="s">
        <v>938</v>
      </c>
      <c r="H611" s="35">
        <v>45240.0</v>
      </c>
      <c r="I611" s="27">
        <f t="shared" ref="I611:I616" si="149">IFERROR(IF($E611="Done", 1, IF(OR($E611="Working on it", $E611="In Review", $E611="On Hold"), 0.5, IF($E611="Not Started", 0, ""))), 0)</f>
        <v>1</v>
      </c>
      <c r="J611" s="28"/>
      <c r="K611" s="28"/>
      <c r="L611" s="17"/>
      <c r="M611" s="29">
        <v>45238.70456013889</v>
      </c>
      <c r="N611" s="75">
        <v>45240.41362731482</v>
      </c>
      <c r="O611" s="36" t="s">
        <v>939</v>
      </c>
      <c r="P611" s="36" t="s">
        <v>940</v>
      </c>
      <c r="Q611" s="37" t="s">
        <v>31</v>
      </c>
      <c r="R611" s="31">
        <v>0.05486111111111111</v>
      </c>
      <c r="S611" s="31"/>
      <c r="T611" s="32"/>
      <c r="U611" s="73"/>
      <c r="V611" s="72"/>
      <c r="W611" s="72"/>
    </row>
    <row r="612" ht="21.75" hidden="1" customHeight="1" outlineLevel="2">
      <c r="A612" s="131"/>
      <c r="B612" s="21" t="s">
        <v>941</v>
      </c>
      <c r="C612" s="22"/>
      <c r="D612" s="22" t="s">
        <v>112</v>
      </c>
      <c r="E612" s="24" t="s">
        <v>26</v>
      </c>
      <c r="F612" s="25" t="s">
        <v>34</v>
      </c>
      <c r="G612" s="24"/>
      <c r="H612" s="35">
        <v>45239.0</v>
      </c>
      <c r="I612" s="27">
        <f t="shared" si="149"/>
        <v>1</v>
      </c>
      <c r="J612" s="28"/>
      <c r="K612" s="28"/>
      <c r="L612" s="17"/>
      <c r="M612" s="29"/>
      <c r="N612" s="72"/>
      <c r="O612" s="73"/>
      <c r="P612" s="73"/>
      <c r="Q612" s="72"/>
      <c r="R612" s="72"/>
      <c r="S612" s="31"/>
      <c r="T612" s="32"/>
      <c r="U612" s="73"/>
      <c r="V612" s="72"/>
      <c r="W612" s="72"/>
    </row>
    <row r="613" ht="21.75" hidden="1" customHeight="1" outlineLevel="2">
      <c r="A613" s="131"/>
      <c r="B613" s="21" t="s">
        <v>942</v>
      </c>
      <c r="C613" s="22"/>
      <c r="D613" s="22" t="s">
        <v>40</v>
      </c>
      <c r="E613" s="24" t="s">
        <v>307</v>
      </c>
      <c r="F613" s="25" t="s">
        <v>41</v>
      </c>
      <c r="G613" s="24"/>
      <c r="H613" s="35">
        <v>45242.0</v>
      </c>
      <c r="I613" s="27">
        <f t="shared" si="149"/>
        <v>0.5</v>
      </c>
      <c r="J613" s="28"/>
      <c r="K613" s="28"/>
      <c r="L613" s="17"/>
      <c r="M613" s="29">
        <v>45239.75244148148</v>
      </c>
      <c r="N613" s="72"/>
      <c r="O613" s="36" t="s">
        <v>943</v>
      </c>
      <c r="P613" s="36" t="s">
        <v>944</v>
      </c>
      <c r="Q613" s="37" t="s">
        <v>309</v>
      </c>
      <c r="R613" s="72"/>
      <c r="S613" s="31"/>
      <c r="T613" s="32"/>
      <c r="U613" s="73"/>
      <c r="V613" s="72"/>
      <c r="W613" s="72"/>
    </row>
    <row r="614" ht="21.75" hidden="1" customHeight="1" outlineLevel="2">
      <c r="A614" s="131"/>
      <c r="B614" s="21" t="s">
        <v>945</v>
      </c>
      <c r="C614" s="22"/>
      <c r="D614" s="22" t="s">
        <v>47</v>
      </c>
      <c r="E614" s="24" t="s">
        <v>179</v>
      </c>
      <c r="F614" s="25" t="s">
        <v>41</v>
      </c>
      <c r="G614" s="24"/>
      <c r="H614" s="35">
        <v>45243.0</v>
      </c>
      <c r="I614" s="27">
        <f t="shared" si="149"/>
        <v>0</v>
      </c>
      <c r="J614" s="28"/>
      <c r="K614" s="28"/>
      <c r="L614" s="17"/>
      <c r="M614" s="29"/>
      <c r="N614" s="72"/>
      <c r="O614" s="73"/>
      <c r="P614" s="73"/>
      <c r="Q614" s="72"/>
      <c r="R614" s="72"/>
      <c r="S614" s="31"/>
      <c r="T614" s="32"/>
      <c r="U614" s="73"/>
      <c r="V614" s="72"/>
      <c r="W614" s="72"/>
    </row>
    <row r="615" ht="21.75" hidden="1" customHeight="1" outlineLevel="2">
      <c r="A615" s="131"/>
      <c r="B615" s="21" t="s">
        <v>946</v>
      </c>
      <c r="C615" s="22"/>
      <c r="D615" s="22" t="s">
        <v>40</v>
      </c>
      <c r="E615" s="24" t="s">
        <v>179</v>
      </c>
      <c r="F615" s="25"/>
      <c r="G615" s="24"/>
      <c r="H615" s="35">
        <v>45239.0</v>
      </c>
      <c r="I615" s="27">
        <f t="shared" si="149"/>
        <v>0</v>
      </c>
      <c r="J615" s="28"/>
      <c r="K615" s="28"/>
      <c r="L615" s="17"/>
      <c r="M615" s="29"/>
      <c r="N615" s="72"/>
      <c r="O615" s="73"/>
      <c r="P615" s="73"/>
      <c r="Q615" s="72"/>
      <c r="R615" s="72"/>
      <c r="S615" s="31"/>
      <c r="T615" s="32"/>
      <c r="U615" s="73"/>
      <c r="V615" s="72"/>
      <c r="W615" s="72"/>
    </row>
    <row r="616" ht="21.75" hidden="1" customHeight="1" outlineLevel="2">
      <c r="A616" s="131"/>
      <c r="B616" s="21" t="s">
        <v>947</v>
      </c>
      <c r="C616" s="22"/>
      <c r="D616" s="22" t="s">
        <v>47</v>
      </c>
      <c r="E616" s="24" t="s">
        <v>179</v>
      </c>
      <c r="F616" s="25"/>
      <c r="G616" s="24"/>
      <c r="H616" s="35">
        <v>45239.0</v>
      </c>
      <c r="I616" s="27">
        <f t="shared" si="149"/>
        <v>0</v>
      </c>
      <c r="J616" s="28"/>
      <c r="K616" s="28"/>
      <c r="L616" s="17"/>
      <c r="M616" s="29"/>
      <c r="N616" s="72"/>
      <c r="O616" s="73"/>
      <c r="P616" s="73"/>
      <c r="Q616" s="72"/>
      <c r="R616" s="72"/>
      <c r="S616" s="31"/>
      <c r="T616" s="32"/>
      <c r="U616" s="73"/>
      <c r="V616" s="72"/>
      <c r="W616" s="72"/>
    </row>
    <row r="617" ht="21.75" customHeight="1" outlineLevel="1" collapsed="1">
      <c r="A617" s="131"/>
      <c r="B617" s="21" t="s">
        <v>948</v>
      </c>
      <c r="C617" s="22" t="s">
        <v>949</v>
      </c>
      <c r="D617" s="23"/>
      <c r="E617" s="24" t="s">
        <v>21</v>
      </c>
      <c r="F617" s="25" t="s">
        <v>41</v>
      </c>
      <c r="G617" s="24" t="s">
        <v>63</v>
      </c>
      <c r="H617" s="26">
        <f>MAX(H618:H622)</f>
        <v>45247</v>
      </c>
      <c r="I617" s="27" t="str">
        <f>IFERROR(__xludf.DUMMYFUNCTION("SPARKLINE(SUM(I618:I622), {""charttype"", ""bar""; ""max"", J617; ""color1"", ""green""})"),"")</f>
        <v/>
      </c>
      <c r="J617" s="28">
        <f>COUNT(I618:I622)</f>
        <v>5</v>
      </c>
      <c r="K617" s="28" t="str">
        <f>IF(ISNUMBER(B616), K616, "")</f>
        <v/>
      </c>
      <c r="L617" s="17"/>
      <c r="M617" s="29">
        <f>MIN(M618:M622)</f>
        <v>0</v>
      </c>
      <c r="N617" s="72">
        <f>MAX(N618:N622)</f>
        <v>0</v>
      </c>
      <c r="O617" s="73"/>
      <c r="P617" s="73"/>
      <c r="Q617" s="72"/>
      <c r="R617" s="72">
        <f>SUM(R618:R622)</f>
        <v>0</v>
      </c>
      <c r="S617" s="31"/>
      <c r="T617" s="32"/>
      <c r="U617" s="73"/>
      <c r="V617" s="72"/>
      <c r="W617" s="72"/>
    </row>
    <row r="618" ht="21.75" hidden="1" customHeight="1" outlineLevel="2">
      <c r="A618" s="131"/>
      <c r="B618" s="21" t="s">
        <v>950</v>
      </c>
      <c r="C618" s="22"/>
      <c r="D618" s="22" t="s">
        <v>25</v>
      </c>
      <c r="E618" s="24" t="s">
        <v>179</v>
      </c>
      <c r="F618" s="25" t="s">
        <v>41</v>
      </c>
      <c r="G618" s="24"/>
      <c r="H618" s="35">
        <v>45243.0</v>
      </c>
      <c r="I618" s="27">
        <f t="shared" ref="I618:I622" si="150">IFERROR(IF($E618="Done", 1, IF(OR($E618="Working on it", $E618="In Review", $E618="On Hold"), 0.5, IF($E618="Not Started", 0, ""))), 0)</f>
        <v>0</v>
      </c>
      <c r="J618" s="28"/>
      <c r="K618" s="28"/>
      <c r="L618" s="17"/>
      <c r="M618" s="29"/>
      <c r="N618" s="72"/>
      <c r="O618" s="73"/>
      <c r="P618" s="73"/>
      <c r="Q618" s="72"/>
      <c r="R618" s="72"/>
      <c r="S618" s="31"/>
      <c r="T618" s="32"/>
      <c r="U618" s="73"/>
      <c r="V618" s="72"/>
      <c r="W618" s="72"/>
    </row>
    <row r="619" ht="21.75" hidden="1" customHeight="1" outlineLevel="2">
      <c r="A619" s="131"/>
      <c r="B619" s="21" t="s">
        <v>951</v>
      </c>
      <c r="C619" s="22"/>
      <c r="D619" s="22" t="s">
        <v>33</v>
      </c>
      <c r="E619" s="24" t="s">
        <v>179</v>
      </c>
      <c r="F619" s="25" t="s">
        <v>41</v>
      </c>
      <c r="G619" s="24"/>
      <c r="H619" s="35">
        <v>45244.0</v>
      </c>
      <c r="I619" s="27">
        <f t="shared" si="150"/>
        <v>0</v>
      </c>
      <c r="J619" s="28"/>
      <c r="K619" s="28"/>
      <c r="L619" s="17"/>
      <c r="M619" s="29"/>
      <c r="N619" s="72"/>
      <c r="O619" s="73"/>
      <c r="P619" s="73"/>
      <c r="Q619" s="72"/>
      <c r="R619" s="72"/>
      <c r="S619" s="31"/>
      <c r="T619" s="32"/>
      <c r="U619" s="73"/>
      <c r="V619" s="72"/>
      <c r="W619" s="72"/>
    </row>
    <row r="620" ht="21.75" hidden="1" customHeight="1" outlineLevel="2">
      <c r="A620" s="131"/>
      <c r="B620" s="21" t="s">
        <v>952</v>
      </c>
      <c r="C620" s="22"/>
      <c r="D620" s="22" t="s">
        <v>40</v>
      </c>
      <c r="E620" s="24" t="s">
        <v>179</v>
      </c>
      <c r="F620" s="25" t="s">
        <v>41</v>
      </c>
      <c r="G620" s="24"/>
      <c r="H620" s="35">
        <v>45245.0</v>
      </c>
      <c r="I620" s="27">
        <f t="shared" si="150"/>
        <v>0</v>
      </c>
      <c r="J620" s="28"/>
      <c r="K620" s="28"/>
      <c r="L620" s="17"/>
      <c r="M620" s="29"/>
      <c r="N620" s="72"/>
      <c r="O620" s="73"/>
      <c r="P620" s="73"/>
      <c r="Q620" s="72"/>
      <c r="R620" s="72"/>
      <c r="S620" s="31"/>
      <c r="T620" s="32"/>
      <c r="U620" s="73"/>
      <c r="V620" s="72"/>
      <c r="W620" s="72"/>
    </row>
    <row r="621" ht="21.75" hidden="1" customHeight="1" outlineLevel="2">
      <c r="A621" s="131"/>
      <c r="B621" s="21" t="s">
        <v>953</v>
      </c>
      <c r="C621" s="22"/>
      <c r="D621" s="22" t="s">
        <v>45</v>
      </c>
      <c r="E621" s="24" t="s">
        <v>179</v>
      </c>
      <c r="F621" s="25" t="s">
        <v>41</v>
      </c>
      <c r="G621" s="24"/>
      <c r="H621" s="35">
        <v>45246.0</v>
      </c>
      <c r="I621" s="27">
        <f t="shared" si="150"/>
        <v>0</v>
      </c>
      <c r="J621" s="28"/>
      <c r="K621" s="28"/>
      <c r="L621" s="17"/>
      <c r="M621" s="29"/>
      <c r="N621" s="72"/>
      <c r="O621" s="73"/>
      <c r="P621" s="73"/>
      <c r="Q621" s="72"/>
      <c r="R621" s="72"/>
      <c r="S621" s="31"/>
      <c r="T621" s="32"/>
      <c r="U621" s="73"/>
      <c r="V621" s="72"/>
      <c r="W621" s="72"/>
    </row>
    <row r="622" ht="21.75" hidden="1" customHeight="1" outlineLevel="2">
      <c r="A622" s="131"/>
      <c r="B622" s="21" t="s">
        <v>954</v>
      </c>
      <c r="C622" s="22"/>
      <c r="D622" s="22" t="s">
        <v>47</v>
      </c>
      <c r="E622" s="24" t="s">
        <v>179</v>
      </c>
      <c r="F622" s="25" t="s">
        <v>41</v>
      </c>
      <c r="G622" s="24"/>
      <c r="H622" s="35">
        <v>45247.0</v>
      </c>
      <c r="I622" s="27">
        <f t="shared" si="150"/>
        <v>0</v>
      </c>
      <c r="J622" s="28"/>
      <c r="K622" s="28"/>
      <c r="L622" s="17"/>
      <c r="M622" s="29"/>
      <c r="N622" s="72"/>
      <c r="O622" s="73"/>
      <c r="P622" s="73"/>
      <c r="Q622" s="72"/>
      <c r="R622" s="72"/>
      <c r="S622" s="31"/>
      <c r="T622" s="32"/>
      <c r="U622" s="73"/>
      <c r="V622" s="72"/>
      <c r="W622" s="72"/>
    </row>
    <row r="623" ht="21.75" customHeight="1" outlineLevel="1">
      <c r="A623" s="131"/>
      <c r="B623" s="64"/>
      <c r="C623" s="23"/>
      <c r="D623" s="23"/>
      <c r="E623" s="24"/>
      <c r="F623" s="25"/>
      <c r="G623" s="24"/>
      <c r="H623" s="26"/>
      <c r="I623" s="27"/>
      <c r="J623" s="28"/>
      <c r="K623" s="28"/>
      <c r="L623" s="17"/>
      <c r="M623" s="29"/>
      <c r="N623" s="72"/>
      <c r="O623" s="73"/>
      <c r="P623" s="73"/>
      <c r="Q623" s="72"/>
      <c r="R623" s="72"/>
      <c r="S623" s="31"/>
      <c r="T623" s="32"/>
      <c r="U623" s="73"/>
      <c r="V623" s="72"/>
      <c r="W623" s="72"/>
    </row>
    <row r="624" ht="21.75" customHeight="1" outlineLevel="1">
      <c r="A624" s="131"/>
      <c r="B624" s="64"/>
      <c r="C624" s="23"/>
      <c r="D624" s="23"/>
      <c r="E624" s="24"/>
      <c r="F624" s="25"/>
      <c r="G624" s="24"/>
      <c r="H624" s="26"/>
      <c r="I624" s="27"/>
      <c r="J624" s="28"/>
      <c r="K624" s="28"/>
      <c r="L624" s="17"/>
      <c r="M624" s="29"/>
      <c r="N624" s="72"/>
      <c r="O624" s="73"/>
      <c r="P624" s="73"/>
      <c r="Q624" s="72"/>
      <c r="R624" s="72"/>
      <c r="S624" s="31"/>
      <c r="T624" s="32"/>
      <c r="U624" s="73"/>
      <c r="V624" s="72"/>
      <c r="W624" s="72"/>
    </row>
    <row r="625" ht="21.75" customHeight="1" outlineLevel="1">
      <c r="A625" s="131"/>
      <c r="B625" s="64"/>
      <c r="C625" s="23"/>
      <c r="D625" s="23"/>
      <c r="E625" s="24"/>
      <c r="F625" s="25"/>
      <c r="G625" s="24"/>
      <c r="H625" s="26"/>
      <c r="I625" s="27"/>
      <c r="J625" s="28"/>
      <c r="K625" s="28"/>
      <c r="L625" s="17"/>
      <c r="M625" s="29"/>
      <c r="N625" s="72"/>
      <c r="O625" s="73"/>
      <c r="P625" s="73"/>
      <c r="Q625" s="72"/>
      <c r="R625" s="72"/>
      <c r="S625" s="31"/>
      <c r="T625" s="32"/>
      <c r="U625" s="73"/>
      <c r="V625" s="72"/>
      <c r="W625" s="72"/>
    </row>
    <row r="626" ht="21.75" customHeight="1" outlineLevel="1">
      <c r="A626" s="131"/>
      <c r="B626" s="64"/>
      <c r="C626" s="23"/>
      <c r="D626" s="23"/>
      <c r="E626" s="24"/>
      <c r="F626" s="25"/>
      <c r="G626" s="24"/>
      <c r="H626" s="26"/>
      <c r="I626" s="27"/>
      <c r="J626" s="28"/>
      <c r="K626" s="28"/>
      <c r="L626" s="17"/>
      <c r="M626" s="29"/>
      <c r="N626" s="72"/>
      <c r="O626" s="73"/>
      <c r="P626" s="73"/>
      <c r="Q626" s="72"/>
      <c r="R626" s="72"/>
      <c r="S626" s="31"/>
      <c r="T626" s="32"/>
      <c r="U626" s="73"/>
      <c r="V626" s="72"/>
      <c r="W626" s="72"/>
    </row>
    <row r="627" ht="21.75" customHeight="1" outlineLevel="1">
      <c r="A627" s="131"/>
      <c r="B627" s="64"/>
      <c r="C627" s="23"/>
      <c r="D627" s="23"/>
      <c r="E627" s="24"/>
      <c r="F627" s="25"/>
      <c r="G627" s="24"/>
      <c r="H627" s="26"/>
      <c r="I627" s="27"/>
      <c r="J627" s="28"/>
      <c r="K627" s="28" t="str">
        <f t="shared" ref="K627:K1177" si="151">IFERROR(IF(ISNUMBER(INDIRECT("B" &amp; ROW()-1)), INDIRECT("K" &amp; ROW()-1), ""), "")</f>
        <v/>
      </c>
      <c r="L627" s="17"/>
      <c r="M627" s="29"/>
      <c r="N627" s="72"/>
      <c r="O627" s="73"/>
      <c r="P627" s="73"/>
      <c r="Q627" s="72"/>
      <c r="R627" s="72"/>
      <c r="S627" s="31" t="str">
        <f t="shared" ref="S627:S1177" si="152">IFERROR(MID(B627, FIND("-", B627) + 1, 3), "")</f>
        <v/>
      </c>
      <c r="T627" s="32" t="str">
        <f t="shared" ref="T627:T1177" si="153">IFERROR(MID(B627, 8, LEN(B627)-7), "")
</f>
        <v/>
      </c>
      <c r="U627" s="73"/>
      <c r="V627" s="72"/>
      <c r="W627" s="72"/>
    </row>
    <row r="628" ht="21.75" customHeight="1" outlineLevel="1">
      <c r="A628" s="131"/>
      <c r="B628" s="64"/>
      <c r="C628" s="23"/>
      <c r="D628" s="23"/>
      <c r="E628" s="24"/>
      <c r="F628" s="25"/>
      <c r="G628" s="24"/>
      <c r="H628" s="26"/>
      <c r="I628" s="27"/>
      <c r="J628" s="28"/>
      <c r="K628" s="28" t="str">
        <f t="shared" si="151"/>
        <v/>
      </c>
      <c r="L628" s="17"/>
      <c r="M628" s="29"/>
      <c r="N628" s="72"/>
      <c r="O628" s="73"/>
      <c r="P628" s="73"/>
      <c r="Q628" s="72"/>
      <c r="R628" s="72"/>
      <c r="S628" s="31" t="str">
        <f t="shared" si="152"/>
        <v/>
      </c>
      <c r="T628" s="32" t="str">
        <f t="shared" si="153"/>
        <v/>
      </c>
      <c r="U628" s="73"/>
      <c r="V628" s="72"/>
      <c r="W628" s="72"/>
    </row>
    <row r="629" ht="21.75" customHeight="1" outlineLevel="1">
      <c r="A629" s="131"/>
      <c r="B629" s="64"/>
      <c r="C629" s="23"/>
      <c r="D629" s="23"/>
      <c r="E629" s="24"/>
      <c r="F629" s="25"/>
      <c r="G629" s="24"/>
      <c r="H629" s="26"/>
      <c r="I629" s="27"/>
      <c r="J629" s="28"/>
      <c r="K629" s="28" t="str">
        <f t="shared" si="151"/>
        <v/>
      </c>
      <c r="L629" s="17"/>
      <c r="M629" s="29"/>
      <c r="N629" s="72"/>
      <c r="O629" s="73"/>
      <c r="P629" s="73"/>
      <c r="Q629" s="72"/>
      <c r="R629" s="72"/>
      <c r="S629" s="31" t="str">
        <f t="shared" si="152"/>
        <v/>
      </c>
      <c r="T629" s="32" t="str">
        <f t="shared" si="153"/>
        <v/>
      </c>
      <c r="U629" s="73"/>
      <c r="V629" s="72"/>
      <c r="W629" s="72"/>
    </row>
    <row r="630" ht="21.75" customHeight="1" outlineLevel="1">
      <c r="A630" s="131"/>
      <c r="B630" s="64"/>
      <c r="C630" s="23"/>
      <c r="D630" s="23"/>
      <c r="E630" s="24"/>
      <c r="F630" s="25"/>
      <c r="G630" s="24"/>
      <c r="H630" s="26"/>
      <c r="I630" s="27"/>
      <c r="J630" s="28"/>
      <c r="K630" s="28" t="str">
        <f t="shared" si="151"/>
        <v/>
      </c>
      <c r="L630" s="17"/>
      <c r="M630" s="29"/>
      <c r="N630" s="72"/>
      <c r="O630" s="73"/>
      <c r="P630" s="73"/>
      <c r="Q630" s="72"/>
      <c r="R630" s="72"/>
      <c r="S630" s="31" t="str">
        <f t="shared" si="152"/>
        <v/>
      </c>
      <c r="T630" s="32" t="str">
        <f t="shared" si="153"/>
        <v/>
      </c>
      <c r="U630" s="73"/>
      <c r="V630" s="72"/>
      <c r="W630" s="72"/>
    </row>
    <row r="631" ht="21.75" customHeight="1" outlineLevel="1">
      <c r="A631" s="131"/>
      <c r="B631" s="64"/>
      <c r="C631" s="23"/>
      <c r="D631" s="23"/>
      <c r="E631" s="24"/>
      <c r="F631" s="25"/>
      <c r="G631" s="24"/>
      <c r="H631" s="26"/>
      <c r="I631" s="27"/>
      <c r="J631" s="28"/>
      <c r="K631" s="28" t="str">
        <f t="shared" si="151"/>
        <v/>
      </c>
      <c r="L631" s="17"/>
      <c r="M631" s="29"/>
      <c r="N631" s="72"/>
      <c r="O631" s="73"/>
      <c r="P631" s="73"/>
      <c r="Q631" s="72"/>
      <c r="R631" s="72"/>
      <c r="S631" s="31" t="str">
        <f t="shared" si="152"/>
        <v/>
      </c>
      <c r="T631" s="32" t="str">
        <f t="shared" si="153"/>
        <v/>
      </c>
      <c r="U631" s="73"/>
      <c r="V631" s="72"/>
      <c r="W631" s="72"/>
    </row>
    <row r="632" ht="21.75" customHeight="1" outlineLevel="1">
      <c r="A632" s="131"/>
      <c r="B632" s="64"/>
      <c r="C632" s="23"/>
      <c r="D632" s="23"/>
      <c r="E632" s="24"/>
      <c r="F632" s="25"/>
      <c r="G632" s="24"/>
      <c r="H632" s="26"/>
      <c r="I632" s="27"/>
      <c r="J632" s="28"/>
      <c r="K632" s="28" t="str">
        <f t="shared" si="151"/>
        <v/>
      </c>
      <c r="L632" s="17"/>
      <c r="M632" s="29"/>
      <c r="N632" s="72"/>
      <c r="O632" s="73"/>
      <c r="P632" s="73"/>
      <c r="Q632" s="72"/>
      <c r="R632" s="72"/>
      <c r="S632" s="31" t="str">
        <f t="shared" si="152"/>
        <v/>
      </c>
      <c r="T632" s="32" t="str">
        <f t="shared" si="153"/>
        <v/>
      </c>
      <c r="U632" s="73"/>
      <c r="V632" s="72"/>
      <c r="W632" s="72"/>
    </row>
    <row r="633" ht="21.75" customHeight="1" outlineLevel="1">
      <c r="A633" s="131"/>
      <c r="B633" s="64"/>
      <c r="C633" s="23"/>
      <c r="D633" s="23"/>
      <c r="E633" s="24"/>
      <c r="F633" s="25"/>
      <c r="G633" s="24"/>
      <c r="H633" s="26"/>
      <c r="I633" s="27"/>
      <c r="J633" s="28"/>
      <c r="K633" s="28" t="str">
        <f t="shared" si="151"/>
        <v/>
      </c>
      <c r="L633" s="17"/>
      <c r="M633" s="29"/>
      <c r="N633" s="72"/>
      <c r="O633" s="73"/>
      <c r="P633" s="73"/>
      <c r="Q633" s="72"/>
      <c r="R633" s="72"/>
      <c r="S633" s="31" t="str">
        <f t="shared" si="152"/>
        <v/>
      </c>
      <c r="T633" s="32" t="str">
        <f t="shared" si="153"/>
        <v/>
      </c>
      <c r="U633" s="73"/>
      <c r="V633" s="72"/>
      <c r="W633" s="72"/>
    </row>
    <row r="634" ht="21.75" customHeight="1" outlineLevel="1">
      <c r="A634" s="131"/>
      <c r="B634" s="64"/>
      <c r="C634" s="23"/>
      <c r="D634" s="23"/>
      <c r="E634" s="24"/>
      <c r="F634" s="25"/>
      <c r="G634" s="24"/>
      <c r="H634" s="26"/>
      <c r="I634" s="27"/>
      <c r="J634" s="28"/>
      <c r="K634" s="28" t="str">
        <f t="shared" si="151"/>
        <v/>
      </c>
      <c r="L634" s="17"/>
      <c r="M634" s="29"/>
      <c r="N634" s="72"/>
      <c r="O634" s="73"/>
      <c r="P634" s="73"/>
      <c r="Q634" s="72"/>
      <c r="R634" s="72"/>
      <c r="S634" s="31" t="str">
        <f t="shared" si="152"/>
        <v/>
      </c>
      <c r="T634" s="32" t="str">
        <f t="shared" si="153"/>
        <v/>
      </c>
      <c r="U634" s="73"/>
      <c r="V634" s="72"/>
      <c r="W634" s="72"/>
    </row>
    <row r="635" ht="21.75" customHeight="1" outlineLevel="1">
      <c r="A635" s="131"/>
      <c r="B635" s="64"/>
      <c r="C635" s="23"/>
      <c r="D635" s="23"/>
      <c r="E635" s="24"/>
      <c r="F635" s="25"/>
      <c r="G635" s="24"/>
      <c r="H635" s="26"/>
      <c r="I635" s="27"/>
      <c r="J635" s="28"/>
      <c r="K635" s="28" t="str">
        <f t="shared" si="151"/>
        <v/>
      </c>
      <c r="L635" s="17"/>
      <c r="M635" s="29"/>
      <c r="N635" s="72"/>
      <c r="O635" s="73"/>
      <c r="P635" s="73"/>
      <c r="Q635" s="72"/>
      <c r="R635" s="72"/>
      <c r="S635" s="31" t="str">
        <f t="shared" si="152"/>
        <v/>
      </c>
      <c r="T635" s="32" t="str">
        <f t="shared" si="153"/>
        <v/>
      </c>
      <c r="U635" s="73"/>
      <c r="V635" s="72"/>
      <c r="W635" s="72"/>
    </row>
    <row r="636" ht="21.75" customHeight="1" outlineLevel="1">
      <c r="A636" s="131"/>
      <c r="B636" s="64"/>
      <c r="C636" s="23"/>
      <c r="D636" s="23"/>
      <c r="E636" s="24"/>
      <c r="F636" s="25"/>
      <c r="G636" s="24"/>
      <c r="H636" s="26"/>
      <c r="I636" s="27"/>
      <c r="J636" s="28"/>
      <c r="K636" s="28" t="str">
        <f t="shared" si="151"/>
        <v/>
      </c>
      <c r="L636" s="17"/>
      <c r="M636" s="29"/>
      <c r="N636" s="72"/>
      <c r="O636" s="73"/>
      <c r="P636" s="73"/>
      <c r="Q636" s="72"/>
      <c r="R636" s="72"/>
      <c r="S636" s="31" t="str">
        <f t="shared" si="152"/>
        <v/>
      </c>
      <c r="T636" s="32" t="str">
        <f t="shared" si="153"/>
        <v/>
      </c>
      <c r="U636" s="73"/>
      <c r="V636" s="72"/>
      <c r="W636" s="72"/>
    </row>
    <row r="637" ht="21.75" customHeight="1">
      <c r="A637" s="134"/>
      <c r="B637" s="64"/>
      <c r="C637" s="23"/>
      <c r="D637" s="23"/>
      <c r="E637" s="24"/>
      <c r="F637" s="25"/>
      <c r="G637" s="24"/>
      <c r="H637" s="26"/>
      <c r="I637" s="27"/>
      <c r="J637" s="28"/>
      <c r="K637" s="28" t="str">
        <f t="shared" si="151"/>
        <v/>
      </c>
      <c r="L637" s="17"/>
      <c r="M637" s="29"/>
      <c r="N637" s="72"/>
      <c r="O637" s="73"/>
      <c r="P637" s="73"/>
      <c r="Q637" s="72"/>
      <c r="R637" s="72"/>
      <c r="S637" s="31" t="str">
        <f t="shared" si="152"/>
        <v/>
      </c>
      <c r="T637" s="32" t="str">
        <f t="shared" si="153"/>
        <v/>
      </c>
      <c r="U637" s="73"/>
      <c r="V637" s="72"/>
      <c r="W637" s="72"/>
    </row>
    <row r="638" ht="21.75" customHeight="1">
      <c r="A638" s="134"/>
      <c r="B638" s="64"/>
      <c r="C638" s="23"/>
      <c r="D638" s="23"/>
      <c r="E638" s="24"/>
      <c r="F638" s="25"/>
      <c r="G638" s="24"/>
      <c r="H638" s="26"/>
      <c r="I638" s="27"/>
      <c r="J638" s="28"/>
      <c r="K638" s="28" t="str">
        <f t="shared" si="151"/>
        <v/>
      </c>
      <c r="L638" s="17"/>
      <c r="M638" s="29"/>
      <c r="N638" s="72"/>
      <c r="O638" s="73"/>
      <c r="P638" s="73"/>
      <c r="Q638" s="72"/>
      <c r="R638" s="72"/>
      <c r="S638" s="31" t="str">
        <f t="shared" si="152"/>
        <v/>
      </c>
      <c r="T638" s="32" t="str">
        <f t="shared" si="153"/>
        <v/>
      </c>
      <c r="U638" s="73"/>
      <c r="V638" s="72"/>
      <c r="W638" s="72"/>
    </row>
    <row r="639" ht="21.75" customHeight="1">
      <c r="A639" s="134"/>
      <c r="B639" s="64"/>
      <c r="C639" s="23"/>
      <c r="D639" s="23"/>
      <c r="E639" s="24"/>
      <c r="F639" s="25"/>
      <c r="G639" s="24"/>
      <c r="H639" s="26"/>
      <c r="I639" s="27"/>
      <c r="J639" s="28"/>
      <c r="K639" s="28" t="str">
        <f t="shared" si="151"/>
        <v/>
      </c>
      <c r="L639" s="17"/>
      <c r="M639" s="29"/>
      <c r="N639" s="72"/>
      <c r="O639" s="73"/>
      <c r="P639" s="73"/>
      <c r="Q639" s="72"/>
      <c r="R639" s="72"/>
      <c r="S639" s="31" t="str">
        <f t="shared" si="152"/>
        <v/>
      </c>
      <c r="T639" s="32" t="str">
        <f t="shared" si="153"/>
        <v/>
      </c>
      <c r="U639" s="73"/>
      <c r="V639" s="72"/>
      <c r="W639" s="72"/>
    </row>
    <row r="640" ht="21.75" customHeight="1">
      <c r="A640" s="134"/>
      <c r="B640" s="64"/>
      <c r="C640" s="23"/>
      <c r="D640" s="23"/>
      <c r="E640" s="24"/>
      <c r="F640" s="25"/>
      <c r="G640" s="24"/>
      <c r="H640" s="26"/>
      <c r="I640" s="27"/>
      <c r="J640" s="28"/>
      <c r="K640" s="28" t="str">
        <f t="shared" si="151"/>
        <v/>
      </c>
      <c r="L640" s="17"/>
      <c r="M640" s="29"/>
      <c r="N640" s="72"/>
      <c r="O640" s="73"/>
      <c r="P640" s="73"/>
      <c r="Q640" s="72"/>
      <c r="R640" s="72"/>
      <c r="S640" s="31" t="str">
        <f t="shared" si="152"/>
        <v/>
      </c>
      <c r="T640" s="32" t="str">
        <f t="shared" si="153"/>
        <v/>
      </c>
      <c r="U640" s="73"/>
      <c r="V640" s="72"/>
      <c r="W640" s="72"/>
    </row>
    <row r="641" ht="21.75" customHeight="1">
      <c r="A641" s="134"/>
      <c r="B641" s="64"/>
      <c r="C641" s="23"/>
      <c r="D641" s="23"/>
      <c r="E641" s="24"/>
      <c r="F641" s="25"/>
      <c r="G641" s="24"/>
      <c r="H641" s="26"/>
      <c r="I641" s="27"/>
      <c r="J641" s="28"/>
      <c r="K641" s="28" t="str">
        <f t="shared" si="151"/>
        <v/>
      </c>
      <c r="L641" s="17"/>
      <c r="M641" s="29"/>
      <c r="N641" s="72"/>
      <c r="O641" s="73"/>
      <c r="P641" s="73"/>
      <c r="Q641" s="72"/>
      <c r="R641" s="72"/>
      <c r="S641" s="31" t="str">
        <f t="shared" si="152"/>
        <v/>
      </c>
      <c r="T641" s="32" t="str">
        <f t="shared" si="153"/>
        <v/>
      </c>
      <c r="U641" s="73"/>
      <c r="V641" s="72"/>
      <c r="W641" s="72"/>
    </row>
    <row r="642" ht="21.75" customHeight="1">
      <c r="A642" s="134"/>
      <c r="B642" s="64"/>
      <c r="C642" s="23"/>
      <c r="D642" s="23"/>
      <c r="E642" s="24"/>
      <c r="F642" s="25"/>
      <c r="G642" s="24"/>
      <c r="H642" s="26"/>
      <c r="I642" s="27"/>
      <c r="J642" s="28"/>
      <c r="K642" s="28" t="str">
        <f t="shared" si="151"/>
        <v/>
      </c>
      <c r="L642" s="17"/>
      <c r="M642" s="29"/>
      <c r="N642" s="72"/>
      <c r="O642" s="73"/>
      <c r="P642" s="73"/>
      <c r="Q642" s="72"/>
      <c r="R642" s="72"/>
      <c r="S642" s="31" t="str">
        <f t="shared" si="152"/>
        <v/>
      </c>
      <c r="T642" s="32" t="str">
        <f t="shared" si="153"/>
        <v/>
      </c>
      <c r="U642" s="73"/>
      <c r="V642" s="72"/>
      <c r="W642" s="72"/>
    </row>
    <row r="643" ht="21.75" customHeight="1">
      <c r="A643" s="134"/>
      <c r="B643" s="64"/>
      <c r="C643" s="23"/>
      <c r="D643" s="23"/>
      <c r="E643" s="24"/>
      <c r="F643" s="25"/>
      <c r="G643" s="24"/>
      <c r="H643" s="26"/>
      <c r="I643" s="27"/>
      <c r="J643" s="28"/>
      <c r="K643" s="28" t="str">
        <f t="shared" si="151"/>
        <v/>
      </c>
      <c r="L643" s="17"/>
      <c r="M643" s="29"/>
      <c r="N643" s="72"/>
      <c r="O643" s="73"/>
      <c r="P643" s="73"/>
      <c r="Q643" s="72"/>
      <c r="R643" s="72"/>
      <c r="S643" s="31" t="str">
        <f t="shared" si="152"/>
        <v/>
      </c>
      <c r="T643" s="32" t="str">
        <f t="shared" si="153"/>
        <v/>
      </c>
      <c r="U643" s="73"/>
      <c r="V643" s="72"/>
      <c r="W643" s="72"/>
    </row>
    <row r="644" ht="21.75" customHeight="1">
      <c r="A644" s="134"/>
      <c r="B644" s="64"/>
      <c r="C644" s="23"/>
      <c r="D644" s="23"/>
      <c r="E644" s="24"/>
      <c r="F644" s="25"/>
      <c r="G644" s="24"/>
      <c r="H644" s="26"/>
      <c r="I644" s="27"/>
      <c r="J644" s="28"/>
      <c r="K644" s="28" t="str">
        <f t="shared" si="151"/>
        <v/>
      </c>
      <c r="L644" s="17"/>
      <c r="M644" s="29"/>
      <c r="N644" s="72"/>
      <c r="O644" s="73"/>
      <c r="P644" s="73"/>
      <c r="Q644" s="72"/>
      <c r="R644" s="72"/>
      <c r="S644" s="31" t="str">
        <f t="shared" si="152"/>
        <v/>
      </c>
      <c r="T644" s="32" t="str">
        <f t="shared" si="153"/>
        <v/>
      </c>
      <c r="U644" s="73"/>
      <c r="V644" s="72"/>
      <c r="W644" s="72"/>
    </row>
    <row r="645" ht="21.75" customHeight="1">
      <c r="A645" s="134"/>
      <c r="B645" s="64"/>
      <c r="C645" s="23"/>
      <c r="D645" s="23"/>
      <c r="E645" s="24"/>
      <c r="F645" s="25"/>
      <c r="G645" s="24"/>
      <c r="H645" s="26"/>
      <c r="I645" s="27"/>
      <c r="J645" s="28"/>
      <c r="K645" s="28" t="str">
        <f t="shared" si="151"/>
        <v/>
      </c>
      <c r="L645" s="17"/>
      <c r="M645" s="29"/>
      <c r="N645" s="72"/>
      <c r="O645" s="73"/>
      <c r="P645" s="73"/>
      <c r="Q645" s="72"/>
      <c r="R645" s="72"/>
      <c r="S645" s="31" t="str">
        <f t="shared" si="152"/>
        <v/>
      </c>
      <c r="T645" s="32" t="str">
        <f t="shared" si="153"/>
        <v/>
      </c>
      <c r="U645" s="73"/>
      <c r="V645" s="72"/>
      <c r="W645" s="72"/>
    </row>
    <row r="646" ht="21.75" customHeight="1">
      <c r="A646" s="134"/>
      <c r="B646" s="64"/>
      <c r="C646" s="23"/>
      <c r="D646" s="23"/>
      <c r="E646" s="24"/>
      <c r="F646" s="25"/>
      <c r="G646" s="24"/>
      <c r="H646" s="26"/>
      <c r="I646" s="27"/>
      <c r="J646" s="28"/>
      <c r="K646" s="28" t="str">
        <f t="shared" si="151"/>
        <v/>
      </c>
      <c r="L646" s="17"/>
      <c r="M646" s="29"/>
      <c r="N646" s="72"/>
      <c r="O646" s="73"/>
      <c r="P646" s="73"/>
      <c r="Q646" s="72"/>
      <c r="R646" s="72"/>
      <c r="S646" s="31" t="str">
        <f t="shared" si="152"/>
        <v/>
      </c>
      <c r="T646" s="32" t="str">
        <f t="shared" si="153"/>
        <v/>
      </c>
      <c r="U646" s="73"/>
      <c r="V646" s="72"/>
      <c r="W646" s="72"/>
    </row>
    <row r="647" ht="21.75" customHeight="1">
      <c r="A647" s="134"/>
      <c r="B647" s="64"/>
      <c r="C647" s="23"/>
      <c r="D647" s="23"/>
      <c r="E647" s="24"/>
      <c r="F647" s="25"/>
      <c r="G647" s="24"/>
      <c r="H647" s="26"/>
      <c r="I647" s="27"/>
      <c r="J647" s="28"/>
      <c r="K647" s="28" t="str">
        <f t="shared" si="151"/>
        <v/>
      </c>
      <c r="L647" s="17"/>
      <c r="M647" s="29"/>
      <c r="N647" s="72"/>
      <c r="O647" s="73"/>
      <c r="P647" s="73"/>
      <c r="Q647" s="72"/>
      <c r="R647" s="72"/>
      <c r="S647" s="31" t="str">
        <f t="shared" si="152"/>
        <v/>
      </c>
      <c r="T647" s="32" t="str">
        <f t="shared" si="153"/>
        <v/>
      </c>
      <c r="U647" s="73"/>
      <c r="V647" s="72"/>
      <c r="W647" s="72"/>
    </row>
    <row r="648" ht="21.75" customHeight="1">
      <c r="A648" s="134"/>
      <c r="B648" s="64"/>
      <c r="C648" s="23"/>
      <c r="D648" s="23"/>
      <c r="E648" s="24"/>
      <c r="F648" s="25"/>
      <c r="G648" s="24"/>
      <c r="H648" s="26"/>
      <c r="I648" s="27"/>
      <c r="J648" s="28"/>
      <c r="K648" s="28" t="str">
        <f t="shared" si="151"/>
        <v/>
      </c>
      <c r="L648" s="17"/>
      <c r="M648" s="29"/>
      <c r="N648" s="72"/>
      <c r="O648" s="73"/>
      <c r="P648" s="73"/>
      <c r="Q648" s="72"/>
      <c r="R648" s="72"/>
      <c r="S648" s="31" t="str">
        <f t="shared" si="152"/>
        <v/>
      </c>
      <c r="T648" s="32" t="str">
        <f t="shared" si="153"/>
        <v/>
      </c>
      <c r="U648" s="73"/>
      <c r="V648" s="72"/>
      <c r="W648" s="72"/>
    </row>
    <row r="649" ht="21.75" customHeight="1">
      <c r="A649" s="134"/>
      <c r="B649" s="64"/>
      <c r="C649" s="23"/>
      <c r="D649" s="23"/>
      <c r="E649" s="24"/>
      <c r="F649" s="25"/>
      <c r="G649" s="24"/>
      <c r="H649" s="26"/>
      <c r="I649" s="27"/>
      <c r="J649" s="28"/>
      <c r="K649" s="28" t="str">
        <f t="shared" si="151"/>
        <v/>
      </c>
      <c r="L649" s="17"/>
      <c r="M649" s="29"/>
      <c r="N649" s="72"/>
      <c r="O649" s="73"/>
      <c r="P649" s="73"/>
      <c r="Q649" s="72"/>
      <c r="R649" s="72"/>
      <c r="S649" s="31" t="str">
        <f t="shared" si="152"/>
        <v/>
      </c>
      <c r="T649" s="32" t="str">
        <f t="shared" si="153"/>
        <v/>
      </c>
      <c r="U649" s="73"/>
      <c r="V649" s="72"/>
      <c r="W649" s="72"/>
    </row>
    <row r="650" ht="21.75" customHeight="1">
      <c r="A650" s="134"/>
      <c r="B650" s="64"/>
      <c r="C650" s="23"/>
      <c r="D650" s="23"/>
      <c r="E650" s="24"/>
      <c r="F650" s="25"/>
      <c r="G650" s="24"/>
      <c r="H650" s="26"/>
      <c r="I650" s="27"/>
      <c r="J650" s="28"/>
      <c r="K650" s="28" t="str">
        <f t="shared" si="151"/>
        <v/>
      </c>
      <c r="L650" s="17"/>
      <c r="M650" s="29"/>
      <c r="N650" s="72"/>
      <c r="O650" s="73"/>
      <c r="P650" s="73"/>
      <c r="Q650" s="72"/>
      <c r="R650" s="72"/>
      <c r="S650" s="31" t="str">
        <f t="shared" si="152"/>
        <v/>
      </c>
      <c r="T650" s="32" t="str">
        <f t="shared" si="153"/>
        <v/>
      </c>
      <c r="U650" s="73"/>
      <c r="V650" s="72"/>
      <c r="W650" s="72"/>
    </row>
    <row r="651" ht="21.75" customHeight="1">
      <c r="A651" s="134"/>
      <c r="B651" s="64"/>
      <c r="C651" s="23"/>
      <c r="D651" s="23"/>
      <c r="E651" s="24"/>
      <c r="F651" s="25"/>
      <c r="G651" s="24"/>
      <c r="H651" s="26"/>
      <c r="I651" s="27"/>
      <c r="J651" s="28"/>
      <c r="K651" s="28" t="str">
        <f t="shared" si="151"/>
        <v/>
      </c>
      <c r="L651" s="17"/>
      <c r="M651" s="29"/>
      <c r="N651" s="72"/>
      <c r="O651" s="73"/>
      <c r="P651" s="73"/>
      <c r="Q651" s="72"/>
      <c r="R651" s="72"/>
      <c r="S651" s="31" t="str">
        <f t="shared" si="152"/>
        <v/>
      </c>
      <c r="T651" s="32" t="str">
        <f t="shared" si="153"/>
        <v/>
      </c>
      <c r="U651" s="73"/>
      <c r="V651" s="72"/>
      <c r="W651" s="72"/>
    </row>
    <row r="652" ht="21.75" customHeight="1">
      <c r="A652" s="134"/>
      <c r="B652" s="64"/>
      <c r="C652" s="23"/>
      <c r="D652" s="23"/>
      <c r="E652" s="24"/>
      <c r="F652" s="25"/>
      <c r="G652" s="24"/>
      <c r="H652" s="26"/>
      <c r="I652" s="27"/>
      <c r="J652" s="28"/>
      <c r="K652" s="28" t="str">
        <f t="shared" si="151"/>
        <v/>
      </c>
      <c r="L652" s="17"/>
      <c r="M652" s="29"/>
      <c r="N652" s="72"/>
      <c r="O652" s="73"/>
      <c r="P652" s="73"/>
      <c r="Q652" s="72"/>
      <c r="R652" s="72"/>
      <c r="S652" s="31" t="str">
        <f t="shared" si="152"/>
        <v/>
      </c>
      <c r="T652" s="32" t="str">
        <f t="shared" si="153"/>
        <v/>
      </c>
      <c r="U652" s="73"/>
      <c r="V652" s="72"/>
      <c r="W652" s="72"/>
    </row>
    <row r="653" ht="21.75" customHeight="1">
      <c r="A653" s="134"/>
      <c r="B653" s="64"/>
      <c r="C653" s="23"/>
      <c r="D653" s="23"/>
      <c r="E653" s="24"/>
      <c r="F653" s="25"/>
      <c r="G653" s="24"/>
      <c r="H653" s="26"/>
      <c r="I653" s="27"/>
      <c r="J653" s="28"/>
      <c r="K653" s="28" t="str">
        <f t="shared" si="151"/>
        <v/>
      </c>
      <c r="L653" s="17"/>
      <c r="M653" s="29"/>
      <c r="N653" s="72"/>
      <c r="O653" s="73"/>
      <c r="P653" s="73"/>
      <c r="Q653" s="72"/>
      <c r="R653" s="72"/>
      <c r="S653" s="31" t="str">
        <f t="shared" si="152"/>
        <v/>
      </c>
      <c r="T653" s="32" t="str">
        <f t="shared" si="153"/>
        <v/>
      </c>
      <c r="U653" s="73"/>
      <c r="V653" s="72"/>
      <c r="W653" s="72"/>
    </row>
    <row r="654" ht="21.75" customHeight="1">
      <c r="A654" s="134"/>
      <c r="B654" s="64"/>
      <c r="C654" s="23"/>
      <c r="D654" s="23"/>
      <c r="E654" s="24"/>
      <c r="F654" s="25"/>
      <c r="G654" s="24"/>
      <c r="H654" s="26"/>
      <c r="I654" s="27"/>
      <c r="J654" s="28"/>
      <c r="K654" s="28" t="str">
        <f t="shared" si="151"/>
        <v/>
      </c>
      <c r="L654" s="17"/>
      <c r="M654" s="29"/>
      <c r="N654" s="72"/>
      <c r="O654" s="73"/>
      <c r="P654" s="73"/>
      <c r="Q654" s="72"/>
      <c r="R654" s="72"/>
      <c r="S654" s="31" t="str">
        <f t="shared" si="152"/>
        <v/>
      </c>
      <c r="T654" s="32" t="str">
        <f t="shared" si="153"/>
        <v/>
      </c>
      <c r="U654" s="73"/>
      <c r="V654" s="72"/>
      <c r="W654" s="72"/>
    </row>
    <row r="655" ht="21.75" customHeight="1">
      <c r="A655" s="134"/>
      <c r="B655" s="64"/>
      <c r="C655" s="23"/>
      <c r="D655" s="23"/>
      <c r="E655" s="24"/>
      <c r="F655" s="25"/>
      <c r="G655" s="24"/>
      <c r="H655" s="26"/>
      <c r="I655" s="27"/>
      <c r="J655" s="28"/>
      <c r="K655" s="28" t="str">
        <f t="shared" si="151"/>
        <v/>
      </c>
      <c r="L655" s="17"/>
      <c r="M655" s="29"/>
      <c r="N655" s="72"/>
      <c r="O655" s="73"/>
      <c r="P655" s="73"/>
      <c r="Q655" s="72"/>
      <c r="R655" s="72"/>
      <c r="S655" s="31" t="str">
        <f t="shared" si="152"/>
        <v/>
      </c>
      <c r="T655" s="32" t="str">
        <f t="shared" si="153"/>
        <v/>
      </c>
      <c r="U655" s="73"/>
      <c r="V655" s="72"/>
      <c r="W655" s="72"/>
    </row>
    <row r="656" ht="21.75" customHeight="1">
      <c r="A656" s="134"/>
      <c r="B656" s="64"/>
      <c r="C656" s="23"/>
      <c r="D656" s="23"/>
      <c r="E656" s="24"/>
      <c r="F656" s="25"/>
      <c r="G656" s="24"/>
      <c r="H656" s="26"/>
      <c r="I656" s="27"/>
      <c r="J656" s="28"/>
      <c r="K656" s="28" t="str">
        <f t="shared" si="151"/>
        <v/>
      </c>
      <c r="L656" s="17"/>
      <c r="M656" s="29"/>
      <c r="N656" s="72"/>
      <c r="O656" s="73"/>
      <c r="P656" s="73"/>
      <c r="Q656" s="72"/>
      <c r="R656" s="72"/>
      <c r="S656" s="31" t="str">
        <f t="shared" si="152"/>
        <v/>
      </c>
      <c r="T656" s="32" t="str">
        <f t="shared" si="153"/>
        <v/>
      </c>
      <c r="U656" s="73"/>
      <c r="V656" s="72"/>
      <c r="W656" s="72"/>
    </row>
    <row r="657" ht="21.75" customHeight="1">
      <c r="A657" s="134"/>
      <c r="B657" s="64"/>
      <c r="C657" s="23"/>
      <c r="D657" s="23"/>
      <c r="E657" s="24"/>
      <c r="F657" s="25"/>
      <c r="G657" s="24"/>
      <c r="H657" s="26"/>
      <c r="I657" s="27"/>
      <c r="J657" s="28"/>
      <c r="K657" s="28" t="str">
        <f t="shared" si="151"/>
        <v/>
      </c>
      <c r="L657" s="17"/>
      <c r="M657" s="29"/>
      <c r="N657" s="72"/>
      <c r="O657" s="73"/>
      <c r="P657" s="73"/>
      <c r="Q657" s="72"/>
      <c r="R657" s="72"/>
      <c r="S657" s="31" t="str">
        <f t="shared" si="152"/>
        <v/>
      </c>
      <c r="T657" s="32" t="str">
        <f t="shared" si="153"/>
        <v/>
      </c>
      <c r="U657" s="73"/>
      <c r="V657" s="72"/>
      <c r="W657" s="72"/>
    </row>
    <row r="658" ht="21.75" customHeight="1">
      <c r="A658" s="134"/>
      <c r="B658" s="64"/>
      <c r="C658" s="23"/>
      <c r="D658" s="23"/>
      <c r="E658" s="24"/>
      <c r="F658" s="25"/>
      <c r="G658" s="24"/>
      <c r="H658" s="26"/>
      <c r="I658" s="27"/>
      <c r="J658" s="28"/>
      <c r="K658" s="28" t="str">
        <f t="shared" si="151"/>
        <v/>
      </c>
      <c r="L658" s="17"/>
      <c r="M658" s="29"/>
      <c r="N658" s="72"/>
      <c r="O658" s="73"/>
      <c r="P658" s="73"/>
      <c r="Q658" s="72"/>
      <c r="R658" s="72"/>
      <c r="S658" s="31" t="str">
        <f t="shared" si="152"/>
        <v/>
      </c>
      <c r="T658" s="32" t="str">
        <f t="shared" si="153"/>
        <v/>
      </c>
      <c r="U658" s="73"/>
      <c r="V658" s="72"/>
      <c r="W658" s="72"/>
    </row>
    <row r="659" ht="21.75" customHeight="1">
      <c r="A659" s="134"/>
      <c r="B659" s="64"/>
      <c r="C659" s="23"/>
      <c r="D659" s="23"/>
      <c r="E659" s="24"/>
      <c r="F659" s="25"/>
      <c r="G659" s="24"/>
      <c r="H659" s="26"/>
      <c r="I659" s="27"/>
      <c r="J659" s="28"/>
      <c r="K659" s="28" t="str">
        <f t="shared" si="151"/>
        <v/>
      </c>
      <c r="L659" s="17"/>
      <c r="M659" s="29"/>
      <c r="N659" s="72"/>
      <c r="O659" s="73"/>
      <c r="P659" s="73"/>
      <c r="Q659" s="72"/>
      <c r="R659" s="72"/>
      <c r="S659" s="31" t="str">
        <f t="shared" si="152"/>
        <v/>
      </c>
      <c r="T659" s="32" t="str">
        <f t="shared" si="153"/>
        <v/>
      </c>
      <c r="U659" s="73"/>
      <c r="V659" s="72"/>
      <c r="W659" s="72"/>
    </row>
    <row r="660" ht="21.75" customHeight="1">
      <c r="A660" s="134"/>
      <c r="B660" s="64"/>
      <c r="C660" s="23"/>
      <c r="D660" s="23"/>
      <c r="E660" s="24"/>
      <c r="F660" s="25"/>
      <c r="G660" s="24"/>
      <c r="H660" s="26"/>
      <c r="I660" s="27"/>
      <c r="J660" s="28"/>
      <c r="K660" s="28" t="str">
        <f t="shared" si="151"/>
        <v/>
      </c>
      <c r="L660" s="17"/>
      <c r="M660" s="29"/>
      <c r="N660" s="72"/>
      <c r="O660" s="73"/>
      <c r="P660" s="73"/>
      <c r="Q660" s="72"/>
      <c r="R660" s="72"/>
      <c r="S660" s="31" t="str">
        <f t="shared" si="152"/>
        <v/>
      </c>
      <c r="T660" s="32" t="str">
        <f t="shared" si="153"/>
        <v/>
      </c>
      <c r="U660" s="73"/>
      <c r="V660" s="72"/>
      <c r="W660" s="72"/>
    </row>
    <row r="661" ht="21.75" customHeight="1">
      <c r="A661" s="134"/>
      <c r="B661" s="64"/>
      <c r="C661" s="23"/>
      <c r="D661" s="23"/>
      <c r="E661" s="24"/>
      <c r="F661" s="25"/>
      <c r="G661" s="24"/>
      <c r="H661" s="26"/>
      <c r="I661" s="27"/>
      <c r="J661" s="28"/>
      <c r="K661" s="28" t="str">
        <f t="shared" si="151"/>
        <v/>
      </c>
      <c r="L661" s="17"/>
      <c r="M661" s="29"/>
      <c r="N661" s="72"/>
      <c r="O661" s="73"/>
      <c r="P661" s="73"/>
      <c r="Q661" s="72"/>
      <c r="R661" s="72"/>
      <c r="S661" s="31" t="str">
        <f t="shared" si="152"/>
        <v/>
      </c>
      <c r="T661" s="32" t="str">
        <f t="shared" si="153"/>
        <v/>
      </c>
      <c r="U661" s="73"/>
      <c r="V661" s="72"/>
      <c r="W661" s="72"/>
    </row>
    <row r="662" ht="21.75" customHeight="1">
      <c r="A662" s="134"/>
      <c r="B662" s="64"/>
      <c r="C662" s="23"/>
      <c r="D662" s="23"/>
      <c r="E662" s="24"/>
      <c r="F662" s="25"/>
      <c r="G662" s="24"/>
      <c r="H662" s="26"/>
      <c r="I662" s="27"/>
      <c r="J662" s="28"/>
      <c r="K662" s="28" t="str">
        <f t="shared" si="151"/>
        <v/>
      </c>
      <c r="L662" s="17"/>
      <c r="M662" s="29"/>
      <c r="N662" s="72"/>
      <c r="O662" s="73"/>
      <c r="P662" s="73"/>
      <c r="Q662" s="72"/>
      <c r="R662" s="72"/>
      <c r="S662" s="31" t="str">
        <f t="shared" si="152"/>
        <v/>
      </c>
      <c r="T662" s="32" t="str">
        <f t="shared" si="153"/>
        <v/>
      </c>
      <c r="U662" s="73"/>
      <c r="V662" s="72"/>
      <c r="W662" s="72"/>
    </row>
    <row r="663" ht="21.75" customHeight="1">
      <c r="A663" s="134"/>
      <c r="B663" s="64"/>
      <c r="C663" s="23"/>
      <c r="D663" s="23"/>
      <c r="E663" s="24"/>
      <c r="F663" s="25"/>
      <c r="G663" s="24"/>
      <c r="H663" s="26"/>
      <c r="I663" s="27"/>
      <c r="J663" s="28"/>
      <c r="K663" s="28" t="str">
        <f t="shared" si="151"/>
        <v/>
      </c>
      <c r="L663" s="17"/>
      <c r="M663" s="29"/>
      <c r="N663" s="72"/>
      <c r="O663" s="73"/>
      <c r="P663" s="73"/>
      <c r="Q663" s="72"/>
      <c r="R663" s="72"/>
      <c r="S663" s="31" t="str">
        <f t="shared" si="152"/>
        <v/>
      </c>
      <c r="T663" s="32" t="str">
        <f t="shared" si="153"/>
        <v/>
      </c>
      <c r="U663" s="73"/>
      <c r="V663" s="72"/>
      <c r="W663" s="72"/>
    </row>
    <row r="664" ht="21.75" customHeight="1">
      <c r="A664" s="134"/>
      <c r="B664" s="64"/>
      <c r="C664" s="23"/>
      <c r="D664" s="23"/>
      <c r="E664" s="24"/>
      <c r="F664" s="25"/>
      <c r="G664" s="24"/>
      <c r="H664" s="26"/>
      <c r="I664" s="27"/>
      <c r="J664" s="28"/>
      <c r="K664" s="28" t="str">
        <f t="shared" si="151"/>
        <v/>
      </c>
      <c r="L664" s="17"/>
      <c r="M664" s="29"/>
      <c r="N664" s="72"/>
      <c r="O664" s="73"/>
      <c r="P664" s="73"/>
      <c r="Q664" s="72"/>
      <c r="R664" s="72"/>
      <c r="S664" s="31" t="str">
        <f t="shared" si="152"/>
        <v/>
      </c>
      <c r="T664" s="32" t="str">
        <f t="shared" si="153"/>
        <v/>
      </c>
      <c r="U664" s="73"/>
      <c r="V664" s="72"/>
      <c r="W664" s="72"/>
    </row>
    <row r="665" ht="21.75" customHeight="1">
      <c r="A665" s="134"/>
      <c r="B665" s="64"/>
      <c r="C665" s="23"/>
      <c r="D665" s="23"/>
      <c r="E665" s="24"/>
      <c r="F665" s="25"/>
      <c r="G665" s="24"/>
      <c r="H665" s="26"/>
      <c r="I665" s="27"/>
      <c r="J665" s="28"/>
      <c r="K665" s="28" t="str">
        <f t="shared" si="151"/>
        <v/>
      </c>
      <c r="L665" s="17"/>
      <c r="M665" s="29"/>
      <c r="N665" s="72"/>
      <c r="O665" s="73"/>
      <c r="P665" s="73"/>
      <c r="Q665" s="72"/>
      <c r="R665" s="72"/>
      <c r="S665" s="31" t="str">
        <f t="shared" si="152"/>
        <v/>
      </c>
      <c r="T665" s="32" t="str">
        <f t="shared" si="153"/>
        <v/>
      </c>
      <c r="U665" s="73"/>
      <c r="V665" s="72"/>
      <c r="W665" s="72"/>
    </row>
    <row r="666" ht="21.75" customHeight="1">
      <c r="A666" s="134"/>
      <c r="B666" s="64"/>
      <c r="C666" s="23"/>
      <c r="D666" s="23"/>
      <c r="E666" s="24"/>
      <c r="F666" s="25"/>
      <c r="G666" s="24"/>
      <c r="H666" s="26"/>
      <c r="I666" s="27"/>
      <c r="J666" s="28"/>
      <c r="K666" s="28" t="str">
        <f t="shared" si="151"/>
        <v/>
      </c>
      <c r="L666" s="17"/>
      <c r="M666" s="29"/>
      <c r="N666" s="72"/>
      <c r="O666" s="73"/>
      <c r="P666" s="73"/>
      <c r="Q666" s="72"/>
      <c r="R666" s="72"/>
      <c r="S666" s="31" t="str">
        <f t="shared" si="152"/>
        <v/>
      </c>
      <c r="T666" s="32" t="str">
        <f t="shared" si="153"/>
        <v/>
      </c>
      <c r="U666" s="73"/>
      <c r="V666" s="72"/>
      <c r="W666" s="72"/>
    </row>
    <row r="667" ht="21.75" customHeight="1">
      <c r="A667" s="134"/>
      <c r="B667" s="64"/>
      <c r="C667" s="23"/>
      <c r="D667" s="23"/>
      <c r="E667" s="24"/>
      <c r="F667" s="25"/>
      <c r="G667" s="24"/>
      <c r="H667" s="26"/>
      <c r="I667" s="27"/>
      <c r="J667" s="28"/>
      <c r="K667" s="28" t="str">
        <f t="shared" si="151"/>
        <v/>
      </c>
      <c r="L667" s="17"/>
      <c r="M667" s="29"/>
      <c r="N667" s="72"/>
      <c r="O667" s="73"/>
      <c r="P667" s="73"/>
      <c r="Q667" s="72"/>
      <c r="R667" s="72"/>
      <c r="S667" s="31" t="str">
        <f t="shared" si="152"/>
        <v/>
      </c>
      <c r="T667" s="32" t="str">
        <f t="shared" si="153"/>
        <v/>
      </c>
      <c r="U667" s="73"/>
      <c r="V667" s="72"/>
      <c r="W667" s="72"/>
    </row>
    <row r="668" ht="21.75" customHeight="1">
      <c r="A668" s="134"/>
      <c r="B668" s="64"/>
      <c r="C668" s="23"/>
      <c r="D668" s="23"/>
      <c r="E668" s="24"/>
      <c r="F668" s="25"/>
      <c r="G668" s="24"/>
      <c r="H668" s="26"/>
      <c r="I668" s="27"/>
      <c r="J668" s="28"/>
      <c r="K668" s="28" t="str">
        <f t="shared" si="151"/>
        <v/>
      </c>
      <c r="L668" s="17"/>
      <c r="M668" s="29"/>
      <c r="N668" s="72"/>
      <c r="O668" s="73"/>
      <c r="P668" s="73"/>
      <c r="Q668" s="72"/>
      <c r="R668" s="72"/>
      <c r="S668" s="31" t="str">
        <f t="shared" si="152"/>
        <v/>
      </c>
      <c r="T668" s="32" t="str">
        <f t="shared" si="153"/>
        <v/>
      </c>
      <c r="U668" s="73"/>
      <c r="V668" s="72"/>
      <c r="W668" s="72"/>
    </row>
    <row r="669" ht="21.75" customHeight="1">
      <c r="A669" s="134"/>
      <c r="B669" s="64"/>
      <c r="C669" s="23"/>
      <c r="D669" s="23"/>
      <c r="E669" s="24"/>
      <c r="F669" s="25"/>
      <c r="G669" s="24"/>
      <c r="H669" s="26"/>
      <c r="I669" s="27"/>
      <c r="J669" s="28"/>
      <c r="K669" s="28" t="str">
        <f t="shared" si="151"/>
        <v/>
      </c>
      <c r="L669" s="17"/>
      <c r="M669" s="29"/>
      <c r="N669" s="72"/>
      <c r="O669" s="73"/>
      <c r="P669" s="73"/>
      <c r="Q669" s="72"/>
      <c r="R669" s="72"/>
      <c r="S669" s="31" t="str">
        <f t="shared" si="152"/>
        <v/>
      </c>
      <c r="T669" s="32" t="str">
        <f t="shared" si="153"/>
        <v/>
      </c>
      <c r="U669" s="73"/>
      <c r="V669" s="72"/>
      <c r="W669" s="72"/>
    </row>
    <row r="670" ht="21.75" customHeight="1">
      <c r="A670" s="134"/>
      <c r="B670" s="64"/>
      <c r="C670" s="23"/>
      <c r="D670" s="23"/>
      <c r="E670" s="24"/>
      <c r="F670" s="25"/>
      <c r="G670" s="24"/>
      <c r="H670" s="26"/>
      <c r="I670" s="27"/>
      <c r="J670" s="28"/>
      <c r="K670" s="28" t="str">
        <f t="shared" si="151"/>
        <v/>
      </c>
      <c r="L670" s="17"/>
      <c r="M670" s="29"/>
      <c r="N670" s="72"/>
      <c r="O670" s="73"/>
      <c r="P670" s="73"/>
      <c r="Q670" s="72"/>
      <c r="R670" s="72"/>
      <c r="S670" s="31" t="str">
        <f t="shared" si="152"/>
        <v/>
      </c>
      <c r="T670" s="32" t="str">
        <f t="shared" si="153"/>
        <v/>
      </c>
      <c r="U670" s="73"/>
      <c r="V670" s="72"/>
      <c r="W670" s="72"/>
    </row>
    <row r="671" ht="21.75" customHeight="1">
      <c r="A671" s="134"/>
      <c r="B671" s="64"/>
      <c r="C671" s="23"/>
      <c r="D671" s="23"/>
      <c r="E671" s="24"/>
      <c r="F671" s="25"/>
      <c r="G671" s="24"/>
      <c r="H671" s="26"/>
      <c r="I671" s="27"/>
      <c r="J671" s="28"/>
      <c r="K671" s="28" t="str">
        <f t="shared" si="151"/>
        <v/>
      </c>
      <c r="L671" s="17"/>
      <c r="M671" s="29"/>
      <c r="N671" s="72"/>
      <c r="O671" s="73"/>
      <c r="P671" s="73"/>
      <c r="Q671" s="72"/>
      <c r="R671" s="72"/>
      <c r="S671" s="31" t="str">
        <f t="shared" si="152"/>
        <v/>
      </c>
      <c r="T671" s="32" t="str">
        <f t="shared" si="153"/>
        <v/>
      </c>
      <c r="U671" s="73"/>
      <c r="V671" s="72"/>
      <c r="W671" s="72"/>
    </row>
    <row r="672" ht="21.75" customHeight="1">
      <c r="A672" s="134"/>
      <c r="B672" s="64"/>
      <c r="C672" s="23"/>
      <c r="D672" s="23"/>
      <c r="E672" s="24"/>
      <c r="F672" s="25"/>
      <c r="G672" s="24"/>
      <c r="H672" s="26"/>
      <c r="I672" s="27"/>
      <c r="J672" s="28"/>
      <c r="K672" s="28" t="str">
        <f t="shared" si="151"/>
        <v/>
      </c>
      <c r="L672" s="17"/>
      <c r="M672" s="29"/>
      <c r="N672" s="72"/>
      <c r="O672" s="73"/>
      <c r="P672" s="73"/>
      <c r="Q672" s="72"/>
      <c r="R672" s="72"/>
      <c r="S672" s="31" t="str">
        <f t="shared" si="152"/>
        <v/>
      </c>
      <c r="T672" s="32" t="str">
        <f t="shared" si="153"/>
        <v/>
      </c>
      <c r="U672" s="73"/>
      <c r="V672" s="72"/>
      <c r="W672" s="72"/>
    </row>
    <row r="673" ht="21.75" customHeight="1">
      <c r="A673" s="134"/>
      <c r="B673" s="64"/>
      <c r="C673" s="23"/>
      <c r="D673" s="23"/>
      <c r="E673" s="24"/>
      <c r="F673" s="25"/>
      <c r="G673" s="24"/>
      <c r="H673" s="26"/>
      <c r="I673" s="27"/>
      <c r="J673" s="28"/>
      <c r="K673" s="28" t="str">
        <f t="shared" si="151"/>
        <v/>
      </c>
      <c r="L673" s="17"/>
      <c r="M673" s="29"/>
      <c r="N673" s="72"/>
      <c r="O673" s="73"/>
      <c r="P673" s="73"/>
      <c r="Q673" s="72"/>
      <c r="R673" s="72"/>
      <c r="S673" s="31" t="str">
        <f t="shared" si="152"/>
        <v/>
      </c>
      <c r="T673" s="32" t="str">
        <f t="shared" si="153"/>
        <v/>
      </c>
      <c r="U673" s="73"/>
      <c r="V673" s="72"/>
      <c r="W673" s="72"/>
    </row>
    <row r="674" ht="21.75" customHeight="1">
      <c r="A674" s="134"/>
      <c r="B674" s="64"/>
      <c r="C674" s="23"/>
      <c r="D674" s="23"/>
      <c r="E674" s="24"/>
      <c r="F674" s="25"/>
      <c r="G674" s="24"/>
      <c r="H674" s="26"/>
      <c r="I674" s="27"/>
      <c r="J674" s="28"/>
      <c r="K674" s="28" t="str">
        <f t="shared" si="151"/>
        <v/>
      </c>
      <c r="L674" s="17"/>
      <c r="M674" s="29"/>
      <c r="N674" s="72"/>
      <c r="O674" s="73"/>
      <c r="P674" s="73"/>
      <c r="Q674" s="72"/>
      <c r="R674" s="72"/>
      <c r="S674" s="31" t="str">
        <f t="shared" si="152"/>
        <v/>
      </c>
      <c r="T674" s="32" t="str">
        <f t="shared" si="153"/>
        <v/>
      </c>
      <c r="U674" s="73"/>
      <c r="V674" s="72"/>
      <c r="W674" s="72"/>
    </row>
    <row r="675" ht="21.75" customHeight="1">
      <c r="A675" s="134"/>
      <c r="B675" s="64"/>
      <c r="C675" s="23"/>
      <c r="D675" s="23"/>
      <c r="E675" s="24"/>
      <c r="F675" s="25"/>
      <c r="G675" s="24"/>
      <c r="H675" s="26"/>
      <c r="I675" s="27"/>
      <c r="J675" s="28"/>
      <c r="K675" s="28" t="str">
        <f t="shared" si="151"/>
        <v/>
      </c>
      <c r="L675" s="17"/>
      <c r="M675" s="29"/>
      <c r="N675" s="72"/>
      <c r="O675" s="73"/>
      <c r="P675" s="73"/>
      <c r="Q675" s="72"/>
      <c r="R675" s="72"/>
      <c r="S675" s="31" t="str">
        <f t="shared" si="152"/>
        <v/>
      </c>
      <c r="T675" s="32" t="str">
        <f t="shared" si="153"/>
        <v/>
      </c>
      <c r="U675" s="73"/>
      <c r="V675" s="72"/>
      <c r="W675" s="72"/>
    </row>
    <row r="676" ht="21.75" customHeight="1">
      <c r="A676" s="134"/>
      <c r="B676" s="64"/>
      <c r="C676" s="23"/>
      <c r="D676" s="23"/>
      <c r="E676" s="24"/>
      <c r="F676" s="25"/>
      <c r="G676" s="24"/>
      <c r="H676" s="26"/>
      <c r="I676" s="27"/>
      <c r="J676" s="28"/>
      <c r="K676" s="28" t="str">
        <f t="shared" si="151"/>
        <v/>
      </c>
      <c r="L676" s="17"/>
      <c r="M676" s="29"/>
      <c r="N676" s="72"/>
      <c r="O676" s="73"/>
      <c r="P676" s="73"/>
      <c r="Q676" s="72"/>
      <c r="R676" s="72"/>
      <c r="S676" s="31" t="str">
        <f t="shared" si="152"/>
        <v/>
      </c>
      <c r="T676" s="32" t="str">
        <f t="shared" si="153"/>
        <v/>
      </c>
      <c r="U676" s="73"/>
      <c r="V676" s="72"/>
      <c r="W676" s="72"/>
    </row>
    <row r="677" ht="21.75" customHeight="1">
      <c r="A677" s="134"/>
      <c r="B677" s="64"/>
      <c r="C677" s="23"/>
      <c r="D677" s="23"/>
      <c r="E677" s="24"/>
      <c r="F677" s="25"/>
      <c r="G677" s="24"/>
      <c r="H677" s="26"/>
      <c r="I677" s="27"/>
      <c r="J677" s="28"/>
      <c r="K677" s="28" t="str">
        <f t="shared" si="151"/>
        <v/>
      </c>
      <c r="L677" s="17"/>
      <c r="M677" s="29"/>
      <c r="N677" s="72"/>
      <c r="O677" s="73"/>
      <c r="P677" s="73"/>
      <c r="Q677" s="72"/>
      <c r="R677" s="72"/>
      <c r="S677" s="31" t="str">
        <f t="shared" si="152"/>
        <v/>
      </c>
      <c r="T677" s="32" t="str">
        <f t="shared" si="153"/>
        <v/>
      </c>
      <c r="U677" s="73"/>
      <c r="V677" s="72"/>
      <c r="W677" s="72"/>
    </row>
    <row r="678" ht="21.75" customHeight="1">
      <c r="A678" s="134"/>
      <c r="B678" s="64"/>
      <c r="C678" s="23"/>
      <c r="D678" s="23"/>
      <c r="E678" s="24"/>
      <c r="F678" s="25"/>
      <c r="G678" s="24"/>
      <c r="H678" s="26"/>
      <c r="I678" s="27"/>
      <c r="J678" s="28"/>
      <c r="K678" s="28" t="str">
        <f t="shared" si="151"/>
        <v/>
      </c>
      <c r="L678" s="17"/>
      <c r="M678" s="29"/>
      <c r="N678" s="72"/>
      <c r="O678" s="73"/>
      <c r="P678" s="73"/>
      <c r="Q678" s="72"/>
      <c r="R678" s="72"/>
      <c r="S678" s="31" t="str">
        <f t="shared" si="152"/>
        <v/>
      </c>
      <c r="T678" s="32" t="str">
        <f t="shared" si="153"/>
        <v/>
      </c>
      <c r="U678" s="73"/>
      <c r="V678" s="72"/>
      <c r="W678" s="72"/>
    </row>
    <row r="679" ht="21.75" customHeight="1">
      <c r="A679" s="134"/>
      <c r="B679" s="64"/>
      <c r="C679" s="23"/>
      <c r="D679" s="23"/>
      <c r="E679" s="24"/>
      <c r="F679" s="25"/>
      <c r="G679" s="24"/>
      <c r="H679" s="26"/>
      <c r="I679" s="27"/>
      <c r="J679" s="28"/>
      <c r="K679" s="28" t="str">
        <f t="shared" si="151"/>
        <v/>
      </c>
      <c r="L679" s="17"/>
      <c r="M679" s="29"/>
      <c r="N679" s="72"/>
      <c r="O679" s="73"/>
      <c r="P679" s="73"/>
      <c r="Q679" s="72"/>
      <c r="R679" s="72"/>
      <c r="S679" s="31" t="str">
        <f t="shared" si="152"/>
        <v/>
      </c>
      <c r="T679" s="32" t="str">
        <f t="shared" si="153"/>
        <v/>
      </c>
      <c r="U679" s="73"/>
      <c r="V679" s="72"/>
      <c r="W679" s="72"/>
    </row>
    <row r="680" ht="21.75" customHeight="1">
      <c r="A680" s="134"/>
      <c r="B680" s="64"/>
      <c r="C680" s="23"/>
      <c r="D680" s="23"/>
      <c r="E680" s="24"/>
      <c r="F680" s="25"/>
      <c r="G680" s="24"/>
      <c r="H680" s="26"/>
      <c r="I680" s="27"/>
      <c r="J680" s="28"/>
      <c r="K680" s="28" t="str">
        <f t="shared" si="151"/>
        <v/>
      </c>
      <c r="L680" s="17"/>
      <c r="M680" s="29"/>
      <c r="N680" s="72"/>
      <c r="O680" s="73"/>
      <c r="P680" s="73"/>
      <c r="Q680" s="72"/>
      <c r="R680" s="72"/>
      <c r="S680" s="31" t="str">
        <f t="shared" si="152"/>
        <v/>
      </c>
      <c r="T680" s="32" t="str">
        <f t="shared" si="153"/>
        <v/>
      </c>
      <c r="U680" s="73"/>
      <c r="V680" s="72"/>
      <c r="W680" s="72"/>
    </row>
    <row r="681" ht="21.75" customHeight="1">
      <c r="A681" s="134"/>
      <c r="B681" s="64"/>
      <c r="C681" s="23"/>
      <c r="D681" s="23"/>
      <c r="E681" s="24"/>
      <c r="F681" s="25"/>
      <c r="G681" s="24"/>
      <c r="H681" s="26"/>
      <c r="I681" s="27"/>
      <c r="J681" s="28"/>
      <c r="K681" s="28" t="str">
        <f t="shared" si="151"/>
        <v/>
      </c>
      <c r="L681" s="17"/>
      <c r="M681" s="29"/>
      <c r="N681" s="72"/>
      <c r="O681" s="73"/>
      <c r="P681" s="73"/>
      <c r="Q681" s="72"/>
      <c r="R681" s="72"/>
      <c r="S681" s="31" t="str">
        <f t="shared" si="152"/>
        <v/>
      </c>
      <c r="T681" s="32" t="str">
        <f t="shared" si="153"/>
        <v/>
      </c>
      <c r="U681" s="73"/>
      <c r="V681" s="72"/>
      <c r="W681" s="72"/>
    </row>
    <row r="682" ht="21.75" customHeight="1">
      <c r="A682" s="134"/>
      <c r="B682" s="64"/>
      <c r="C682" s="23"/>
      <c r="D682" s="23"/>
      <c r="E682" s="24"/>
      <c r="F682" s="25"/>
      <c r="G682" s="24"/>
      <c r="H682" s="26"/>
      <c r="I682" s="27"/>
      <c r="J682" s="28"/>
      <c r="K682" s="28" t="str">
        <f t="shared" si="151"/>
        <v/>
      </c>
      <c r="L682" s="17"/>
      <c r="M682" s="29"/>
      <c r="N682" s="72"/>
      <c r="O682" s="73"/>
      <c r="P682" s="73"/>
      <c r="Q682" s="72"/>
      <c r="R682" s="72"/>
      <c r="S682" s="31" t="str">
        <f t="shared" si="152"/>
        <v/>
      </c>
      <c r="T682" s="32" t="str">
        <f t="shared" si="153"/>
        <v/>
      </c>
      <c r="U682" s="73"/>
      <c r="V682" s="72"/>
      <c r="W682" s="72"/>
    </row>
    <row r="683" ht="21.75" customHeight="1">
      <c r="A683" s="134"/>
      <c r="B683" s="64"/>
      <c r="C683" s="23"/>
      <c r="D683" s="23"/>
      <c r="E683" s="24"/>
      <c r="F683" s="25"/>
      <c r="G683" s="24"/>
      <c r="H683" s="26"/>
      <c r="I683" s="27"/>
      <c r="J683" s="28"/>
      <c r="K683" s="28" t="str">
        <f t="shared" si="151"/>
        <v/>
      </c>
      <c r="L683" s="17"/>
      <c r="M683" s="29"/>
      <c r="N683" s="72"/>
      <c r="O683" s="73"/>
      <c r="P683" s="73"/>
      <c r="Q683" s="72"/>
      <c r="R683" s="72"/>
      <c r="S683" s="31" t="str">
        <f t="shared" si="152"/>
        <v/>
      </c>
      <c r="T683" s="32" t="str">
        <f t="shared" si="153"/>
        <v/>
      </c>
      <c r="U683" s="73"/>
      <c r="V683" s="72"/>
      <c r="W683" s="72"/>
    </row>
    <row r="684" ht="21.75" customHeight="1">
      <c r="A684" s="134"/>
      <c r="B684" s="64"/>
      <c r="C684" s="23"/>
      <c r="D684" s="23"/>
      <c r="E684" s="24"/>
      <c r="F684" s="25"/>
      <c r="G684" s="24"/>
      <c r="H684" s="26"/>
      <c r="I684" s="27"/>
      <c r="J684" s="28"/>
      <c r="K684" s="28" t="str">
        <f t="shared" si="151"/>
        <v/>
      </c>
      <c r="L684" s="17"/>
      <c r="M684" s="29"/>
      <c r="N684" s="72"/>
      <c r="O684" s="73"/>
      <c r="P684" s="73"/>
      <c r="Q684" s="72"/>
      <c r="R684" s="72"/>
      <c r="S684" s="31" t="str">
        <f t="shared" si="152"/>
        <v/>
      </c>
      <c r="T684" s="32" t="str">
        <f t="shared" si="153"/>
        <v/>
      </c>
      <c r="U684" s="73"/>
      <c r="V684" s="72"/>
      <c r="W684" s="72"/>
    </row>
    <row r="685" ht="21.75" customHeight="1">
      <c r="A685" s="134"/>
      <c r="B685" s="64"/>
      <c r="C685" s="23"/>
      <c r="D685" s="23"/>
      <c r="E685" s="24"/>
      <c r="F685" s="25"/>
      <c r="G685" s="24"/>
      <c r="H685" s="26"/>
      <c r="I685" s="27"/>
      <c r="J685" s="28"/>
      <c r="K685" s="28" t="str">
        <f t="shared" si="151"/>
        <v/>
      </c>
      <c r="L685" s="17"/>
      <c r="M685" s="29"/>
      <c r="N685" s="72"/>
      <c r="O685" s="73"/>
      <c r="P685" s="73"/>
      <c r="Q685" s="72"/>
      <c r="R685" s="72"/>
      <c r="S685" s="31" t="str">
        <f t="shared" si="152"/>
        <v/>
      </c>
      <c r="T685" s="32" t="str">
        <f t="shared" si="153"/>
        <v/>
      </c>
      <c r="U685" s="73"/>
      <c r="V685" s="72"/>
      <c r="W685" s="72"/>
    </row>
    <row r="686" ht="21.75" customHeight="1">
      <c r="A686" s="134"/>
      <c r="B686" s="64"/>
      <c r="C686" s="23"/>
      <c r="D686" s="23"/>
      <c r="E686" s="24"/>
      <c r="F686" s="25"/>
      <c r="G686" s="24"/>
      <c r="H686" s="26"/>
      <c r="I686" s="27"/>
      <c r="J686" s="28"/>
      <c r="K686" s="28" t="str">
        <f t="shared" si="151"/>
        <v/>
      </c>
      <c r="L686" s="17"/>
      <c r="M686" s="29"/>
      <c r="N686" s="72"/>
      <c r="O686" s="73"/>
      <c r="P686" s="73"/>
      <c r="Q686" s="72"/>
      <c r="R686" s="72"/>
      <c r="S686" s="31" t="str">
        <f t="shared" si="152"/>
        <v/>
      </c>
      <c r="T686" s="32" t="str">
        <f t="shared" si="153"/>
        <v/>
      </c>
      <c r="U686" s="73"/>
      <c r="V686" s="72"/>
      <c r="W686" s="72"/>
    </row>
    <row r="687" ht="21.75" customHeight="1">
      <c r="A687" s="134"/>
      <c r="B687" s="64"/>
      <c r="C687" s="23"/>
      <c r="D687" s="23"/>
      <c r="E687" s="24"/>
      <c r="F687" s="25"/>
      <c r="G687" s="24"/>
      <c r="H687" s="26"/>
      <c r="I687" s="27"/>
      <c r="J687" s="28"/>
      <c r="K687" s="28" t="str">
        <f t="shared" si="151"/>
        <v/>
      </c>
      <c r="L687" s="17"/>
      <c r="M687" s="29"/>
      <c r="N687" s="72"/>
      <c r="O687" s="73"/>
      <c r="P687" s="73"/>
      <c r="Q687" s="72"/>
      <c r="R687" s="72"/>
      <c r="S687" s="31" t="str">
        <f t="shared" si="152"/>
        <v/>
      </c>
      <c r="T687" s="32" t="str">
        <f t="shared" si="153"/>
        <v/>
      </c>
      <c r="U687" s="73"/>
      <c r="V687" s="72"/>
      <c r="W687" s="72"/>
    </row>
    <row r="688" ht="21.75" customHeight="1">
      <c r="A688" s="134"/>
      <c r="B688" s="64"/>
      <c r="C688" s="23"/>
      <c r="D688" s="23"/>
      <c r="E688" s="24"/>
      <c r="F688" s="25"/>
      <c r="G688" s="24"/>
      <c r="H688" s="26"/>
      <c r="I688" s="27"/>
      <c r="J688" s="28"/>
      <c r="K688" s="28" t="str">
        <f t="shared" si="151"/>
        <v/>
      </c>
      <c r="L688" s="17"/>
      <c r="M688" s="29"/>
      <c r="N688" s="72"/>
      <c r="O688" s="73"/>
      <c r="P688" s="73"/>
      <c r="Q688" s="72"/>
      <c r="R688" s="72"/>
      <c r="S688" s="31" t="str">
        <f t="shared" si="152"/>
        <v/>
      </c>
      <c r="T688" s="32" t="str">
        <f t="shared" si="153"/>
        <v/>
      </c>
      <c r="U688" s="73"/>
      <c r="V688" s="72"/>
      <c r="W688" s="72"/>
    </row>
    <row r="689" ht="21.75" customHeight="1">
      <c r="A689" s="134"/>
      <c r="B689" s="64"/>
      <c r="C689" s="23"/>
      <c r="D689" s="23"/>
      <c r="E689" s="24"/>
      <c r="F689" s="25"/>
      <c r="G689" s="24"/>
      <c r="H689" s="26"/>
      <c r="I689" s="27"/>
      <c r="J689" s="28"/>
      <c r="K689" s="28" t="str">
        <f t="shared" si="151"/>
        <v/>
      </c>
      <c r="L689" s="17"/>
      <c r="M689" s="29"/>
      <c r="N689" s="72"/>
      <c r="O689" s="73"/>
      <c r="P689" s="73"/>
      <c r="Q689" s="72"/>
      <c r="R689" s="72"/>
      <c r="S689" s="31" t="str">
        <f t="shared" si="152"/>
        <v/>
      </c>
      <c r="T689" s="32" t="str">
        <f t="shared" si="153"/>
        <v/>
      </c>
      <c r="U689" s="73"/>
      <c r="V689" s="72"/>
      <c r="W689" s="72"/>
    </row>
    <row r="690" ht="21.75" customHeight="1">
      <c r="A690" s="134"/>
      <c r="B690" s="64"/>
      <c r="C690" s="23"/>
      <c r="D690" s="23"/>
      <c r="E690" s="24"/>
      <c r="F690" s="25"/>
      <c r="G690" s="24"/>
      <c r="H690" s="26"/>
      <c r="I690" s="27"/>
      <c r="J690" s="28"/>
      <c r="K690" s="28" t="str">
        <f t="shared" si="151"/>
        <v/>
      </c>
      <c r="L690" s="17"/>
      <c r="M690" s="29"/>
      <c r="N690" s="72"/>
      <c r="O690" s="73"/>
      <c r="P690" s="73"/>
      <c r="Q690" s="72"/>
      <c r="R690" s="72"/>
      <c r="S690" s="31" t="str">
        <f t="shared" si="152"/>
        <v/>
      </c>
      <c r="T690" s="32" t="str">
        <f t="shared" si="153"/>
        <v/>
      </c>
      <c r="U690" s="73"/>
      <c r="V690" s="72"/>
      <c r="W690" s="72"/>
    </row>
    <row r="691" ht="21.75" customHeight="1">
      <c r="A691" s="134"/>
      <c r="B691" s="64"/>
      <c r="C691" s="23"/>
      <c r="D691" s="23"/>
      <c r="E691" s="24"/>
      <c r="F691" s="25"/>
      <c r="G691" s="24"/>
      <c r="H691" s="26"/>
      <c r="I691" s="27"/>
      <c r="J691" s="28"/>
      <c r="K691" s="28" t="str">
        <f t="shared" si="151"/>
        <v/>
      </c>
      <c r="L691" s="17"/>
      <c r="M691" s="29"/>
      <c r="N691" s="72"/>
      <c r="O691" s="73"/>
      <c r="P691" s="73"/>
      <c r="Q691" s="72"/>
      <c r="R691" s="72"/>
      <c r="S691" s="31" t="str">
        <f t="shared" si="152"/>
        <v/>
      </c>
      <c r="T691" s="32" t="str">
        <f t="shared" si="153"/>
        <v/>
      </c>
      <c r="U691" s="73"/>
      <c r="V691" s="72"/>
      <c r="W691" s="72"/>
    </row>
    <row r="692" ht="21.75" customHeight="1">
      <c r="A692" s="134"/>
      <c r="B692" s="64"/>
      <c r="C692" s="23"/>
      <c r="D692" s="23"/>
      <c r="E692" s="24"/>
      <c r="F692" s="25"/>
      <c r="G692" s="24"/>
      <c r="H692" s="26"/>
      <c r="I692" s="27"/>
      <c r="J692" s="28"/>
      <c r="K692" s="28" t="str">
        <f t="shared" si="151"/>
        <v/>
      </c>
      <c r="L692" s="17"/>
      <c r="M692" s="29"/>
      <c r="N692" s="72"/>
      <c r="O692" s="73"/>
      <c r="P692" s="73"/>
      <c r="Q692" s="72"/>
      <c r="R692" s="72"/>
      <c r="S692" s="31" t="str">
        <f t="shared" si="152"/>
        <v/>
      </c>
      <c r="T692" s="32" t="str">
        <f t="shared" si="153"/>
        <v/>
      </c>
      <c r="U692" s="73"/>
      <c r="V692" s="72"/>
      <c r="W692" s="72"/>
    </row>
    <row r="693" ht="21.75" customHeight="1">
      <c r="A693" s="134"/>
      <c r="B693" s="64"/>
      <c r="C693" s="23"/>
      <c r="D693" s="23"/>
      <c r="E693" s="24"/>
      <c r="F693" s="25"/>
      <c r="G693" s="24"/>
      <c r="H693" s="26"/>
      <c r="I693" s="27"/>
      <c r="J693" s="28"/>
      <c r="K693" s="28" t="str">
        <f t="shared" si="151"/>
        <v/>
      </c>
      <c r="L693" s="17"/>
      <c r="M693" s="29"/>
      <c r="N693" s="72"/>
      <c r="O693" s="73"/>
      <c r="P693" s="73"/>
      <c r="Q693" s="72"/>
      <c r="R693" s="72"/>
      <c r="S693" s="31" t="str">
        <f t="shared" si="152"/>
        <v/>
      </c>
      <c r="T693" s="32" t="str">
        <f t="shared" si="153"/>
        <v/>
      </c>
      <c r="U693" s="73"/>
      <c r="V693" s="72"/>
      <c r="W693" s="72"/>
    </row>
    <row r="694" ht="21.75" customHeight="1">
      <c r="A694" s="134"/>
      <c r="B694" s="64"/>
      <c r="C694" s="23"/>
      <c r="D694" s="23"/>
      <c r="E694" s="24"/>
      <c r="F694" s="25"/>
      <c r="G694" s="24"/>
      <c r="H694" s="26"/>
      <c r="I694" s="27"/>
      <c r="J694" s="28"/>
      <c r="K694" s="28" t="str">
        <f t="shared" si="151"/>
        <v/>
      </c>
      <c r="L694" s="17"/>
      <c r="M694" s="29"/>
      <c r="N694" s="72"/>
      <c r="O694" s="73"/>
      <c r="P694" s="73"/>
      <c r="Q694" s="72"/>
      <c r="R694" s="72"/>
      <c r="S694" s="31" t="str">
        <f t="shared" si="152"/>
        <v/>
      </c>
      <c r="T694" s="32" t="str">
        <f t="shared" si="153"/>
        <v/>
      </c>
      <c r="U694" s="73"/>
      <c r="V694" s="72"/>
      <c r="W694" s="72"/>
    </row>
    <row r="695" ht="21.75" customHeight="1">
      <c r="A695" s="134"/>
      <c r="B695" s="64"/>
      <c r="C695" s="23"/>
      <c r="D695" s="23"/>
      <c r="E695" s="24"/>
      <c r="F695" s="25"/>
      <c r="G695" s="24"/>
      <c r="H695" s="26"/>
      <c r="I695" s="27"/>
      <c r="J695" s="28"/>
      <c r="K695" s="28" t="str">
        <f t="shared" si="151"/>
        <v/>
      </c>
      <c r="L695" s="17"/>
      <c r="M695" s="29"/>
      <c r="N695" s="72"/>
      <c r="O695" s="73"/>
      <c r="P695" s="73"/>
      <c r="Q695" s="72"/>
      <c r="R695" s="72"/>
      <c r="S695" s="31" t="str">
        <f t="shared" si="152"/>
        <v/>
      </c>
      <c r="T695" s="32" t="str">
        <f t="shared" si="153"/>
        <v/>
      </c>
      <c r="U695" s="73"/>
      <c r="V695" s="72"/>
      <c r="W695" s="72"/>
    </row>
    <row r="696" ht="21.75" customHeight="1">
      <c r="A696" s="134"/>
      <c r="B696" s="64"/>
      <c r="C696" s="23"/>
      <c r="D696" s="23"/>
      <c r="E696" s="24"/>
      <c r="F696" s="25"/>
      <c r="G696" s="24"/>
      <c r="H696" s="26"/>
      <c r="I696" s="27"/>
      <c r="J696" s="28"/>
      <c r="K696" s="28" t="str">
        <f t="shared" si="151"/>
        <v/>
      </c>
      <c r="L696" s="17"/>
      <c r="M696" s="29"/>
      <c r="N696" s="72"/>
      <c r="O696" s="73"/>
      <c r="P696" s="73"/>
      <c r="Q696" s="72"/>
      <c r="R696" s="72"/>
      <c r="S696" s="31" t="str">
        <f t="shared" si="152"/>
        <v/>
      </c>
      <c r="T696" s="32" t="str">
        <f t="shared" si="153"/>
        <v/>
      </c>
      <c r="U696" s="73"/>
      <c r="V696" s="72"/>
      <c r="W696" s="72"/>
    </row>
    <row r="697" ht="21.75" customHeight="1">
      <c r="A697" s="134"/>
      <c r="B697" s="64"/>
      <c r="C697" s="23"/>
      <c r="D697" s="23"/>
      <c r="E697" s="24"/>
      <c r="F697" s="25"/>
      <c r="G697" s="24"/>
      <c r="H697" s="26"/>
      <c r="I697" s="27"/>
      <c r="J697" s="28"/>
      <c r="K697" s="28" t="str">
        <f t="shared" si="151"/>
        <v/>
      </c>
      <c r="L697" s="17"/>
      <c r="M697" s="29"/>
      <c r="N697" s="72"/>
      <c r="O697" s="73"/>
      <c r="P697" s="73"/>
      <c r="Q697" s="72"/>
      <c r="R697" s="72"/>
      <c r="S697" s="31" t="str">
        <f t="shared" si="152"/>
        <v/>
      </c>
      <c r="T697" s="32" t="str">
        <f t="shared" si="153"/>
        <v/>
      </c>
      <c r="U697" s="73"/>
      <c r="V697" s="72"/>
      <c r="W697" s="72"/>
    </row>
    <row r="698" ht="21.75" customHeight="1">
      <c r="A698" s="134"/>
      <c r="B698" s="64"/>
      <c r="C698" s="23"/>
      <c r="D698" s="23"/>
      <c r="E698" s="24"/>
      <c r="F698" s="25"/>
      <c r="G698" s="24"/>
      <c r="H698" s="26"/>
      <c r="I698" s="27"/>
      <c r="J698" s="28"/>
      <c r="K698" s="28" t="str">
        <f t="shared" si="151"/>
        <v/>
      </c>
      <c r="L698" s="17"/>
      <c r="M698" s="29"/>
      <c r="N698" s="72"/>
      <c r="O698" s="73"/>
      <c r="P698" s="73"/>
      <c r="Q698" s="72"/>
      <c r="R698" s="72"/>
      <c r="S698" s="31" t="str">
        <f t="shared" si="152"/>
        <v/>
      </c>
      <c r="T698" s="32" t="str">
        <f t="shared" si="153"/>
        <v/>
      </c>
      <c r="U698" s="73"/>
      <c r="V698" s="72"/>
      <c r="W698" s="72"/>
    </row>
    <row r="699" ht="21.75" customHeight="1">
      <c r="A699" s="134"/>
      <c r="B699" s="64"/>
      <c r="C699" s="23"/>
      <c r="D699" s="23"/>
      <c r="E699" s="24"/>
      <c r="F699" s="25"/>
      <c r="G699" s="24"/>
      <c r="H699" s="26"/>
      <c r="I699" s="27"/>
      <c r="J699" s="28"/>
      <c r="K699" s="28" t="str">
        <f t="shared" si="151"/>
        <v/>
      </c>
      <c r="L699" s="17"/>
      <c r="M699" s="29"/>
      <c r="N699" s="72"/>
      <c r="O699" s="73"/>
      <c r="P699" s="73"/>
      <c r="Q699" s="72"/>
      <c r="R699" s="72"/>
      <c r="S699" s="31" t="str">
        <f t="shared" si="152"/>
        <v/>
      </c>
      <c r="T699" s="32" t="str">
        <f t="shared" si="153"/>
        <v/>
      </c>
      <c r="U699" s="73"/>
      <c r="V699" s="72"/>
      <c r="W699" s="72"/>
    </row>
    <row r="700" ht="21.75" customHeight="1">
      <c r="A700" s="134"/>
      <c r="B700" s="64"/>
      <c r="C700" s="23"/>
      <c r="D700" s="23"/>
      <c r="E700" s="24"/>
      <c r="F700" s="25"/>
      <c r="G700" s="24"/>
      <c r="H700" s="26"/>
      <c r="I700" s="27"/>
      <c r="J700" s="28"/>
      <c r="K700" s="28" t="str">
        <f t="shared" si="151"/>
        <v/>
      </c>
      <c r="L700" s="17"/>
      <c r="M700" s="29"/>
      <c r="N700" s="72"/>
      <c r="O700" s="73"/>
      <c r="P700" s="73"/>
      <c r="Q700" s="72"/>
      <c r="R700" s="72"/>
      <c r="S700" s="31" t="str">
        <f t="shared" si="152"/>
        <v/>
      </c>
      <c r="T700" s="32" t="str">
        <f t="shared" si="153"/>
        <v/>
      </c>
      <c r="U700" s="73"/>
      <c r="V700" s="72"/>
      <c r="W700" s="72"/>
    </row>
    <row r="701" ht="21.75" customHeight="1">
      <c r="A701" s="134"/>
      <c r="B701" s="64"/>
      <c r="C701" s="23"/>
      <c r="D701" s="23"/>
      <c r="E701" s="24"/>
      <c r="F701" s="25"/>
      <c r="G701" s="24"/>
      <c r="H701" s="26"/>
      <c r="I701" s="27"/>
      <c r="J701" s="28"/>
      <c r="K701" s="28" t="str">
        <f t="shared" si="151"/>
        <v/>
      </c>
      <c r="L701" s="17"/>
      <c r="M701" s="29"/>
      <c r="N701" s="72"/>
      <c r="O701" s="73"/>
      <c r="P701" s="73"/>
      <c r="Q701" s="72"/>
      <c r="R701" s="72"/>
      <c r="S701" s="31" t="str">
        <f t="shared" si="152"/>
        <v/>
      </c>
      <c r="T701" s="32" t="str">
        <f t="shared" si="153"/>
        <v/>
      </c>
      <c r="U701" s="73"/>
      <c r="V701" s="72"/>
      <c r="W701" s="72"/>
    </row>
    <row r="702" ht="21.75" customHeight="1">
      <c r="A702" s="134"/>
      <c r="B702" s="64"/>
      <c r="C702" s="23"/>
      <c r="D702" s="23"/>
      <c r="E702" s="24"/>
      <c r="F702" s="25"/>
      <c r="G702" s="24"/>
      <c r="H702" s="26"/>
      <c r="I702" s="27"/>
      <c r="J702" s="28"/>
      <c r="K702" s="28" t="str">
        <f t="shared" si="151"/>
        <v/>
      </c>
      <c r="L702" s="17"/>
      <c r="M702" s="29"/>
      <c r="N702" s="72"/>
      <c r="O702" s="73"/>
      <c r="P702" s="73"/>
      <c r="Q702" s="72"/>
      <c r="R702" s="72"/>
      <c r="S702" s="31" t="str">
        <f t="shared" si="152"/>
        <v/>
      </c>
      <c r="T702" s="32" t="str">
        <f t="shared" si="153"/>
        <v/>
      </c>
      <c r="U702" s="73"/>
      <c r="V702" s="72"/>
      <c r="W702" s="72"/>
    </row>
    <row r="703" ht="21.75" customHeight="1">
      <c r="A703" s="134"/>
      <c r="B703" s="64"/>
      <c r="C703" s="23"/>
      <c r="D703" s="23"/>
      <c r="E703" s="24"/>
      <c r="F703" s="25"/>
      <c r="G703" s="24"/>
      <c r="H703" s="26"/>
      <c r="I703" s="27"/>
      <c r="J703" s="28"/>
      <c r="K703" s="28" t="str">
        <f t="shared" si="151"/>
        <v/>
      </c>
      <c r="L703" s="17"/>
      <c r="M703" s="29"/>
      <c r="N703" s="72"/>
      <c r="O703" s="73"/>
      <c r="P703" s="73"/>
      <c r="Q703" s="72"/>
      <c r="R703" s="72"/>
      <c r="S703" s="31" t="str">
        <f t="shared" si="152"/>
        <v/>
      </c>
      <c r="T703" s="32" t="str">
        <f t="shared" si="153"/>
        <v/>
      </c>
      <c r="U703" s="73"/>
      <c r="V703" s="72"/>
      <c r="W703" s="72"/>
    </row>
    <row r="704" ht="21.75" customHeight="1">
      <c r="A704" s="134"/>
      <c r="B704" s="64"/>
      <c r="C704" s="23"/>
      <c r="D704" s="23"/>
      <c r="E704" s="24"/>
      <c r="F704" s="25"/>
      <c r="G704" s="24"/>
      <c r="H704" s="26"/>
      <c r="I704" s="27"/>
      <c r="J704" s="28"/>
      <c r="K704" s="28" t="str">
        <f t="shared" si="151"/>
        <v/>
      </c>
      <c r="L704" s="17"/>
      <c r="M704" s="29"/>
      <c r="N704" s="72"/>
      <c r="O704" s="73"/>
      <c r="P704" s="73"/>
      <c r="Q704" s="72"/>
      <c r="R704" s="72"/>
      <c r="S704" s="31" t="str">
        <f t="shared" si="152"/>
        <v/>
      </c>
      <c r="T704" s="32" t="str">
        <f t="shared" si="153"/>
        <v/>
      </c>
      <c r="U704" s="73"/>
      <c r="V704" s="72"/>
      <c r="W704" s="72"/>
    </row>
    <row r="705" ht="21.75" customHeight="1">
      <c r="A705" s="134"/>
      <c r="B705" s="64"/>
      <c r="C705" s="23"/>
      <c r="D705" s="23"/>
      <c r="E705" s="24"/>
      <c r="F705" s="25"/>
      <c r="G705" s="24"/>
      <c r="H705" s="26"/>
      <c r="I705" s="27"/>
      <c r="J705" s="28"/>
      <c r="K705" s="28" t="str">
        <f t="shared" si="151"/>
        <v/>
      </c>
      <c r="L705" s="17"/>
      <c r="M705" s="29"/>
      <c r="N705" s="72"/>
      <c r="O705" s="73"/>
      <c r="P705" s="73"/>
      <c r="Q705" s="72"/>
      <c r="R705" s="72"/>
      <c r="S705" s="31" t="str">
        <f t="shared" si="152"/>
        <v/>
      </c>
      <c r="T705" s="32" t="str">
        <f t="shared" si="153"/>
        <v/>
      </c>
      <c r="U705" s="73"/>
      <c r="V705" s="72"/>
      <c r="W705" s="72"/>
    </row>
    <row r="706" ht="21.75" customHeight="1">
      <c r="A706" s="134"/>
      <c r="B706" s="64"/>
      <c r="C706" s="23"/>
      <c r="D706" s="23"/>
      <c r="E706" s="24"/>
      <c r="F706" s="25"/>
      <c r="G706" s="24"/>
      <c r="H706" s="26"/>
      <c r="I706" s="27"/>
      <c r="J706" s="28"/>
      <c r="K706" s="28" t="str">
        <f t="shared" si="151"/>
        <v/>
      </c>
      <c r="L706" s="17"/>
      <c r="M706" s="29"/>
      <c r="N706" s="72"/>
      <c r="O706" s="73"/>
      <c r="P706" s="73"/>
      <c r="Q706" s="72"/>
      <c r="R706" s="72"/>
      <c r="S706" s="31" t="str">
        <f t="shared" si="152"/>
        <v/>
      </c>
      <c r="T706" s="32" t="str">
        <f t="shared" si="153"/>
        <v/>
      </c>
      <c r="U706" s="73"/>
      <c r="V706" s="72"/>
      <c r="W706" s="72"/>
    </row>
    <row r="707" ht="21.75" customHeight="1">
      <c r="A707" s="134"/>
      <c r="B707" s="64"/>
      <c r="C707" s="23"/>
      <c r="D707" s="23"/>
      <c r="E707" s="24"/>
      <c r="F707" s="25"/>
      <c r="G707" s="24"/>
      <c r="H707" s="26"/>
      <c r="I707" s="27"/>
      <c r="J707" s="28"/>
      <c r="K707" s="28" t="str">
        <f t="shared" si="151"/>
        <v/>
      </c>
      <c r="L707" s="17"/>
      <c r="M707" s="29"/>
      <c r="N707" s="72"/>
      <c r="O707" s="73"/>
      <c r="P707" s="73"/>
      <c r="Q707" s="72"/>
      <c r="R707" s="72"/>
      <c r="S707" s="31" t="str">
        <f t="shared" si="152"/>
        <v/>
      </c>
      <c r="T707" s="32" t="str">
        <f t="shared" si="153"/>
        <v/>
      </c>
      <c r="U707" s="73"/>
      <c r="V707" s="72"/>
      <c r="W707" s="72"/>
    </row>
    <row r="708" ht="21.75" customHeight="1">
      <c r="A708" s="134"/>
      <c r="B708" s="64"/>
      <c r="C708" s="23"/>
      <c r="D708" s="23"/>
      <c r="E708" s="24"/>
      <c r="F708" s="25"/>
      <c r="G708" s="24"/>
      <c r="H708" s="26"/>
      <c r="I708" s="27"/>
      <c r="J708" s="28"/>
      <c r="K708" s="28" t="str">
        <f t="shared" si="151"/>
        <v/>
      </c>
      <c r="L708" s="17"/>
      <c r="M708" s="29"/>
      <c r="N708" s="72"/>
      <c r="O708" s="73"/>
      <c r="P708" s="73"/>
      <c r="Q708" s="72"/>
      <c r="R708" s="72"/>
      <c r="S708" s="31" t="str">
        <f t="shared" si="152"/>
        <v/>
      </c>
      <c r="T708" s="32" t="str">
        <f t="shared" si="153"/>
        <v/>
      </c>
      <c r="U708" s="73"/>
      <c r="V708" s="72"/>
      <c r="W708" s="72"/>
    </row>
    <row r="709" ht="21.75" customHeight="1">
      <c r="A709" s="134"/>
      <c r="B709" s="64"/>
      <c r="C709" s="23"/>
      <c r="D709" s="23"/>
      <c r="E709" s="24"/>
      <c r="F709" s="25"/>
      <c r="G709" s="24"/>
      <c r="H709" s="26"/>
      <c r="I709" s="27"/>
      <c r="J709" s="28"/>
      <c r="K709" s="28" t="str">
        <f t="shared" si="151"/>
        <v/>
      </c>
      <c r="L709" s="17"/>
      <c r="M709" s="29"/>
      <c r="N709" s="72"/>
      <c r="O709" s="73"/>
      <c r="P709" s="73"/>
      <c r="Q709" s="72"/>
      <c r="R709" s="72"/>
      <c r="S709" s="31" t="str">
        <f t="shared" si="152"/>
        <v/>
      </c>
      <c r="T709" s="32" t="str">
        <f t="shared" si="153"/>
        <v/>
      </c>
      <c r="U709" s="73"/>
      <c r="V709" s="72"/>
      <c r="W709" s="72"/>
    </row>
    <row r="710" ht="21.75" customHeight="1">
      <c r="A710" s="134"/>
      <c r="B710" s="64"/>
      <c r="C710" s="23"/>
      <c r="D710" s="23"/>
      <c r="E710" s="24"/>
      <c r="F710" s="25"/>
      <c r="G710" s="24"/>
      <c r="H710" s="26"/>
      <c r="I710" s="27"/>
      <c r="J710" s="28"/>
      <c r="K710" s="28" t="str">
        <f t="shared" si="151"/>
        <v/>
      </c>
      <c r="L710" s="17"/>
      <c r="M710" s="29"/>
      <c r="N710" s="72"/>
      <c r="O710" s="73"/>
      <c r="P710" s="73"/>
      <c r="Q710" s="72"/>
      <c r="R710" s="72"/>
      <c r="S710" s="31" t="str">
        <f t="shared" si="152"/>
        <v/>
      </c>
      <c r="T710" s="32" t="str">
        <f t="shared" si="153"/>
        <v/>
      </c>
      <c r="U710" s="73"/>
      <c r="V710" s="72"/>
      <c r="W710" s="72"/>
    </row>
    <row r="711" ht="21.75" customHeight="1">
      <c r="A711" s="134"/>
      <c r="B711" s="64"/>
      <c r="C711" s="23"/>
      <c r="D711" s="23"/>
      <c r="E711" s="24"/>
      <c r="F711" s="25"/>
      <c r="G711" s="24"/>
      <c r="H711" s="26"/>
      <c r="I711" s="27"/>
      <c r="J711" s="28"/>
      <c r="K711" s="28" t="str">
        <f t="shared" si="151"/>
        <v/>
      </c>
      <c r="L711" s="17"/>
      <c r="M711" s="29"/>
      <c r="N711" s="72"/>
      <c r="O711" s="73"/>
      <c r="P711" s="73"/>
      <c r="Q711" s="72"/>
      <c r="R711" s="72"/>
      <c r="S711" s="31" t="str">
        <f t="shared" si="152"/>
        <v/>
      </c>
      <c r="T711" s="32" t="str">
        <f t="shared" si="153"/>
        <v/>
      </c>
      <c r="U711" s="73"/>
      <c r="V711" s="72"/>
      <c r="W711" s="72"/>
    </row>
    <row r="712" ht="21.75" customHeight="1">
      <c r="A712" s="134"/>
      <c r="B712" s="64"/>
      <c r="C712" s="23"/>
      <c r="D712" s="23"/>
      <c r="E712" s="24"/>
      <c r="F712" s="25"/>
      <c r="G712" s="24"/>
      <c r="H712" s="26"/>
      <c r="I712" s="27"/>
      <c r="J712" s="28"/>
      <c r="K712" s="28" t="str">
        <f t="shared" si="151"/>
        <v/>
      </c>
      <c r="L712" s="17"/>
      <c r="M712" s="29"/>
      <c r="N712" s="72"/>
      <c r="O712" s="73"/>
      <c r="P712" s="73"/>
      <c r="Q712" s="72"/>
      <c r="R712" s="72"/>
      <c r="S712" s="31" t="str">
        <f t="shared" si="152"/>
        <v/>
      </c>
      <c r="T712" s="32" t="str">
        <f t="shared" si="153"/>
        <v/>
      </c>
      <c r="U712" s="73"/>
      <c r="V712" s="72"/>
      <c r="W712" s="72"/>
    </row>
    <row r="713" ht="21.75" customHeight="1">
      <c r="A713" s="134"/>
      <c r="B713" s="64"/>
      <c r="C713" s="23"/>
      <c r="D713" s="23"/>
      <c r="E713" s="24"/>
      <c r="F713" s="25"/>
      <c r="G713" s="24"/>
      <c r="H713" s="26"/>
      <c r="I713" s="27"/>
      <c r="J713" s="28"/>
      <c r="K713" s="28" t="str">
        <f t="shared" si="151"/>
        <v/>
      </c>
      <c r="L713" s="17"/>
      <c r="M713" s="29"/>
      <c r="N713" s="72"/>
      <c r="O713" s="73"/>
      <c r="P713" s="73"/>
      <c r="Q713" s="72"/>
      <c r="R713" s="72"/>
      <c r="S713" s="31" t="str">
        <f t="shared" si="152"/>
        <v/>
      </c>
      <c r="T713" s="32" t="str">
        <f t="shared" si="153"/>
        <v/>
      </c>
      <c r="U713" s="73"/>
      <c r="V713" s="72"/>
      <c r="W713" s="72"/>
    </row>
    <row r="714" ht="21.75" customHeight="1">
      <c r="A714" s="134"/>
      <c r="B714" s="64"/>
      <c r="C714" s="23"/>
      <c r="D714" s="23"/>
      <c r="E714" s="24"/>
      <c r="F714" s="25"/>
      <c r="G714" s="24"/>
      <c r="H714" s="26"/>
      <c r="I714" s="27"/>
      <c r="J714" s="28"/>
      <c r="K714" s="28" t="str">
        <f t="shared" si="151"/>
        <v/>
      </c>
      <c r="L714" s="17"/>
      <c r="M714" s="29"/>
      <c r="N714" s="72"/>
      <c r="O714" s="73"/>
      <c r="P714" s="73"/>
      <c r="Q714" s="72"/>
      <c r="R714" s="72"/>
      <c r="S714" s="31" t="str">
        <f t="shared" si="152"/>
        <v/>
      </c>
      <c r="T714" s="32" t="str">
        <f t="shared" si="153"/>
        <v/>
      </c>
      <c r="U714" s="73"/>
      <c r="V714" s="72"/>
      <c r="W714" s="72"/>
    </row>
    <row r="715" ht="21.75" customHeight="1">
      <c r="A715" s="134"/>
      <c r="B715" s="64"/>
      <c r="C715" s="23"/>
      <c r="D715" s="23"/>
      <c r="E715" s="24"/>
      <c r="F715" s="25"/>
      <c r="G715" s="24"/>
      <c r="H715" s="26"/>
      <c r="I715" s="27"/>
      <c r="J715" s="28"/>
      <c r="K715" s="28" t="str">
        <f t="shared" si="151"/>
        <v/>
      </c>
      <c r="L715" s="17"/>
      <c r="M715" s="29"/>
      <c r="N715" s="72"/>
      <c r="O715" s="73"/>
      <c r="P715" s="73"/>
      <c r="Q715" s="72"/>
      <c r="R715" s="72"/>
      <c r="S715" s="31" t="str">
        <f t="shared" si="152"/>
        <v/>
      </c>
      <c r="T715" s="32" t="str">
        <f t="shared" si="153"/>
        <v/>
      </c>
      <c r="U715" s="73"/>
      <c r="V715" s="72"/>
      <c r="W715" s="72"/>
    </row>
    <row r="716" ht="21.75" customHeight="1">
      <c r="A716" s="134"/>
      <c r="B716" s="64"/>
      <c r="C716" s="23"/>
      <c r="D716" s="23"/>
      <c r="E716" s="24"/>
      <c r="F716" s="25"/>
      <c r="G716" s="24"/>
      <c r="H716" s="26"/>
      <c r="I716" s="27"/>
      <c r="J716" s="28"/>
      <c r="K716" s="28" t="str">
        <f t="shared" si="151"/>
        <v/>
      </c>
      <c r="L716" s="17"/>
      <c r="M716" s="29"/>
      <c r="N716" s="72"/>
      <c r="O716" s="73"/>
      <c r="P716" s="73"/>
      <c r="Q716" s="72"/>
      <c r="R716" s="72"/>
      <c r="S716" s="31" t="str">
        <f t="shared" si="152"/>
        <v/>
      </c>
      <c r="T716" s="32" t="str">
        <f t="shared" si="153"/>
        <v/>
      </c>
      <c r="U716" s="73"/>
      <c r="V716" s="72"/>
      <c r="W716" s="72"/>
    </row>
    <row r="717" ht="21.75" customHeight="1">
      <c r="A717" s="134"/>
      <c r="B717" s="64"/>
      <c r="C717" s="23"/>
      <c r="D717" s="23"/>
      <c r="E717" s="24"/>
      <c r="F717" s="25"/>
      <c r="G717" s="24"/>
      <c r="H717" s="26"/>
      <c r="I717" s="27"/>
      <c r="J717" s="28"/>
      <c r="K717" s="28" t="str">
        <f t="shared" si="151"/>
        <v/>
      </c>
      <c r="L717" s="17"/>
      <c r="M717" s="29"/>
      <c r="N717" s="72"/>
      <c r="O717" s="73"/>
      <c r="P717" s="73"/>
      <c r="Q717" s="72"/>
      <c r="R717" s="72"/>
      <c r="S717" s="31" t="str">
        <f t="shared" si="152"/>
        <v/>
      </c>
      <c r="T717" s="32" t="str">
        <f t="shared" si="153"/>
        <v/>
      </c>
      <c r="U717" s="73"/>
      <c r="V717" s="72"/>
      <c r="W717" s="72"/>
    </row>
    <row r="718" ht="21.75" customHeight="1">
      <c r="A718" s="134"/>
      <c r="B718" s="64"/>
      <c r="C718" s="23"/>
      <c r="D718" s="23"/>
      <c r="E718" s="24"/>
      <c r="F718" s="25"/>
      <c r="G718" s="24"/>
      <c r="H718" s="26"/>
      <c r="I718" s="27"/>
      <c r="J718" s="28"/>
      <c r="K718" s="28" t="str">
        <f t="shared" si="151"/>
        <v/>
      </c>
      <c r="L718" s="17"/>
      <c r="M718" s="29"/>
      <c r="N718" s="72"/>
      <c r="O718" s="73"/>
      <c r="P718" s="73"/>
      <c r="Q718" s="72"/>
      <c r="R718" s="72"/>
      <c r="S718" s="31" t="str">
        <f t="shared" si="152"/>
        <v/>
      </c>
      <c r="T718" s="32" t="str">
        <f t="shared" si="153"/>
        <v/>
      </c>
      <c r="U718" s="73"/>
      <c r="V718" s="72"/>
      <c r="W718" s="72"/>
    </row>
    <row r="719" ht="21.75" customHeight="1">
      <c r="A719" s="134"/>
      <c r="B719" s="64"/>
      <c r="C719" s="23"/>
      <c r="D719" s="23"/>
      <c r="E719" s="24"/>
      <c r="F719" s="25"/>
      <c r="G719" s="24"/>
      <c r="H719" s="26"/>
      <c r="I719" s="27"/>
      <c r="J719" s="28"/>
      <c r="K719" s="28" t="str">
        <f t="shared" si="151"/>
        <v/>
      </c>
      <c r="L719" s="17"/>
      <c r="M719" s="29"/>
      <c r="N719" s="72"/>
      <c r="O719" s="73"/>
      <c r="P719" s="73"/>
      <c r="Q719" s="72"/>
      <c r="R719" s="72"/>
      <c r="S719" s="31" t="str">
        <f t="shared" si="152"/>
        <v/>
      </c>
      <c r="T719" s="32" t="str">
        <f t="shared" si="153"/>
        <v/>
      </c>
      <c r="U719" s="73"/>
      <c r="V719" s="72"/>
      <c r="W719" s="72"/>
    </row>
    <row r="720" ht="21.75" customHeight="1">
      <c r="A720" s="134"/>
      <c r="B720" s="64"/>
      <c r="C720" s="23"/>
      <c r="D720" s="23"/>
      <c r="E720" s="24"/>
      <c r="F720" s="25"/>
      <c r="G720" s="24"/>
      <c r="H720" s="26"/>
      <c r="I720" s="27"/>
      <c r="J720" s="28"/>
      <c r="K720" s="28" t="str">
        <f t="shared" si="151"/>
        <v/>
      </c>
      <c r="L720" s="17"/>
      <c r="M720" s="29"/>
      <c r="N720" s="72"/>
      <c r="O720" s="73"/>
      <c r="P720" s="73"/>
      <c r="Q720" s="72"/>
      <c r="R720" s="72"/>
      <c r="S720" s="31" t="str">
        <f t="shared" si="152"/>
        <v/>
      </c>
      <c r="T720" s="32" t="str">
        <f t="shared" si="153"/>
        <v/>
      </c>
      <c r="U720" s="73"/>
      <c r="V720" s="72"/>
      <c r="W720" s="72"/>
    </row>
    <row r="721" ht="21.75" customHeight="1">
      <c r="A721" s="134"/>
      <c r="B721" s="64"/>
      <c r="C721" s="23"/>
      <c r="D721" s="23"/>
      <c r="E721" s="24"/>
      <c r="F721" s="25"/>
      <c r="G721" s="24"/>
      <c r="H721" s="26"/>
      <c r="I721" s="27"/>
      <c r="J721" s="28"/>
      <c r="K721" s="28" t="str">
        <f t="shared" si="151"/>
        <v/>
      </c>
      <c r="L721" s="17"/>
      <c r="M721" s="29"/>
      <c r="N721" s="72"/>
      <c r="O721" s="73"/>
      <c r="P721" s="73"/>
      <c r="Q721" s="72"/>
      <c r="R721" s="72"/>
      <c r="S721" s="31" t="str">
        <f t="shared" si="152"/>
        <v/>
      </c>
      <c r="T721" s="32" t="str">
        <f t="shared" si="153"/>
        <v/>
      </c>
      <c r="U721" s="73"/>
      <c r="V721" s="72"/>
      <c r="W721" s="72"/>
    </row>
    <row r="722" ht="21.75" customHeight="1">
      <c r="A722" s="134"/>
      <c r="B722" s="64"/>
      <c r="C722" s="23"/>
      <c r="D722" s="23"/>
      <c r="E722" s="24"/>
      <c r="F722" s="25"/>
      <c r="G722" s="24"/>
      <c r="H722" s="26"/>
      <c r="I722" s="27"/>
      <c r="J722" s="28"/>
      <c r="K722" s="28" t="str">
        <f t="shared" si="151"/>
        <v/>
      </c>
      <c r="L722" s="17"/>
      <c r="M722" s="29"/>
      <c r="N722" s="72"/>
      <c r="O722" s="73"/>
      <c r="P722" s="73"/>
      <c r="Q722" s="72"/>
      <c r="R722" s="72"/>
      <c r="S722" s="31" t="str">
        <f t="shared" si="152"/>
        <v/>
      </c>
      <c r="T722" s="32" t="str">
        <f t="shared" si="153"/>
        <v/>
      </c>
      <c r="U722" s="73"/>
      <c r="V722" s="72"/>
      <c r="W722" s="72"/>
    </row>
    <row r="723" ht="21.75" customHeight="1">
      <c r="A723" s="134"/>
      <c r="B723" s="64"/>
      <c r="C723" s="23"/>
      <c r="D723" s="23"/>
      <c r="E723" s="24"/>
      <c r="F723" s="25"/>
      <c r="G723" s="24"/>
      <c r="H723" s="26"/>
      <c r="I723" s="27"/>
      <c r="J723" s="28"/>
      <c r="K723" s="28" t="str">
        <f t="shared" si="151"/>
        <v/>
      </c>
      <c r="L723" s="17"/>
      <c r="M723" s="29"/>
      <c r="N723" s="72"/>
      <c r="O723" s="73"/>
      <c r="P723" s="73"/>
      <c r="Q723" s="72"/>
      <c r="R723" s="72"/>
      <c r="S723" s="31" t="str">
        <f t="shared" si="152"/>
        <v/>
      </c>
      <c r="T723" s="32" t="str">
        <f t="shared" si="153"/>
        <v/>
      </c>
      <c r="U723" s="73"/>
      <c r="V723" s="72"/>
      <c r="W723" s="72"/>
    </row>
    <row r="724" ht="21.75" customHeight="1">
      <c r="A724" s="134"/>
      <c r="B724" s="64"/>
      <c r="C724" s="23"/>
      <c r="D724" s="23"/>
      <c r="E724" s="24"/>
      <c r="F724" s="25"/>
      <c r="G724" s="24"/>
      <c r="H724" s="26"/>
      <c r="I724" s="27"/>
      <c r="J724" s="28"/>
      <c r="K724" s="28" t="str">
        <f t="shared" si="151"/>
        <v/>
      </c>
      <c r="L724" s="17"/>
      <c r="M724" s="29"/>
      <c r="N724" s="72"/>
      <c r="O724" s="73"/>
      <c r="P724" s="73"/>
      <c r="Q724" s="72"/>
      <c r="R724" s="72"/>
      <c r="S724" s="31" t="str">
        <f t="shared" si="152"/>
        <v/>
      </c>
      <c r="T724" s="32" t="str">
        <f t="shared" si="153"/>
        <v/>
      </c>
      <c r="U724" s="73"/>
      <c r="V724" s="72"/>
      <c r="W724" s="72"/>
    </row>
    <row r="725" ht="21.75" customHeight="1">
      <c r="A725" s="134"/>
      <c r="B725" s="64"/>
      <c r="C725" s="23"/>
      <c r="D725" s="23"/>
      <c r="E725" s="24"/>
      <c r="F725" s="25"/>
      <c r="G725" s="24"/>
      <c r="H725" s="26"/>
      <c r="I725" s="27"/>
      <c r="J725" s="28"/>
      <c r="K725" s="28" t="str">
        <f t="shared" si="151"/>
        <v/>
      </c>
      <c r="L725" s="17"/>
      <c r="M725" s="29"/>
      <c r="N725" s="72"/>
      <c r="O725" s="73"/>
      <c r="P725" s="73"/>
      <c r="Q725" s="72"/>
      <c r="R725" s="72"/>
      <c r="S725" s="31" t="str">
        <f t="shared" si="152"/>
        <v/>
      </c>
      <c r="T725" s="32" t="str">
        <f t="shared" si="153"/>
        <v/>
      </c>
      <c r="U725" s="73"/>
      <c r="V725" s="72"/>
      <c r="W725" s="72"/>
    </row>
    <row r="726" ht="21.75" customHeight="1">
      <c r="A726" s="134"/>
      <c r="B726" s="64"/>
      <c r="C726" s="23"/>
      <c r="D726" s="23"/>
      <c r="E726" s="24"/>
      <c r="F726" s="25"/>
      <c r="G726" s="24"/>
      <c r="H726" s="26"/>
      <c r="I726" s="27"/>
      <c r="J726" s="28"/>
      <c r="K726" s="28" t="str">
        <f t="shared" si="151"/>
        <v/>
      </c>
      <c r="L726" s="17"/>
      <c r="M726" s="29"/>
      <c r="N726" s="72"/>
      <c r="O726" s="73"/>
      <c r="P726" s="73"/>
      <c r="Q726" s="72"/>
      <c r="R726" s="72"/>
      <c r="S726" s="31" t="str">
        <f t="shared" si="152"/>
        <v/>
      </c>
      <c r="T726" s="32" t="str">
        <f t="shared" si="153"/>
        <v/>
      </c>
      <c r="U726" s="73"/>
      <c r="V726" s="72"/>
      <c r="W726" s="72"/>
    </row>
    <row r="727" ht="21.75" customHeight="1">
      <c r="A727" s="134"/>
      <c r="B727" s="64"/>
      <c r="C727" s="23"/>
      <c r="D727" s="23"/>
      <c r="E727" s="24"/>
      <c r="F727" s="25"/>
      <c r="G727" s="24"/>
      <c r="H727" s="26"/>
      <c r="I727" s="27"/>
      <c r="J727" s="28"/>
      <c r="K727" s="28" t="str">
        <f t="shared" si="151"/>
        <v/>
      </c>
      <c r="L727" s="17"/>
      <c r="M727" s="29"/>
      <c r="N727" s="72"/>
      <c r="O727" s="73"/>
      <c r="P727" s="73"/>
      <c r="Q727" s="72"/>
      <c r="R727" s="72"/>
      <c r="S727" s="31" t="str">
        <f t="shared" si="152"/>
        <v/>
      </c>
      <c r="T727" s="32" t="str">
        <f t="shared" si="153"/>
        <v/>
      </c>
      <c r="U727" s="73"/>
      <c r="V727" s="72"/>
      <c r="W727" s="72"/>
    </row>
    <row r="728" ht="21.75" customHeight="1">
      <c r="A728" s="134"/>
      <c r="B728" s="64"/>
      <c r="C728" s="23"/>
      <c r="D728" s="23"/>
      <c r="E728" s="24"/>
      <c r="F728" s="25"/>
      <c r="G728" s="24"/>
      <c r="H728" s="26"/>
      <c r="I728" s="27"/>
      <c r="J728" s="28"/>
      <c r="K728" s="28" t="str">
        <f t="shared" si="151"/>
        <v/>
      </c>
      <c r="L728" s="17"/>
      <c r="M728" s="29"/>
      <c r="N728" s="72"/>
      <c r="O728" s="73"/>
      <c r="P728" s="73"/>
      <c r="Q728" s="72"/>
      <c r="R728" s="72"/>
      <c r="S728" s="31" t="str">
        <f t="shared" si="152"/>
        <v/>
      </c>
      <c r="T728" s="32" t="str">
        <f t="shared" si="153"/>
        <v/>
      </c>
      <c r="U728" s="73"/>
      <c r="V728" s="72"/>
      <c r="W728" s="72"/>
    </row>
    <row r="729" ht="21.75" customHeight="1">
      <c r="A729" s="134"/>
      <c r="B729" s="64"/>
      <c r="C729" s="23"/>
      <c r="D729" s="23"/>
      <c r="E729" s="24"/>
      <c r="F729" s="25"/>
      <c r="G729" s="24"/>
      <c r="H729" s="26"/>
      <c r="I729" s="27"/>
      <c r="J729" s="28"/>
      <c r="K729" s="28" t="str">
        <f t="shared" si="151"/>
        <v/>
      </c>
      <c r="L729" s="17"/>
      <c r="M729" s="29"/>
      <c r="N729" s="72"/>
      <c r="O729" s="73"/>
      <c r="P729" s="73"/>
      <c r="Q729" s="72"/>
      <c r="R729" s="72"/>
      <c r="S729" s="31" t="str">
        <f t="shared" si="152"/>
        <v/>
      </c>
      <c r="T729" s="32" t="str">
        <f t="shared" si="153"/>
        <v/>
      </c>
      <c r="U729" s="73"/>
      <c r="V729" s="72"/>
      <c r="W729" s="72"/>
    </row>
    <row r="730" ht="21.75" customHeight="1">
      <c r="A730" s="134"/>
      <c r="B730" s="64"/>
      <c r="C730" s="23"/>
      <c r="D730" s="23"/>
      <c r="E730" s="24"/>
      <c r="F730" s="25"/>
      <c r="G730" s="24"/>
      <c r="H730" s="26"/>
      <c r="I730" s="27"/>
      <c r="J730" s="28"/>
      <c r="K730" s="28" t="str">
        <f t="shared" si="151"/>
        <v/>
      </c>
      <c r="L730" s="17"/>
      <c r="M730" s="29"/>
      <c r="N730" s="72"/>
      <c r="O730" s="73"/>
      <c r="P730" s="73"/>
      <c r="Q730" s="72"/>
      <c r="R730" s="72"/>
      <c r="S730" s="31" t="str">
        <f t="shared" si="152"/>
        <v/>
      </c>
      <c r="T730" s="32" t="str">
        <f t="shared" si="153"/>
        <v/>
      </c>
      <c r="U730" s="73"/>
      <c r="V730" s="72"/>
      <c r="W730" s="72"/>
    </row>
    <row r="731" ht="21.75" customHeight="1">
      <c r="A731" s="134"/>
      <c r="B731" s="64"/>
      <c r="C731" s="23"/>
      <c r="D731" s="23"/>
      <c r="E731" s="24"/>
      <c r="F731" s="25"/>
      <c r="G731" s="24"/>
      <c r="H731" s="26"/>
      <c r="I731" s="27"/>
      <c r="J731" s="28"/>
      <c r="K731" s="28" t="str">
        <f t="shared" si="151"/>
        <v/>
      </c>
      <c r="L731" s="17"/>
      <c r="M731" s="29"/>
      <c r="N731" s="72"/>
      <c r="O731" s="73"/>
      <c r="P731" s="73"/>
      <c r="Q731" s="72"/>
      <c r="R731" s="72"/>
      <c r="S731" s="31" t="str">
        <f t="shared" si="152"/>
        <v/>
      </c>
      <c r="T731" s="32" t="str">
        <f t="shared" si="153"/>
        <v/>
      </c>
      <c r="U731" s="73"/>
      <c r="V731" s="72"/>
      <c r="W731" s="72"/>
    </row>
    <row r="732" ht="21.75" customHeight="1">
      <c r="A732" s="134"/>
      <c r="B732" s="64"/>
      <c r="C732" s="23"/>
      <c r="D732" s="23"/>
      <c r="E732" s="24"/>
      <c r="F732" s="25"/>
      <c r="G732" s="24"/>
      <c r="H732" s="26"/>
      <c r="I732" s="27"/>
      <c r="J732" s="28"/>
      <c r="K732" s="28" t="str">
        <f t="shared" si="151"/>
        <v/>
      </c>
      <c r="L732" s="17"/>
      <c r="M732" s="29"/>
      <c r="N732" s="72"/>
      <c r="O732" s="73"/>
      <c r="P732" s="73"/>
      <c r="Q732" s="72"/>
      <c r="R732" s="72"/>
      <c r="S732" s="31" t="str">
        <f t="shared" si="152"/>
        <v/>
      </c>
      <c r="T732" s="32" t="str">
        <f t="shared" si="153"/>
        <v/>
      </c>
      <c r="U732" s="73"/>
      <c r="V732" s="72"/>
      <c r="W732" s="72"/>
    </row>
    <row r="733" ht="21.75" customHeight="1">
      <c r="A733" s="134"/>
      <c r="B733" s="64"/>
      <c r="C733" s="23"/>
      <c r="D733" s="23"/>
      <c r="E733" s="24"/>
      <c r="F733" s="25"/>
      <c r="G733" s="24"/>
      <c r="H733" s="26"/>
      <c r="I733" s="27"/>
      <c r="J733" s="28"/>
      <c r="K733" s="28" t="str">
        <f t="shared" si="151"/>
        <v/>
      </c>
      <c r="L733" s="17"/>
      <c r="M733" s="29"/>
      <c r="N733" s="72"/>
      <c r="O733" s="73"/>
      <c r="P733" s="73"/>
      <c r="Q733" s="72"/>
      <c r="R733" s="72"/>
      <c r="S733" s="31" t="str">
        <f t="shared" si="152"/>
        <v/>
      </c>
      <c r="T733" s="32" t="str">
        <f t="shared" si="153"/>
        <v/>
      </c>
      <c r="U733" s="73"/>
      <c r="V733" s="72"/>
      <c r="W733" s="72"/>
    </row>
    <row r="734" ht="21.75" customHeight="1">
      <c r="A734" s="134"/>
      <c r="B734" s="64"/>
      <c r="C734" s="23"/>
      <c r="D734" s="23"/>
      <c r="E734" s="24"/>
      <c r="F734" s="25"/>
      <c r="G734" s="24"/>
      <c r="H734" s="26"/>
      <c r="I734" s="27"/>
      <c r="J734" s="28"/>
      <c r="K734" s="28" t="str">
        <f t="shared" si="151"/>
        <v/>
      </c>
      <c r="L734" s="17"/>
      <c r="M734" s="29"/>
      <c r="N734" s="72"/>
      <c r="O734" s="73"/>
      <c r="P734" s="73"/>
      <c r="Q734" s="72"/>
      <c r="R734" s="72"/>
      <c r="S734" s="31" t="str">
        <f t="shared" si="152"/>
        <v/>
      </c>
      <c r="T734" s="32" t="str">
        <f t="shared" si="153"/>
        <v/>
      </c>
      <c r="U734" s="73"/>
      <c r="V734" s="72"/>
      <c r="W734" s="72"/>
    </row>
    <row r="735" ht="21.75" customHeight="1">
      <c r="A735" s="134"/>
      <c r="B735" s="64"/>
      <c r="C735" s="23"/>
      <c r="D735" s="23"/>
      <c r="E735" s="24"/>
      <c r="F735" s="25"/>
      <c r="G735" s="24"/>
      <c r="H735" s="26"/>
      <c r="I735" s="27"/>
      <c r="J735" s="28"/>
      <c r="K735" s="28" t="str">
        <f t="shared" si="151"/>
        <v/>
      </c>
      <c r="L735" s="17"/>
      <c r="M735" s="29"/>
      <c r="N735" s="72"/>
      <c r="O735" s="73"/>
      <c r="P735" s="73"/>
      <c r="Q735" s="72"/>
      <c r="R735" s="72"/>
      <c r="S735" s="31" t="str">
        <f t="shared" si="152"/>
        <v/>
      </c>
      <c r="T735" s="32" t="str">
        <f t="shared" si="153"/>
        <v/>
      </c>
      <c r="U735" s="73"/>
      <c r="V735" s="72"/>
      <c r="W735" s="72"/>
    </row>
    <row r="736" ht="21.75" customHeight="1">
      <c r="A736" s="134"/>
      <c r="B736" s="64"/>
      <c r="C736" s="23"/>
      <c r="D736" s="23"/>
      <c r="E736" s="24"/>
      <c r="F736" s="25"/>
      <c r="G736" s="24"/>
      <c r="H736" s="26"/>
      <c r="I736" s="27"/>
      <c r="J736" s="28"/>
      <c r="K736" s="28" t="str">
        <f t="shared" si="151"/>
        <v/>
      </c>
      <c r="L736" s="17"/>
      <c r="M736" s="29"/>
      <c r="N736" s="72"/>
      <c r="O736" s="73"/>
      <c r="P736" s="73"/>
      <c r="Q736" s="72"/>
      <c r="R736" s="72"/>
      <c r="S736" s="31" t="str">
        <f t="shared" si="152"/>
        <v/>
      </c>
      <c r="T736" s="32" t="str">
        <f t="shared" si="153"/>
        <v/>
      </c>
      <c r="U736" s="73"/>
      <c r="V736" s="72"/>
      <c r="W736" s="72"/>
    </row>
    <row r="737" ht="21.75" customHeight="1">
      <c r="A737" s="134"/>
      <c r="B737" s="64"/>
      <c r="C737" s="23"/>
      <c r="D737" s="23"/>
      <c r="E737" s="24"/>
      <c r="F737" s="25"/>
      <c r="G737" s="24"/>
      <c r="H737" s="26"/>
      <c r="I737" s="27"/>
      <c r="J737" s="28"/>
      <c r="K737" s="28" t="str">
        <f t="shared" si="151"/>
        <v/>
      </c>
      <c r="L737" s="17"/>
      <c r="M737" s="29"/>
      <c r="N737" s="72"/>
      <c r="O737" s="73"/>
      <c r="P737" s="73"/>
      <c r="Q737" s="72"/>
      <c r="R737" s="72"/>
      <c r="S737" s="31" t="str">
        <f t="shared" si="152"/>
        <v/>
      </c>
      <c r="T737" s="32" t="str">
        <f t="shared" si="153"/>
        <v/>
      </c>
      <c r="U737" s="73"/>
      <c r="V737" s="72"/>
      <c r="W737" s="72"/>
    </row>
    <row r="738" ht="21.75" customHeight="1">
      <c r="A738" s="134"/>
      <c r="B738" s="64"/>
      <c r="C738" s="23"/>
      <c r="D738" s="23"/>
      <c r="E738" s="24"/>
      <c r="F738" s="25"/>
      <c r="G738" s="24"/>
      <c r="H738" s="26"/>
      <c r="I738" s="27"/>
      <c r="J738" s="28"/>
      <c r="K738" s="28" t="str">
        <f t="shared" si="151"/>
        <v/>
      </c>
      <c r="L738" s="17"/>
      <c r="M738" s="29"/>
      <c r="N738" s="72"/>
      <c r="O738" s="73"/>
      <c r="P738" s="73"/>
      <c r="Q738" s="72"/>
      <c r="R738" s="72"/>
      <c r="S738" s="31" t="str">
        <f t="shared" si="152"/>
        <v/>
      </c>
      <c r="T738" s="32" t="str">
        <f t="shared" si="153"/>
        <v/>
      </c>
      <c r="U738" s="73"/>
      <c r="V738" s="72"/>
      <c r="W738" s="72"/>
    </row>
    <row r="739" ht="21.75" customHeight="1">
      <c r="A739" s="134"/>
      <c r="B739" s="64"/>
      <c r="C739" s="23"/>
      <c r="D739" s="23"/>
      <c r="E739" s="24"/>
      <c r="F739" s="25"/>
      <c r="G739" s="24"/>
      <c r="H739" s="26"/>
      <c r="I739" s="27"/>
      <c r="J739" s="28"/>
      <c r="K739" s="28" t="str">
        <f t="shared" si="151"/>
        <v/>
      </c>
      <c r="L739" s="17"/>
      <c r="M739" s="29"/>
      <c r="N739" s="72"/>
      <c r="O739" s="73"/>
      <c r="P739" s="73"/>
      <c r="Q739" s="72"/>
      <c r="R739" s="72"/>
      <c r="S739" s="31" t="str">
        <f t="shared" si="152"/>
        <v/>
      </c>
      <c r="T739" s="32" t="str">
        <f t="shared" si="153"/>
        <v/>
      </c>
      <c r="U739" s="73"/>
      <c r="V739" s="72"/>
      <c r="W739" s="72"/>
    </row>
    <row r="740" ht="21.75" customHeight="1">
      <c r="A740" s="134"/>
      <c r="B740" s="64"/>
      <c r="C740" s="23"/>
      <c r="D740" s="23"/>
      <c r="E740" s="24"/>
      <c r="F740" s="25"/>
      <c r="G740" s="24"/>
      <c r="H740" s="26"/>
      <c r="I740" s="27"/>
      <c r="J740" s="28"/>
      <c r="K740" s="28" t="str">
        <f t="shared" si="151"/>
        <v/>
      </c>
      <c r="L740" s="17"/>
      <c r="M740" s="29"/>
      <c r="N740" s="72"/>
      <c r="O740" s="73"/>
      <c r="P740" s="73"/>
      <c r="Q740" s="72"/>
      <c r="R740" s="72"/>
      <c r="S740" s="31" t="str">
        <f t="shared" si="152"/>
        <v/>
      </c>
      <c r="T740" s="32" t="str">
        <f t="shared" si="153"/>
        <v/>
      </c>
      <c r="U740" s="73"/>
      <c r="V740" s="72"/>
      <c r="W740" s="72"/>
    </row>
    <row r="741" ht="21.75" customHeight="1">
      <c r="A741" s="134"/>
      <c r="B741" s="64"/>
      <c r="C741" s="23"/>
      <c r="D741" s="23"/>
      <c r="E741" s="24"/>
      <c r="F741" s="25"/>
      <c r="G741" s="24"/>
      <c r="H741" s="26"/>
      <c r="I741" s="27"/>
      <c r="J741" s="28"/>
      <c r="K741" s="28" t="str">
        <f t="shared" si="151"/>
        <v/>
      </c>
      <c r="L741" s="17"/>
      <c r="M741" s="29"/>
      <c r="N741" s="72"/>
      <c r="O741" s="73"/>
      <c r="P741" s="73"/>
      <c r="Q741" s="72"/>
      <c r="R741" s="72"/>
      <c r="S741" s="31" t="str">
        <f t="shared" si="152"/>
        <v/>
      </c>
      <c r="T741" s="32" t="str">
        <f t="shared" si="153"/>
        <v/>
      </c>
      <c r="U741" s="73"/>
      <c r="V741" s="72"/>
      <c r="W741" s="72"/>
    </row>
    <row r="742" ht="21.75" customHeight="1">
      <c r="A742" s="134"/>
      <c r="B742" s="64"/>
      <c r="C742" s="23"/>
      <c r="D742" s="23"/>
      <c r="E742" s="24"/>
      <c r="F742" s="25"/>
      <c r="G742" s="24"/>
      <c r="H742" s="26"/>
      <c r="I742" s="27"/>
      <c r="J742" s="28"/>
      <c r="K742" s="28" t="str">
        <f t="shared" si="151"/>
        <v/>
      </c>
      <c r="L742" s="17"/>
      <c r="M742" s="29"/>
      <c r="N742" s="72"/>
      <c r="O742" s="73"/>
      <c r="P742" s="73"/>
      <c r="Q742" s="72"/>
      <c r="R742" s="72"/>
      <c r="S742" s="31" t="str">
        <f t="shared" si="152"/>
        <v/>
      </c>
      <c r="T742" s="32" t="str">
        <f t="shared" si="153"/>
        <v/>
      </c>
      <c r="U742" s="73"/>
      <c r="V742" s="72"/>
      <c r="W742" s="72"/>
    </row>
    <row r="743" ht="21.75" customHeight="1">
      <c r="A743" s="134"/>
      <c r="B743" s="64"/>
      <c r="C743" s="23"/>
      <c r="D743" s="23"/>
      <c r="E743" s="24"/>
      <c r="F743" s="25"/>
      <c r="G743" s="24"/>
      <c r="H743" s="26"/>
      <c r="I743" s="27"/>
      <c r="J743" s="28"/>
      <c r="K743" s="28" t="str">
        <f t="shared" si="151"/>
        <v/>
      </c>
      <c r="L743" s="17"/>
      <c r="M743" s="29"/>
      <c r="N743" s="72"/>
      <c r="O743" s="73"/>
      <c r="P743" s="73"/>
      <c r="Q743" s="72"/>
      <c r="R743" s="72"/>
      <c r="S743" s="31" t="str">
        <f t="shared" si="152"/>
        <v/>
      </c>
      <c r="T743" s="32" t="str">
        <f t="shared" si="153"/>
        <v/>
      </c>
      <c r="U743" s="73"/>
      <c r="V743" s="72"/>
      <c r="W743" s="72"/>
    </row>
    <row r="744" ht="21.75" customHeight="1">
      <c r="A744" s="134"/>
      <c r="B744" s="64"/>
      <c r="C744" s="23"/>
      <c r="D744" s="23"/>
      <c r="E744" s="24"/>
      <c r="F744" s="25"/>
      <c r="G744" s="24"/>
      <c r="H744" s="26"/>
      <c r="I744" s="27"/>
      <c r="J744" s="28"/>
      <c r="K744" s="28" t="str">
        <f t="shared" si="151"/>
        <v/>
      </c>
      <c r="L744" s="17"/>
      <c r="M744" s="29"/>
      <c r="N744" s="72"/>
      <c r="O744" s="73"/>
      <c r="P744" s="73"/>
      <c r="Q744" s="72"/>
      <c r="R744" s="72"/>
      <c r="S744" s="31" t="str">
        <f t="shared" si="152"/>
        <v/>
      </c>
      <c r="T744" s="32" t="str">
        <f t="shared" si="153"/>
        <v/>
      </c>
      <c r="U744" s="73"/>
      <c r="V744" s="72"/>
      <c r="W744" s="72"/>
    </row>
    <row r="745" ht="21.75" customHeight="1">
      <c r="A745" s="134"/>
      <c r="B745" s="64"/>
      <c r="C745" s="23"/>
      <c r="D745" s="23"/>
      <c r="E745" s="24"/>
      <c r="F745" s="25"/>
      <c r="G745" s="24"/>
      <c r="H745" s="26"/>
      <c r="I745" s="27"/>
      <c r="J745" s="28"/>
      <c r="K745" s="28" t="str">
        <f t="shared" si="151"/>
        <v/>
      </c>
      <c r="L745" s="17"/>
      <c r="M745" s="29"/>
      <c r="N745" s="72"/>
      <c r="O745" s="73"/>
      <c r="P745" s="73"/>
      <c r="Q745" s="72"/>
      <c r="R745" s="72"/>
      <c r="S745" s="31" t="str">
        <f t="shared" si="152"/>
        <v/>
      </c>
      <c r="T745" s="32" t="str">
        <f t="shared" si="153"/>
        <v/>
      </c>
      <c r="U745" s="73"/>
      <c r="V745" s="72"/>
      <c r="W745" s="72"/>
    </row>
    <row r="746" ht="21.75" customHeight="1">
      <c r="A746" s="134"/>
      <c r="B746" s="64"/>
      <c r="C746" s="23"/>
      <c r="D746" s="23"/>
      <c r="E746" s="24"/>
      <c r="F746" s="25"/>
      <c r="G746" s="24"/>
      <c r="H746" s="26"/>
      <c r="I746" s="27"/>
      <c r="J746" s="28"/>
      <c r="K746" s="28" t="str">
        <f t="shared" si="151"/>
        <v/>
      </c>
      <c r="L746" s="17"/>
      <c r="M746" s="29"/>
      <c r="N746" s="72"/>
      <c r="O746" s="73"/>
      <c r="P746" s="73"/>
      <c r="Q746" s="72"/>
      <c r="R746" s="72"/>
      <c r="S746" s="31" t="str">
        <f t="shared" si="152"/>
        <v/>
      </c>
      <c r="T746" s="32" t="str">
        <f t="shared" si="153"/>
        <v/>
      </c>
      <c r="U746" s="73"/>
      <c r="V746" s="72"/>
      <c r="W746" s="72"/>
    </row>
    <row r="747" ht="21.75" customHeight="1">
      <c r="A747" s="134"/>
      <c r="B747" s="64"/>
      <c r="C747" s="23"/>
      <c r="D747" s="23"/>
      <c r="E747" s="24"/>
      <c r="F747" s="25"/>
      <c r="G747" s="24"/>
      <c r="H747" s="26"/>
      <c r="I747" s="27"/>
      <c r="J747" s="28"/>
      <c r="K747" s="28" t="str">
        <f t="shared" si="151"/>
        <v/>
      </c>
      <c r="L747" s="17"/>
      <c r="M747" s="29"/>
      <c r="N747" s="72"/>
      <c r="O747" s="73"/>
      <c r="P747" s="73"/>
      <c r="Q747" s="72"/>
      <c r="R747" s="72"/>
      <c r="S747" s="31" t="str">
        <f t="shared" si="152"/>
        <v/>
      </c>
      <c r="T747" s="32" t="str">
        <f t="shared" si="153"/>
        <v/>
      </c>
      <c r="U747" s="73"/>
      <c r="V747" s="72"/>
      <c r="W747" s="72"/>
    </row>
    <row r="748" ht="21.75" customHeight="1">
      <c r="A748" s="134"/>
      <c r="B748" s="64"/>
      <c r="C748" s="23"/>
      <c r="D748" s="23"/>
      <c r="E748" s="24"/>
      <c r="F748" s="25"/>
      <c r="G748" s="24"/>
      <c r="H748" s="26"/>
      <c r="I748" s="27"/>
      <c r="J748" s="28"/>
      <c r="K748" s="28" t="str">
        <f t="shared" si="151"/>
        <v/>
      </c>
      <c r="L748" s="17"/>
      <c r="M748" s="29"/>
      <c r="N748" s="72"/>
      <c r="O748" s="73"/>
      <c r="P748" s="73"/>
      <c r="Q748" s="72"/>
      <c r="R748" s="72"/>
      <c r="S748" s="31" t="str">
        <f t="shared" si="152"/>
        <v/>
      </c>
      <c r="T748" s="32" t="str">
        <f t="shared" si="153"/>
        <v/>
      </c>
      <c r="U748" s="73"/>
      <c r="V748" s="72"/>
      <c r="W748" s="72"/>
    </row>
    <row r="749" ht="21.75" customHeight="1">
      <c r="A749" s="134"/>
      <c r="B749" s="64"/>
      <c r="C749" s="23"/>
      <c r="D749" s="23"/>
      <c r="E749" s="24"/>
      <c r="F749" s="25"/>
      <c r="G749" s="24"/>
      <c r="H749" s="26"/>
      <c r="I749" s="27"/>
      <c r="J749" s="28"/>
      <c r="K749" s="28" t="str">
        <f t="shared" si="151"/>
        <v/>
      </c>
      <c r="L749" s="17"/>
      <c r="M749" s="29"/>
      <c r="N749" s="72"/>
      <c r="O749" s="73"/>
      <c r="P749" s="73"/>
      <c r="Q749" s="72"/>
      <c r="R749" s="72"/>
      <c r="S749" s="31" t="str">
        <f t="shared" si="152"/>
        <v/>
      </c>
      <c r="T749" s="32" t="str">
        <f t="shared" si="153"/>
        <v/>
      </c>
      <c r="U749" s="73"/>
      <c r="V749" s="72"/>
      <c r="W749" s="72"/>
    </row>
    <row r="750" ht="21.75" customHeight="1">
      <c r="A750" s="134"/>
      <c r="B750" s="64"/>
      <c r="C750" s="23"/>
      <c r="D750" s="23"/>
      <c r="E750" s="24"/>
      <c r="F750" s="25"/>
      <c r="G750" s="24"/>
      <c r="H750" s="26"/>
      <c r="I750" s="27"/>
      <c r="J750" s="28"/>
      <c r="K750" s="28" t="str">
        <f t="shared" si="151"/>
        <v/>
      </c>
      <c r="L750" s="17"/>
      <c r="M750" s="29"/>
      <c r="N750" s="72"/>
      <c r="O750" s="73"/>
      <c r="P750" s="73"/>
      <c r="Q750" s="72"/>
      <c r="R750" s="72"/>
      <c r="S750" s="31" t="str">
        <f t="shared" si="152"/>
        <v/>
      </c>
      <c r="T750" s="32" t="str">
        <f t="shared" si="153"/>
        <v/>
      </c>
      <c r="U750" s="73"/>
      <c r="V750" s="72"/>
      <c r="W750" s="72"/>
    </row>
    <row r="751" ht="21.75" customHeight="1">
      <c r="A751" s="134"/>
      <c r="B751" s="64"/>
      <c r="C751" s="23"/>
      <c r="D751" s="23"/>
      <c r="E751" s="24"/>
      <c r="F751" s="25"/>
      <c r="G751" s="24"/>
      <c r="H751" s="26"/>
      <c r="I751" s="27"/>
      <c r="J751" s="28"/>
      <c r="K751" s="28" t="str">
        <f t="shared" si="151"/>
        <v/>
      </c>
      <c r="L751" s="17"/>
      <c r="M751" s="29"/>
      <c r="N751" s="72"/>
      <c r="O751" s="73"/>
      <c r="P751" s="73"/>
      <c r="Q751" s="72"/>
      <c r="R751" s="72"/>
      <c r="S751" s="31" t="str">
        <f t="shared" si="152"/>
        <v/>
      </c>
      <c r="T751" s="32" t="str">
        <f t="shared" si="153"/>
        <v/>
      </c>
      <c r="U751" s="73"/>
      <c r="V751" s="72"/>
      <c r="W751" s="72"/>
    </row>
    <row r="752" ht="21.75" customHeight="1">
      <c r="A752" s="134"/>
      <c r="B752" s="64"/>
      <c r="C752" s="23"/>
      <c r="D752" s="23"/>
      <c r="E752" s="24"/>
      <c r="F752" s="25"/>
      <c r="G752" s="24"/>
      <c r="H752" s="26"/>
      <c r="I752" s="27"/>
      <c r="J752" s="28"/>
      <c r="K752" s="28" t="str">
        <f t="shared" si="151"/>
        <v/>
      </c>
      <c r="L752" s="17"/>
      <c r="M752" s="29"/>
      <c r="N752" s="72"/>
      <c r="O752" s="73"/>
      <c r="P752" s="73"/>
      <c r="Q752" s="72"/>
      <c r="R752" s="72"/>
      <c r="S752" s="31" t="str">
        <f t="shared" si="152"/>
        <v/>
      </c>
      <c r="T752" s="32" t="str">
        <f t="shared" si="153"/>
        <v/>
      </c>
      <c r="U752" s="73"/>
      <c r="V752" s="72"/>
      <c r="W752" s="72"/>
    </row>
    <row r="753" ht="21.75" customHeight="1">
      <c r="A753" s="134"/>
      <c r="B753" s="64"/>
      <c r="C753" s="23"/>
      <c r="D753" s="23"/>
      <c r="E753" s="24"/>
      <c r="F753" s="25"/>
      <c r="G753" s="24"/>
      <c r="H753" s="26"/>
      <c r="I753" s="27"/>
      <c r="J753" s="28"/>
      <c r="K753" s="28" t="str">
        <f t="shared" si="151"/>
        <v/>
      </c>
      <c r="L753" s="17"/>
      <c r="M753" s="29"/>
      <c r="N753" s="72"/>
      <c r="O753" s="73"/>
      <c r="P753" s="73"/>
      <c r="Q753" s="72"/>
      <c r="R753" s="72"/>
      <c r="S753" s="31" t="str">
        <f t="shared" si="152"/>
        <v/>
      </c>
      <c r="T753" s="32" t="str">
        <f t="shared" si="153"/>
        <v/>
      </c>
      <c r="U753" s="73"/>
      <c r="V753" s="72"/>
      <c r="W753" s="72"/>
    </row>
    <row r="754" ht="21.75" customHeight="1">
      <c r="A754" s="134"/>
      <c r="B754" s="64"/>
      <c r="C754" s="23"/>
      <c r="D754" s="23"/>
      <c r="E754" s="24"/>
      <c r="F754" s="25"/>
      <c r="G754" s="24"/>
      <c r="H754" s="26"/>
      <c r="I754" s="27"/>
      <c r="J754" s="28"/>
      <c r="K754" s="28" t="str">
        <f t="shared" si="151"/>
        <v/>
      </c>
      <c r="L754" s="17"/>
      <c r="M754" s="29"/>
      <c r="N754" s="72"/>
      <c r="O754" s="73"/>
      <c r="P754" s="73"/>
      <c r="Q754" s="72"/>
      <c r="R754" s="72"/>
      <c r="S754" s="31" t="str">
        <f t="shared" si="152"/>
        <v/>
      </c>
      <c r="T754" s="32" t="str">
        <f t="shared" si="153"/>
        <v/>
      </c>
      <c r="U754" s="73"/>
      <c r="V754" s="72"/>
      <c r="W754" s="72"/>
    </row>
    <row r="755" ht="21.75" customHeight="1">
      <c r="A755" s="134"/>
      <c r="B755" s="64"/>
      <c r="C755" s="23"/>
      <c r="D755" s="23"/>
      <c r="E755" s="24"/>
      <c r="F755" s="25"/>
      <c r="G755" s="24"/>
      <c r="H755" s="26"/>
      <c r="I755" s="27"/>
      <c r="J755" s="28"/>
      <c r="K755" s="28" t="str">
        <f t="shared" si="151"/>
        <v/>
      </c>
      <c r="L755" s="17"/>
      <c r="M755" s="29"/>
      <c r="N755" s="72"/>
      <c r="O755" s="73"/>
      <c r="P755" s="73"/>
      <c r="Q755" s="72"/>
      <c r="R755" s="72"/>
      <c r="S755" s="31" t="str">
        <f t="shared" si="152"/>
        <v/>
      </c>
      <c r="T755" s="32" t="str">
        <f t="shared" si="153"/>
        <v/>
      </c>
      <c r="U755" s="73"/>
      <c r="V755" s="72"/>
      <c r="W755" s="72"/>
    </row>
    <row r="756" ht="21.75" customHeight="1">
      <c r="A756" s="134"/>
      <c r="B756" s="64"/>
      <c r="C756" s="23"/>
      <c r="D756" s="23"/>
      <c r="E756" s="24"/>
      <c r="F756" s="25"/>
      <c r="G756" s="24"/>
      <c r="H756" s="26"/>
      <c r="I756" s="27"/>
      <c r="J756" s="28"/>
      <c r="K756" s="28" t="str">
        <f t="shared" si="151"/>
        <v/>
      </c>
      <c r="L756" s="17"/>
      <c r="M756" s="29"/>
      <c r="N756" s="72"/>
      <c r="O756" s="73"/>
      <c r="P756" s="73"/>
      <c r="Q756" s="72"/>
      <c r="R756" s="72"/>
      <c r="S756" s="31" t="str">
        <f t="shared" si="152"/>
        <v/>
      </c>
      <c r="T756" s="32" t="str">
        <f t="shared" si="153"/>
        <v/>
      </c>
      <c r="U756" s="73"/>
      <c r="V756" s="72"/>
      <c r="W756" s="72"/>
    </row>
    <row r="757" ht="21.75" customHeight="1">
      <c r="A757" s="134"/>
      <c r="B757" s="64"/>
      <c r="C757" s="23"/>
      <c r="D757" s="23"/>
      <c r="E757" s="24"/>
      <c r="F757" s="25"/>
      <c r="G757" s="24"/>
      <c r="H757" s="26"/>
      <c r="I757" s="27"/>
      <c r="J757" s="28"/>
      <c r="K757" s="28" t="str">
        <f t="shared" si="151"/>
        <v/>
      </c>
      <c r="L757" s="17"/>
      <c r="M757" s="29"/>
      <c r="N757" s="72"/>
      <c r="O757" s="73"/>
      <c r="P757" s="73"/>
      <c r="Q757" s="72"/>
      <c r="R757" s="72"/>
      <c r="S757" s="31" t="str">
        <f t="shared" si="152"/>
        <v/>
      </c>
      <c r="T757" s="32" t="str">
        <f t="shared" si="153"/>
        <v/>
      </c>
      <c r="U757" s="73"/>
      <c r="V757" s="72"/>
      <c r="W757" s="72"/>
    </row>
    <row r="758" ht="21.75" customHeight="1">
      <c r="A758" s="134"/>
      <c r="B758" s="64"/>
      <c r="C758" s="23"/>
      <c r="D758" s="23"/>
      <c r="E758" s="24"/>
      <c r="F758" s="25"/>
      <c r="G758" s="24"/>
      <c r="H758" s="26"/>
      <c r="I758" s="27"/>
      <c r="J758" s="28"/>
      <c r="K758" s="28" t="str">
        <f t="shared" si="151"/>
        <v/>
      </c>
      <c r="L758" s="17"/>
      <c r="M758" s="29"/>
      <c r="N758" s="72"/>
      <c r="O758" s="73"/>
      <c r="P758" s="73"/>
      <c r="Q758" s="72"/>
      <c r="R758" s="72"/>
      <c r="S758" s="31" t="str">
        <f t="shared" si="152"/>
        <v/>
      </c>
      <c r="T758" s="32" t="str">
        <f t="shared" si="153"/>
        <v/>
      </c>
      <c r="U758" s="73"/>
      <c r="V758" s="72"/>
      <c r="W758" s="72"/>
    </row>
    <row r="759" ht="21.75" customHeight="1">
      <c r="A759" s="134"/>
      <c r="B759" s="64"/>
      <c r="C759" s="23"/>
      <c r="D759" s="23"/>
      <c r="E759" s="24"/>
      <c r="F759" s="25"/>
      <c r="G759" s="24"/>
      <c r="H759" s="26"/>
      <c r="I759" s="27"/>
      <c r="J759" s="28"/>
      <c r="K759" s="28" t="str">
        <f t="shared" si="151"/>
        <v/>
      </c>
      <c r="L759" s="17"/>
      <c r="M759" s="29"/>
      <c r="N759" s="72"/>
      <c r="O759" s="73"/>
      <c r="P759" s="73"/>
      <c r="Q759" s="72"/>
      <c r="R759" s="72"/>
      <c r="S759" s="31" t="str">
        <f t="shared" si="152"/>
        <v/>
      </c>
      <c r="T759" s="32" t="str">
        <f t="shared" si="153"/>
        <v/>
      </c>
      <c r="U759" s="73"/>
      <c r="V759" s="72"/>
      <c r="W759" s="72"/>
    </row>
    <row r="760" ht="21.75" customHeight="1">
      <c r="A760" s="134"/>
      <c r="B760" s="64"/>
      <c r="C760" s="23"/>
      <c r="D760" s="23"/>
      <c r="E760" s="24"/>
      <c r="F760" s="25"/>
      <c r="G760" s="24"/>
      <c r="H760" s="26"/>
      <c r="I760" s="27"/>
      <c r="J760" s="28"/>
      <c r="K760" s="28" t="str">
        <f t="shared" si="151"/>
        <v/>
      </c>
      <c r="L760" s="17"/>
      <c r="M760" s="29"/>
      <c r="N760" s="72"/>
      <c r="O760" s="73"/>
      <c r="P760" s="73"/>
      <c r="Q760" s="72"/>
      <c r="R760" s="72"/>
      <c r="S760" s="31" t="str">
        <f t="shared" si="152"/>
        <v/>
      </c>
      <c r="T760" s="32" t="str">
        <f t="shared" si="153"/>
        <v/>
      </c>
      <c r="U760" s="73"/>
      <c r="V760" s="72"/>
      <c r="W760" s="72"/>
    </row>
    <row r="761" ht="21.75" customHeight="1">
      <c r="A761" s="134"/>
      <c r="B761" s="64"/>
      <c r="C761" s="23"/>
      <c r="D761" s="23"/>
      <c r="E761" s="24"/>
      <c r="F761" s="25"/>
      <c r="G761" s="24"/>
      <c r="H761" s="26"/>
      <c r="I761" s="27"/>
      <c r="J761" s="28"/>
      <c r="K761" s="28" t="str">
        <f t="shared" si="151"/>
        <v/>
      </c>
      <c r="L761" s="17"/>
      <c r="M761" s="29"/>
      <c r="N761" s="72"/>
      <c r="O761" s="73"/>
      <c r="P761" s="73"/>
      <c r="Q761" s="72"/>
      <c r="R761" s="72"/>
      <c r="S761" s="31" t="str">
        <f t="shared" si="152"/>
        <v/>
      </c>
      <c r="T761" s="32" t="str">
        <f t="shared" si="153"/>
        <v/>
      </c>
      <c r="U761" s="73"/>
      <c r="V761" s="72"/>
      <c r="W761" s="72"/>
    </row>
    <row r="762" ht="21.75" customHeight="1">
      <c r="A762" s="134"/>
      <c r="B762" s="64"/>
      <c r="C762" s="23"/>
      <c r="D762" s="23"/>
      <c r="E762" s="24"/>
      <c r="F762" s="25"/>
      <c r="G762" s="24"/>
      <c r="H762" s="26"/>
      <c r="I762" s="27"/>
      <c r="J762" s="28"/>
      <c r="K762" s="28" t="str">
        <f t="shared" si="151"/>
        <v/>
      </c>
      <c r="L762" s="17"/>
      <c r="M762" s="29"/>
      <c r="N762" s="72"/>
      <c r="O762" s="73"/>
      <c r="P762" s="73"/>
      <c r="Q762" s="72"/>
      <c r="R762" s="72"/>
      <c r="S762" s="31" t="str">
        <f t="shared" si="152"/>
        <v/>
      </c>
      <c r="T762" s="32" t="str">
        <f t="shared" si="153"/>
        <v/>
      </c>
      <c r="U762" s="73"/>
      <c r="V762" s="72"/>
      <c r="W762" s="72"/>
    </row>
    <row r="763" ht="21.75" customHeight="1">
      <c r="A763" s="134"/>
      <c r="B763" s="64"/>
      <c r="C763" s="23"/>
      <c r="D763" s="23"/>
      <c r="E763" s="24"/>
      <c r="F763" s="25"/>
      <c r="G763" s="24"/>
      <c r="H763" s="26"/>
      <c r="I763" s="27"/>
      <c r="J763" s="28"/>
      <c r="K763" s="28" t="str">
        <f t="shared" si="151"/>
        <v/>
      </c>
      <c r="L763" s="17"/>
      <c r="M763" s="29"/>
      <c r="N763" s="72"/>
      <c r="O763" s="73"/>
      <c r="P763" s="73"/>
      <c r="Q763" s="72"/>
      <c r="R763" s="72"/>
      <c r="S763" s="31" t="str">
        <f t="shared" si="152"/>
        <v/>
      </c>
      <c r="T763" s="32" t="str">
        <f t="shared" si="153"/>
        <v/>
      </c>
      <c r="U763" s="73"/>
      <c r="V763" s="72"/>
      <c r="W763" s="72"/>
    </row>
    <row r="764" ht="21.75" customHeight="1">
      <c r="A764" s="134"/>
      <c r="B764" s="64"/>
      <c r="C764" s="23"/>
      <c r="D764" s="23"/>
      <c r="E764" s="24"/>
      <c r="F764" s="25"/>
      <c r="G764" s="24"/>
      <c r="H764" s="26"/>
      <c r="I764" s="27"/>
      <c r="J764" s="28"/>
      <c r="K764" s="28" t="str">
        <f t="shared" si="151"/>
        <v/>
      </c>
      <c r="L764" s="17"/>
      <c r="M764" s="29"/>
      <c r="N764" s="72"/>
      <c r="O764" s="73"/>
      <c r="P764" s="73"/>
      <c r="Q764" s="72"/>
      <c r="R764" s="72"/>
      <c r="S764" s="31" t="str">
        <f t="shared" si="152"/>
        <v/>
      </c>
      <c r="T764" s="32" t="str">
        <f t="shared" si="153"/>
        <v/>
      </c>
      <c r="U764" s="73"/>
      <c r="V764" s="72"/>
      <c r="W764" s="72"/>
    </row>
    <row r="765" ht="21.75" customHeight="1">
      <c r="A765" s="134"/>
      <c r="B765" s="64"/>
      <c r="C765" s="23"/>
      <c r="D765" s="23"/>
      <c r="E765" s="24"/>
      <c r="F765" s="25"/>
      <c r="G765" s="24"/>
      <c r="H765" s="26"/>
      <c r="I765" s="27"/>
      <c r="J765" s="28"/>
      <c r="K765" s="28" t="str">
        <f t="shared" si="151"/>
        <v/>
      </c>
      <c r="L765" s="17"/>
      <c r="M765" s="29"/>
      <c r="N765" s="72"/>
      <c r="O765" s="73"/>
      <c r="P765" s="73"/>
      <c r="Q765" s="72"/>
      <c r="R765" s="72"/>
      <c r="S765" s="31" t="str">
        <f t="shared" si="152"/>
        <v/>
      </c>
      <c r="T765" s="32" t="str">
        <f t="shared" si="153"/>
        <v/>
      </c>
      <c r="U765" s="73"/>
      <c r="V765" s="72"/>
      <c r="W765" s="72"/>
    </row>
    <row r="766" ht="21.75" customHeight="1">
      <c r="A766" s="134"/>
      <c r="B766" s="64"/>
      <c r="C766" s="23"/>
      <c r="D766" s="23"/>
      <c r="E766" s="24"/>
      <c r="F766" s="25"/>
      <c r="G766" s="24"/>
      <c r="H766" s="26"/>
      <c r="I766" s="27"/>
      <c r="J766" s="28"/>
      <c r="K766" s="28" t="str">
        <f t="shared" si="151"/>
        <v/>
      </c>
      <c r="L766" s="17"/>
      <c r="M766" s="29"/>
      <c r="N766" s="72"/>
      <c r="O766" s="73"/>
      <c r="P766" s="73"/>
      <c r="Q766" s="72"/>
      <c r="R766" s="72"/>
      <c r="S766" s="31" t="str">
        <f t="shared" si="152"/>
        <v/>
      </c>
      <c r="T766" s="32" t="str">
        <f t="shared" si="153"/>
        <v/>
      </c>
      <c r="U766" s="73"/>
      <c r="V766" s="72"/>
      <c r="W766" s="72"/>
    </row>
    <row r="767" ht="21.75" customHeight="1">
      <c r="A767" s="134"/>
      <c r="B767" s="64"/>
      <c r="C767" s="23"/>
      <c r="D767" s="23"/>
      <c r="E767" s="24"/>
      <c r="F767" s="25"/>
      <c r="G767" s="24"/>
      <c r="H767" s="26"/>
      <c r="I767" s="27"/>
      <c r="J767" s="28"/>
      <c r="K767" s="28" t="str">
        <f t="shared" si="151"/>
        <v/>
      </c>
      <c r="L767" s="17"/>
      <c r="M767" s="29"/>
      <c r="N767" s="72"/>
      <c r="O767" s="73"/>
      <c r="P767" s="73"/>
      <c r="Q767" s="72"/>
      <c r="R767" s="72"/>
      <c r="S767" s="31" t="str">
        <f t="shared" si="152"/>
        <v/>
      </c>
      <c r="T767" s="32" t="str">
        <f t="shared" si="153"/>
        <v/>
      </c>
      <c r="U767" s="73"/>
      <c r="V767" s="72"/>
      <c r="W767" s="72"/>
    </row>
    <row r="768" ht="21.75" customHeight="1">
      <c r="A768" s="134"/>
      <c r="B768" s="64"/>
      <c r="C768" s="23"/>
      <c r="D768" s="23"/>
      <c r="E768" s="24"/>
      <c r="F768" s="25"/>
      <c r="G768" s="24"/>
      <c r="H768" s="26"/>
      <c r="I768" s="27"/>
      <c r="J768" s="28"/>
      <c r="K768" s="28" t="str">
        <f t="shared" si="151"/>
        <v/>
      </c>
      <c r="L768" s="17"/>
      <c r="M768" s="29"/>
      <c r="N768" s="72"/>
      <c r="O768" s="73"/>
      <c r="P768" s="73"/>
      <c r="Q768" s="72"/>
      <c r="R768" s="72"/>
      <c r="S768" s="31" t="str">
        <f t="shared" si="152"/>
        <v/>
      </c>
      <c r="T768" s="32" t="str">
        <f t="shared" si="153"/>
        <v/>
      </c>
      <c r="U768" s="73"/>
      <c r="V768" s="72"/>
      <c r="W768" s="72"/>
    </row>
    <row r="769" ht="21.75" customHeight="1">
      <c r="A769" s="134"/>
      <c r="B769" s="64"/>
      <c r="C769" s="23"/>
      <c r="D769" s="23"/>
      <c r="E769" s="24"/>
      <c r="F769" s="25"/>
      <c r="G769" s="24"/>
      <c r="H769" s="26"/>
      <c r="I769" s="27"/>
      <c r="J769" s="28"/>
      <c r="K769" s="28" t="str">
        <f t="shared" si="151"/>
        <v/>
      </c>
      <c r="L769" s="17"/>
      <c r="M769" s="29"/>
      <c r="N769" s="72"/>
      <c r="O769" s="73"/>
      <c r="P769" s="73"/>
      <c r="Q769" s="72"/>
      <c r="R769" s="72"/>
      <c r="S769" s="31" t="str">
        <f t="shared" si="152"/>
        <v/>
      </c>
      <c r="T769" s="32" t="str">
        <f t="shared" si="153"/>
        <v/>
      </c>
      <c r="U769" s="73"/>
      <c r="V769" s="72"/>
      <c r="W769" s="72"/>
    </row>
    <row r="770" ht="21.75" customHeight="1">
      <c r="A770" s="134"/>
      <c r="B770" s="64"/>
      <c r="C770" s="23"/>
      <c r="D770" s="23"/>
      <c r="E770" s="24"/>
      <c r="F770" s="25"/>
      <c r="G770" s="24"/>
      <c r="H770" s="26"/>
      <c r="I770" s="27"/>
      <c r="J770" s="28"/>
      <c r="K770" s="28" t="str">
        <f t="shared" si="151"/>
        <v/>
      </c>
      <c r="L770" s="17"/>
      <c r="M770" s="29"/>
      <c r="N770" s="72"/>
      <c r="O770" s="73"/>
      <c r="P770" s="73"/>
      <c r="Q770" s="72"/>
      <c r="R770" s="72"/>
      <c r="S770" s="31" t="str">
        <f t="shared" si="152"/>
        <v/>
      </c>
      <c r="T770" s="32" t="str">
        <f t="shared" si="153"/>
        <v/>
      </c>
      <c r="U770" s="73"/>
      <c r="V770" s="72"/>
      <c r="W770" s="72"/>
    </row>
    <row r="771" ht="21.75" customHeight="1">
      <c r="A771" s="134"/>
      <c r="B771" s="64"/>
      <c r="C771" s="23"/>
      <c r="D771" s="23"/>
      <c r="E771" s="24"/>
      <c r="F771" s="25"/>
      <c r="G771" s="24"/>
      <c r="H771" s="26"/>
      <c r="I771" s="27"/>
      <c r="J771" s="28"/>
      <c r="K771" s="28" t="str">
        <f t="shared" si="151"/>
        <v/>
      </c>
      <c r="L771" s="17"/>
      <c r="M771" s="29"/>
      <c r="N771" s="72"/>
      <c r="O771" s="73"/>
      <c r="P771" s="73"/>
      <c r="Q771" s="72"/>
      <c r="R771" s="72"/>
      <c r="S771" s="31" t="str">
        <f t="shared" si="152"/>
        <v/>
      </c>
      <c r="T771" s="32" t="str">
        <f t="shared" si="153"/>
        <v/>
      </c>
      <c r="U771" s="73"/>
      <c r="V771" s="72"/>
      <c r="W771" s="72"/>
    </row>
    <row r="772" ht="21.75" customHeight="1">
      <c r="A772" s="134"/>
      <c r="B772" s="64"/>
      <c r="C772" s="23"/>
      <c r="D772" s="23"/>
      <c r="E772" s="24"/>
      <c r="F772" s="25"/>
      <c r="G772" s="24"/>
      <c r="H772" s="26"/>
      <c r="I772" s="27"/>
      <c r="J772" s="28"/>
      <c r="K772" s="28" t="str">
        <f t="shared" si="151"/>
        <v/>
      </c>
      <c r="L772" s="17"/>
      <c r="M772" s="29"/>
      <c r="N772" s="72"/>
      <c r="O772" s="73"/>
      <c r="P772" s="73"/>
      <c r="Q772" s="72"/>
      <c r="R772" s="72"/>
      <c r="S772" s="31" t="str">
        <f t="shared" si="152"/>
        <v/>
      </c>
      <c r="T772" s="32" t="str">
        <f t="shared" si="153"/>
        <v/>
      </c>
      <c r="U772" s="73"/>
      <c r="V772" s="72"/>
      <c r="W772" s="72"/>
    </row>
    <row r="773" ht="21.75" customHeight="1">
      <c r="A773" s="134"/>
      <c r="B773" s="64"/>
      <c r="C773" s="23"/>
      <c r="D773" s="23"/>
      <c r="E773" s="24"/>
      <c r="F773" s="25"/>
      <c r="G773" s="24"/>
      <c r="H773" s="26"/>
      <c r="I773" s="27"/>
      <c r="J773" s="28"/>
      <c r="K773" s="28" t="str">
        <f t="shared" si="151"/>
        <v/>
      </c>
      <c r="L773" s="17"/>
      <c r="M773" s="29"/>
      <c r="N773" s="72"/>
      <c r="O773" s="73"/>
      <c r="P773" s="73"/>
      <c r="Q773" s="72"/>
      <c r="R773" s="72"/>
      <c r="S773" s="31" t="str">
        <f t="shared" si="152"/>
        <v/>
      </c>
      <c r="T773" s="32" t="str">
        <f t="shared" si="153"/>
        <v/>
      </c>
      <c r="U773" s="73"/>
      <c r="V773" s="72"/>
      <c r="W773" s="72"/>
    </row>
    <row r="774" ht="21.75" customHeight="1">
      <c r="A774" s="134"/>
      <c r="B774" s="64"/>
      <c r="C774" s="23"/>
      <c r="D774" s="23"/>
      <c r="E774" s="24"/>
      <c r="F774" s="25"/>
      <c r="G774" s="24"/>
      <c r="H774" s="26"/>
      <c r="I774" s="27"/>
      <c r="J774" s="28"/>
      <c r="K774" s="28" t="str">
        <f t="shared" si="151"/>
        <v/>
      </c>
      <c r="L774" s="17"/>
      <c r="M774" s="29"/>
      <c r="N774" s="72"/>
      <c r="O774" s="73"/>
      <c r="P774" s="73"/>
      <c r="Q774" s="72"/>
      <c r="R774" s="72"/>
      <c r="S774" s="31" t="str">
        <f t="shared" si="152"/>
        <v/>
      </c>
      <c r="T774" s="32" t="str">
        <f t="shared" si="153"/>
        <v/>
      </c>
      <c r="U774" s="73"/>
      <c r="V774" s="72"/>
      <c r="W774" s="72"/>
    </row>
    <row r="775" ht="21.75" customHeight="1">
      <c r="A775" s="134"/>
      <c r="B775" s="64"/>
      <c r="C775" s="23"/>
      <c r="D775" s="23"/>
      <c r="E775" s="24"/>
      <c r="F775" s="25"/>
      <c r="G775" s="24"/>
      <c r="H775" s="26"/>
      <c r="I775" s="27"/>
      <c r="J775" s="28"/>
      <c r="K775" s="28" t="str">
        <f t="shared" si="151"/>
        <v/>
      </c>
      <c r="L775" s="17"/>
      <c r="M775" s="29"/>
      <c r="N775" s="72"/>
      <c r="O775" s="73"/>
      <c r="P775" s="73"/>
      <c r="Q775" s="72"/>
      <c r="R775" s="72"/>
      <c r="S775" s="31" t="str">
        <f t="shared" si="152"/>
        <v/>
      </c>
      <c r="T775" s="32" t="str">
        <f t="shared" si="153"/>
        <v/>
      </c>
      <c r="U775" s="73"/>
      <c r="V775" s="72"/>
      <c r="W775" s="72"/>
    </row>
    <row r="776" ht="21.75" customHeight="1">
      <c r="A776" s="134"/>
      <c r="B776" s="64"/>
      <c r="C776" s="23"/>
      <c r="D776" s="23"/>
      <c r="E776" s="24"/>
      <c r="F776" s="25"/>
      <c r="G776" s="24"/>
      <c r="H776" s="26"/>
      <c r="I776" s="27"/>
      <c r="J776" s="28"/>
      <c r="K776" s="28" t="str">
        <f t="shared" si="151"/>
        <v/>
      </c>
      <c r="L776" s="17"/>
      <c r="M776" s="29"/>
      <c r="N776" s="72"/>
      <c r="O776" s="73"/>
      <c r="P776" s="73"/>
      <c r="Q776" s="72"/>
      <c r="R776" s="72"/>
      <c r="S776" s="31" t="str">
        <f t="shared" si="152"/>
        <v/>
      </c>
      <c r="T776" s="32" t="str">
        <f t="shared" si="153"/>
        <v/>
      </c>
      <c r="U776" s="73"/>
      <c r="V776" s="72"/>
      <c r="W776" s="72"/>
    </row>
    <row r="777" ht="21.75" customHeight="1">
      <c r="A777" s="134"/>
      <c r="B777" s="64"/>
      <c r="C777" s="23"/>
      <c r="D777" s="23"/>
      <c r="E777" s="24"/>
      <c r="F777" s="25"/>
      <c r="G777" s="24"/>
      <c r="H777" s="26"/>
      <c r="I777" s="27"/>
      <c r="J777" s="28"/>
      <c r="K777" s="28" t="str">
        <f t="shared" si="151"/>
        <v/>
      </c>
      <c r="L777" s="17"/>
      <c r="M777" s="29"/>
      <c r="N777" s="72"/>
      <c r="O777" s="73"/>
      <c r="P777" s="73"/>
      <c r="Q777" s="72"/>
      <c r="R777" s="72"/>
      <c r="S777" s="31" t="str">
        <f t="shared" si="152"/>
        <v/>
      </c>
      <c r="T777" s="32" t="str">
        <f t="shared" si="153"/>
        <v/>
      </c>
      <c r="U777" s="73"/>
      <c r="V777" s="72"/>
      <c r="W777" s="72"/>
    </row>
    <row r="778" ht="21.75" customHeight="1">
      <c r="A778" s="134"/>
      <c r="B778" s="64"/>
      <c r="C778" s="23"/>
      <c r="D778" s="23"/>
      <c r="E778" s="24"/>
      <c r="F778" s="25"/>
      <c r="G778" s="24"/>
      <c r="H778" s="26"/>
      <c r="I778" s="27"/>
      <c r="J778" s="28"/>
      <c r="K778" s="28" t="str">
        <f t="shared" si="151"/>
        <v/>
      </c>
      <c r="L778" s="17"/>
      <c r="M778" s="29"/>
      <c r="N778" s="72"/>
      <c r="O778" s="73"/>
      <c r="P778" s="73"/>
      <c r="Q778" s="72"/>
      <c r="R778" s="72"/>
      <c r="S778" s="31" t="str">
        <f t="shared" si="152"/>
        <v/>
      </c>
      <c r="T778" s="32" t="str">
        <f t="shared" si="153"/>
        <v/>
      </c>
      <c r="U778" s="73"/>
      <c r="V778" s="72"/>
      <c r="W778" s="72"/>
    </row>
    <row r="779" ht="21.75" customHeight="1">
      <c r="A779" s="134"/>
      <c r="B779" s="64"/>
      <c r="C779" s="23"/>
      <c r="D779" s="23"/>
      <c r="E779" s="24"/>
      <c r="F779" s="25"/>
      <c r="G779" s="24"/>
      <c r="H779" s="26"/>
      <c r="I779" s="27"/>
      <c r="J779" s="28"/>
      <c r="K779" s="28" t="str">
        <f t="shared" si="151"/>
        <v/>
      </c>
      <c r="L779" s="17"/>
      <c r="M779" s="29"/>
      <c r="N779" s="72"/>
      <c r="O779" s="73"/>
      <c r="P779" s="73"/>
      <c r="Q779" s="72"/>
      <c r="R779" s="72"/>
      <c r="S779" s="31" t="str">
        <f t="shared" si="152"/>
        <v/>
      </c>
      <c r="T779" s="32" t="str">
        <f t="shared" si="153"/>
        <v/>
      </c>
      <c r="U779" s="73"/>
      <c r="V779" s="72"/>
      <c r="W779" s="72"/>
    </row>
    <row r="780" ht="21.75" customHeight="1">
      <c r="A780" s="134"/>
      <c r="B780" s="64"/>
      <c r="C780" s="23"/>
      <c r="D780" s="23"/>
      <c r="E780" s="24"/>
      <c r="F780" s="25"/>
      <c r="G780" s="24"/>
      <c r="H780" s="26"/>
      <c r="I780" s="27"/>
      <c r="J780" s="28"/>
      <c r="K780" s="28" t="str">
        <f t="shared" si="151"/>
        <v/>
      </c>
      <c r="L780" s="17"/>
      <c r="M780" s="29"/>
      <c r="N780" s="72"/>
      <c r="O780" s="73"/>
      <c r="P780" s="73"/>
      <c r="Q780" s="72"/>
      <c r="R780" s="72"/>
      <c r="S780" s="31" t="str">
        <f t="shared" si="152"/>
        <v/>
      </c>
      <c r="T780" s="32" t="str">
        <f t="shared" si="153"/>
        <v/>
      </c>
      <c r="U780" s="73"/>
      <c r="V780" s="72"/>
      <c r="W780" s="72"/>
    </row>
    <row r="781" ht="21.75" customHeight="1">
      <c r="A781" s="134"/>
      <c r="B781" s="64"/>
      <c r="C781" s="23"/>
      <c r="D781" s="23"/>
      <c r="E781" s="24"/>
      <c r="F781" s="25"/>
      <c r="G781" s="24"/>
      <c r="H781" s="26"/>
      <c r="I781" s="27"/>
      <c r="J781" s="28"/>
      <c r="K781" s="28" t="str">
        <f t="shared" si="151"/>
        <v/>
      </c>
      <c r="L781" s="17"/>
      <c r="M781" s="29"/>
      <c r="N781" s="72"/>
      <c r="O781" s="73"/>
      <c r="P781" s="73"/>
      <c r="Q781" s="72"/>
      <c r="R781" s="72"/>
      <c r="S781" s="31" t="str">
        <f t="shared" si="152"/>
        <v/>
      </c>
      <c r="T781" s="32" t="str">
        <f t="shared" si="153"/>
        <v/>
      </c>
      <c r="U781" s="73"/>
      <c r="V781" s="72"/>
      <c r="W781" s="72"/>
    </row>
    <row r="782" ht="21.75" customHeight="1">
      <c r="A782" s="134"/>
      <c r="B782" s="64"/>
      <c r="C782" s="23"/>
      <c r="D782" s="23"/>
      <c r="E782" s="24"/>
      <c r="F782" s="25"/>
      <c r="G782" s="24"/>
      <c r="H782" s="26"/>
      <c r="I782" s="27"/>
      <c r="J782" s="28"/>
      <c r="K782" s="28" t="str">
        <f t="shared" si="151"/>
        <v/>
      </c>
      <c r="L782" s="17"/>
      <c r="M782" s="29"/>
      <c r="N782" s="72"/>
      <c r="O782" s="73"/>
      <c r="P782" s="73"/>
      <c r="Q782" s="72"/>
      <c r="R782" s="72"/>
      <c r="S782" s="31" t="str">
        <f t="shared" si="152"/>
        <v/>
      </c>
      <c r="T782" s="32" t="str">
        <f t="shared" si="153"/>
        <v/>
      </c>
      <c r="U782" s="73"/>
      <c r="V782" s="72"/>
      <c r="W782" s="72"/>
    </row>
    <row r="783" ht="21.75" customHeight="1">
      <c r="A783" s="134"/>
      <c r="B783" s="64"/>
      <c r="C783" s="23"/>
      <c r="D783" s="23"/>
      <c r="E783" s="24"/>
      <c r="F783" s="25"/>
      <c r="G783" s="24"/>
      <c r="H783" s="26"/>
      <c r="I783" s="27"/>
      <c r="J783" s="28"/>
      <c r="K783" s="28" t="str">
        <f t="shared" si="151"/>
        <v/>
      </c>
      <c r="L783" s="17"/>
      <c r="M783" s="29"/>
      <c r="N783" s="72"/>
      <c r="O783" s="73"/>
      <c r="P783" s="73"/>
      <c r="Q783" s="72"/>
      <c r="R783" s="72"/>
      <c r="S783" s="31" t="str">
        <f t="shared" si="152"/>
        <v/>
      </c>
      <c r="T783" s="32" t="str">
        <f t="shared" si="153"/>
        <v/>
      </c>
      <c r="U783" s="73"/>
      <c r="V783" s="72"/>
      <c r="W783" s="72"/>
    </row>
    <row r="784" ht="21.75" customHeight="1">
      <c r="A784" s="134"/>
      <c r="B784" s="64"/>
      <c r="C784" s="23"/>
      <c r="D784" s="23"/>
      <c r="E784" s="24"/>
      <c r="F784" s="25"/>
      <c r="G784" s="24"/>
      <c r="H784" s="26"/>
      <c r="I784" s="27"/>
      <c r="J784" s="28"/>
      <c r="K784" s="28" t="str">
        <f t="shared" si="151"/>
        <v/>
      </c>
      <c r="L784" s="17"/>
      <c r="M784" s="29"/>
      <c r="N784" s="72"/>
      <c r="O784" s="73"/>
      <c r="P784" s="73"/>
      <c r="Q784" s="72"/>
      <c r="R784" s="72"/>
      <c r="S784" s="31" t="str">
        <f t="shared" si="152"/>
        <v/>
      </c>
      <c r="T784" s="32" t="str">
        <f t="shared" si="153"/>
        <v/>
      </c>
      <c r="U784" s="73"/>
      <c r="V784" s="72"/>
      <c r="W784" s="72"/>
    </row>
    <row r="785" ht="21.75" customHeight="1">
      <c r="A785" s="134"/>
      <c r="B785" s="64"/>
      <c r="C785" s="23"/>
      <c r="D785" s="23"/>
      <c r="E785" s="24"/>
      <c r="F785" s="25"/>
      <c r="G785" s="24"/>
      <c r="H785" s="26"/>
      <c r="I785" s="27"/>
      <c r="J785" s="28"/>
      <c r="K785" s="28" t="str">
        <f t="shared" si="151"/>
        <v/>
      </c>
      <c r="L785" s="17"/>
      <c r="M785" s="29"/>
      <c r="N785" s="72"/>
      <c r="O785" s="73"/>
      <c r="P785" s="73"/>
      <c r="Q785" s="72"/>
      <c r="R785" s="72"/>
      <c r="S785" s="31" t="str">
        <f t="shared" si="152"/>
        <v/>
      </c>
      <c r="T785" s="32" t="str">
        <f t="shared" si="153"/>
        <v/>
      </c>
      <c r="U785" s="73"/>
      <c r="V785" s="72"/>
      <c r="W785" s="72"/>
    </row>
    <row r="786" ht="21.75" customHeight="1">
      <c r="A786" s="134"/>
      <c r="B786" s="64"/>
      <c r="C786" s="23"/>
      <c r="D786" s="23"/>
      <c r="E786" s="24"/>
      <c r="F786" s="25"/>
      <c r="G786" s="24"/>
      <c r="H786" s="26"/>
      <c r="I786" s="27"/>
      <c r="J786" s="28"/>
      <c r="K786" s="28" t="str">
        <f t="shared" si="151"/>
        <v/>
      </c>
      <c r="L786" s="17"/>
      <c r="M786" s="29"/>
      <c r="N786" s="72"/>
      <c r="O786" s="73"/>
      <c r="P786" s="73"/>
      <c r="Q786" s="72"/>
      <c r="R786" s="72"/>
      <c r="S786" s="31" t="str">
        <f t="shared" si="152"/>
        <v/>
      </c>
      <c r="T786" s="32" t="str">
        <f t="shared" si="153"/>
        <v/>
      </c>
      <c r="U786" s="73"/>
      <c r="V786" s="72"/>
      <c r="W786" s="72"/>
    </row>
    <row r="787" ht="21.75" customHeight="1">
      <c r="A787" s="134"/>
      <c r="B787" s="64"/>
      <c r="C787" s="23"/>
      <c r="D787" s="23"/>
      <c r="E787" s="24"/>
      <c r="F787" s="25"/>
      <c r="G787" s="24"/>
      <c r="H787" s="26"/>
      <c r="I787" s="27"/>
      <c r="J787" s="28"/>
      <c r="K787" s="28" t="str">
        <f t="shared" si="151"/>
        <v/>
      </c>
      <c r="L787" s="17"/>
      <c r="M787" s="29"/>
      <c r="N787" s="72"/>
      <c r="O787" s="73"/>
      <c r="P787" s="73"/>
      <c r="Q787" s="72"/>
      <c r="R787" s="72"/>
      <c r="S787" s="31" t="str">
        <f t="shared" si="152"/>
        <v/>
      </c>
      <c r="T787" s="32" t="str">
        <f t="shared" si="153"/>
        <v/>
      </c>
      <c r="U787" s="73"/>
      <c r="V787" s="72"/>
      <c r="W787" s="72"/>
    </row>
    <row r="788" ht="21.75" customHeight="1">
      <c r="A788" s="134"/>
      <c r="B788" s="64"/>
      <c r="C788" s="23"/>
      <c r="D788" s="23"/>
      <c r="E788" s="24"/>
      <c r="F788" s="25"/>
      <c r="G788" s="24"/>
      <c r="H788" s="26"/>
      <c r="I788" s="27"/>
      <c r="J788" s="28"/>
      <c r="K788" s="28" t="str">
        <f t="shared" si="151"/>
        <v/>
      </c>
      <c r="L788" s="17"/>
      <c r="M788" s="29"/>
      <c r="N788" s="72"/>
      <c r="O788" s="73"/>
      <c r="P788" s="73"/>
      <c r="Q788" s="72"/>
      <c r="R788" s="72"/>
      <c r="S788" s="31" t="str">
        <f t="shared" si="152"/>
        <v/>
      </c>
      <c r="T788" s="32" t="str">
        <f t="shared" si="153"/>
        <v/>
      </c>
      <c r="U788" s="73"/>
      <c r="V788" s="72"/>
      <c r="W788" s="72"/>
    </row>
    <row r="789" ht="21.75" customHeight="1">
      <c r="A789" s="134"/>
      <c r="B789" s="64"/>
      <c r="C789" s="23"/>
      <c r="D789" s="23"/>
      <c r="E789" s="24"/>
      <c r="F789" s="25"/>
      <c r="G789" s="24"/>
      <c r="H789" s="26"/>
      <c r="I789" s="27"/>
      <c r="J789" s="28"/>
      <c r="K789" s="28" t="str">
        <f t="shared" si="151"/>
        <v/>
      </c>
      <c r="L789" s="17"/>
      <c r="M789" s="29"/>
      <c r="N789" s="72"/>
      <c r="O789" s="73"/>
      <c r="P789" s="73"/>
      <c r="Q789" s="72"/>
      <c r="R789" s="72"/>
      <c r="S789" s="31" t="str">
        <f t="shared" si="152"/>
        <v/>
      </c>
      <c r="T789" s="32" t="str">
        <f t="shared" si="153"/>
        <v/>
      </c>
      <c r="U789" s="73"/>
      <c r="V789" s="72"/>
      <c r="W789" s="72"/>
    </row>
    <row r="790" ht="21.75" customHeight="1">
      <c r="A790" s="134"/>
      <c r="B790" s="64"/>
      <c r="C790" s="23"/>
      <c r="D790" s="23"/>
      <c r="E790" s="24"/>
      <c r="F790" s="25"/>
      <c r="G790" s="24"/>
      <c r="H790" s="26"/>
      <c r="I790" s="27"/>
      <c r="J790" s="28"/>
      <c r="K790" s="28" t="str">
        <f t="shared" si="151"/>
        <v/>
      </c>
      <c r="L790" s="17"/>
      <c r="M790" s="29"/>
      <c r="N790" s="72"/>
      <c r="O790" s="73"/>
      <c r="P790" s="73"/>
      <c r="Q790" s="72"/>
      <c r="R790" s="72"/>
      <c r="S790" s="31" t="str">
        <f t="shared" si="152"/>
        <v/>
      </c>
      <c r="T790" s="32" t="str">
        <f t="shared" si="153"/>
        <v/>
      </c>
      <c r="U790" s="73"/>
      <c r="V790" s="72"/>
      <c r="W790" s="72"/>
    </row>
    <row r="791" ht="21.75" customHeight="1">
      <c r="A791" s="134"/>
      <c r="B791" s="64"/>
      <c r="C791" s="23"/>
      <c r="D791" s="23"/>
      <c r="E791" s="24"/>
      <c r="F791" s="25"/>
      <c r="G791" s="24"/>
      <c r="H791" s="26"/>
      <c r="I791" s="27"/>
      <c r="J791" s="28"/>
      <c r="K791" s="28" t="str">
        <f t="shared" si="151"/>
        <v/>
      </c>
      <c r="L791" s="17"/>
      <c r="M791" s="29"/>
      <c r="N791" s="72"/>
      <c r="O791" s="73"/>
      <c r="P791" s="73"/>
      <c r="Q791" s="72"/>
      <c r="R791" s="72"/>
      <c r="S791" s="31" t="str">
        <f t="shared" si="152"/>
        <v/>
      </c>
      <c r="T791" s="32" t="str">
        <f t="shared" si="153"/>
        <v/>
      </c>
      <c r="U791" s="73"/>
      <c r="V791" s="72"/>
      <c r="W791" s="72"/>
    </row>
    <row r="792" ht="21.75" customHeight="1">
      <c r="A792" s="134"/>
      <c r="B792" s="64"/>
      <c r="C792" s="23"/>
      <c r="D792" s="23"/>
      <c r="E792" s="24"/>
      <c r="F792" s="25"/>
      <c r="G792" s="24"/>
      <c r="H792" s="26"/>
      <c r="I792" s="27"/>
      <c r="J792" s="28"/>
      <c r="K792" s="28" t="str">
        <f t="shared" si="151"/>
        <v/>
      </c>
      <c r="L792" s="17"/>
      <c r="M792" s="29"/>
      <c r="N792" s="72"/>
      <c r="O792" s="73"/>
      <c r="P792" s="73"/>
      <c r="Q792" s="72"/>
      <c r="R792" s="72"/>
      <c r="S792" s="31" t="str">
        <f t="shared" si="152"/>
        <v/>
      </c>
      <c r="T792" s="32" t="str">
        <f t="shared" si="153"/>
        <v/>
      </c>
      <c r="U792" s="73"/>
      <c r="V792" s="72"/>
      <c r="W792" s="72"/>
    </row>
    <row r="793" ht="21.75" customHeight="1">
      <c r="A793" s="134"/>
      <c r="B793" s="64"/>
      <c r="C793" s="23"/>
      <c r="D793" s="23"/>
      <c r="E793" s="24"/>
      <c r="F793" s="25"/>
      <c r="G793" s="24"/>
      <c r="H793" s="26"/>
      <c r="I793" s="27"/>
      <c r="J793" s="28"/>
      <c r="K793" s="28" t="str">
        <f t="shared" si="151"/>
        <v/>
      </c>
      <c r="L793" s="17"/>
      <c r="M793" s="29"/>
      <c r="N793" s="72"/>
      <c r="O793" s="73"/>
      <c r="P793" s="73"/>
      <c r="Q793" s="72"/>
      <c r="R793" s="72"/>
      <c r="S793" s="31" t="str">
        <f t="shared" si="152"/>
        <v/>
      </c>
      <c r="T793" s="32" t="str">
        <f t="shared" si="153"/>
        <v/>
      </c>
      <c r="U793" s="73"/>
      <c r="V793" s="72"/>
      <c r="W793" s="72"/>
    </row>
    <row r="794" ht="21.75" customHeight="1">
      <c r="A794" s="134"/>
      <c r="B794" s="64"/>
      <c r="C794" s="23"/>
      <c r="D794" s="23"/>
      <c r="E794" s="24"/>
      <c r="F794" s="25"/>
      <c r="G794" s="24"/>
      <c r="H794" s="26"/>
      <c r="I794" s="27"/>
      <c r="J794" s="28"/>
      <c r="K794" s="28" t="str">
        <f t="shared" si="151"/>
        <v/>
      </c>
      <c r="L794" s="17"/>
      <c r="M794" s="29"/>
      <c r="N794" s="72"/>
      <c r="O794" s="73"/>
      <c r="P794" s="73"/>
      <c r="Q794" s="72"/>
      <c r="R794" s="72"/>
      <c r="S794" s="31" t="str">
        <f t="shared" si="152"/>
        <v/>
      </c>
      <c r="T794" s="32" t="str">
        <f t="shared" si="153"/>
        <v/>
      </c>
      <c r="U794" s="73"/>
      <c r="V794" s="72"/>
      <c r="W794" s="72"/>
    </row>
    <row r="795" ht="21.75" customHeight="1">
      <c r="A795" s="134"/>
      <c r="B795" s="64"/>
      <c r="C795" s="23"/>
      <c r="D795" s="23"/>
      <c r="E795" s="24"/>
      <c r="F795" s="25"/>
      <c r="G795" s="24"/>
      <c r="H795" s="26"/>
      <c r="I795" s="27"/>
      <c r="J795" s="28"/>
      <c r="K795" s="28" t="str">
        <f t="shared" si="151"/>
        <v/>
      </c>
      <c r="L795" s="17"/>
      <c r="M795" s="29"/>
      <c r="N795" s="72"/>
      <c r="O795" s="73"/>
      <c r="P795" s="73"/>
      <c r="Q795" s="72"/>
      <c r="R795" s="72"/>
      <c r="S795" s="31" t="str">
        <f t="shared" si="152"/>
        <v/>
      </c>
      <c r="T795" s="32" t="str">
        <f t="shared" si="153"/>
        <v/>
      </c>
      <c r="U795" s="73"/>
      <c r="V795" s="72"/>
      <c r="W795" s="72"/>
    </row>
    <row r="796" ht="21.75" customHeight="1">
      <c r="A796" s="134"/>
      <c r="B796" s="64"/>
      <c r="C796" s="23"/>
      <c r="D796" s="23"/>
      <c r="E796" s="24"/>
      <c r="F796" s="25"/>
      <c r="G796" s="24"/>
      <c r="H796" s="26"/>
      <c r="I796" s="27"/>
      <c r="J796" s="28"/>
      <c r="K796" s="28" t="str">
        <f t="shared" si="151"/>
        <v/>
      </c>
      <c r="L796" s="17"/>
      <c r="M796" s="29"/>
      <c r="N796" s="72"/>
      <c r="O796" s="73"/>
      <c r="P796" s="73"/>
      <c r="Q796" s="72"/>
      <c r="R796" s="72"/>
      <c r="S796" s="31" t="str">
        <f t="shared" si="152"/>
        <v/>
      </c>
      <c r="T796" s="32" t="str">
        <f t="shared" si="153"/>
        <v/>
      </c>
      <c r="U796" s="73"/>
      <c r="V796" s="72"/>
      <c r="W796" s="72"/>
    </row>
    <row r="797" ht="21.75" customHeight="1">
      <c r="A797" s="134"/>
      <c r="B797" s="64"/>
      <c r="C797" s="23"/>
      <c r="D797" s="23"/>
      <c r="E797" s="24"/>
      <c r="F797" s="25"/>
      <c r="G797" s="24"/>
      <c r="H797" s="26"/>
      <c r="I797" s="27"/>
      <c r="J797" s="28"/>
      <c r="K797" s="28" t="str">
        <f t="shared" si="151"/>
        <v/>
      </c>
      <c r="L797" s="17"/>
      <c r="M797" s="29"/>
      <c r="N797" s="72"/>
      <c r="O797" s="73"/>
      <c r="P797" s="73"/>
      <c r="Q797" s="72"/>
      <c r="R797" s="72"/>
      <c r="S797" s="31" t="str">
        <f t="shared" si="152"/>
        <v/>
      </c>
      <c r="T797" s="32" t="str">
        <f t="shared" si="153"/>
        <v/>
      </c>
      <c r="U797" s="73"/>
      <c r="V797" s="72"/>
      <c r="W797" s="72"/>
    </row>
    <row r="798" ht="21.75" customHeight="1">
      <c r="A798" s="134"/>
      <c r="B798" s="64"/>
      <c r="C798" s="23"/>
      <c r="D798" s="23"/>
      <c r="E798" s="24"/>
      <c r="F798" s="25"/>
      <c r="G798" s="24"/>
      <c r="H798" s="26"/>
      <c r="I798" s="27"/>
      <c r="J798" s="28"/>
      <c r="K798" s="28" t="str">
        <f t="shared" si="151"/>
        <v/>
      </c>
      <c r="L798" s="17"/>
      <c r="M798" s="29"/>
      <c r="N798" s="72"/>
      <c r="O798" s="73"/>
      <c r="P798" s="73"/>
      <c r="Q798" s="72"/>
      <c r="R798" s="72"/>
      <c r="S798" s="31" t="str">
        <f t="shared" si="152"/>
        <v/>
      </c>
      <c r="T798" s="32" t="str">
        <f t="shared" si="153"/>
        <v/>
      </c>
      <c r="U798" s="73"/>
      <c r="V798" s="72"/>
      <c r="W798" s="72"/>
    </row>
    <row r="799" ht="21.75" customHeight="1">
      <c r="A799" s="134"/>
      <c r="B799" s="64"/>
      <c r="C799" s="23"/>
      <c r="D799" s="23"/>
      <c r="E799" s="24"/>
      <c r="F799" s="25"/>
      <c r="G799" s="24"/>
      <c r="H799" s="26"/>
      <c r="I799" s="27"/>
      <c r="J799" s="28"/>
      <c r="K799" s="28" t="str">
        <f t="shared" si="151"/>
        <v/>
      </c>
      <c r="L799" s="17"/>
      <c r="M799" s="29"/>
      <c r="N799" s="72"/>
      <c r="O799" s="73"/>
      <c r="P799" s="73"/>
      <c r="Q799" s="72"/>
      <c r="R799" s="72"/>
      <c r="S799" s="31" t="str">
        <f t="shared" si="152"/>
        <v/>
      </c>
      <c r="T799" s="32" t="str">
        <f t="shared" si="153"/>
        <v/>
      </c>
      <c r="U799" s="73"/>
      <c r="V799" s="72"/>
      <c r="W799" s="72"/>
    </row>
    <row r="800" ht="21.75" customHeight="1">
      <c r="A800" s="134"/>
      <c r="B800" s="64"/>
      <c r="C800" s="23"/>
      <c r="D800" s="23"/>
      <c r="E800" s="24"/>
      <c r="F800" s="25"/>
      <c r="G800" s="24"/>
      <c r="H800" s="26"/>
      <c r="I800" s="27"/>
      <c r="J800" s="28"/>
      <c r="K800" s="28" t="str">
        <f t="shared" si="151"/>
        <v/>
      </c>
      <c r="L800" s="17"/>
      <c r="M800" s="29"/>
      <c r="N800" s="72"/>
      <c r="O800" s="73"/>
      <c r="P800" s="73"/>
      <c r="Q800" s="72"/>
      <c r="R800" s="72"/>
      <c r="S800" s="31" t="str">
        <f t="shared" si="152"/>
        <v/>
      </c>
      <c r="T800" s="32" t="str">
        <f t="shared" si="153"/>
        <v/>
      </c>
      <c r="U800" s="73"/>
      <c r="V800" s="72"/>
      <c r="W800" s="72"/>
    </row>
    <row r="801" ht="21.75" customHeight="1">
      <c r="A801" s="134"/>
      <c r="B801" s="64"/>
      <c r="C801" s="23"/>
      <c r="D801" s="23"/>
      <c r="E801" s="24"/>
      <c r="F801" s="25"/>
      <c r="G801" s="24"/>
      <c r="H801" s="26"/>
      <c r="I801" s="27"/>
      <c r="J801" s="28"/>
      <c r="K801" s="28" t="str">
        <f t="shared" si="151"/>
        <v/>
      </c>
      <c r="L801" s="17"/>
      <c r="M801" s="29"/>
      <c r="N801" s="72"/>
      <c r="O801" s="73"/>
      <c r="P801" s="73"/>
      <c r="Q801" s="72"/>
      <c r="R801" s="72"/>
      <c r="S801" s="31" t="str">
        <f t="shared" si="152"/>
        <v/>
      </c>
      <c r="T801" s="32" t="str">
        <f t="shared" si="153"/>
        <v/>
      </c>
      <c r="U801" s="73"/>
      <c r="V801" s="72"/>
      <c r="W801" s="72"/>
    </row>
    <row r="802" ht="21.75" customHeight="1">
      <c r="A802" s="134"/>
      <c r="B802" s="64"/>
      <c r="C802" s="23"/>
      <c r="D802" s="23"/>
      <c r="E802" s="24"/>
      <c r="F802" s="25"/>
      <c r="G802" s="24"/>
      <c r="H802" s="26"/>
      <c r="I802" s="27"/>
      <c r="J802" s="28"/>
      <c r="K802" s="28" t="str">
        <f t="shared" si="151"/>
        <v/>
      </c>
      <c r="L802" s="17"/>
      <c r="M802" s="29"/>
      <c r="N802" s="72"/>
      <c r="O802" s="73"/>
      <c r="P802" s="73"/>
      <c r="Q802" s="72"/>
      <c r="R802" s="72"/>
      <c r="S802" s="31" t="str">
        <f t="shared" si="152"/>
        <v/>
      </c>
      <c r="T802" s="32" t="str">
        <f t="shared" si="153"/>
        <v/>
      </c>
      <c r="U802" s="73"/>
      <c r="V802" s="72"/>
      <c r="W802" s="72"/>
    </row>
    <row r="803" ht="21.75" customHeight="1">
      <c r="A803" s="134"/>
      <c r="B803" s="64"/>
      <c r="C803" s="23"/>
      <c r="D803" s="23"/>
      <c r="E803" s="24"/>
      <c r="F803" s="25"/>
      <c r="G803" s="24"/>
      <c r="H803" s="26"/>
      <c r="I803" s="27"/>
      <c r="J803" s="28"/>
      <c r="K803" s="28" t="str">
        <f t="shared" si="151"/>
        <v/>
      </c>
      <c r="L803" s="17"/>
      <c r="M803" s="29"/>
      <c r="N803" s="72"/>
      <c r="O803" s="73"/>
      <c r="P803" s="73"/>
      <c r="Q803" s="72"/>
      <c r="R803" s="72"/>
      <c r="S803" s="31" t="str">
        <f t="shared" si="152"/>
        <v/>
      </c>
      <c r="T803" s="32" t="str">
        <f t="shared" si="153"/>
        <v/>
      </c>
      <c r="U803" s="73"/>
      <c r="V803" s="72"/>
      <c r="W803" s="72"/>
    </row>
    <row r="804" ht="21.75" customHeight="1">
      <c r="A804" s="134"/>
      <c r="B804" s="64"/>
      <c r="C804" s="23"/>
      <c r="D804" s="23"/>
      <c r="E804" s="24"/>
      <c r="F804" s="25"/>
      <c r="G804" s="24"/>
      <c r="H804" s="26"/>
      <c r="I804" s="27"/>
      <c r="J804" s="28"/>
      <c r="K804" s="28" t="str">
        <f t="shared" si="151"/>
        <v/>
      </c>
      <c r="L804" s="17"/>
      <c r="M804" s="29"/>
      <c r="N804" s="72"/>
      <c r="O804" s="73"/>
      <c r="P804" s="73"/>
      <c r="Q804" s="72"/>
      <c r="R804" s="72"/>
      <c r="S804" s="31" t="str">
        <f t="shared" si="152"/>
        <v/>
      </c>
      <c r="T804" s="32" t="str">
        <f t="shared" si="153"/>
        <v/>
      </c>
      <c r="U804" s="73"/>
      <c r="V804" s="72"/>
      <c r="W804" s="72"/>
    </row>
    <row r="805" ht="21.75" customHeight="1">
      <c r="A805" s="134"/>
      <c r="B805" s="64"/>
      <c r="C805" s="23"/>
      <c r="D805" s="23"/>
      <c r="E805" s="24"/>
      <c r="F805" s="25"/>
      <c r="G805" s="24"/>
      <c r="H805" s="26"/>
      <c r="I805" s="27"/>
      <c r="J805" s="28"/>
      <c r="K805" s="28" t="str">
        <f t="shared" si="151"/>
        <v/>
      </c>
      <c r="L805" s="17"/>
      <c r="M805" s="29"/>
      <c r="N805" s="72"/>
      <c r="O805" s="73"/>
      <c r="P805" s="73"/>
      <c r="Q805" s="72"/>
      <c r="R805" s="72"/>
      <c r="S805" s="31" t="str">
        <f t="shared" si="152"/>
        <v/>
      </c>
      <c r="T805" s="32" t="str">
        <f t="shared" si="153"/>
        <v/>
      </c>
      <c r="U805" s="73"/>
      <c r="V805" s="72"/>
      <c r="W805" s="72"/>
    </row>
    <row r="806" ht="21.75" customHeight="1">
      <c r="A806" s="134"/>
      <c r="B806" s="64"/>
      <c r="C806" s="23"/>
      <c r="D806" s="23"/>
      <c r="E806" s="24"/>
      <c r="F806" s="25"/>
      <c r="G806" s="24"/>
      <c r="H806" s="26"/>
      <c r="I806" s="27"/>
      <c r="J806" s="28"/>
      <c r="K806" s="28" t="str">
        <f t="shared" si="151"/>
        <v/>
      </c>
      <c r="L806" s="17"/>
      <c r="M806" s="29"/>
      <c r="N806" s="72"/>
      <c r="O806" s="73"/>
      <c r="P806" s="73"/>
      <c r="Q806" s="72"/>
      <c r="R806" s="72"/>
      <c r="S806" s="31" t="str">
        <f t="shared" si="152"/>
        <v/>
      </c>
      <c r="T806" s="32" t="str">
        <f t="shared" si="153"/>
        <v/>
      </c>
      <c r="U806" s="73"/>
      <c r="V806" s="72"/>
      <c r="W806" s="72"/>
    </row>
    <row r="807" ht="21.75" customHeight="1">
      <c r="A807" s="134"/>
      <c r="B807" s="64"/>
      <c r="C807" s="23"/>
      <c r="D807" s="23"/>
      <c r="E807" s="24"/>
      <c r="F807" s="25"/>
      <c r="G807" s="24"/>
      <c r="H807" s="26"/>
      <c r="I807" s="27"/>
      <c r="J807" s="28"/>
      <c r="K807" s="28" t="str">
        <f t="shared" si="151"/>
        <v/>
      </c>
      <c r="L807" s="17"/>
      <c r="M807" s="29"/>
      <c r="N807" s="72"/>
      <c r="O807" s="73"/>
      <c r="P807" s="73"/>
      <c r="Q807" s="72"/>
      <c r="R807" s="72"/>
      <c r="S807" s="31" t="str">
        <f t="shared" si="152"/>
        <v/>
      </c>
      <c r="T807" s="32" t="str">
        <f t="shared" si="153"/>
        <v/>
      </c>
      <c r="U807" s="73"/>
      <c r="V807" s="72"/>
      <c r="W807" s="72"/>
    </row>
    <row r="808" ht="21.75" customHeight="1">
      <c r="A808" s="134"/>
      <c r="B808" s="64"/>
      <c r="C808" s="23"/>
      <c r="D808" s="23"/>
      <c r="E808" s="24"/>
      <c r="F808" s="25"/>
      <c r="G808" s="24"/>
      <c r="H808" s="26"/>
      <c r="I808" s="27"/>
      <c r="J808" s="28"/>
      <c r="K808" s="28" t="str">
        <f t="shared" si="151"/>
        <v/>
      </c>
      <c r="L808" s="17"/>
      <c r="M808" s="29"/>
      <c r="N808" s="72"/>
      <c r="O808" s="73"/>
      <c r="P808" s="73"/>
      <c r="Q808" s="72"/>
      <c r="R808" s="72"/>
      <c r="S808" s="31" t="str">
        <f t="shared" si="152"/>
        <v/>
      </c>
      <c r="T808" s="32" t="str">
        <f t="shared" si="153"/>
        <v/>
      </c>
      <c r="U808" s="73"/>
      <c r="V808" s="72"/>
      <c r="W808" s="72"/>
    </row>
    <row r="809" ht="21.75" customHeight="1">
      <c r="A809" s="134"/>
      <c r="B809" s="64"/>
      <c r="C809" s="23"/>
      <c r="D809" s="23"/>
      <c r="E809" s="24"/>
      <c r="F809" s="25"/>
      <c r="G809" s="24"/>
      <c r="H809" s="26"/>
      <c r="I809" s="27"/>
      <c r="J809" s="28"/>
      <c r="K809" s="28" t="str">
        <f t="shared" si="151"/>
        <v/>
      </c>
      <c r="L809" s="17"/>
      <c r="M809" s="29"/>
      <c r="N809" s="72"/>
      <c r="O809" s="73"/>
      <c r="P809" s="73"/>
      <c r="Q809" s="72"/>
      <c r="R809" s="72"/>
      <c r="S809" s="31" t="str">
        <f t="shared" si="152"/>
        <v/>
      </c>
      <c r="T809" s="32" t="str">
        <f t="shared" si="153"/>
        <v/>
      </c>
      <c r="U809" s="73"/>
      <c r="V809" s="72"/>
      <c r="W809" s="72"/>
    </row>
    <row r="810" ht="21.75" customHeight="1">
      <c r="A810" s="134"/>
      <c r="B810" s="64"/>
      <c r="C810" s="23"/>
      <c r="D810" s="23"/>
      <c r="E810" s="24"/>
      <c r="F810" s="25"/>
      <c r="G810" s="24"/>
      <c r="H810" s="26"/>
      <c r="I810" s="27"/>
      <c r="J810" s="28"/>
      <c r="K810" s="28" t="str">
        <f t="shared" si="151"/>
        <v/>
      </c>
      <c r="L810" s="17"/>
      <c r="M810" s="29"/>
      <c r="N810" s="72"/>
      <c r="O810" s="73"/>
      <c r="P810" s="73"/>
      <c r="Q810" s="72"/>
      <c r="R810" s="72"/>
      <c r="S810" s="31" t="str">
        <f t="shared" si="152"/>
        <v/>
      </c>
      <c r="T810" s="32" t="str">
        <f t="shared" si="153"/>
        <v/>
      </c>
      <c r="U810" s="73"/>
      <c r="V810" s="72"/>
      <c r="W810" s="72"/>
    </row>
    <row r="811" ht="21.75" customHeight="1">
      <c r="A811" s="134"/>
      <c r="B811" s="64"/>
      <c r="C811" s="23"/>
      <c r="D811" s="23"/>
      <c r="E811" s="24"/>
      <c r="F811" s="25"/>
      <c r="G811" s="24"/>
      <c r="H811" s="26"/>
      <c r="I811" s="27"/>
      <c r="J811" s="28"/>
      <c r="K811" s="28" t="str">
        <f t="shared" si="151"/>
        <v/>
      </c>
      <c r="L811" s="17"/>
      <c r="M811" s="29"/>
      <c r="N811" s="72"/>
      <c r="O811" s="73"/>
      <c r="P811" s="73"/>
      <c r="Q811" s="72"/>
      <c r="R811" s="72"/>
      <c r="S811" s="31" t="str">
        <f t="shared" si="152"/>
        <v/>
      </c>
      <c r="T811" s="32" t="str">
        <f t="shared" si="153"/>
        <v/>
      </c>
      <c r="U811" s="73"/>
      <c r="V811" s="72"/>
      <c r="W811" s="72"/>
    </row>
    <row r="812" ht="21.75" customHeight="1">
      <c r="A812" s="134"/>
      <c r="B812" s="64"/>
      <c r="C812" s="23"/>
      <c r="D812" s="23"/>
      <c r="E812" s="24"/>
      <c r="F812" s="25"/>
      <c r="G812" s="24"/>
      <c r="H812" s="26"/>
      <c r="I812" s="27"/>
      <c r="J812" s="28"/>
      <c r="K812" s="28" t="str">
        <f t="shared" si="151"/>
        <v/>
      </c>
      <c r="L812" s="17"/>
      <c r="M812" s="29"/>
      <c r="N812" s="72"/>
      <c r="O812" s="73"/>
      <c r="P812" s="73"/>
      <c r="Q812" s="72"/>
      <c r="R812" s="72"/>
      <c r="S812" s="31" t="str">
        <f t="shared" si="152"/>
        <v/>
      </c>
      <c r="T812" s="32" t="str">
        <f t="shared" si="153"/>
        <v/>
      </c>
      <c r="U812" s="73"/>
      <c r="V812" s="72"/>
      <c r="W812" s="72"/>
    </row>
    <row r="813" ht="21.75" customHeight="1">
      <c r="A813" s="134"/>
      <c r="B813" s="64"/>
      <c r="C813" s="23"/>
      <c r="D813" s="23"/>
      <c r="E813" s="24"/>
      <c r="F813" s="25"/>
      <c r="G813" s="24"/>
      <c r="H813" s="26"/>
      <c r="I813" s="27"/>
      <c r="J813" s="28"/>
      <c r="K813" s="28" t="str">
        <f t="shared" si="151"/>
        <v/>
      </c>
      <c r="L813" s="17"/>
      <c r="M813" s="29"/>
      <c r="N813" s="72"/>
      <c r="O813" s="73"/>
      <c r="P813" s="73"/>
      <c r="Q813" s="72"/>
      <c r="R813" s="72"/>
      <c r="S813" s="31" t="str">
        <f t="shared" si="152"/>
        <v/>
      </c>
      <c r="T813" s="32" t="str">
        <f t="shared" si="153"/>
        <v/>
      </c>
      <c r="U813" s="73"/>
      <c r="V813" s="72"/>
      <c r="W813" s="72"/>
    </row>
    <row r="814" ht="21.75" customHeight="1">
      <c r="A814" s="134"/>
      <c r="B814" s="64"/>
      <c r="C814" s="23"/>
      <c r="D814" s="23"/>
      <c r="E814" s="24"/>
      <c r="F814" s="25"/>
      <c r="G814" s="24"/>
      <c r="H814" s="26"/>
      <c r="I814" s="27"/>
      <c r="J814" s="28"/>
      <c r="K814" s="28" t="str">
        <f t="shared" si="151"/>
        <v/>
      </c>
      <c r="L814" s="17"/>
      <c r="M814" s="29"/>
      <c r="N814" s="72"/>
      <c r="O814" s="73"/>
      <c r="P814" s="73"/>
      <c r="Q814" s="72"/>
      <c r="R814" s="72"/>
      <c r="S814" s="31" t="str">
        <f t="shared" si="152"/>
        <v/>
      </c>
      <c r="T814" s="32" t="str">
        <f t="shared" si="153"/>
        <v/>
      </c>
      <c r="U814" s="73"/>
      <c r="V814" s="72"/>
      <c r="W814" s="72"/>
    </row>
    <row r="815" ht="21.75" customHeight="1">
      <c r="A815" s="134"/>
      <c r="B815" s="64"/>
      <c r="C815" s="23"/>
      <c r="D815" s="23"/>
      <c r="E815" s="24"/>
      <c r="F815" s="25"/>
      <c r="G815" s="24"/>
      <c r="H815" s="26"/>
      <c r="I815" s="27"/>
      <c r="J815" s="28"/>
      <c r="K815" s="28" t="str">
        <f t="shared" si="151"/>
        <v/>
      </c>
      <c r="L815" s="17"/>
      <c r="M815" s="29"/>
      <c r="N815" s="72"/>
      <c r="O815" s="73"/>
      <c r="P815" s="73"/>
      <c r="Q815" s="72"/>
      <c r="R815" s="72"/>
      <c r="S815" s="31" t="str">
        <f t="shared" si="152"/>
        <v/>
      </c>
      <c r="T815" s="32" t="str">
        <f t="shared" si="153"/>
        <v/>
      </c>
      <c r="U815" s="73"/>
      <c r="V815" s="72"/>
      <c r="W815" s="72"/>
    </row>
    <row r="816" ht="21.75" customHeight="1">
      <c r="A816" s="134"/>
      <c r="B816" s="64"/>
      <c r="C816" s="23"/>
      <c r="D816" s="23"/>
      <c r="E816" s="24"/>
      <c r="F816" s="25"/>
      <c r="G816" s="24"/>
      <c r="H816" s="26"/>
      <c r="I816" s="27"/>
      <c r="J816" s="28"/>
      <c r="K816" s="28" t="str">
        <f t="shared" si="151"/>
        <v/>
      </c>
      <c r="L816" s="17"/>
      <c r="M816" s="29"/>
      <c r="N816" s="72"/>
      <c r="O816" s="73"/>
      <c r="P816" s="73"/>
      <c r="Q816" s="72"/>
      <c r="R816" s="72"/>
      <c r="S816" s="31" t="str">
        <f t="shared" si="152"/>
        <v/>
      </c>
      <c r="T816" s="32" t="str">
        <f t="shared" si="153"/>
        <v/>
      </c>
      <c r="U816" s="73"/>
      <c r="V816" s="72"/>
      <c r="W816" s="72"/>
    </row>
    <row r="817" ht="21.75" customHeight="1">
      <c r="A817" s="134"/>
      <c r="B817" s="64"/>
      <c r="C817" s="23"/>
      <c r="D817" s="23"/>
      <c r="E817" s="24"/>
      <c r="F817" s="25"/>
      <c r="G817" s="24"/>
      <c r="H817" s="26"/>
      <c r="I817" s="27"/>
      <c r="J817" s="28"/>
      <c r="K817" s="28" t="str">
        <f t="shared" si="151"/>
        <v/>
      </c>
      <c r="L817" s="17"/>
      <c r="M817" s="29"/>
      <c r="N817" s="72"/>
      <c r="O817" s="73"/>
      <c r="P817" s="73"/>
      <c r="Q817" s="72"/>
      <c r="R817" s="72"/>
      <c r="S817" s="31" t="str">
        <f t="shared" si="152"/>
        <v/>
      </c>
      <c r="T817" s="32" t="str">
        <f t="shared" si="153"/>
        <v/>
      </c>
      <c r="U817" s="73"/>
      <c r="V817" s="72"/>
      <c r="W817" s="72"/>
    </row>
    <row r="818" ht="21.75" customHeight="1">
      <c r="A818" s="134"/>
      <c r="B818" s="64"/>
      <c r="C818" s="23"/>
      <c r="D818" s="23"/>
      <c r="E818" s="24"/>
      <c r="F818" s="25"/>
      <c r="G818" s="24"/>
      <c r="H818" s="26"/>
      <c r="I818" s="27"/>
      <c r="J818" s="28"/>
      <c r="K818" s="28" t="str">
        <f t="shared" si="151"/>
        <v/>
      </c>
      <c r="L818" s="17"/>
      <c r="M818" s="29"/>
      <c r="N818" s="72"/>
      <c r="O818" s="73"/>
      <c r="P818" s="73"/>
      <c r="Q818" s="72"/>
      <c r="R818" s="72"/>
      <c r="S818" s="31" t="str">
        <f t="shared" si="152"/>
        <v/>
      </c>
      <c r="T818" s="32" t="str">
        <f t="shared" si="153"/>
        <v/>
      </c>
      <c r="U818" s="73"/>
      <c r="V818" s="72"/>
      <c r="W818" s="72"/>
    </row>
    <row r="819" ht="21.75" customHeight="1">
      <c r="A819" s="134"/>
      <c r="B819" s="64"/>
      <c r="C819" s="23"/>
      <c r="D819" s="23"/>
      <c r="E819" s="24"/>
      <c r="F819" s="25"/>
      <c r="G819" s="24"/>
      <c r="H819" s="26"/>
      <c r="I819" s="27"/>
      <c r="J819" s="28"/>
      <c r="K819" s="28" t="str">
        <f t="shared" si="151"/>
        <v/>
      </c>
      <c r="L819" s="17"/>
      <c r="M819" s="29"/>
      <c r="N819" s="72"/>
      <c r="O819" s="73"/>
      <c r="P819" s="73"/>
      <c r="Q819" s="72"/>
      <c r="R819" s="72"/>
      <c r="S819" s="31" t="str">
        <f t="shared" si="152"/>
        <v/>
      </c>
      <c r="T819" s="32" t="str">
        <f t="shared" si="153"/>
        <v/>
      </c>
      <c r="U819" s="73"/>
      <c r="V819" s="72"/>
      <c r="W819" s="72"/>
    </row>
    <row r="820" ht="21.75" customHeight="1">
      <c r="A820" s="134"/>
      <c r="B820" s="64"/>
      <c r="C820" s="23"/>
      <c r="D820" s="23"/>
      <c r="E820" s="24"/>
      <c r="F820" s="25"/>
      <c r="G820" s="24"/>
      <c r="H820" s="26"/>
      <c r="I820" s="27"/>
      <c r="J820" s="28"/>
      <c r="K820" s="28" t="str">
        <f t="shared" si="151"/>
        <v/>
      </c>
      <c r="L820" s="17"/>
      <c r="M820" s="29"/>
      <c r="N820" s="72"/>
      <c r="O820" s="73"/>
      <c r="P820" s="73"/>
      <c r="Q820" s="72"/>
      <c r="R820" s="72"/>
      <c r="S820" s="31" t="str">
        <f t="shared" si="152"/>
        <v/>
      </c>
      <c r="T820" s="32" t="str">
        <f t="shared" si="153"/>
        <v/>
      </c>
      <c r="U820" s="73"/>
      <c r="V820" s="72"/>
      <c r="W820" s="72"/>
    </row>
    <row r="821" ht="21.75" customHeight="1">
      <c r="A821" s="134"/>
      <c r="B821" s="64"/>
      <c r="C821" s="23"/>
      <c r="D821" s="23"/>
      <c r="E821" s="24"/>
      <c r="F821" s="25"/>
      <c r="G821" s="24"/>
      <c r="H821" s="26"/>
      <c r="I821" s="27"/>
      <c r="J821" s="28"/>
      <c r="K821" s="28" t="str">
        <f t="shared" si="151"/>
        <v/>
      </c>
      <c r="L821" s="17"/>
      <c r="M821" s="29"/>
      <c r="N821" s="72"/>
      <c r="O821" s="73"/>
      <c r="P821" s="73"/>
      <c r="Q821" s="72"/>
      <c r="R821" s="72"/>
      <c r="S821" s="31" t="str">
        <f t="shared" si="152"/>
        <v/>
      </c>
      <c r="T821" s="32" t="str">
        <f t="shared" si="153"/>
        <v/>
      </c>
      <c r="U821" s="73"/>
      <c r="V821" s="72"/>
      <c r="W821" s="72"/>
    </row>
    <row r="822" ht="21.75" customHeight="1">
      <c r="A822" s="134"/>
      <c r="B822" s="64"/>
      <c r="C822" s="23"/>
      <c r="D822" s="23"/>
      <c r="E822" s="24"/>
      <c r="F822" s="25"/>
      <c r="G822" s="24"/>
      <c r="H822" s="26"/>
      <c r="I822" s="27"/>
      <c r="J822" s="28"/>
      <c r="K822" s="28" t="str">
        <f t="shared" si="151"/>
        <v/>
      </c>
      <c r="L822" s="17"/>
      <c r="M822" s="29"/>
      <c r="N822" s="72"/>
      <c r="O822" s="73"/>
      <c r="P822" s="73"/>
      <c r="Q822" s="72"/>
      <c r="R822" s="72"/>
      <c r="S822" s="31" t="str">
        <f t="shared" si="152"/>
        <v/>
      </c>
      <c r="T822" s="32" t="str">
        <f t="shared" si="153"/>
        <v/>
      </c>
      <c r="U822" s="73"/>
      <c r="V822" s="72"/>
      <c r="W822" s="72"/>
    </row>
    <row r="823" ht="21.75" customHeight="1">
      <c r="A823" s="134"/>
      <c r="B823" s="64"/>
      <c r="C823" s="23"/>
      <c r="D823" s="23"/>
      <c r="E823" s="24"/>
      <c r="F823" s="25"/>
      <c r="G823" s="24"/>
      <c r="H823" s="26"/>
      <c r="I823" s="27"/>
      <c r="J823" s="28"/>
      <c r="K823" s="28" t="str">
        <f t="shared" si="151"/>
        <v/>
      </c>
      <c r="L823" s="17"/>
      <c r="M823" s="29"/>
      <c r="N823" s="72"/>
      <c r="O823" s="73"/>
      <c r="P823" s="73"/>
      <c r="Q823" s="72"/>
      <c r="R823" s="72"/>
      <c r="S823" s="31" t="str">
        <f t="shared" si="152"/>
        <v/>
      </c>
      <c r="T823" s="32" t="str">
        <f t="shared" si="153"/>
        <v/>
      </c>
      <c r="U823" s="73"/>
      <c r="V823" s="72"/>
      <c r="W823" s="72"/>
    </row>
    <row r="824" ht="21.75" customHeight="1">
      <c r="A824" s="134"/>
      <c r="B824" s="64"/>
      <c r="C824" s="23"/>
      <c r="D824" s="23"/>
      <c r="E824" s="24"/>
      <c r="F824" s="25"/>
      <c r="G824" s="24"/>
      <c r="H824" s="26"/>
      <c r="I824" s="27"/>
      <c r="J824" s="28"/>
      <c r="K824" s="28" t="str">
        <f t="shared" si="151"/>
        <v/>
      </c>
      <c r="L824" s="17"/>
      <c r="M824" s="29"/>
      <c r="N824" s="72"/>
      <c r="O824" s="73"/>
      <c r="P824" s="73"/>
      <c r="Q824" s="72"/>
      <c r="R824" s="72"/>
      <c r="S824" s="31" t="str">
        <f t="shared" si="152"/>
        <v/>
      </c>
      <c r="T824" s="32" t="str">
        <f t="shared" si="153"/>
        <v/>
      </c>
      <c r="U824" s="73"/>
      <c r="V824" s="72"/>
      <c r="W824" s="72"/>
    </row>
    <row r="825" ht="21.75" customHeight="1">
      <c r="A825" s="134"/>
      <c r="B825" s="64"/>
      <c r="C825" s="23"/>
      <c r="D825" s="23"/>
      <c r="E825" s="24"/>
      <c r="F825" s="25"/>
      <c r="G825" s="24"/>
      <c r="H825" s="26"/>
      <c r="I825" s="27"/>
      <c r="J825" s="28"/>
      <c r="K825" s="28" t="str">
        <f t="shared" si="151"/>
        <v/>
      </c>
      <c r="L825" s="17"/>
      <c r="M825" s="29"/>
      <c r="N825" s="72"/>
      <c r="O825" s="73"/>
      <c r="P825" s="73"/>
      <c r="Q825" s="72"/>
      <c r="R825" s="72"/>
      <c r="S825" s="31" t="str">
        <f t="shared" si="152"/>
        <v/>
      </c>
      <c r="T825" s="32" t="str">
        <f t="shared" si="153"/>
        <v/>
      </c>
      <c r="U825" s="73"/>
      <c r="V825" s="72"/>
      <c r="W825" s="72"/>
    </row>
    <row r="826" ht="21.75" customHeight="1">
      <c r="A826" s="134"/>
      <c r="B826" s="64"/>
      <c r="C826" s="23"/>
      <c r="D826" s="23"/>
      <c r="E826" s="24"/>
      <c r="F826" s="25"/>
      <c r="G826" s="24"/>
      <c r="H826" s="26"/>
      <c r="I826" s="27"/>
      <c r="J826" s="28"/>
      <c r="K826" s="28" t="str">
        <f t="shared" si="151"/>
        <v/>
      </c>
      <c r="L826" s="17"/>
      <c r="M826" s="29"/>
      <c r="N826" s="72"/>
      <c r="O826" s="73"/>
      <c r="P826" s="73"/>
      <c r="Q826" s="72"/>
      <c r="R826" s="72"/>
      <c r="S826" s="31" t="str">
        <f t="shared" si="152"/>
        <v/>
      </c>
      <c r="T826" s="32" t="str">
        <f t="shared" si="153"/>
        <v/>
      </c>
      <c r="U826" s="73"/>
      <c r="V826" s="72"/>
      <c r="W826" s="72"/>
    </row>
    <row r="827" ht="21.75" customHeight="1">
      <c r="A827" s="134"/>
      <c r="B827" s="64"/>
      <c r="C827" s="23"/>
      <c r="D827" s="23"/>
      <c r="E827" s="24"/>
      <c r="F827" s="25"/>
      <c r="G827" s="24"/>
      <c r="H827" s="26"/>
      <c r="I827" s="27"/>
      <c r="J827" s="28"/>
      <c r="K827" s="28" t="str">
        <f t="shared" si="151"/>
        <v/>
      </c>
      <c r="L827" s="17"/>
      <c r="M827" s="29"/>
      <c r="N827" s="72"/>
      <c r="O827" s="73"/>
      <c r="P827" s="73"/>
      <c r="Q827" s="72"/>
      <c r="R827" s="72"/>
      <c r="S827" s="31" t="str">
        <f t="shared" si="152"/>
        <v/>
      </c>
      <c r="T827" s="32" t="str">
        <f t="shared" si="153"/>
        <v/>
      </c>
      <c r="U827" s="73"/>
      <c r="V827" s="72"/>
      <c r="W827" s="72"/>
    </row>
    <row r="828" ht="21.75" customHeight="1">
      <c r="A828" s="134"/>
      <c r="B828" s="64"/>
      <c r="C828" s="23"/>
      <c r="D828" s="23"/>
      <c r="E828" s="24"/>
      <c r="F828" s="25"/>
      <c r="G828" s="24"/>
      <c r="H828" s="26"/>
      <c r="I828" s="27"/>
      <c r="J828" s="28"/>
      <c r="K828" s="28" t="str">
        <f t="shared" si="151"/>
        <v/>
      </c>
      <c r="L828" s="17"/>
      <c r="M828" s="29"/>
      <c r="N828" s="72"/>
      <c r="O828" s="73"/>
      <c r="P828" s="73"/>
      <c r="Q828" s="72"/>
      <c r="R828" s="72"/>
      <c r="S828" s="31" t="str">
        <f t="shared" si="152"/>
        <v/>
      </c>
      <c r="T828" s="32" t="str">
        <f t="shared" si="153"/>
        <v/>
      </c>
      <c r="U828" s="73"/>
      <c r="V828" s="72"/>
      <c r="W828" s="72"/>
    </row>
    <row r="829" ht="21.75" customHeight="1">
      <c r="A829" s="134"/>
      <c r="B829" s="64"/>
      <c r="C829" s="23"/>
      <c r="D829" s="23"/>
      <c r="E829" s="24"/>
      <c r="F829" s="25"/>
      <c r="G829" s="24"/>
      <c r="H829" s="26"/>
      <c r="I829" s="27"/>
      <c r="J829" s="28"/>
      <c r="K829" s="28" t="str">
        <f t="shared" si="151"/>
        <v/>
      </c>
      <c r="L829" s="17"/>
      <c r="M829" s="29"/>
      <c r="N829" s="72"/>
      <c r="O829" s="73"/>
      <c r="P829" s="73"/>
      <c r="Q829" s="72"/>
      <c r="R829" s="72"/>
      <c r="S829" s="31" t="str">
        <f t="shared" si="152"/>
        <v/>
      </c>
      <c r="T829" s="32" t="str">
        <f t="shared" si="153"/>
        <v/>
      </c>
      <c r="U829" s="73"/>
      <c r="V829" s="72"/>
      <c r="W829" s="72"/>
    </row>
    <row r="830" ht="21.75" customHeight="1">
      <c r="A830" s="134"/>
      <c r="B830" s="64"/>
      <c r="C830" s="23"/>
      <c r="D830" s="23"/>
      <c r="E830" s="24"/>
      <c r="F830" s="25"/>
      <c r="G830" s="24"/>
      <c r="H830" s="26"/>
      <c r="I830" s="27"/>
      <c r="J830" s="28"/>
      <c r="K830" s="28" t="str">
        <f t="shared" si="151"/>
        <v/>
      </c>
      <c r="L830" s="17"/>
      <c r="M830" s="29"/>
      <c r="N830" s="72"/>
      <c r="O830" s="73"/>
      <c r="P830" s="73"/>
      <c r="Q830" s="72"/>
      <c r="R830" s="72"/>
      <c r="S830" s="31" t="str">
        <f t="shared" si="152"/>
        <v/>
      </c>
      <c r="T830" s="32" t="str">
        <f t="shared" si="153"/>
        <v/>
      </c>
      <c r="U830" s="73"/>
      <c r="V830" s="72"/>
      <c r="W830" s="72"/>
    </row>
    <row r="831" ht="21.75" customHeight="1">
      <c r="A831" s="134"/>
      <c r="B831" s="64"/>
      <c r="C831" s="23"/>
      <c r="D831" s="23"/>
      <c r="E831" s="24"/>
      <c r="F831" s="25"/>
      <c r="G831" s="24"/>
      <c r="H831" s="26"/>
      <c r="I831" s="27"/>
      <c r="J831" s="28"/>
      <c r="K831" s="28" t="str">
        <f t="shared" si="151"/>
        <v/>
      </c>
      <c r="L831" s="17"/>
      <c r="M831" s="29"/>
      <c r="N831" s="72"/>
      <c r="O831" s="73"/>
      <c r="P831" s="73"/>
      <c r="Q831" s="72"/>
      <c r="R831" s="72"/>
      <c r="S831" s="31" t="str">
        <f t="shared" si="152"/>
        <v/>
      </c>
      <c r="T831" s="32" t="str">
        <f t="shared" si="153"/>
        <v/>
      </c>
      <c r="U831" s="73"/>
      <c r="V831" s="72"/>
      <c r="W831" s="72"/>
    </row>
    <row r="832" ht="21.75" customHeight="1">
      <c r="A832" s="134"/>
      <c r="B832" s="64"/>
      <c r="C832" s="23"/>
      <c r="D832" s="23"/>
      <c r="E832" s="24"/>
      <c r="F832" s="25"/>
      <c r="G832" s="24"/>
      <c r="H832" s="26"/>
      <c r="I832" s="27"/>
      <c r="J832" s="28"/>
      <c r="K832" s="28" t="str">
        <f t="shared" si="151"/>
        <v/>
      </c>
      <c r="L832" s="17"/>
      <c r="M832" s="29"/>
      <c r="N832" s="72"/>
      <c r="O832" s="73"/>
      <c r="P832" s="73"/>
      <c r="Q832" s="72"/>
      <c r="R832" s="72"/>
      <c r="S832" s="31" t="str">
        <f t="shared" si="152"/>
        <v/>
      </c>
      <c r="T832" s="32" t="str">
        <f t="shared" si="153"/>
        <v/>
      </c>
      <c r="U832" s="73"/>
      <c r="V832" s="72"/>
      <c r="W832" s="72"/>
    </row>
    <row r="833" ht="21.75" customHeight="1">
      <c r="A833" s="134"/>
      <c r="B833" s="64"/>
      <c r="C833" s="23"/>
      <c r="D833" s="23"/>
      <c r="E833" s="24"/>
      <c r="F833" s="25"/>
      <c r="G833" s="24"/>
      <c r="H833" s="26"/>
      <c r="I833" s="27"/>
      <c r="J833" s="28"/>
      <c r="K833" s="28" t="str">
        <f t="shared" si="151"/>
        <v/>
      </c>
      <c r="L833" s="17"/>
      <c r="M833" s="29"/>
      <c r="N833" s="72"/>
      <c r="O833" s="73"/>
      <c r="P833" s="73"/>
      <c r="Q833" s="72"/>
      <c r="R833" s="72"/>
      <c r="S833" s="31" t="str">
        <f t="shared" si="152"/>
        <v/>
      </c>
      <c r="T833" s="32" t="str">
        <f t="shared" si="153"/>
        <v/>
      </c>
      <c r="U833" s="73"/>
      <c r="V833" s="72"/>
      <c r="W833" s="72"/>
    </row>
    <row r="834" ht="21.75" customHeight="1">
      <c r="A834" s="134"/>
      <c r="B834" s="64"/>
      <c r="C834" s="23"/>
      <c r="D834" s="23"/>
      <c r="E834" s="24"/>
      <c r="F834" s="25"/>
      <c r="G834" s="24"/>
      <c r="H834" s="26"/>
      <c r="I834" s="27"/>
      <c r="J834" s="28"/>
      <c r="K834" s="28" t="str">
        <f t="shared" si="151"/>
        <v/>
      </c>
      <c r="L834" s="17"/>
      <c r="M834" s="29"/>
      <c r="N834" s="72"/>
      <c r="O834" s="73"/>
      <c r="P834" s="73"/>
      <c r="Q834" s="72"/>
      <c r="R834" s="72"/>
      <c r="S834" s="31" t="str">
        <f t="shared" si="152"/>
        <v/>
      </c>
      <c r="T834" s="32" t="str">
        <f t="shared" si="153"/>
        <v/>
      </c>
      <c r="U834" s="73"/>
      <c r="V834" s="72"/>
      <c r="W834" s="72"/>
    </row>
    <row r="835" ht="21.75" customHeight="1">
      <c r="A835" s="134"/>
      <c r="B835" s="64"/>
      <c r="C835" s="23"/>
      <c r="D835" s="23"/>
      <c r="E835" s="24"/>
      <c r="F835" s="25"/>
      <c r="G835" s="24"/>
      <c r="H835" s="26"/>
      <c r="I835" s="27"/>
      <c r="J835" s="28"/>
      <c r="K835" s="28" t="str">
        <f t="shared" si="151"/>
        <v/>
      </c>
      <c r="L835" s="17"/>
      <c r="M835" s="29"/>
      <c r="N835" s="72"/>
      <c r="O835" s="73"/>
      <c r="P835" s="73"/>
      <c r="Q835" s="72"/>
      <c r="R835" s="72"/>
      <c r="S835" s="31" t="str">
        <f t="shared" si="152"/>
        <v/>
      </c>
      <c r="T835" s="32" t="str">
        <f t="shared" si="153"/>
        <v/>
      </c>
      <c r="U835" s="73"/>
      <c r="V835" s="72"/>
      <c r="W835" s="72"/>
    </row>
    <row r="836" ht="21.75" customHeight="1">
      <c r="A836" s="134"/>
      <c r="B836" s="64"/>
      <c r="C836" s="23"/>
      <c r="D836" s="23"/>
      <c r="E836" s="24"/>
      <c r="F836" s="25"/>
      <c r="G836" s="24"/>
      <c r="H836" s="26"/>
      <c r="I836" s="27"/>
      <c r="J836" s="28"/>
      <c r="K836" s="28" t="str">
        <f t="shared" si="151"/>
        <v/>
      </c>
      <c r="L836" s="17"/>
      <c r="M836" s="29"/>
      <c r="N836" s="72"/>
      <c r="O836" s="73"/>
      <c r="P836" s="73"/>
      <c r="Q836" s="72"/>
      <c r="R836" s="72"/>
      <c r="S836" s="31" t="str">
        <f t="shared" si="152"/>
        <v/>
      </c>
      <c r="T836" s="32" t="str">
        <f t="shared" si="153"/>
        <v/>
      </c>
      <c r="U836" s="73"/>
      <c r="V836" s="72"/>
      <c r="W836" s="72"/>
    </row>
    <row r="837" ht="21.75" customHeight="1">
      <c r="A837" s="134"/>
      <c r="B837" s="64"/>
      <c r="C837" s="23"/>
      <c r="D837" s="23"/>
      <c r="E837" s="24"/>
      <c r="F837" s="25"/>
      <c r="G837" s="24"/>
      <c r="H837" s="26"/>
      <c r="I837" s="27"/>
      <c r="J837" s="28"/>
      <c r="K837" s="28" t="str">
        <f t="shared" si="151"/>
        <v/>
      </c>
      <c r="L837" s="17"/>
      <c r="M837" s="29"/>
      <c r="N837" s="72"/>
      <c r="O837" s="73"/>
      <c r="P837" s="73"/>
      <c r="Q837" s="72"/>
      <c r="R837" s="72"/>
      <c r="S837" s="31" t="str">
        <f t="shared" si="152"/>
        <v/>
      </c>
      <c r="T837" s="32" t="str">
        <f t="shared" si="153"/>
        <v/>
      </c>
      <c r="U837" s="73"/>
      <c r="V837" s="72"/>
      <c r="W837" s="72"/>
    </row>
    <row r="838" ht="21.75" customHeight="1">
      <c r="A838" s="134"/>
      <c r="B838" s="64"/>
      <c r="C838" s="23"/>
      <c r="D838" s="23"/>
      <c r="E838" s="24"/>
      <c r="F838" s="25"/>
      <c r="G838" s="24"/>
      <c r="H838" s="26"/>
      <c r="I838" s="27"/>
      <c r="J838" s="28"/>
      <c r="K838" s="28" t="str">
        <f t="shared" si="151"/>
        <v/>
      </c>
      <c r="L838" s="17"/>
      <c r="M838" s="29"/>
      <c r="N838" s="72"/>
      <c r="O838" s="73"/>
      <c r="P838" s="73"/>
      <c r="Q838" s="72"/>
      <c r="R838" s="72"/>
      <c r="S838" s="31" t="str">
        <f t="shared" si="152"/>
        <v/>
      </c>
      <c r="T838" s="32" t="str">
        <f t="shared" si="153"/>
        <v/>
      </c>
      <c r="U838" s="73"/>
      <c r="V838" s="72"/>
      <c r="W838" s="72"/>
    </row>
    <row r="839" ht="21.75" customHeight="1">
      <c r="A839" s="134"/>
      <c r="B839" s="64"/>
      <c r="C839" s="23"/>
      <c r="D839" s="23"/>
      <c r="E839" s="24"/>
      <c r="F839" s="25"/>
      <c r="G839" s="24"/>
      <c r="H839" s="26"/>
      <c r="I839" s="27"/>
      <c r="J839" s="28"/>
      <c r="K839" s="28" t="str">
        <f t="shared" si="151"/>
        <v/>
      </c>
      <c r="L839" s="17"/>
      <c r="M839" s="29"/>
      <c r="N839" s="72"/>
      <c r="O839" s="73"/>
      <c r="P839" s="73"/>
      <c r="Q839" s="72"/>
      <c r="R839" s="72"/>
      <c r="S839" s="31" t="str">
        <f t="shared" si="152"/>
        <v/>
      </c>
      <c r="T839" s="32" t="str">
        <f t="shared" si="153"/>
        <v/>
      </c>
      <c r="U839" s="73"/>
      <c r="V839" s="72"/>
      <c r="W839" s="72"/>
    </row>
    <row r="840" ht="21.75" customHeight="1">
      <c r="A840" s="134"/>
      <c r="B840" s="64"/>
      <c r="C840" s="23"/>
      <c r="D840" s="23"/>
      <c r="E840" s="24"/>
      <c r="F840" s="25"/>
      <c r="G840" s="24"/>
      <c r="H840" s="26"/>
      <c r="I840" s="27"/>
      <c r="J840" s="28"/>
      <c r="K840" s="28" t="str">
        <f t="shared" si="151"/>
        <v/>
      </c>
      <c r="L840" s="17"/>
      <c r="M840" s="29"/>
      <c r="N840" s="72"/>
      <c r="O840" s="73"/>
      <c r="P840" s="73"/>
      <c r="Q840" s="72"/>
      <c r="R840" s="72"/>
      <c r="S840" s="31" t="str">
        <f t="shared" si="152"/>
        <v/>
      </c>
      <c r="T840" s="32" t="str">
        <f t="shared" si="153"/>
        <v/>
      </c>
      <c r="U840" s="73"/>
      <c r="V840" s="72"/>
      <c r="W840" s="72"/>
    </row>
    <row r="841" ht="21.75" customHeight="1">
      <c r="A841" s="134"/>
      <c r="B841" s="64"/>
      <c r="C841" s="23"/>
      <c r="D841" s="23"/>
      <c r="E841" s="24"/>
      <c r="F841" s="25"/>
      <c r="G841" s="24"/>
      <c r="H841" s="26"/>
      <c r="I841" s="27"/>
      <c r="J841" s="28"/>
      <c r="K841" s="28" t="str">
        <f t="shared" si="151"/>
        <v/>
      </c>
      <c r="L841" s="17"/>
      <c r="M841" s="29"/>
      <c r="N841" s="72"/>
      <c r="O841" s="73"/>
      <c r="P841" s="73"/>
      <c r="Q841" s="72"/>
      <c r="R841" s="72"/>
      <c r="S841" s="31" t="str">
        <f t="shared" si="152"/>
        <v/>
      </c>
      <c r="T841" s="32" t="str">
        <f t="shared" si="153"/>
        <v/>
      </c>
      <c r="U841" s="73"/>
      <c r="V841" s="72"/>
      <c r="W841" s="72"/>
    </row>
    <row r="842" ht="21.75" customHeight="1">
      <c r="A842" s="134"/>
      <c r="B842" s="64"/>
      <c r="C842" s="23"/>
      <c r="D842" s="23"/>
      <c r="E842" s="24"/>
      <c r="F842" s="25"/>
      <c r="G842" s="24"/>
      <c r="H842" s="26"/>
      <c r="I842" s="27"/>
      <c r="J842" s="28"/>
      <c r="K842" s="28" t="str">
        <f t="shared" si="151"/>
        <v/>
      </c>
      <c r="L842" s="17"/>
      <c r="M842" s="29"/>
      <c r="N842" s="72"/>
      <c r="O842" s="73"/>
      <c r="P842" s="73"/>
      <c r="Q842" s="72"/>
      <c r="R842" s="72"/>
      <c r="S842" s="31" t="str">
        <f t="shared" si="152"/>
        <v/>
      </c>
      <c r="T842" s="32" t="str">
        <f t="shared" si="153"/>
        <v/>
      </c>
      <c r="U842" s="73"/>
      <c r="V842" s="72"/>
      <c r="W842" s="72"/>
    </row>
    <row r="843" ht="21.75" customHeight="1">
      <c r="A843" s="134"/>
      <c r="B843" s="64"/>
      <c r="C843" s="23"/>
      <c r="D843" s="23"/>
      <c r="E843" s="24"/>
      <c r="F843" s="25"/>
      <c r="G843" s="24"/>
      <c r="H843" s="26"/>
      <c r="I843" s="27"/>
      <c r="J843" s="28"/>
      <c r="K843" s="28" t="str">
        <f t="shared" si="151"/>
        <v/>
      </c>
      <c r="L843" s="17"/>
      <c r="M843" s="29"/>
      <c r="N843" s="72"/>
      <c r="O843" s="73"/>
      <c r="P843" s="73"/>
      <c r="Q843" s="72"/>
      <c r="R843" s="72"/>
      <c r="S843" s="31" t="str">
        <f t="shared" si="152"/>
        <v/>
      </c>
      <c r="T843" s="32" t="str">
        <f t="shared" si="153"/>
        <v/>
      </c>
      <c r="U843" s="73"/>
      <c r="V843" s="72"/>
      <c r="W843" s="72"/>
    </row>
    <row r="844" ht="21.75" customHeight="1">
      <c r="A844" s="134"/>
      <c r="B844" s="64"/>
      <c r="C844" s="23"/>
      <c r="D844" s="23"/>
      <c r="E844" s="24"/>
      <c r="F844" s="25"/>
      <c r="G844" s="24"/>
      <c r="H844" s="26"/>
      <c r="I844" s="27"/>
      <c r="J844" s="28"/>
      <c r="K844" s="28" t="str">
        <f t="shared" si="151"/>
        <v/>
      </c>
      <c r="L844" s="17"/>
      <c r="M844" s="29"/>
      <c r="N844" s="72"/>
      <c r="O844" s="73"/>
      <c r="P844" s="73"/>
      <c r="Q844" s="72"/>
      <c r="R844" s="72"/>
      <c r="S844" s="31" t="str">
        <f t="shared" si="152"/>
        <v/>
      </c>
      <c r="T844" s="32" t="str">
        <f t="shared" si="153"/>
        <v/>
      </c>
      <c r="U844" s="73"/>
      <c r="V844" s="72"/>
      <c r="W844" s="72"/>
    </row>
    <row r="845" ht="21.75" customHeight="1">
      <c r="A845" s="134"/>
      <c r="B845" s="64"/>
      <c r="C845" s="23"/>
      <c r="D845" s="23"/>
      <c r="E845" s="24"/>
      <c r="F845" s="25"/>
      <c r="G845" s="24"/>
      <c r="H845" s="26"/>
      <c r="I845" s="27"/>
      <c r="J845" s="28"/>
      <c r="K845" s="28" t="str">
        <f t="shared" si="151"/>
        <v/>
      </c>
      <c r="L845" s="17"/>
      <c r="M845" s="29"/>
      <c r="N845" s="72"/>
      <c r="O845" s="73"/>
      <c r="P845" s="73"/>
      <c r="Q845" s="72"/>
      <c r="R845" s="72"/>
      <c r="S845" s="31" t="str">
        <f t="shared" si="152"/>
        <v/>
      </c>
      <c r="T845" s="32" t="str">
        <f t="shared" si="153"/>
        <v/>
      </c>
      <c r="U845" s="73"/>
      <c r="V845" s="72"/>
      <c r="W845" s="72"/>
    </row>
    <row r="846" ht="21.75" customHeight="1">
      <c r="A846" s="134"/>
      <c r="B846" s="64"/>
      <c r="C846" s="23"/>
      <c r="D846" s="23"/>
      <c r="E846" s="24"/>
      <c r="F846" s="25"/>
      <c r="G846" s="24"/>
      <c r="H846" s="26"/>
      <c r="I846" s="27"/>
      <c r="J846" s="28"/>
      <c r="K846" s="28" t="str">
        <f t="shared" si="151"/>
        <v/>
      </c>
      <c r="L846" s="17"/>
      <c r="M846" s="29"/>
      <c r="N846" s="72"/>
      <c r="O846" s="73"/>
      <c r="P846" s="73"/>
      <c r="Q846" s="72"/>
      <c r="R846" s="72"/>
      <c r="S846" s="31" t="str">
        <f t="shared" si="152"/>
        <v/>
      </c>
      <c r="T846" s="32" t="str">
        <f t="shared" si="153"/>
        <v/>
      </c>
      <c r="U846" s="73"/>
      <c r="V846" s="72"/>
      <c r="W846" s="72"/>
    </row>
    <row r="847" ht="21.75" customHeight="1">
      <c r="A847" s="134"/>
      <c r="B847" s="64"/>
      <c r="C847" s="23"/>
      <c r="D847" s="23"/>
      <c r="E847" s="24"/>
      <c r="F847" s="25"/>
      <c r="G847" s="24"/>
      <c r="H847" s="26"/>
      <c r="I847" s="27"/>
      <c r="J847" s="28"/>
      <c r="K847" s="28" t="str">
        <f t="shared" si="151"/>
        <v/>
      </c>
      <c r="L847" s="17"/>
      <c r="M847" s="29"/>
      <c r="N847" s="72"/>
      <c r="O847" s="73"/>
      <c r="P847" s="73"/>
      <c r="Q847" s="72"/>
      <c r="R847" s="72"/>
      <c r="S847" s="31" t="str">
        <f t="shared" si="152"/>
        <v/>
      </c>
      <c r="T847" s="32" t="str">
        <f t="shared" si="153"/>
        <v/>
      </c>
      <c r="U847" s="73"/>
      <c r="V847" s="72"/>
      <c r="W847" s="72"/>
    </row>
    <row r="848" ht="21.75" customHeight="1">
      <c r="A848" s="134"/>
      <c r="B848" s="64"/>
      <c r="C848" s="23"/>
      <c r="D848" s="23"/>
      <c r="E848" s="24"/>
      <c r="F848" s="25"/>
      <c r="G848" s="24"/>
      <c r="H848" s="26"/>
      <c r="I848" s="27"/>
      <c r="J848" s="28"/>
      <c r="K848" s="28" t="str">
        <f t="shared" si="151"/>
        <v/>
      </c>
      <c r="L848" s="17"/>
      <c r="M848" s="29"/>
      <c r="N848" s="72"/>
      <c r="O848" s="73"/>
      <c r="P848" s="73"/>
      <c r="Q848" s="72"/>
      <c r="R848" s="72"/>
      <c r="S848" s="31" t="str">
        <f t="shared" si="152"/>
        <v/>
      </c>
      <c r="T848" s="32" t="str">
        <f t="shared" si="153"/>
        <v/>
      </c>
      <c r="U848" s="73"/>
      <c r="V848" s="72"/>
      <c r="W848" s="72"/>
    </row>
    <row r="849" ht="21.75" customHeight="1">
      <c r="A849" s="134"/>
      <c r="B849" s="64"/>
      <c r="C849" s="23"/>
      <c r="D849" s="23"/>
      <c r="E849" s="24"/>
      <c r="F849" s="25"/>
      <c r="G849" s="24"/>
      <c r="H849" s="26"/>
      <c r="I849" s="27"/>
      <c r="J849" s="28"/>
      <c r="K849" s="28" t="str">
        <f t="shared" si="151"/>
        <v/>
      </c>
      <c r="L849" s="17"/>
      <c r="M849" s="29"/>
      <c r="N849" s="72"/>
      <c r="O849" s="73"/>
      <c r="P849" s="73"/>
      <c r="Q849" s="72"/>
      <c r="R849" s="72"/>
      <c r="S849" s="31" t="str">
        <f t="shared" si="152"/>
        <v/>
      </c>
      <c r="T849" s="32" t="str">
        <f t="shared" si="153"/>
        <v/>
      </c>
      <c r="U849" s="73"/>
      <c r="V849" s="72"/>
      <c r="W849" s="72"/>
    </row>
    <row r="850" ht="21.75" customHeight="1">
      <c r="A850" s="134"/>
      <c r="B850" s="64"/>
      <c r="C850" s="23"/>
      <c r="D850" s="23"/>
      <c r="E850" s="24"/>
      <c r="F850" s="25"/>
      <c r="G850" s="24"/>
      <c r="H850" s="26"/>
      <c r="I850" s="27"/>
      <c r="J850" s="28"/>
      <c r="K850" s="28" t="str">
        <f t="shared" si="151"/>
        <v/>
      </c>
      <c r="L850" s="17"/>
      <c r="M850" s="29"/>
      <c r="N850" s="72"/>
      <c r="O850" s="73"/>
      <c r="P850" s="73"/>
      <c r="Q850" s="72"/>
      <c r="R850" s="72"/>
      <c r="S850" s="31" t="str">
        <f t="shared" si="152"/>
        <v/>
      </c>
      <c r="T850" s="32" t="str">
        <f t="shared" si="153"/>
        <v/>
      </c>
      <c r="U850" s="73"/>
      <c r="V850" s="72"/>
      <c r="W850" s="72"/>
    </row>
    <row r="851" ht="21.75" customHeight="1">
      <c r="A851" s="134"/>
      <c r="B851" s="64"/>
      <c r="C851" s="23"/>
      <c r="D851" s="23"/>
      <c r="E851" s="24"/>
      <c r="F851" s="25"/>
      <c r="G851" s="24"/>
      <c r="H851" s="26"/>
      <c r="I851" s="27"/>
      <c r="J851" s="28"/>
      <c r="K851" s="28" t="str">
        <f t="shared" si="151"/>
        <v/>
      </c>
      <c r="L851" s="17"/>
      <c r="M851" s="29"/>
      <c r="N851" s="72"/>
      <c r="O851" s="73"/>
      <c r="P851" s="73"/>
      <c r="Q851" s="72"/>
      <c r="R851" s="72"/>
      <c r="S851" s="31" t="str">
        <f t="shared" si="152"/>
        <v/>
      </c>
      <c r="T851" s="32" t="str">
        <f t="shared" si="153"/>
        <v/>
      </c>
      <c r="U851" s="73"/>
      <c r="V851" s="72"/>
      <c r="W851" s="72"/>
    </row>
    <row r="852" ht="21.75" customHeight="1">
      <c r="A852" s="134"/>
      <c r="B852" s="64"/>
      <c r="C852" s="23"/>
      <c r="D852" s="23"/>
      <c r="E852" s="24"/>
      <c r="F852" s="25"/>
      <c r="G852" s="24"/>
      <c r="H852" s="26"/>
      <c r="I852" s="27"/>
      <c r="J852" s="28"/>
      <c r="K852" s="28" t="str">
        <f t="shared" si="151"/>
        <v/>
      </c>
      <c r="L852" s="17"/>
      <c r="M852" s="29"/>
      <c r="N852" s="72"/>
      <c r="O852" s="73"/>
      <c r="P852" s="73"/>
      <c r="Q852" s="72"/>
      <c r="R852" s="72"/>
      <c r="S852" s="31" t="str">
        <f t="shared" si="152"/>
        <v/>
      </c>
      <c r="T852" s="32" t="str">
        <f t="shared" si="153"/>
        <v/>
      </c>
      <c r="U852" s="73"/>
      <c r="V852" s="72"/>
      <c r="W852" s="72"/>
    </row>
    <row r="853" ht="21.75" customHeight="1">
      <c r="A853" s="134"/>
      <c r="B853" s="64"/>
      <c r="C853" s="23"/>
      <c r="D853" s="23"/>
      <c r="E853" s="24"/>
      <c r="F853" s="25"/>
      <c r="G853" s="24"/>
      <c r="H853" s="26"/>
      <c r="I853" s="27"/>
      <c r="J853" s="28"/>
      <c r="K853" s="28" t="str">
        <f t="shared" si="151"/>
        <v/>
      </c>
      <c r="L853" s="17"/>
      <c r="M853" s="29"/>
      <c r="N853" s="72"/>
      <c r="O853" s="73"/>
      <c r="P853" s="73"/>
      <c r="Q853" s="72"/>
      <c r="R853" s="72"/>
      <c r="S853" s="31" t="str">
        <f t="shared" si="152"/>
        <v/>
      </c>
      <c r="T853" s="32" t="str">
        <f t="shared" si="153"/>
        <v/>
      </c>
      <c r="U853" s="73"/>
      <c r="V853" s="72"/>
      <c r="W853" s="72"/>
    </row>
    <row r="854" ht="21.75" customHeight="1">
      <c r="A854" s="134"/>
      <c r="B854" s="64"/>
      <c r="C854" s="23"/>
      <c r="D854" s="23"/>
      <c r="E854" s="24"/>
      <c r="F854" s="25"/>
      <c r="G854" s="24"/>
      <c r="H854" s="26"/>
      <c r="I854" s="27"/>
      <c r="J854" s="28"/>
      <c r="K854" s="28" t="str">
        <f t="shared" si="151"/>
        <v/>
      </c>
      <c r="L854" s="17"/>
      <c r="M854" s="29"/>
      <c r="N854" s="72"/>
      <c r="O854" s="73"/>
      <c r="P854" s="73"/>
      <c r="Q854" s="72"/>
      <c r="R854" s="72"/>
      <c r="S854" s="31" t="str">
        <f t="shared" si="152"/>
        <v/>
      </c>
      <c r="T854" s="32" t="str">
        <f t="shared" si="153"/>
        <v/>
      </c>
      <c r="U854" s="73"/>
      <c r="V854" s="72"/>
      <c r="W854" s="72"/>
    </row>
    <row r="855" ht="21.75" customHeight="1">
      <c r="A855" s="134"/>
      <c r="B855" s="64"/>
      <c r="C855" s="23"/>
      <c r="D855" s="23"/>
      <c r="E855" s="24"/>
      <c r="F855" s="25"/>
      <c r="G855" s="24"/>
      <c r="H855" s="26"/>
      <c r="I855" s="27"/>
      <c r="J855" s="28"/>
      <c r="K855" s="28" t="str">
        <f t="shared" si="151"/>
        <v/>
      </c>
      <c r="L855" s="17"/>
      <c r="M855" s="29"/>
      <c r="N855" s="72"/>
      <c r="O855" s="73"/>
      <c r="P855" s="73"/>
      <c r="Q855" s="72"/>
      <c r="R855" s="72"/>
      <c r="S855" s="31" t="str">
        <f t="shared" si="152"/>
        <v/>
      </c>
      <c r="T855" s="32" t="str">
        <f t="shared" si="153"/>
        <v/>
      </c>
      <c r="U855" s="73"/>
      <c r="V855" s="72"/>
      <c r="W855" s="72"/>
    </row>
    <row r="856" ht="21.75" customHeight="1">
      <c r="A856" s="134"/>
      <c r="B856" s="64"/>
      <c r="C856" s="23"/>
      <c r="D856" s="23"/>
      <c r="E856" s="24"/>
      <c r="F856" s="25"/>
      <c r="G856" s="24"/>
      <c r="H856" s="26"/>
      <c r="I856" s="27"/>
      <c r="J856" s="28"/>
      <c r="K856" s="28" t="str">
        <f t="shared" si="151"/>
        <v/>
      </c>
      <c r="L856" s="17"/>
      <c r="M856" s="29"/>
      <c r="N856" s="72"/>
      <c r="O856" s="73"/>
      <c r="P856" s="73"/>
      <c r="Q856" s="72"/>
      <c r="R856" s="72"/>
      <c r="S856" s="31" t="str">
        <f t="shared" si="152"/>
        <v/>
      </c>
      <c r="T856" s="32" t="str">
        <f t="shared" si="153"/>
        <v/>
      </c>
      <c r="U856" s="73"/>
      <c r="V856" s="72"/>
      <c r="W856" s="72"/>
    </row>
    <row r="857" ht="21.75" customHeight="1">
      <c r="A857" s="134"/>
      <c r="B857" s="64"/>
      <c r="C857" s="23"/>
      <c r="D857" s="23"/>
      <c r="E857" s="24"/>
      <c r="F857" s="25"/>
      <c r="G857" s="24"/>
      <c r="H857" s="26"/>
      <c r="I857" s="27"/>
      <c r="J857" s="28"/>
      <c r="K857" s="28" t="str">
        <f t="shared" si="151"/>
        <v/>
      </c>
      <c r="L857" s="17"/>
      <c r="M857" s="29"/>
      <c r="N857" s="72"/>
      <c r="O857" s="73"/>
      <c r="P857" s="73"/>
      <c r="Q857" s="72"/>
      <c r="R857" s="72"/>
      <c r="S857" s="31" t="str">
        <f t="shared" si="152"/>
        <v/>
      </c>
      <c r="T857" s="32" t="str">
        <f t="shared" si="153"/>
        <v/>
      </c>
      <c r="U857" s="73"/>
      <c r="V857" s="72"/>
      <c r="W857" s="72"/>
    </row>
    <row r="858" ht="21.75" customHeight="1">
      <c r="A858" s="134"/>
      <c r="B858" s="64"/>
      <c r="C858" s="23"/>
      <c r="D858" s="23"/>
      <c r="E858" s="24"/>
      <c r="F858" s="25"/>
      <c r="G858" s="24"/>
      <c r="H858" s="26"/>
      <c r="I858" s="27"/>
      <c r="J858" s="28"/>
      <c r="K858" s="28" t="str">
        <f t="shared" si="151"/>
        <v/>
      </c>
      <c r="L858" s="17"/>
      <c r="M858" s="29"/>
      <c r="N858" s="72"/>
      <c r="O858" s="73"/>
      <c r="P858" s="73"/>
      <c r="Q858" s="72"/>
      <c r="R858" s="72"/>
      <c r="S858" s="31" t="str">
        <f t="shared" si="152"/>
        <v/>
      </c>
      <c r="T858" s="32" t="str">
        <f t="shared" si="153"/>
        <v/>
      </c>
      <c r="U858" s="73"/>
      <c r="V858" s="72"/>
      <c r="W858" s="72"/>
    </row>
    <row r="859" ht="21.75" customHeight="1">
      <c r="A859" s="134"/>
      <c r="B859" s="64"/>
      <c r="C859" s="23"/>
      <c r="D859" s="23"/>
      <c r="E859" s="24"/>
      <c r="F859" s="25"/>
      <c r="G859" s="24"/>
      <c r="H859" s="26"/>
      <c r="I859" s="27"/>
      <c r="J859" s="28"/>
      <c r="K859" s="28" t="str">
        <f t="shared" si="151"/>
        <v/>
      </c>
      <c r="L859" s="17"/>
      <c r="M859" s="29"/>
      <c r="N859" s="72"/>
      <c r="O859" s="73"/>
      <c r="P859" s="73"/>
      <c r="Q859" s="72"/>
      <c r="R859" s="72"/>
      <c r="S859" s="31" t="str">
        <f t="shared" si="152"/>
        <v/>
      </c>
      <c r="T859" s="32" t="str">
        <f t="shared" si="153"/>
        <v/>
      </c>
      <c r="U859" s="73"/>
      <c r="V859" s="72"/>
      <c r="W859" s="72"/>
    </row>
    <row r="860" ht="21.75" customHeight="1">
      <c r="A860" s="134"/>
      <c r="B860" s="64"/>
      <c r="C860" s="23"/>
      <c r="D860" s="23"/>
      <c r="E860" s="24"/>
      <c r="F860" s="25"/>
      <c r="G860" s="24"/>
      <c r="H860" s="26"/>
      <c r="I860" s="27"/>
      <c r="J860" s="28"/>
      <c r="K860" s="28" t="str">
        <f t="shared" si="151"/>
        <v/>
      </c>
      <c r="L860" s="17"/>
      <c r="M860" s="29"/>
      <c r="N860" s="72"/>
      <c r="O860" s="73"/>
      <c r="P860" s="73"/>
      <c r="Q860" s="72"/>
      <c r="R860" s="72"/>
      <c r="S860" s="31" t="str">
        <f t="shared" si="152"/>
        <v/>
      </c>
      <c r="T860" s="32" t="str">
        <f t="shared" si="153"/>
        <v/>
      </c>
      <c r="U860" s="73"/>
      <c r="V860" s="72"/>
      <c r="W860" s="72"/>
    </row>
    <row r="861" ht="21.75" customHeight="1">
      <c r="A861" s="134"/>
      <c r="B861" s="64"/>
      <c r="C861" s="23"/>
      <c r="D861" s="23"/>
      <c r="E861" s="24"/>
      <c r="F861" s="25"/>
      <c r="G861" s="24"/>
      <c r="H861" s="26"/>
      <c r="I861" s="27"/>
      <c r="J861" s="28"/>
      <c r="K861" s="28" t="str">
        <f t="shared" si="151"/>
        <v/>
      </c>
      <c r="L861" s="17"/>
      <c r="M861" s="29"/>
      <c r="N861" s="72"/>
      <c r="O861" s="73"/>
      <c r="P861" s="73"/>
      <c r="Q861" s="72"/>
      <c r="R861" s="72"/>
      <c r="S861" s="31" t="str">
        <f t="shared" si="152"/>
        <v/>
      </c>
      <c r="T861" s="32" t="str">
        <f t="shared" si="153"/>
        <v/>
      </c>
      <c r="U861" s="73"/>
      <c r="V861" s="72"/>
      <c r="W861" s="72"/>
    </row>
    <row r="862" ht="21.75" customHeight="1">
      <c r="A862" s="134"/>
      <c r="B862" s="64"/>
      <c r="C862" s="23"/>
      <c r="D862" s="23"/>
      <c r="E862" s="24"/>
      <c r="F862" s="25"/>
      <c r="G862" s="24"/>
      <c r="H862" s="26"/>
      <c r="I862" s="27"/>
      <c r="J862" s="28"/>
      <c r="K862" s="28" t="str">
        <f t="shared" si="151"/>
        <v/>
      </c>
      <c r="L862" s="17"/>
      <c r="M862" s="29"/>
      <c r="N862" s="72"/>
      <c r="O862" s="73"/>
      <c r="P862" s="73"/>
      <c r="Q862" s="72"/>
      <c r="R862" s="72"/>
      <c r="S862" s="31" t="str">
        <f t="shared" si="152"/>
        <v/>
      </c>
      <c r="T862" s="32" t="str">
        <f t="shared" si="153"/>
        <v/>
      </c>
      <c r="U862" s="73"/>
      <c r="V862" s="72"/>
      <c r="W862" s="72"/>
    </row>
    <row r="863" ht="21.75" customHeight="1">
      <c r="A863" s="134"/>
      <c r="B863" s="64"/>
      <c r="C863" s="23"/>
      <c r="D863" s="23"/>
      <c r="E863" s="24"/>
      <c r="F863" s="25"/>
      <c r="G863" s="24"/>
      <c r="H863" s="26"/>
      <c r="I863" s="27"/>
      <c r="J863" s="28"/>
      <c r="K863" s="28" t="str">
        <f t="shared" si="151"/>
        <v/>
      </c>
      <c r="L863" s="17"/>
      <c r="M863" s="29"/>
      <c r="N863" s="72"/>
      <c r="O863" s="73"/>
      <c r="P863" s="73"/>
      <c r="Q863" s="72"/>
      <c r="R863" s="72"/>
      <c r="S863" s="31" t="str">
        <f t="shared" si="152"/>
        <v/>
      </c>
      <c r="T863" s="32" t="str">
        <f t="shared" si="153"/>
        <v/>
      </c>
      <c r="U863" s="73"/>
      <c r="V863" s="72"/>
      <c r="W863" s="72"/>
    </row>
    <row r="864" ht="21.75" customHeight="1">
      <c r="A864" s="134"/>
      <c r="B864" s="64"/>
      <c r="C864" s="23"/>
      <c r="D864" s="23"/>
      <c r="E864" s="24"/>
      <c r="F864" s="25"/>
      <c r="G864" s="24"/>
      <c r="H864" s="26"/>
      <c r="I864" s="27"/>
      <c r="J864" s="28"/>
      <c r="K864" s="28" t="str">
        <f t="shared" si="151"/>
        <v/>
      </c>
      <c r="L864" s="17"/>
      <c r="M864" s="29"/>
      <c r="N864" s="72"/>
      <c r="O864" s="73"/>
      <c r="P864" s="73"/>
      <c r="Q864" s="72"/>
      <c r="R864" s="72"/>
      <c r="S864" s="31" t="str">
        <f t="shared" si="152"/>
        <v/>
      </c>
      <c r="T864" s="32" t="str">
        <f t="shared" si="153"/>
        <v/>
      </c>
      <c r="U864" s="73"/>
      <c r="V864" s="72"/>
      <c r="W864" s="72"/>
    </row>
    <row r="865" ht="21.75" customHeight="1">
      <c r="A865" s="134"/>
      <c r="B865" s="64"/>
      <c r="C865" s="23"/>
      <c r="D865" s="23"/>
      <c r="E865" s="24"/>
      <c r="F865" s="25"/>
      <c r="G865" s="24"/>
      <c r="H865" s="26"/>
      <c r="I865" s="27"/>
      <c r="J865" s="28"/>
      <c r="K865" s="28" t="str">
        <f t="shared" si="151"/>
        <v/>
      </c>
      <c r="L865" s="17"/>
      <c r="M865" s="29"/>
      <c r="N865" s="72"/>
      <c r="O865" s="73"/>
      <c r="P865" s="73"/>
      <c r="Q865" s="72"/>
      <c r="R865" s="72"/>
      <c r="S865" s="31" t="str">
        <f t="shared" si="152"/>
        <v/>
      </c>
      <c r="T865" s="32" t="str">
        <f t="shared" si="153"/>
        <v/>
      </c>
      <c r="U865" s="73"/>
      <c r="V865" s="72"/>
      <c r="W865" s="72"/>
    </row>
    <row r="866" ht="21.75" customHeight="1">
      <c r="A866" s="134"/>
      <c r="B866" s="64"/>
      <c r="C866" s="23"/>
      <c r="D866" s="23"/>
      <c r="E866" s="24"/>
      <c r="F866" s="25"/>
      <c r="G866" s="24"/>
      <c r="H866" s="26"/>
      <c r="I866" s="27"/>
      <c r="J866" s="28"/>
      <c r="K866" s="28" t="str">
        <f t="shared" si="151"/>
        <v/>
      </c>
      <c r="L866" s="17"/>
      <c r="M866" s="29"/>
      <c r="N866" s="72"/>
      <c r="O866" s="73"/>
      <c r="P866" s="73"/>
      <c r="Q866" s="72"/>
      <c r="R866" s="72"/>
      <c r="S866" s="31" t="str">
        <f t="shared" si="152"/>
        <v/>
      </c>
      <c r="T866" s="32" t="str">
        <f t="shared" si="153"/>
        <v/>
      </c>
      <c r="U866" s="73"/>
      <c r="V866" s="72"/>
      <c r="W866" s="72"/>
    </row>
    <row r="867" ht="21.75" customHeight="1">
      <c r="A867" s="134"/>
      <c r="B867" s="64"/>
      <c r="C867" s="23"/>
      <c r="D867" s="23"/>
      <c r="E867" s="24"/>
      <c r="F867" s="25"/>
      <c r="G867" s="24"/>
      <c r="H867" s="26"/>
      <c r="I867" s="27"/>
      <c r="J867" s="28"/>
      <c r="K867" s="28" t="str">
        <f t="shared" si="151"/>
        <v/>
      </c>
      <c r="L867" s="17"/>
      <c r="M867" s="29"/>
      <c r="N867" s="72"/>
      <c r="O867" s="73"/>
      <c r="P867" s="73"/>
      <c r="Q867" s="72"/>
      <c r="R867" s="72"/>
      <c r="S867" s="31" t="str">
        <f t="shared" si="152"/>
        <v/>
      </c>
      <c r="T867" s="32" t="str">
        <f t="shared" si="153"/>
        <v/>
      </c>
      <c r="U867" s="73"/>
      <c r="V867" s="72"/>
      <c r="W867" s="72"/>
    </row>
    <row r="868" ht="21.75" customHeight="1">
      <c r="A868" s="134"/>
      <c r="B868" s="64"/>
      <c r="C868" s="23"/>
      <c r="D868" s="23"/>
      <c r="E868" s="24"/>
      <c r="F868" s="25"/>
      <c r="G868" s="24"/>
      <c r="H868" s="26"/>
      <c r="I868" s="27"/>
      <c r="J868" s="28"/>
      <c r="K868" s="28" t="str">
        <f t="shared" si="151"/>
        <v/>
      </c>
      <c r="L868" s="17"/>
      <c r="M868" s="29"/>
      <c r="N868" s="72"/>
      <c r="O868" s="73"/>
      <c r="P868" s="73"/>
      <c r="Q868" s="72"/>
      <c r="R868" s="72"/>
      <c r="S868" s="31" t="str">
        <f t="shared" si="152"/>
        <v/>
      </c>
      <c r="T868" s="32" t="str">
        <f t="shared" si="153"/>
        <v/>
      </c>
      <c r="U868" s="73"/>
      <c r="V868" s="72"/>
      <c r="W868" s="72"/>
    </row>
    <row r="869" ht="21.75" customHeight="1">
      <c r="A869" s="134"/>
      <c r="B869" s="64"/>
      <c r="C869" s="23"/>
      <c r="D869" s="23"/>
      <c r="E869" s="24"/>
      <c r="F869" s="25"/>
      <c r="G869" s="24"/>
      <c r="H869" s="26"/>
      <c r="I869" s="27"/>
      <c r="J869" s="28"/>
      <c r="K869" s="28" t="str">
        <f t="shared" si="151"/>
        <v/>
      </c>
      <c r="L869" s="17"/>
      <c r="M869" s="29"/>
      <c r="N869" s="72"/>
      <c r="O869" s="73"/>
      <c r="P869" s="73"/>
      <c r="Q869" s="72"/>
      <c r="R869" s="72"/>
      <c r="S869" s="31" t="str">
        <f t="shared" si="152"/>
        <v/>
      </c>
      <c r="T869" s="32" t="str">
        <f t="shared" si="153"/>
        <v/>
      </c>
      <c r="U869" s="73"/>
      <c r="V869" s="72"/>
      <c r="W869" s="72"/>
    </row>
    <row r="870" ht="21.75" customHeight="1">
      <c r="A870" s="134"/>
      <c r="B870" s="64"/>
      <c r="C870" s="23"/>
      <c r="D870" s="23"/>
      <c r="E870" s="24"/>
      <c r="F870" s="25"/>
      <c r="G870" s="24"/>
      <c r="H870" s="26"/>
      <c r="I870" s="27"/>
      <c r="J870" s="28"/>
      <c r="K870" s="28" t="str">
        <f t="shared" si="151"/>
        <v/>
      </c>
      <c r="L870" s="17"/>
      <c r="M870" s="29"/>
      <c r="N870" s="72"/>
      <c r="O870" s="73"/>
      <c r="P870" s="73"/>
      <c r="Q870" s="72"/>
      <c r="R870" s="72"/>
      <c r="S870" s="31" t="str">
        <f t="shared" si="152"/>
        <v/>
      </c>
      <c r="T870" s="32" t="str">
        <f t="shared" si="153"/>
        <v/>
      </c>
      <c r="U870" s="73"/>
      <c r="V870" s="72"/>
      <c r="W870" s="72"/>
    </row>
    <row r="871" ht="21.75" customHeight="1">
      <c r="A871" s="134"/>
      <c r="B871" s="64"/>
      <c r="C871" s="23"/>
      <c r="D871" s="23"/>
      <c r="E871" s="24"/>
      <c r="F871" s="25"/>
      <c r="G871" s="24"/>
      <c r="H871" s="26"/>
      <c r="I871" s="27"/>
      <c r="J871" s="28"/>
      <c r="K871" s="28" t="str">
        <f t="shared" si="151"/>
        <v/>
      </c>
      <c r="L871" s="17"/>
      <c r="M871" s="29"/>
      <c r="N871" s="72"/>
      <c r="O871" s="73"/>
      <c r="P871" s="73"/>
      <c r="Q871" s="72"/>
      <c r="R871" s="72"/>
      <c r="S871" s="31" t="str">
        <f t="shared" si="152"/>
        <v/>
      </c>
      <c r="T871" s="32" t="str">
        <f t="shared" si="153"/>
        <v/>
      </c>
      <c r="U871" s="73"/>
      <c r="V871" s="72"/>
      <c r="W871" s="72"/>
    </row>
    <row r="872" ht="21.75" customHeight="1">
      <c r="A872" s="134"/>
      <c r="B872" s="64"/>
      <c r="C872" s="23"/>
      <c r="D872" s="23"/>
      <c r="E872" s="24"/>
      <c r="F872" s="25"/>
      <c r="G872" s="24"/>
      <c r="H872" s="26"/>
      <c r="I872" s="27"/>
      <c r="J872" s="28"/>
      <c r="K872" s="28" t="str">
        <f t="shared" si="151"/>
        <v/>
      </c>
      <c r="L872" s="17"/>
      <c r="M872" s="29"/>
      <c r="N872" s="72"/>
      <c r="O872" s="73"/>
      <c r="P872" s="73"/>
      <c r="Q872" s="72"/>
      <c r="R872" s="72"/>
      <c r="S872" s="31" t="str">
        <f t="shared" si="152"/>
        <v/>
      </c>
      <c r="T872" s="32" t="str">
        <f t="shared" si="153"/>
        <v/>
      </c>
      <c r="U872" s="73"/>
      <c r="V872" s="72"/>
      <c r="W872" s="72"/>
    </row>
    <row r="873" ht="21.75" customHeight="1">
      <c r="A873" s="134"/>
      <c r="B873" s="64"/>
      <c r="C873" s="23"/>
      <c r="D873" s="23"/>
      <c r="E873" s="24"/>
      <c r="F873" s="25"/>
      <c r="G873" s="24"/>
      <c r="H873" s="26"/>
      <c r="I873" s="27"/>
      <c r="J873" s="28"/>
      <c r="K873" s="28" t="str">
        <f t="shared" si="151"/>
        <v/>
      </c>
      <c r="L873" s="17"/>
      <c r="M873" s="29"/>
      <c r="N873" s="72"/>
      <c r="O873" s="73"/>
      <c r="P873" s="73"/>
      <c r="Q873" s="72"/>
      <c r="R873" s="72"/>
      <c r="S873" s="31" t="str">
        <f t="shared" si="152"/>
        <v/>
      </c>
      <c r="T873" s="32" t="str">
        <f t="shared" si="153"/>
        <v/>
      </c>
      <c r="U873" s="73"/>
      <c r="V873" s="72"/>
      <c r="W873" s="72"/>
    </row>
    <row r="874" ht="21.75" customHeight="1">
      <c r="A874" s="134"/>
      <c r="B874" s="64"/>
      <c r="C874" s="23"/>
      <c r="D874" s="23"/>
      <c r="E874" s="24"/>
      <c r="F874" s="25"/>
      <c r="G874" s="24"/>
      <c r="H874" s="26"/>
      <c r="I874" s="27"/>
      <c r="J874" s="28"/>
      <c r="K874" s="28" t="str">
        <f t="shared" si="151"/>
        <v/>
      </c>
      <c r="L874" s="17"/>
      <c r="M874" s="29"/>
      <c r="N874" s="72"/>
      <c r="O874" s="73"/>
      <c r="P874" s="73"/>
      <c r="Q874" s="72"/>
      <c r="R874" s="72"/>
      <c r="S874" s="31" t="str">
        <f t="shared" si="152"/>
        <v/>
      </c>
      <c r="T874" s="32" t="str">
        <f t="shared" si="153"/>
        <v/>
      </c>
      <c r="U874" s="73"/>
      <c r="V874" s="72"/>
      <c r="W874" s="72"/>
    </row>
    <row r="875" ht="21.75" customHeight="1">
      <c r="A875" s="134"/>
      <c r="B875" s="64"/>
      <c r="C875" s="23"/>
      <c r="D875" s="23"/>
      <c r="E875" s="24"/>
      <c r="F875" s="25"/>
      <c r="G875" s="24"/>
      <c r="H875" s="26"/>
      <c r="I875" s="27"/>
      <c r="J875" s="28"/>
      <c r="K875" s="28" t="str">
        <f t="shared" si="151"/>
        <v/>
      </c>
      <c r="L875" s="17"/>
      <c r="M875" s="29"/>
      <c r="N875" s="72"/>
      <c r="O875" s="73"/>
      <c r="P875" s="73"/>
      <c r="Q875" s="72"/>
      <c r="R875" s="72"/>
      <c r="S875" s="31" t="str">
        <f t="shared" si="152"/>
        <v/>
      </c>
      <c r="T875" s="32" t="str">
        <f t="shared" si="153"/>
        <v/>
      </c>
      <c r="U875" s="73"/>
      <c r="V875" s="72"/>
      <c r="W875" s="72"/>
    </row>
    <row r="876" ht="21.75" customHeight="1">
      <c r="A876" s="134"/>
      <c r="B876" s="64"/>
      <c r="C876" s="23"/>
      <c r="D876" s="23"/>
      <c r="E876" s="24"/>
      <c r="F876" s="25"/>
      <c r="G876" s="24"/>
      <c r="H876" s="26"/>
      <c r="I876" s="27"/>
      <c r="J876" s="28"/>
      <c r="K876" s="28" t="str">
        <f t="shared" si="151"/>
        <v/>
      </c>
      <c r="L876" s="17"/>
      <c r="M876" s="29"/>
      <c r="N876" s="72"/>
      <c r="O876" s="73"/>
      <c r="P876" s="73"/>
      <c r="Q876" s="72"/>
      <c r="R876" s="72"/>
      <c r="S876" s="31" t="str">
        <f t="shared" si="152"/>
        <v/>
      </c>
      <c r="T876" s="32" t="str">
        <f t="shared" si="153"/>
        <v/>
      </c>
      <c r="U876" s="73"/>
      <c r="V876" s="72"/>
      <c r="W876" s="72"/>
    </row>
    <row r="877" ht="21.75" customHeight="1">
      <c r="A877" s="134"/>
      <c r="B877" s="64"/>
      <c r="C877" s="23"/>
      <c r="D877" s="23"/>
      <c r="E877" s="24"/>
      <c r="F877" s="25"/>
      <c r="G877" s="24"/>
      <c r="H877" s="26"/>
      <c r="I877" s="27"/>
      <c r="J877" s="28"/>
      <c r="K877" s="28" t="str">
        <f t="shared" si="151"/>
        <v/>
      </c>
      <c r="L877" s="17"/>
      <c r="M877" s="29"/>
      <c r="N877" s="72"/>
      <c r="O877" s="73"/>
      <c r="P877" s="73"/>
      <c r="Q877" s="72"/>
      <c r="R877" s="72"/>
      <c r="S877" s="31" t="str">
        <f t="shared" si="152"/>
        <v/>
      </c>
      <c r="T877" s="32" t="str">
        <f t="shared" si="153"/>
        <v/>
      </c>
      <c r="U877" s="73"/>
      <c r="V877" s="72"/>
      <c r="W877" s="72"/>
    </row>
    <row r="878" ht="21.75" customHeight="1">
      <c r="A878" s="134"/>
      <c r="B878" s="64"/>
      <c r="C878" s="23"/>
      <c r="D878" s="23"/>
      <c r="E878" s="24"/>
      <c r="F878" s="25"/>
      <c r="G878" s="24"/>
      <c r="H878" s="26"/>
      <c r="I878" s="27"/>
      <c r="J878" s="28"/>
      <c r="K878" s="28" t="str">
        <f t="shared" si="151"/>
        <v/>
      </c>
      <c r="L878" s="17"/>
      <c r="M878" s="29"/>
      <c r="N878" s="72"/>
      <c r="O878" s="73"/>
      <c r="P878" s="73"/>
      <c r="Q878" s="72"/>
      <c r="R878" s="72"/>
      <c r="S878" s="31" t="str">
        <f t="shared" si="152"/>
        <v/>
      </c>
      <c r="T878" s="32" t="str">
        <f t="shared" si="153"/>
        <v/>
      </c>
      <c r="U878" s="73"/>
      <c r="V878" s="72"/>
      <c r="W878" s="72"/>
    </row>
    <row r="879" ht="21.75" customHeight="1">
      <c r="A879" s="134"/>
      <c r="B879" s="64"/>
      <c r="C879" s="23"/>
      <c r="D879" s="23"/>
      <c r="E879" s="24"/>
      <c r="F879" s="25"/>
      <c r="G879" s="24"/>
      <c r="H879" s="26"/>
      <c r="I879" s="27"/>
      <c r="J879" s="28"/>
      <c r="K879" s="28" t="str">
        <f t="shared" si="151"/>
        <v/>
      </c>
      <c r="L879" s="17"/>
      <c r="M879" s="29"/>
      <c r="N879" s="72"/>
      <c r="O879" s="73"/>
      <c r="P879" s="73"/>
      <c r="Q879" s="72"/>
      <c r="R879" s="72"/>
      <c r="S879" s="31" t="str">
        <f t="shared" si="152"/>
        <v/>
      </c>
      <c r="T879" s="32" t="str">
        <f t="shared" si="153"/>
        <v/>
      </c>
      <c r="U879" s="73"/>
      <c r="V879" s="72"/>
      <c r="W879" s="72"/>
    </row>
    <row r="880" ht="21.75" customHeight="1">
      <c r="A880" s="134"/>
      <c r="B880" s="64"/>
      <c r="C880" s="23"/>
      <c r="D880" s="23"/>
      <c r="E880" s="24"/>
      <c r="F880" s="25"/>
      <c r="G880" s="24"/>
      <c r="H880" s="26"/>
      <c r="I880" s="27"/>
      <c r="J880" s="28"/>
      <c r="K880" s="28" t="str">
        <f t="shared" si="151"/>
        <v/>
      </c>
      <c r="L880" s="17"/>
      <c r="M880" s="29"/>
      <c r="N880" s="72"/>
      <c r="O880" s="73"/>
      <c r="P880" s="73"/>
      <c r="Q880" s="72"/>
      <c r="R880" s="72"/>
      <c r="S880" s="31" t="str">
        <f t="shared" si="152"/>
        <v/>
      </c>
      <c r="T880" s="32" t="str">
        <f t="shared" si="153"/>
        <v/>
      </c>
      <c r="U880" s="73"/>
      <c r="V880" s="72"/>
      <c r="W880" s="72"/>
    </row>
    <row r="881" ht="21.75" customHeight="1">
      <c r="A881" s="134"/>
      <c r="B881" s="64"/>
      <c r="C881" s="23"/>
      <c r="D881" s="23"/>
      <c r="E881" s="24"/>
      <c r="F881" s="25"/>
      <c r="G881" s="24"/>
      <c r="H881" s="26"/>
      <c r="I881" s="27"/>
      <c r="J881" s="28"/>
      <c r="K881" s="28" t="str">
        <f t="shared" si="151"/>
        <v/>
      </c>
      <c r="L881" s="17"/>
      <c r="M881" s="29"/>
      <c r="N881" s="72"/>
      <c r="O881" s="73"/>
      <c r="P881" s="73"/>
      <c r="Q881" s="72"/>
      <c r="R881" s="72"/>
      <c r="S881" s="31" t="str">
        <f t="shared" si="152"/>
        <v/>
      </c>
      <c r="T881" s="32" t="str">
        <f t="shared" si="153"/>
        <v/>
      </c>
      <c r="U881" s="73"/>
      <c r="V881" s="72"/>
      <c r="W881" s="72"/>
    </row>
    <row r="882" ht="21.75" customHeight="1">
      <c r="A882" s="134"/>
      <c r="B882" s="64"/>
      <c r="C882" s="23"/>
      <c r="D882" s="23"/>
      <c r="E882" s="24"/>
      <c r="F882" s="25"/>
      <c r="G882" s="24"/>
      <c r="H882" s="26"/>
      <c r="I882" s="27"/>
      <c r="J882" s="28"/>
      <c r="K882" s="28" t="str">
        <f t="shared" si="151"/>
        <v/>
      </c>
      <c r="L882" s="17"/>
      <c r="M882" s="29"/>
      <c r="N882" s="72"/>
      <c r="O882" s="73"/>
      <c r="P882" s="73"/>
      <c r="Q882" s="72"/>
      <c r="R882" s="72"/>
      <c r="S882" s="31" t="str">
        <f t="shared" si="152"/>
        <v/>
      </c>
      <c r="T882" s="32" t="str">
        <f t="shared" si="153"/>
        <v/>
      </c>
      <c r="U882" s="73"/>
      <c r="V882" s="72"/>
      <c r="W882" s="72"/>
    </row>
    <row r="883" ht="21.75" customHeight="1">
      <c r="A883" s="134"/>
      <c r="B883" s="64"/>
      <c r="C883" s="23"/>
      <c r="D883" s="23"/>
      <c r="E883" s="24"/>
      <c r="F883" s="25"/>
      <c r="G883" s="24"/>
      <c r="H883" s="26"/>
      <c r="I883" s="27"/>
      <c r="J883" s="28"/>
      <c r="K883" s="28" t="str">
        <f t="shared" si="151"/>
        <v/>
      </c>
      <c r="L883" s="17"/>
      <c r="M883" s="29"/>
      <c r="N883" s="72"/>
      <c r="O883" s="73"/>
      <c r="P883" s="73"/>
      <c r="Q883" s="72"/>
      <c r="R883" s="72"/>
      <c r="S883" s="31" t="str">
        <f t="shared" si="152"/>
        <v/>
      </c>
      <c r="T883" s="32" t="str">
        <f t="shared" si="153"/>
        <v/>
      </c>
      <c r="U883" s="73"/>
      <c r="V883" s="72"/>
      <c r="W883" s="72"/>
    </row>
    <row r="884" ht="21.75" customHeight="1">
      <c r="A884" s="134"/>
      <c r="B884" s="64"/>
      <c r="C884" s="23"/>
      <c r="D884" s="23"/>
      <c r="E884" s="24"/>
      <c r="F884" s="25"/>
      <c r="G884" s="24"/>
      <c r="H884" s="26"/>
      <c r="I884" s="27"/>
      <c r="J884" s="28"/>
      <c r="K884" s="28" t="str">
        <f t="shared" si="151"/>
        <v/>
      </c>
      <c r="L884" s="17"/>
      <c r="M884" s="29"/>
      <c r="N884" s="72"/>
      <c r="O884" s="73"/>
      <c r="P884" s="73"/>
      <c r="Q884" s="72"/>
      <c r="R884" s="72"/>
      <c r="S884" s="31" t="str">
        <f t="shared" si="152"/>
        <v/>
      </c>
      <c r="T884" s="32" t="str">
        <f t="shared" si="153"/>
        <v/>
      </c>
      <c r="U884" s="73"/>
      <c r="V884" s="72"/>
      <c r="W884" s="72"/>
    </row>
    <row r="885" ht="21.75" customHeight="1">
      <c r="A885" s="134"/>
      <c r="B885" s="64"/>
      <c r="C885" s="23"/>
      <c r="D885" s="23"/>
      <c r="E885" s="24"/>
      <c r="F885" s="25"/>
      <c r="G885" s="24"/>
      <c r="H885" s="26"/>
      <c r="I885" s="27"/>
      <c r="J885" s="28"/>
      <c r="K885" s="28" t="str">
        <f t="shared" si="151"/>
        <v/>
      </c>
      <c r="L885" s="17"/>
      <c r="M885" s="29"/>
      <c r="N885" s="72"/>
      <c r="O885" s="73"/>
      <c r="P885" s="73"/>
      <c r="Q885" s="72"/>
      <c r="R885" s="72"/>
      <c r="S885" s="31" t="str">
        <f t="shared" si="152"/>
        <v/>
      </c>
      <c r="T885" s="32" t="str">
        <f t="shared" si="153"/>
        <v/>
      </c>
      <c r="U885" s="73"/>
      <c r="V885" s="72"/>
      <c r="W885" s="72"/>
    </row>
    <row r="886" ht="21.75" customHeight="1">
      <c r="A886" s="134"/>
      <c r="B886" s="64"/>
      <c r="C886" s="23"/>
      <c r="D886" s="23"/>
      <c r="E886" s="24"/>
      <c r="F886" s="25"/>
      <c r="G886" s="24"/>
      <c r="H886" s="26"/>
      <c r="I886" s="27"/>
      <c r="J886" s="28"/>
      <c r="K886" s="28" t="str">
        <f t="shared" si="151"/>
        <v/>
      </c>
      <c r="L886" s="17"/>
      <c r="M886" s="29"/>
      <c r="N886" s="72"/>
      <c r="O886" s="73"/>
      <c r="P886" s="73"/>
      <c r="Q886" s="72"/>
      <c r="R886" s="72"/>
      <c r="S886" s="31" t="str">
        <f t="shared" si="152"/>
        <v/>
      </c>
      <c r="T886" s="32" t="str">
        <f t="shared" si="153"/>
        <v/>
      </c>
      <c r="U886" s="73"/>
      <c r="V886" s="72"/>
      <c r="W886" s="72"/>
    </row>
    <row r="887" ht="21.75" customHeight="1">
      <c r="A887" s="134"/>
      <c r="B887" s="64"/>
      <c r="C887" s="23"/>
      <c r="D887" s="23"/>
      <c r="E887" s="24"/>
      <c r="F887" s="25"/>
      <c r="G887" s="24"/>
      <c r="H887" s="26"/>
      <c r="I887" s="27"/>
      <c r="J887" s="28"/>
      <c r="K887" s="28" t="str">
        <f t="shared" si="151"/>
        <v/>
      </c>
      <c r="L887" s="17"/>
      <c r="M887" s="29"/>
      <c r="N887" s="72"/>
      <c r="O887" s="73"/>
      <c r="P887" s="73"/>
      <c r="Q887" s="72"/>
      <c r="R887" s="72"/>
      <c r="S887" s="31" t="str">
        <f t="shared" si="152"/>
        <v/>
      </c>
      <c r="T887" s="32" t="str">
        <f t="shared" si="153"/>
        <v/>
      </c>
      <c r="U887" s="73"/>
      <c r="V887" s="72"/>
      <c r="W887" s="72"/>
    </row>
    <row r="888" ht="21.75" customHeight="1">
      <c r="A888" s="134"/>
      <c r="B888" s="64"/>
      <c r="C888" s="23"/>
      <c r="D888" s="23"/>
      <c r="E888" s="24"/>
      <c r="F888" s="25"/>
      <c r="G888" s="24"/>
      <c r="H888" s="26"/>
      <c r="I888" s="27"/>
      <c r="J888" s="28"/>
      <c r="K888" s="28" t="str">
        <f t="shared" si="151"/>
        <v/>
      </c>
      <c r="L888" s="17"/>
      <c r="M888" s="29"/>
      <c r="N888" s="72"/>
      <c r="O888" s="73"/>
      <c r="P888" s="73"/>
      <c r="Q888" s="72"/>
      <c r="R888" s="72"/>
      <c r="S888" s="31" t="str">
        <f t="shared" si="152"/>
        <v/>
      </c>
      <c r="T888" s="32" t="str">
        <f t="shared" si="153"/>
        <v/>
      </c>
      <c r="U888" s="73"/>
      <c r="V888" s="72"/>
      <c r="W888" s="72"/>
    </row>
    <row r="889" ht="21.75" customHeight="1">
      <c r="A889" s="134"/>
      <c r="B889" s="64"/>
      <c r="C889" s="23"/>
      <c r="D889" s="23"/>
      <c r="E889" s="24"/>
      <c r="F889" s="25"/>
      <c r="G889" s="24"/>
      <c r="H889" s="26"/>
      <c r="I889" s="27"/>
      <c r="J889" s="28"/>
      <c r="K889" s="28" t="str">
        <f t="shared" si="151"/>
        <v/>
      </c>
      <c r="L889" s="17"/>
      <c r="M889" s="29"/>
      <c r="N889" s="72"/>
      <c r="O889" s="73"/>
      <c r="P889" s="73"/>
      <c r="Q889" s="72"/>
      <c r="R889" s="72"/>
      <c r="S889" s="31" t="str">
        <f t="shared" si="152"/>
        <v/>
      </c>
      <c r="T889" s="32" t="str">
        <f t="shared" si="153"/>
        <v/>
      </c>
      <c r="U889" s="73"/>
      <c r="V889" s="72"/>
      <c r="W889" s="72"/>
    </row>
    <row r="890" ht="21.75" customHeight="1">
      <c r="A890" s="134"/>
      <c r="B890" s="64"/>
      <c r="C890" s="23"/>
      <c r="D890" s="23"/>
      <c r="E890" s="24"/>
      <c r="F890" s="25"/>
      <c r="G890" s="24"/>
      <c r="H890" s="26"/>
      <c r="I890" s="27"/>
      <c r="J890" s="28"/>
      <c r="K890" s="28" t="str">
        <f t="shared" si="151"/>
        <v/>
      </c>
      <c r="L890" s="17"/>
      <c r="M890" s="29"/>
      <c r="N890" s="72"/>
      <c r="O890" s="73"/>
      <c r="P890" s="73"/>
      <c r="Q890" s="72"/>
      <c r="R890" s="72"/>
      <c r="S890" s="31" t="str">
        <f t="shared" si="152"/>
        <v/>
      </c>
      <c r="T890" s="32" t="str">
        <f t="shared" si="153"/>
        <v/>
      </c>
      <c r="U890" s="73"/>
      <c r="V890" s="72"/>
      <c r="W890" s="72"/>
    </row>
    <row r="891" ht="21.75" customHeight="1">
      <c r="A891" s="134"/>
      <c r="B891" s="64"/>
      <c r="C891" s="23"/>
      <c r="D891" s="23"/>
      <c r="E891" s="24"/>
      <c r="F891" s="25"/>
      <c r="G891" s="24"/>
      <c r="H891" s="26"/>
      <c r="I891" s="27"/>
      <c r="J891" s="28"/>
      <c r="K891" s="28" t="str">
        <f t="shared" si="151"/>
        <v/>
      </c>
      <c r="L891" s="17"/>
      <c r="M891" s="29"/>
      <c r="N891" s="72"/>
      <c r="O891" s="73"/>
      <c r="P891" s="73"/>
      <c r="Q891" s="72"/>
      <c r="R891" s="72"/>
      <c r="S891" s="31" t="str">
        <f t="shared" si="152"/>
        <v/>
      </c>
      <c r="T891" s="32" t="str">
        <f t="shared" si="153"/>
        <v/>
      </c>
      <c r="U891" s="73"/>
      <c r="V891" s="72"/>
      <c r="W891" s="72"/>
    </row>
    <row r="892" ht="21.75" customHeight="1">
      <c r="A892" s="134"/>
      <c r="B892" s="64"/>
      <c r="C892" s="23"/>
      <c r="D892" s="23"/>
      <c r="E892" s="24"/>
      <c r="F892" s="25"/>
      <c r="G892" s="24"/>
      <c r="H892" s="26"/>
      <c r="I892" s="27"/>
      <c r="J892" s="28"/>
      <c r="K892" s="28" t="str">
        <f t="shared" si="151"/>
        <v/>
      </c>
      <c r="L892" s="17"/>
      <c r="M892" s="29"/>
      <c r="N892" s="72"/>
      <c r="O892" s="73"/>
      <c r="P892" s="73"/>
      <c r="Q892" s="72"/>
      <c r="R892" s="72"/>
      <c r="S892" s="31" t="str">
        <f t="shared" si="152"/>
        <v/>
      </c>
      <c r="T892" s="32" t="str">
        <f t="shared" si="153"/>
        <v/>
      </c>
      <c r="U892" s="73"/>
      <c r="V892" s="72"/>
      <c r="W892" s="72"/>
    </row>
    <row r="893" ht="21.75" customHeight="1">
      <c r="A893" s="134"/>
      <c r="B893" s="64"/>
      <c r="C893" s="23"/>
      <c r="D893" s="23"/>
      <c r="E893" s="24"/>
      <c r="F893" s="25"/>
      <c r="G893" s="24"/>
      <c r="H893" s="26"/>
      <c r="I893" s="27"/>
      <c r="J893" s="28"/>
      <c r="K893" s="28" t="str">
        <f t="shared" si="151"/>
        <v/>
      </c>
      <c r="L893" s="17"/>
      <c r="M893" s="29"/>
      <c r="N893" s="72"/>
      <c r="O893" s="73"/>
      <c r="P893" s="73"/>
      <c r="Q893" s="72"/>
      <c r="R893" s="72"/>
      <c r="S893" s="31" t="str">
        <f t="shared" si="152"/>
        <v/>
      </c>
      <c r="T893" s="32" t="str">
        <f t="shared" si="153"/>
        <v/>
      </c>
      <c r="U893" s="73"/>
      <c r="V893" s="72"/>
      <c r="W893" s="72"/>
    </row>
    <row r="894" ht="21.75" customHeight="1">
      <c r="A894" s="134"/>
      <c r="B894" s="64"/>
      <c r="C894" s="23"/>
      <c r="D894" s="23"/>
      <c r="E894" s="24"/>
      <c r="F894" s="25"/>
      <c r="G894" s="24"/>
      <c r="H894" s="26"/>
      <c r="I894" s="27"/>
      <c r="J894" s="28"/>
      <c r="K894" s="28" t="str">
        <f t="shared" si="151"/>
        <v/>
      </c>
      <c r="L894" s="17"/>
      <c r="M894" s="29"/>
      <c r="N894" s="72"/>
      <c r="O894" s="73"/>
      <c r="P894" s="73"/>
      <c r="Q894" s="72"/>
      <c r="R894" s="72"/>
      <c r="S894" s="31" t="str">
        <f t="shared" si="152"/>
        <v/>
      </c>
      <c r="T894" s="32" t="str">
        <f t="shared" si="153"/>
        <v/>
      </c>
      <c r="U894" s="73"/>
      <c r="V894" s="72"/>
      <c r="W894" s="72"/>
    </row>
    <row r="895" ht="21.75" customHeight="1">
      <c r="A895" s="134"/>
      <c r="B895" s="64"/>
      <c r="C895" s="23"/>
      <c r="D895" s="23"/>
      <c r="E895" s="24"/>
      <c r="F895" s="25"/>
      <c r="G895" s="24"/>
      <c r="H895" s="26"/>
      <c r="I895" s="27"/>
      <c r="J895" s="28"/>
      <c r="K895" s="28" t="str">
        <f t="shared" si="151"/>
        <v/>
      </c>
      <c r="L895" s="17"/>
      <c r="M895" s="29"/>
      <c r="N895" s="72"/>
      <c r="O895" s="73"/>
      <c r="P895" s="73"/>
      <c r="Q895" s="72"/>
      <c r="R895" s="72"/>
      <c r="S895" s="31" t="str">
        <f t="shared" si="152"/>
        <v/>
      </c>
      <c r="T895" s="32" t="str">
        <f t="shared" si="153"/>
        <v/>
      </c>
      <c r="U895" s="73"/>
      <c r="V895" s="72"/>
      <c r="W895" s="72"/>
    </row>
    <row r="896" ht="21.75" customHeight="1">
      <c r="A896" s="134"/>
      <c r="B896" s="64"/>
      <c r="C896" s="23"/>
      <c r="D896" s="23"/>
      <c r="E896" s="24"/>
      <c r="F896" s="25"/>
      <c r="G896" s="24"/>
      <c r="H896" s="26"/>
      <c r="I896" s="27"/>
      <c r="J896" s="28"/>
      <c r="K896" s="28" t="str">
        <f t="shared" si="151"/>
        <v/>
      </c>
      <c r="L896" s="17"/>
      <c r="M896" s="29"/>
      <c r="N896" s="72"/>
      <c r="O896" s="73"/>
      <c r="P896" s="73"/>
      <c r="Q896" s="72"/>
      <c r="R896" s="72"/>
      <c r="S896" s="31" t="str">
        <f t="shared" si="152"/>
        <v/>
      </c>
      <c r="T896" s="32" t="str">
        <f t="shared" si="153"/>
        <v/>
      </c>
      <c r="U896" s="73"/>
      <c r="V896" s="72"/>
      <c r="W896" s="72"/>
    </row>
    <row r="897" ht="21.75" customHeight="1">
      <c r="A897" s="134"/>
      <c r="B897" s="64"/>
      <c r="C897" s="23"/>
      <c r="D897" s="23"/>
      <c r="E897" s="24"/>
      <c r="F897" s="25"/>
      <c r="G897" s="24"/>
      <c r="H897" s="26"/>
      <c r="I897" s="27"/>
      <c r="J897" s="28"/>
      <c r="K897" s="28" t="str">
        <f t="shared" si="151"/>
        <v/>
      </c>
      <c r="L897" s="17"/>
      <c r="M897" s="29"/>
      <c r="N897" s="72"/>
      <c r="O897" s="73"/>
      <c r="P897" s="73"/>
      <c r="Q897" s="72"/>
      <c r="R897" s="72"/>
      <c r="S897" s="31" t="str">
        <f t="shared" si="152"/>
        <v/>
      </c>
      <c r="T897" s="32" t="str">
        <f t="shared" si="153"/>
        <v/>
      </c>
      <c r="U897" s="73"/>
      <c r="V897" s="72"/>
      <c r="W897" s="72"/>
    </row>
    <row r="898" ht="21.75" customHeight="1">
      <c r="A898" s="134"/>
      <c r="B898" s="64"/>
      <c r="C898" s="23"/>
      <c r="D898" s="23"/>
      <c r="E898" s="24"/>
      <c r="F898" s="25"/>
      <c r="G898" s="24"/>
      <c r="H898" s="26"/>
      <c r="I898" s="27"/>
      <c r="J898" s="28"/>
      <c r="K898" s="28" t="str">
        <f t="shared" si="151"/>
        <v/>
      </c>
      <c r="L898" s="17"/>
      <c r="M898" s="29"/>
      <c r="N898" s="72"/>
      <c r="O898" s="73"/>
      <c r="P898" s="73"/>
      <c r="Q898" s="72"/>
      <c r="R898" s="72"/>
      <c r="S898" s="31" t="str">
        <f t="shared" si="152"/>
        <v/>
      </c>
      <c r="T898" s="32" t="str">
        <f t="shared" si="153"/>
        <v/>
      </c>
      <c r="U898" s="73"/>
      <c r="V898" s="72"/>
      <c r="W898" s="72"/>
    </row>
    <row r="899" ht="21.75" customHeight="1">
      <c r="A899" s="134"/>
      <c r="B899" s="64"/>
      <c r="C899" s="23"/>
      <c r="D899" s="23"/>
      <c r="E899" s="24"/>
      <c r="F899" s="25"/>
      <c r="G899" s="24"/>
      <c r="H899" s="26"/>
      <c r="I899" s="27"/>
      <c r="J899" s="28"/>
      <c r="K899" s="28" t="str">
        <f t="shared" si="151"/>
        <v/>
      </c>
      <c r="L899" s="17"/>
      <c r="M899" s="29"/>
      <c r="N899" s="72"/>
      <c r="O899" s="73"/>
      <c r="P899" s="73"/>
      <c r="Q899" s="72"/>
      <c r="R899" s="72"/>
      <c r="S899" s="31" t="str">
        <f t="shared" si="152"/>
        <v/>
      </c>
      <c r="T899" s="32" t="str">
        <f t="shared" si="153"/>
        <v/>
      </c>
      <c r="U899" s="73"/>
      <c r="V899" s="72"/>
      <c r="W899" s="72"/>
    </row>
    <row r="900" ht="21.75" customHeight="1">
      <c r="A900" s="134"/>
      <c r="B900" s="64"/>
      <c r="C900" s="23"/>
      <c r="D900" s="23"/>
      <c r="E900" s="24"/>
      <c r="F900" s="25"/>
      <c r="G900" s="24"/>
      <c r="H900" s="26"/>
      <c r="I900" s="27"/>
      <c r="J900" s="28"/>
      <c r="K900" s="28" t="str">
        <f t="shared" si="151"/>
        <v/>
      </c>
      <c r="L900" s="17"/>
      <c r="M900" s="29"/>
      <c r="N900" s="72"/>
      <c r="O900" s="73"/>
      <c r="P900" s="73"/>
      <c r="Q900" s="72"/>
      <c r="R900" s="72"/>
      <c r="S900" s="31" t="str">
        <f t="shared" si="152"/>
        <v/>
      </c>
      <c r="T900" s="32" t="str">
        <f t="shared" si="153"/>
        <v/>
      </c>
      <c r="U900" s="73"/>
      <c r="V900" s="72"/>
      <c r="W900" s="72"/>
    </row>
    <row r="901" ht="21.75" customHeight="1">
      <c r="A901" s="134"/>
      <c r="B901" s="64"/>
      <c r="C901" s="23"/>
      <c r="D901" s="23"/>
      <c r="E901" s="24"/>
      <c r="F901" s="25"/>
      <c r="G901" s="24"/>
      <c r="H901" s="26"/>
      <c r="I901" s="27"/>
      <c r="J901" s="28"/>
      <c r="K901" s="28" t="str">
        <f t="shared" si="151"/>
        <v/>
      </c>
      <c r="L901" s="17"/>
      <c r="M901" s="29"/>
      <c r="N901" s="72"/>
      <c r="O901" s="73"/>
      <c r="P901" s="73"/>
      <c r="Q901" s="72"/>
      <c r="R901" s="72"/>
      <c r="S901" s="31" t="str">
        <f t="shared" si="152"/>
        <v/>
      </c>
      <c r="T901" s="32" t="str">
        <f t="shared" si="153"/>
        <v/>
      </c>
      <c r="U901" s="73"/>
      <c r="V901" s="72"/>
      <c r="W901" s="72"/>
    </row>
    <row r="902" ht="21.75" customHeight="1">
      <c r="A902" s="134"/>
      <c r="B902" s="64"/>
      <c r="C902" s="23"/>
      <c r="D902" s="23"/>
      <c r="E902" s="24"/>
      <c r="F902" s="25"/>
      <c r="G902" s="24"/>
      <c r="H902" s="26"/>
      <c r="I902" s="27"/>
      <c r="J902" s="28"/>
      <c r="K902" s="28" t="str">
        <f t="shared" si="151"/>
        <v/>
      </c>
      <c r="L902" s="17"/>
      <c r="M902" s="29"/>
      <c r="N902" s="72"/>
      <c r="O902" s="73"/>
      <c r="P902" s="73"/>
      <c r="Q902" s="72"/>
      <c r="R902" s="72"/>
      <c r="S902" s="31" t="str">
        <f t="shared" si="152"/>
        <v/>
      </c>
      <c r="T902" s="32" t="str">
        <f t="shared" si="153"/>
        <v/>
      </c>
      <c r="U902" s="73"/>
      <c r="V902" s="72"/>
      <c r="W902" s="72"/>
    </row>
    <row r="903" ht="21.75" customHeight="1">
      <c r="A903" s="134"/>
      <c r="B903" s="64"/>
      <c r="C903" s="23"/>
      <c r="D903" s="23"/>
      <c r="E903" s="24"/>
      <c r="F903" s="25"/>
      <c r="G903" s="24"/>
      <c r="H903" s="26"/>
      <c r="I903" s="27"/>
      <c r="J903" s="28"/>
      <c r="K903" s="28" t="str">
        <f t="shared" si="151"/>
        <v/>
      </c>
      <c r="L903" s="17"/>
      <c r="M903" s="29"/>
      <c r="N903" s="72"/>
      <c r="O903" s="73"/>
      <c r="P903" s="73"/>
      <c r="Q903" s="72"/>
      <c r="R903" s="72"/>
      <c r="S903" s="31" t="str">
        <f t="shared" si="152"/>
        <v/>
      </c>
      <c r="T903" s="32" t="str">
        <f t="shared" si="153"/>
        <v/>
      </c>
      <c r="U903" s="73"/>
      <c r="V903" s="72"/>
      <c r="W903" s="72"/>
    </row>
    <row r="904" ht="21.75" customHeight="1">
      <c r="A904" s="134"/>
      <c r="B904" s="64"/>
      <c r="C904" s="23"/>
      <c r="D904" s="23"/>
      <c r="E904" s="24"/>
      <c r="F904" s="25"/>
      <c r="G904" s="24"/>
      <c r="H904" s="26"/>
      <c r="I904" s="27"/>
      <c r="J904" s="28"/>
      <c r="K904" s="28" t="str">
        <f t="shared" si="151"/>
        <v/>
      </c>
      <c r="L904" s="17"/>
      <c r="M904" s="29"/>
      <c r="N904" s="72"/>
      <c r="O904" s="73"/>
      <c r="P904" s="73"/>
      <c r="Q904" s="72"/>
      <c r="R904" s="72"/>
      <c r="S904" s="31" t="str">
        <f t="shared" si="152"/>
        <v/>
      </c>
      <c r="T904" s="32" t="str">
        <f t="shared" si="153"/>
        <v/>
      </c>
      <c r="U904" s="73"/>
      <c r="V904" s="72"/>
      <c r="W904" s="72"/>
    </row>
    <row r="905" ht="21.75" customHeight="1">
      <c r="A905" s="134"/>
      <c r="B905" s="64"/>
      <c r="C905" s="23"/>
      <c r="D905" s="23"/>
      <c r="E905" s="24"/>
      <c r="F905" s="25"/>
      <c r="G905" s="24"/>
      <c r="H905" s="26"/>
      <c r="I905" s="27"/>
      <c r="J905" s="28"/>
      <c r="K905" s="28" t="str">
        <f t="shared" si="151"/>
        <v/>
      </c>
      <c r="L905" s="17"/>
      <c r="M905" s="29"/>
      <c r="N905" s="72"/>
      <c r="O905" s="73"/>
      <c r="P905" s="73"/>
      <c r="Q905" s="72"/>
      <c r="R905" s="72"/>
      <c r="S905" s="31" t="str">
        <f t="shared" si="152"/>
        <v/>
      </c>
      <c r="T905" s="32" t="str">
        <f t="shared" si="153"/>
        <v/>
      </c>
      <c r="U905" s="73"/>
      <c r="V905" s="72"/>
      <c r="W905" s="72"/>
    </row>
    <row r="906" ht="21.75" customHeight="1">
      <c r="A906" s="134"/>
      <c r="B906" s="64"/>
      <c r="C906" s="23"/>
      <c r="D906" s="23"/>
      <c r="E906" s="24"/>
      <c r="F906" s="25"/>
      <c r="G906" s="24"/>
      <c r="H906" s="26"/>
      <c r="I906" s="27"/>
      <c r="J906" s="28"/>
      <c r="K906" s="28" t="str">
        <f t="shared" si="151"/>
        <v/>
      </c>
      <c r="L906" s="17"/>
      <c r="M906" s="29"/>
      <c r="N906" s="72"/>
      <c r="O906" s="73"/>
      <c r="P906" s="73"/>
      <c r="Q906" s="72"/>
      <c r="R906" s="72"/>
      <c r="S906" s="31" t="str">
        <f t="shared" si="152"/>
        <v/>
      </c>
      <c r="T906" s="32" t="str">
        <f t="shared" si="153"/>
        <v/>
      </c>
      <c r="U906" s="73"/>
      <c r="V906" s="72"/>
      <c r="W906" s="72"/>
    </row>
    <row r="907" ht="21.75" customHeight="1">
      <c r="A907" s="134"/>
      <c r="B907" s="64"/>
      <c r="C907" s="23"/>
      <c r="D907" s="23"/>
      <c r="E907" s="24"/>
      <c r="F907" s="25"/>
      <c r="G907" s="24"/>
      <c r="H907" s="26"/>
      <c r="I907" s="27"/>
      <c r="J907" s="28"/>
      <c r="K907" s="28" t="str">
        <f t="shared" si="151"/>
        <v/>
      </c>
      <c r="L907" s="17"/>
      <c r="M907" s="29"/>
      <c r="N907" s="72"/>
      <c r="O907" s="73"/>
      <c r="P907" s="73"/>
      <c r="Q907" s="72"/>
      <c r="R907" s="72"/>
      <c r="S907" s="31" t="str">
        <f t="shared" si="152"/>
        <v/>
      </c>
      <c r="T907" s="32" t="str">
        <f t="shared" si="153"/>
        <v/>
      </c>
      <c r="U907" s="73"/>
      <c r="V907" s="72"/>
      <c r="W907" s="72"/>
    </row>
    <row r="908" ht="21.75" customHeight="1">
      <c r="A908" s="134"/>
      <c r="B908" s="64"/>
      <c r="C908" s="23"/>
      <c r="D908" s="23"/>
      <c r="E908" s="24"/>
      <c r="F908" s="25"/>
      <c r="G908" s="24"/>
      <c r="H908" s="26"/>
      <c r="I908" s="27"/>
      <c r="J908" s="28"/>
      <c r="K908" s="28" t="str">
        <f t="shared" si="151"/>
        <v/>
      </c>
      <c r="L908" s="17"/>
      <c r="M908" s="29"/>
      <c r="N908" s="72"/>
      <c r="O908" s="73"/>
      <c r="P908" s="73"/>
      <c r="Q908" s="72"/>
      <c r="R908" s="72"/>
      <c r="S908" s="31" t="str">
        <f t="shared" si="152"/>
        <v/>
      </c>
      <c r="T908" s="32" t="str">
        <f t="shared" si="153"/>
        <v/>
      </c>
      <c r="U908" s="73"/>
      <c r="V908" s="72"/>
      <c r="W908" s="72"/>
    </row>
    <row r="909" ht="21.75" customHeight="1">
      <c r="A909" s="134"/>
      <c r="B909" s="64"/>
      <c r="C909" s="23"/>
      <c r="D909" s="23"/>
      <c r="E909" s="24"/>
      <c r="F909" s="25"/>
      <c r="G909" s="24"/>
      <c r="H909" s="26"/>
      <c r="I909" s="27"/>
      <c r="J909" s="28"/>
      <c r="K909" s="28" t="str">
        <f t="shared" si="151"/>
        <v/>
      </c>
      <c r="L909" s="17"/>
      <c r="M909" s="29"/>
      <c r="N909" s="72"/>
      <c r="O909" s="73"/>
      <c r="P909" s="73"/>
      <c r="Q909" s="72"/>
      <c r="R909" s="72"/>
      <c r="S909" s="31" t="str">
        <f t="shared" si="152"/>
        <v/>
      </c>
      <c r="T909" s="32" t="str">
        <f t="shared" si="153"/>
        <v/>
      </c>
      <c r="U909" s="73"/>
      <c r="V909" s="72"/>
      <c r="W909" s="72"/>
    </row>
    <row r="910" ht="21.75" customHeight="1">
      <c r="A910" s="134"/>
      <c r="B910" s="64"/>
      <c r="C910" s="23"/>
      <c r="D910" s="23"/>
      <c r="E910" s="24"/>
      <c r="F910" s="25"/>
      <c r="G910" s="24"/>
      <c r="H910" s="26"/>
      <c r="I910" s="27"/>
      <c r="J910" s="28"/>
      <c r="K910" s="28" t="str">
        <f t="shared" si="151"/>
        <v/>
      </c>
      <c r="L910" s="17"/>
      <c r="M910" s="29"/>
      <c r="N910" s="72"/>
      <c r="O910" s="73"/>
      <c r="P910" s="73"/>
      <c r="Q910" s="72"/>
      <c r="R910" s="72"/>
      <c r="S910" s="31" t="str">
        <f t="shared" si="152"/>
        <v/>
      </c>
      <c r="T910" s="32" t="str">
        <f t="shared" si="153"/>
        <v/>
      </c>
      <c r="U910" s="73"/>
      <c r="V910" s="72"/>
      <c r="W910" s="72"/>
    </row>
    <row r="911" ht="21.75" customHeight="1">
      <c r="A911" s="134"/>
      <c r="B911" s="64"/>
      <c r="C911" s="23"/>
      <c r="D911" s="23"/>
      <c r="E911" s="24"/>
      <c r="F911" s="25"/>
      <c r="G911" s="24"/>
      <c r="H911" s="26"/>
      <c r="I911" s="27"/>
      <c r="J911" s="28"/>
      <c r="K911" s="28" t="str">
        <f t="shared" si="151"/>
        <v/>
      </c>
      <c r="L911" s="17"/>
      <c r="M911" s="29"/>
      <c r="N911" s="72"/>
      <c r="O911" s="73"/>
      <c r="P911" s="73"/>
      <c r="Q911" s="72"/>
      <c r="R911" s="72"/>
      <c r="S911" s="31" t="str">
        <f t="shared" si="152"/>
        <v/>
      </c>
      <c r="T911" s="32" t="str">
        <f t="shared" si="153"/>
        <v/>
      </c>
      <c r="U911" s="73"/>
      <c r="V911" s="72"/>
      <c r="W911" s="72"/>
    </row>
    <row r="912" ht="21.75" customHeight="1">
      <c r="A912" s="134"/>
      <c r="B912" s="64"/>
      <c r="C912" s="23"/>
      <c r="D912" s="23"/>
      <c r="E912" s="24"/>
      <c r="F912" s="25"/>
      <c r="G912" s="24"/>
      <c r="H912" s="26"/>
      <c r="I912" s="27"/>
      <c r="J912" s="28"/>
      <c r="K912" s="28" t="str">
        <f t="shared" si="151"/>
        <v/>
      </c>
      <c r="L912" s="17"/>
      <c r="M912" s="29"/>
      <c r="N912" s="72"/>
      <c r="O912" s="73"/>
      <c r="P912" s="73"/>
      <c r="Q912" s="72"/>
      <c r="R912" s="72"/>
      <c r="S912" s="31" t="str">
        <f t="shared" si="152"/>
        <v/>
      </c>
      <c r="T912" s="32" t="str">
        <f t="shared" si="153"/>
        <v/>
      </c>
      <c r="U912" s="73"/>
      <c r="V912" s="72"/>
      <c r="W912" s="72"/>
    </row>
    <row r="913" ht="21.75" customHeight="1">
      <c r="A913" s="134"/>
      <c r="B913" s="64"/>
      <c r="C913" s="23"/>
      <c r="D913" s="23"/>
      <c r="E913" s="24"/>
      <c r="F913" s="25"/>
      <c r="G913" s="24"/>
      <c r="H913" s="26"/>
      <c r="I913" s="27"/>
      <c r="J913" s="28"/>
      <c r="K913" s="28" t="str">
        <f t="shared" si="151"/>
        <v/>
      </c>
      <c r="L913" s="17"/>
      <c r="M913" s="29"/>
      <c r="N913" s="72"/>
      <c r="O913" s="73"/>
      <c r="P913" s="73"/>
      <c r="Q913" s="72"/>
      <c r="R913" s="72"/>
      <c r="S913" s="31" t="str">
        <f t="shared" si="152"/>
        <v/>
      </c>
      <c r="T913" s="32" t="str">
        <f t="shared" si="153"/>
        <v/>
      </c>
      <c r="U913" s="73"/>
      <c r="V913" s="72"/>
      <c r="W913" s="72"/>
    </row>
    <row r="914" ht="21.75" customHeight="1">
      <c r="A914" s="134"/>
      <c r="B914" s="64"/>
      <c r="C914" s="23"/>
      <c r="D914" s="23"/>
      <c r="E914" s="24"/>
      <c r="F914" s="25"/>
      <c r="G914" s="24"/>
      <c r="H914" s="26"/>
      <c r="I914" s="27"/>
      <c r="J914" s="28"/>
      <c r="K914" s="28" t="str">
        <f t="shared" si="151"/>
        <v/>
      </c>
      <c r="L914" s="17"/>
      <c r="M914" s="29"/>
      <c r="N914" s="72"/>
      <c r="O914" s="73"/>
      <c r="P914" s="73"/>
      <c r="Q914" s="72"/>
      <c r="R914" s="72"/>
      <c r="S914" s="31" t="str">
        <f t="shared" si="152"/>
        <v/>
      </c>
      <c r="T914" s="32" t="str">
        <f t="shared" si="153"/>
        <v/>
      </c>
      <c r="U914" s="73"/>
      <c r="V914" s="72"/>
      <c r="W914" s="72"/>
    </row>
    <row r="915" ht="21.75" customHeight="1">
      <c r="A915" s="134"/>
      <c r="B915" s="64"/>
      <c r="C915" s="23"/>
      <c r="D915" s="23"/>
      <c r="E915" s="24"/>
      <c r="F915" s="25"/>
      <c r="G915" s="24"/>
      <c r="H915" s="26"/>
      <c r="I915" s="27"/>
      <c r="J915" s="28"/>
      <c r="K915" s="28" t="str">
        <f t="shared" si="151"/>
        <v/>
      </c>
      <c r="L915" s="17"/>
      <c r="M915" s="29"/>
      <c r="N915" s="72"/>
      <c r="O915" s="73"/>
      <c r="P915" s="73"/>
      <c r="Q915" s="72"/>
      <c r="R915" s="72"/>
      <c r="S915" s="31" t="str">
        <f t="shared" si="152"/>
        <v/>
      </c>
      <c r="T915" s="32" t="str">
        <f t="shared" si="153"/>
        <v/>
      </c>
      <c r="U915" s="73"/>
      <c r="V915" s="72"/>
      <c r="W915" s="72"/>
    </row>
    <row r="916" ht="21.75" customHeight="1">
      <c r="A916" s="134"/>
      <c r="B916" s="64"/>
      <c r="C916" s="23"/>
      <c r="D916" s="23"/>
      <c r="E916" s="24"/>
      <c r="F916" s="25"/>
      <c r="G916" s="24"/>
      <c r="H916" s="26"/>
      <c r="I916" s="27"/>
      <c r="J916" s="28"/>
      <c r="K916" s="28" t="str">
        <f t="shared" si="151"/>
        <v/>
      </c>
      <c r="L916" s="17"/>
      <c r="M916" s="29"/>
      <c r="N916" s="72"/>
      <c r="O916" s="73"/>
      <c r="P916" s="73"/>
      <c r="Q916" s="72"/>
      <c r="R916" s="72"/>
      <c r="S916" s="31" t="str">
        <f t="shared" si="152"/>
        <v/>
      </c>
      <c r="T916" s="32" t="str">
        <f t="shared" si="153"/>
        <v/>
      </c>
      <c r="U916" s="73"/>
      <c r="V916" s="72"/>
      <c r="W916" s="72"/>
    </row>
    <row r="917" ht="21.75" customHeight="1">
      <c r="A917" s="134"/>
      <c r="B917" s="64"/>
      <c r="C917" s="23"/>
      <c r="D917" s="23"/>
      <c r="E917" s="24"/>
      <c r="F917" s="25"/>
      <c r="G917" s="24"/>
      <c r="H917" s="26"/>
      <c r="I917" s="27"/>
      <c r="J917" s="28"/>
      <c r="K917" s="28" t="str">
        <f t="shared" si="151"/>
        <v/>
      </c>
      <c r="L917" s="17"/>
      <c r="M917" s="29"/>
      <c r="N917" s="72"/>
      <c r="O917" s="73"/>
      <c r="P917" s="73"/>
      <c r="Q917" s="72"/>
      <c r="R917" s="72"/>
      <c r="S917" s="31" t="str">
        <f t="shared" si="152"/>
        <v/>
      </c>
      <c r="T917" s="32" t="str">
        <f t="shared" si="153"/>
        <v/>
      </c>
      <c r="U917" s="73"/>
      <c r="V917" s="72"/>
      <c r="W917" s="72"/>
    </row>
    <row r="918" ht="21.75" customHeight="1">
      <c r="A918" s="134"/>
      <c r="B918" s="64"/>
      <c r="C918" s="23"/>
      <c r="D918" s="23"/>
      <c r="E918" s="24"/>
      <c r="F918" s="25"/>
      <c r="G918" s="24"/>
      <c r="H918" s="26"/>
      <c r="I918" s="27"/>
      <c r="J918" s="28"/>
      <c r="K918" s="28" t="str">
        <f t="shared" si="151"/>
        <v/>
      </c>
      <c r="L918" s="17"/>
      <c r="M918" s="29"/>
      <c r="N918" s="72"/>
      <c r="O918" s="73"/>
      <c r="P918" s="73"/>
      <c r="Q918" s="72"/>
      <c r="R918" s="72"/>
      <c r="S918" s="31" t="str">
        <f t="shared" si="152"/>
        <v/>
      </c>
      <c r="T918" s="32" t="str">
        <f t="shared" si="153"/>
        <v/>
      </c>
      <c r="U918" s="73"/>
      <c r="V918" s="72"/>
      <c r="W918" s="72"/>
    </row>
    <row r="919" ht="21.75" customHeight="1">
      <c r="A919" s="134"/>
      <c r="B919" s="64"/>
      <c r="C919" s="23"/>
      <c r="D919" s="23"/>
      <c r="E919" s="24"/>
      <c r="F919" s="25"/>
      <c r="G919" s="24"/>
      <c r="H919" s="26"/>
      <c r="I919" s="27"/>
      <c r="J919" s="28"/>
      <c r="K919" s="28" t="str">
        <f t="shared" si="151"/>
        <v/>
      </c>
      <c r="L919" s="17"/>
      <c r="M919" s="29"/>
      <c r="N919" s="72"/>
      <c r="O919" s="73"/>
      <c r="P919" s="73"/>
      <c r="Q919" s="72"/>
      <c r="R919" s="72"/>
      <c r="S919" s="31" t="str">
        <f t="shared" si="152"/>
        <v/>
      </c>
      <c r="T919" s="32" t="str">
        <f t="shared" si="153"/>
        <v/>
      </c>
      <c r="U919" s="73"/>
      <c r="V919" s="72"/>
      <c r="W919" s="72"/>
    </row>
    <row r="920" ht="21.75" customHeight="1">
      <c r="A920" s="134"/>
      <c r="B920" s="64"/>
      <c r="C920" s="23"/>
      <c r="D920" s="23"/>
      <c r="E920" s="24"/>
      <c r="F920" s="25"/>
      <c r="G920" s="24"/>
      <c r="H920" s="26"/>
      <c r="I920" s="27"/>
      <c r="J920" s="28"/>
      <c r="K920" s="28" t="str">
        <f t="shared" si="151"/>
        <v/>
      </c>
      <c r="L920" s="17"/>
      <c r="M920" s="29"/>
      <c r="N920" s="72"/>
      <c r="O920" s="73"/>
      <c r="P920" s="73"/>
      <c r="Q920" s="72"/>
      <c r="R920" s="72"/>
      <c r="S920" s="31" t="str">
        <f t="shared" si="152"/>
        <v/>
      </c>
      <c r="T920" s="32" t="str">
        <f t="shared" si="153"/>
        <v/>
      </c>
      <c r="U920" s="73"/>
      <c r="V920" s="72"/>
      <c r="W920" s="72"/>
    </row>
    <row r="921" ht="21.75" customHeight="1">
      <c r="A921" s="134"/>
      <c r="B921" s="64"/>
      <c r="C921" s="23"/>
      <c r="D921" s="23"/>
      <c r="E921" s="24"/>
      <c r="F921" s="25"/>
      <c r="G921" s="24"/>
      <c r="H921" s="26"/>
      <c r="I921" s="27"/>
      <c r="J921" s="28"/>
      <c r="K921" s="28" t="str">
        <f t="shared" si="151"/>
        <v/>
      </c>
      <c r="L921" s="17"/>
      <c r="M921" s="29"/>
      <c r="N921" s="72"/>
      <c r="O921" s="73"/>
      <c r="P921" s="73"/>
      <c r="Q921" s="72"/>
      <c r="R921" s="72"/>
      <c r="S921" s="31" t="str">
        <f t="shared" si="152"/>
        <v/>
      </c>
      <c r="T921" s="32" t="str">
        <f t="shared" si="153"/>
        <v/>
      </c>
      <c r="U921" s="73"/>
      <c r="V921" s="72"/>
      <c r="W921" s="72"/>
    </row>
    <row r="922" ht="21.75" customHeight="1">
      <c r="A922" s="134"/>
      <c r="B922" s="64"/>
      <c r="C922" s="23"/>
      <c r="D922" s="23"/>
      <c r="E922" s="24"/>
      <c r="F922" s="25"/>
      <c r="G922" s="24"/>
      <c r="H922" s="26"/>
      <c r="I922" s="27"/>
      <c r="J922" s="28"/>
      <c r="K922" s="28" t="str">
        <f t="shared" si="151"/>
        <v/>
      </c>
      <c r="L922" s="17"/>
      <c r="M922" s="29"/>
      <c r="N922" s="72"/>
      <c r="O922" s="73"/>
      <c r="P922" s="73"/>
      <c r="Q922" s="72"/>
      <c r="R922" s="72"/>
      <c r="S922" s="31" t="str">
        <f t="shared" si="152"/>
        <v/>
      </c>
      <c r="T922" s="32" t="str">
        <f t="shared" si="153"/>
        <v/>
      </c>
      <c r="U922" s="73"/>
      <c r="V922" s="72"/>
      <c r="W922" s="72"/>
    </row>
    <row r="923" ht="21.75" customHeight="1">
      <c r="A923" s="134"/>
      <c r="B923" s="64"/>
      <c r="C923" s="23"/>
      <c r="D923" s="23"/>
      <c r="E923" s="24"/>
      <c r="F923" s="25"/>
      <c r="G923" s="24"/>
      <c r="H923" s="26"/>
      <c r="I923" s="27"/>
      <c r="J923" s="28"/>
      <c r="K923" s="28" t="str">
        <f t="shared" si="151"/>
        <v/>
      </c>
      <c r="L923" s="17"/>
      <c r="M923" s="29"/>
      <c r="N923" s="72"/>
      <c r="O923" s="73"/>
      <c r="P923" s="73"/>
      <c r="Q923" s="72"/>
      <c r="R923" s="72"/>
      <c r="S923" s="31" t="str">
        <f t="shared" si="152"/>
        <v/>
      </c>
      <c r="T923" s="32" t="str">
        <f t="shared" si="153"/>
        <v/>
      </c>
      <c r="U923" s="73"/>
      <c r="V923" s="72"/>
      <c r="W923" s="72"/>
    </row>
    <row r="924" ht="21.75" customHeight="1">
      <c r="A924" s="134"/>
      <c r="B924" s="64"/>
      <c r="C924" s="23"/>
      <c r="D924" s="23"/>
      <c r="E924" s="24"/>
      <c r="F924" s="25"/>
      <c r="G924" s="24"/>
      <c r="H924" s="26"/>
      <c r="I924" s="27"/>
      <c r="J924" s="28"/>
      <c r="K924" s="28" t="str">
        <f t="shared" si="151"/>
        <v/>
      </c>
      <c r="L924" s="17"/>
      <c r="M924" s="29"/>
      <c r="N924" s="72"/>
      <c r="O924" s="73"/>
      <c r="P924" s="73"/>
      <c r="Q924" s="72"/>
      <c r="R924" s="72"/>
      <c r="S924" s="31" t="str">
        <f t="shared" si="152"/>
        <v/>
      </c>
      <c r="T924" s="32" t="str">
        <f t="shared" si="153"/>
        <v/>
      </c>
      <c r="U924" s="73"/>
      <c r="V924" s="72"/>
      <c r="W924" s="72"/>
    </row>
    <row r="925" ht="21.75" customHeight="1">
      <c r="A925" s="134"/>
      <c r="B925" s="64"/>
      <c r="C925" s="23"/>
      <c r="D925" s="23"/>
      <c r="E925" s="24"/>
      <c r="F925" s="25"/>
      <c r="G925" s="24"/>
      <c r="H925" s="26"/>
      <c r="I925" s="27"/>
      <c r="J925" s="28"/>
      <c r="K925" s="28" t="str">
        <f t="shared" si="151"/>
        <v/>
      </c>
      <c r="L925" s="17"/>
      <c r="M925" s="29"/>
      <c r="N925" s="72"/>
      <c r="O925" s="73"/>
      <c r="P925" s="73"/>
      <c r="Q925" s="72"/>
      <c r="R925" s="72"/>
      <c r="S925" s="31" t="str">
        <f t="shared" si="152"/>
        <v/>
      </c>
      <c r="T925" s="32" t="str">
        <f t="shared" si="153"/>
        <v/>
      </c>
      <c r="U925" s="73"/>
      <c r="V925" s="72"/>
      <c r="W925" s="72"/>
    </row>
    <row r="926" ht="21.75" customHeight="1">
      <c r="A926" s="134"/>
      <c r="B926" s="64"/>
      <c r="C926" s="23"/>
      <c r="D926" s="23"/>
      <c r="E926" s="24"/>
      <c r="F926" s="25"/>
      <c r="G926" s="24"/>
      <c r="H926" s="26"/>
      <c r="I926" s="27"/>
      <c r="J926" s="28"/>
      <c r="K926" s="28" t="str">
        <f t="shared" si="151"/>
        <v/>
      </c>
      <c r="L926" s="17"/>
      <c r="M926" s="29"/>
      <c r="N926" s="72"/>
      <c r="O926" s="73"/>
      <c r="P926" s="73"/>
      <c r="Q926" s="72"/>
      <c r="R926" s="72"/>
      <c r="S926" s="31" t="str">
        <f t="shared" si="152"/>
        <v/>
      </c>
      <c r="T926" s="32" t="str">
        <f t="shared" si="153"/>
        <v/>
      </c>
      <c r="U926" s="73"/>
      <c r="V926" s="72"/>
      <c r="W926" s="72"/>
    </row>
    <row r="927" ht="21.75" customHeight="1">
      <c r="A927" s="134"/>
      <c r="B927" s="64"/>
      <c r="C927" s="23"/>
      <c r="D927" s="23"/>
      <c r="E927" s="24"/>
      <c r="F927" s="25"/>
      <c r="G927" s="24"/>
      <c r="H927" s="26"/>
      <c r="I927" s="27"/>
      <c r="J927" s="28"/>
      <c r="K927" s="28" t="str">
        <f t="shared" si="151"/>
        <v/>
      </c>
      <c r="L927" s="17"/>
      <c r="M927" s="29"/>
      <c r="N927" s="72"/>
      <c r="O927" s="73"/>
      <c r="P927" s="73"/>
      <c r="Q927" s="72"/>
      <c r="R927" s="72"/>
      <c r="S927" s="31" t="str">
        <f t="shared" si="152"/>
        <v/>
      </c>
      <c r="T927" s="32" t="str">
        <f t="shared" si="153"/>
        <v/>
      </c>
      <c r="U927" s="73"/>
      <c r="V927" s="72"/>
      <c r="W927" s="72"/>
    </row>
    <row r="928" ht="21.75" customHeight="1">
      <c r="A928" s="134"/>
      <c r="B928" s="64"/>
      <c r="C928" s="23"/>
      <c r="D928" s="23"/>
      <c r="E928" s="24"/>
      <c r="F928" s="25"/>
      <c r="G928" s="24"/>
      <c r="H928" s="26"/>
      <c r="I928" s="27"/>
      <c r="J928" s="28"/>
      <c r="K928" s="28" t="str">
        <f t="shared" si="151"/>
        <v/>
      </c>
      <c r="L928" s="17"/>
      <c r="M928" s="29"/>
      <c r="N928" s="72"/>
      <c r="O928" s="73"/>
      <c r="P928" s="73"/>
      <c r="Q928" s="72"/>
      <c r="R928" s="72"/>
      <c r="S928" s="31" t="str">
        <f t="shared" si="152"/>
        <v/>
      </c>
      <c r="T928" s="32" t="str">
        <f t="shared" si="153"/>
        <v/>
      </c>
      <c r="U928" s="73"/>
      <c r="V928" s="72"/>
      <c r="W928" s="72"/>
    </row>
    <row r="929" ht="21.75" customHeight="1">
      <c r="A929" s="134"/>
      <c r="B929" s="64"/>
      <c r="C929" s="23"/>
      <c r="D929" s="23"/>
      <c r="E929" s="24"/>
      <c r="F929" s="25"/>
      <c r="G929" s="24"/>
      <c r="H929" s="26"/>
      <c r="I929" s="27"/>
      <c r="J929" s="28"/>
      <c r="K929" s="28" t="str">
        <f t="shared" si="151"/>
        <v/>
      </c>
      <c r="L929" s="17"/>
      <c r="M929" s="29"/>
      <c r="N929" s="72"/>
      <c r="O929" s="73"/>
      <c r="P929" s="73"/>
      <c r="Q929" s="72"/>
      <c r="R929" s="72"/>
      <c r="S929" s="31" t="str">
        <f t="shared" si="152"/>
        <v/>
      </c>
      <c r="T929" s="32" t="str">
        <f t="shared" si="153"/>
        <v/>
      </c>
      <c r="U929" s="73"/>
      <c r="V929" s="72"/>
      <c r="W929" s="72"/>
    </row>
    <row r="930" ht="21.75" customHeight="1">
      <c r="A930" s="134"/>
      <c r="B930" s="64"/>
      <c r="C930" s="23"/>
      <c r="D930" s="23"/>
      <c r="E930" s="24"/>
      <c r="F930" s="25"/>
      <c r="G930" s="24"/>
      <c r="H930" s="26"/>
      <c r="I930" s="27"/>
      <c r="J930" s="28"/>
      <c r="K930" s="28" t="str">
        <f t="shared" si="151"/>
        <v/>
      </c>
      <c r="L930" s="17"/>
      <c r="M930" s="29"/>
      <c r="N930" s="72"/>
      <c r="O930" s="73"/>
      <c r="P930" s="73"/>
      <c r="Q930" s="72"/>
      <c r="R930" s="72"/>
      <c r="S930" s="31" t="str">
        <f t="shared" si="152"/>
        <v/>
      </c>
      <c r="T930" s="32" t="str">
        <f t="shared" si="153"/>
        <v/>
      </c>
      <c r="U930" s="73"/>
      <c r="V930" s="72"/>
      <c r="W930" s="72"/>
    </row>
    <row r="931" ht="21.75" customHeight="1">
      <c r="A931" s="134"/>
      <c r="B931" s="64"/>
      <c r="C931" s="23"/>
      <c r="D931" s="23"/>
      <c r="E931" s="24"/>
      <c r="F931" s="25"/>
      <c r="G931" s="24"/>
      <c r="H931" s="26"/>
      <c r="I931" s="27"/>
      <c r="J931" s="28"/>
      <c r="K931" s="28" t="str">
        <f t="shared" si="151"/>
        <v/>
      </c>
      <c r="L931" s="17"/>
      <c r="M931" s="29"/>
      <c r="N931" s="72"/>
      <c r="O931" s="73"/>
      <c r="P931" s="73"/>
      <c r="Q931" s="72"/>
      <c r="R931" s="72"/>
      <c r="S931" s="31" t="str">
        <f t="shared" si="152"/>
        <v/>
      </c>
      <c r="T931" s="32" t="str">
        <f t="shared" si="153"/>
        <v/>
      </c>
      <c r="U931" s="73"/>
      <c r="V931" s="72"/>
      <c r="W931" s="72"/>
    </row>
    <row r="932" ht="21.75" customHeight="1">
      <c r="A932" s="134"/>
      <c r="B932" s="64"/>
      <c r="C932" s="23"/>
      <c r="D932" s="23"/>
      <c r="E932" s="24"/>
      <c r="F932" s="25"/>
      <c r="G932" s="24"/>
      <c r="H932" s="26"/>
      <c r="I932" s="27"/>
      <c r="J932" s="28"/>
      <c r="K932" s="28" t="str">
        <f t="shared" si="151"/>
        <v/>
      </c>
      <c r="L932" s="17"/>
      <c r="M932" s="29"/>
      <c r="N932" s="72"/>
      <c r="O932" s="73"/>
      <c r="P932" s="73"/>
      <c r="Q932" s="72"/>
      <c r="R932" s="72"/>
      <c r="S932" s="31" t="str">
        <f t="shared" si="152"/>
        <v/>
      </c>
      <c r="T932" s="32" t="str">
        <f t="shared" si="153"/>
        <v/>
      </c>
      <c r="U932" s="73"/>
      <c r="V932" s="72"/>
      <c r="W932" s="72"/>
    </row>
    <row r="933" ht="21.75" customHeight="1">
      <c r="A933" s="134"/>
      <c r="B933" s="64"/>
      <c r="C933" s="23"/>
      <c r="D933" s="23"/>
      <c r="E933" s="24"/>
      <c r="F933" s="25"/>
      <c r="G933" s="24"/>
      <c r="H933" s="26"/>
      <c r="I933" s="27"/>
      <c r="J933" s="28"/>
      <c r="K933" s="28" t="str">
        <f t="shared" si="151"/>
        <v/>
      </c>
      <c r="L933" s="17"/>
      <c r="M933" s="29"/>
      <c r="N933" s="72"/>
      <c r="O933" s="73"/>
      <c r="P933" s="73"/>
      <c r="Q933" s="72"/>
      <c r="R933" s="72"/>
      <c r="S933" s="31" t="str">
        <f t="shared" si="152"/>
        <v/>
      </c>
      <c r="T933" s="32" t="str">
        <f t="shared" si="153"/>
        <v/>
      </c>
      <c r="U933" s="73"/>
      <c r="V933" s="72"/>
      <c r="W933" s="72"/>
    </row>
    <row r="934" ht="21.75" customHeight="1">
      <c r="A934" s="134"/>
      <c r="B934" s="64"/>
      <c r="C934" s="23"/>
      <c r="D934" s="23"/>
      <c r="E934" s="24"/>
      <c r="F934" s="25"/>
      <c r="G934" s="24"/>
      <c r="H934" s="26"/>
      <c r="I934" s="27"/>
      <c r="J934" s="28"/>
      <c r="K934" s="28" t="str">
        <f t="shared" si="151"/>
        <v/>
      </c>
      <c r="L934" s="17"/>
      <c r="M934" s="29"/>
      <c r="N934" s="72"/>
      <c r="O934" s="73"/>
      <c r="P934" s="73"/>
      <c r="Q934" s="72"/>
      <c r="R934" s="72"/>
      <c r="S934" s="31" t="str">
        <f t="shared" si="152"/>
        <v/>
      </c>
      <c r="T934" s="32" t="str">
        <f t="shared" si="153"/>
        <v/>
      </c>
      <c r="U934" s="73"/>
      <c r="V934" s="72"/>
      <c r="W934" s="72"/>
    </row>
    <row r="935" ht="21.75" customHeight="1">
      <c r="A935" s="134"/>
      <c r="B935" s="64"/>
      <c r="C935" s="23"/>
      <c r="D935" s="23"/>
      <c r="E935" s="24"/>
      <c r="F935" s="25"/>
      <c r="G935" s="24"/>
      <c r="H935" s="26"/>
      <c r="I935" s="27"/>
      <c r="J935" s="28"/>
      <c r="K935" s="28" t="str">
        <f t="shared" si="151"/>
        <v/>
      </c>
      <c r="L935" s="17"/>
      <c r="M935" s="29"/>
      <c r="N935" s="72"/>
      <c r="O935" s="73"/>
      <c r="P935" s="73"/>
      <c r="Q935" s="72"/>
      <c r="R935" s="72"/>
      <c r="S935" s="31" t="str">
        <f t="shared" si="152"/>
        <v/>
      </c>
      <c r="T935" s="32" t="str">
        <f t="shared" si="153"/>
        <v/>
      </c>
      <c r="U935" s="73"/>
      <c r="V935" s="72"/>
      <c r="W935" s="72"/>
    </row>
    <row r="936" ht="21.75" customHeight="1">
      <c r="A936" s="134"/>
      <c r="B936" s="64"/>
      <c r="C936" s="23"/>
      <c r="D936" s="23"/>
      <c r="E936" s="24"/>
      <c r="F936" s="25"/>
      <c r="G936" s="24"/>
      <c r="H936" s="26"/>
      <c r="I936" s="27"/>
      <c r="J936" s="28"/>
      <c r="K936" s="28" t="str">
        <f t="shared" si="151"/>
        <v/>
      </c>
      <c r="L936" s="17"/>
      <c r="M936" s="29"/>
      <c r="N936" s="72"/>
      <c r="O936" s="73"/>
      <c r="P936" s="73"/>
      <c r="Q936" s="72"/>
      <c r="R936" s="72"/>
      <c r="S936" s="31" t="str">
        <f t="shared" si="152"/>
        <v/>
      </c>
      <c r="T936" s="32" t="str">
        <f t="shared" si="153"/>
        <v/>
      </c>
      <c r="U936" s="73"/>
      <c r="V936" s="72"/>
      <c r="W936" s="72"/>
    </row>
    <row r="937" ht="21.75" customHeight="1">
      <c r="A937" s="134"/>
      <c r="B937" s="64"/>
      <c r="C937" s="23"/>
      <c r="D937" s="23"/>
      <c r="E937" s="24"/>
      <c r="F937" s="25"/>
      <c r="G937" s="24"/>
      <c r="H937" s="26"/>
      <c r="I937" s="27"/>
      <c r="J937" s="28"/>
      <c r="K937" s="28" t="str">
        <f t="shared" si="151"/>
        <v/>
      </c>
      <c r="L937" s="17"/>
      <c r="M937" s="29"/>
      <c r="N937" s="72"/>
      <c r="O937" s="73"/>
      <c r="P937" s="73"/>
      <c r="Q937" s="72"/>
      <c r="R937" s="72"/>
      <c r="S937" s="31" t="str">
        <f t="shared" si="152"/>
        <v/>
      </c>
      <c r="T937" s="32" t="str">
        <f t="shared" si="153"/>
        <v/>
      </c>
      <c r="U937" s="73"/>
      <c r="V937" s="72"/>
      <c r="W937" s="72"/>
    </row>
    <row r="938" ht="21.75" customHeight="1">
      <c r="A938" s="134"/>
      <c r="B938" s="64"/>
      <c r="C938" s="23"/>
      <c r="D938" s="23"/>
      <c r="E938" s="24"/>
      <c r="F938" s="25"/>
      <c r="G938" s="24"/>
      <c r="H938" s="26"/>
      <c r="I938" s="27"/>
      <c r="J938" s="28"/>
      <c r="K938" s="28" t="str">
        <f t="shared" si="151"/>
        <v/>
      </c>
      <c r="L938" s="17"/>
      <c r="M938" s="29"/>
      <c r="N938" s="72"/>
      <c r="O938" s="73"/>
      <c r="P938" s="73"/>
      <c r="Q938" s="72"/>
      <c r="R938" s="72"/>
      <c r="S938" s="31" t="str">
        <f t="shared" si="152"/>
        <v/>
      </c>
      <c r="T938" s="32" t="str">
        <f t="shared" si="153"/>
        <v/>
      </c>
      <c r="U938" s="73"/>
      <c r="V938" s="72"/>
      <c r="W938" s="72"/>
    </row>
    <row r="939" ht="21.75" customHeight="1">
      <c r="A939" s="134"/>
      <c r="B939" s="64"/>
      <c r="C939" s="23"/>
      <c r="D939" s="23"/>
      <c r="E939" s="24"/>
      <c r="F939" s="25"/>
      <c r="G939" s="24"/>
      <c r="H939" s="26"/>
      <c r="I939" s="27"/>
      <c r="J939" s="28"/>
      <c r="K939" s="28" t="str">
        <f t="shared" si="151"/>
        <v/>
      </c>
      <c r="L939" s="17"/>
      <c r="M939" s="29"/>
      <c r="N939" s="72"/>
      <c r="O939" s="73"/>
      <c r="P939" s="73"/>
      <c r="Q939" s="72"/>
      <c r="R939" s="72"/>
      <c r="S939" s="31" t="str">
        <f t="shared" si="152"/>
        <v/>
      </c>
      <c r="T939" s="32" t="str">
        <f t="shared" si="153"/>
        <v/>
      </c>
      <c r="U939" s="73"/>
      <c r="V939" s="72"/>
      <c r="W939" s="72"/>
    </row>
    <row r="940" ht="21.75" customHeight="1">
      <c r="A940" s="134"/>
      <c r="B940" s="64"/>
      <c r="C940" s="23"/>
      <c r="D940" s="23"/>
      <c r="E940" s="24"/>
      <c r="F940" s="25"/>
      <c r="G940" s="24"/>
      <c r="H940" s="26"/>
      <c r="I940" s="27"/>
      <c r="J940" s="28"/>
      <c r="K940" s="28" t="str">
        <f t="shared" si="151"/>
        <v/>
      </c>
      <c r="L940" s="17"/>
      <c r="M940" s="29"/>
      <c r="N940" s="72"/>
      <c r="O940" s="73"/>
      <c r="P940" s="73"/>
      <c r="Q940" s="72"/>
      <c r="R940" s="72"/>
      <c r="S940" s="31" t="str">
        <f t="shared" si="152"/>
        <v/>
      </c>
      <c r="T940" s="32" t="str">
        <f t="shared" si="153"/>
        <v/>
      </c>
      <c r="U940" s="73"/>
      <c r="V940" s="72"/>
      <c r="W940" s="72"/>
    </row>
    <row r="941" ht="21.75" customHeight="1">
      <c r="A941" s="134"/>
      <c r="B941" s="64"/>
      <c r="C941" s="23"/>
      <c r="D941" s="23"/>
      <c r="E941" s="24"/>
      <c r="F941" s="25"/>
      <c r="G941" s="24"/>
      <c r="H941" s="26"/>
      <c r="I941" s="27"/>
      <c r="J941" s="28"/>
      <c r="K941" s="28" t="str">
        <f t="shared" si="151"/>
        <v/>
      </c>
      <c r="L941" s="17"/>
      <c r="M941" s="29"/>
      <c r="N941" s="72"/>
      <c r="O941" s="73"/>
      <c r="P941" s="73"/>
      <c r="Q941" s="72"/>
      <c r="R941" s="72"/>
      <c r="S941" s="31" t="str">
        <f t="shared" si="152"/>
        <v/>
      </c>
      <c r="T941" s="32" t="str">
        <f t="shared" si="153"/>
        <v/>
      </c>
      <c r="U941" s="73"/>
      <c r="V941" s="72"/>
      <c r="W941" s="72"/>
    </row>
    <row r="942" ht="21.75" customHeight="1">
      <c r="A942" s="134"/>
      <c r="B942" s="64"/>
      <c r="C942" s="23"/>
      <c r="D942" s="23"/>
      <c r="E942" s="24"/>
      <c r="F942" s="25"/>
      <c r="G942" s="24"/>
      <c r="H942" s="26"/>
      <c r="I942" s="27"/>
      <c r="J942" s="28"/>
      <c r="K942" s="28" t="str">
        <f t="shared" si="151"/>
        <v/>
      </c>
      <c r="L942" s="17"/>
      <c r="M942" s="29"/>
      <c r="N942" s="72"/>
      <c r="O942" s="73"/>
      <c r="P942" s="73"/>
      <c r="Q942" s="72"/>
      <c r="R942" s="72"/>
      <c r="S942" s="31" t="str">
        <f t="shared" si="152"/>
        <v/>
      </c>
      <c r="T942" s="32" t="str">
        <f t="shared" si="153"/>
        <v/>
      </c>
      <c r="U942" s="73"/>
      <c r="V942" s="72"/>
      <c r="W942" s="72"/>
    </row>
    <row r="943" ht="21.75" customHeight="1">
      <c r="A943" s="134"/>
      <c r="B943" s="64"/>
      <c r="C943" s="23"/>
      <c r="D943" s="23"/>
      <c r="E943" s="24"/>
      <c r="F943" s="25"/>
      <c r="G943" s="24"/>
      <c r="H943" s="26"/>
      <c r="I943" s="27"/>
      <c r="J943" s="28"/>
      <c r="K943" s="28" t="str">
        <f t="shared" si="151"/>
        <v/>
      </c>
      <c r="L943" s="17"/>
      <c r="M943" s="29"/>
      <c r="N943" s="72"/>
      <c r="O943" s="73"/>
      <c r="P943" s="73"/>
      <c r="Q943" s="72"/>
      <c r="R943" s="72"/>
      <c r="S943" s="31" t="str">
        <f t="shared" si="152"/>
        <v/>
      </c>
      <c r="T943" s="32" t="str">
        <f t="shared" si="153"/>
        <v/>
      </c>
      <c r="U943" s="73"/>
      <c r="V943" s="72"/>
      <c r="W943" s="72"/>
    </row>
    <row r="944" ht="21.75" customHeight="1">
      <c r="A944" s="134"/>
      <c r="B944" s="64"/>
      <c r="C944" s="23"/>
      <c r="D944" s="23"/>
      <c r="E944" s="24"/>
      <c r="F944" s="25"/>
      <c r="G944" s="24"/>
      <c r="H944" s="26"/>
      <c r="I944" s="27"/>
      <c r="J944" s="28"/>
      <c r="K944" s="28" t="str">
        <f t="shared" si="151"/>
        <v/>
      </c>
      <c r="L944" s="17"/>
      <c r="M944" s="29"/>
      <c r="N944" s="72"/>
      <c r="O944" s="73"/>
      <c r="P944" s="73"/>
      <c r="Q944" s="72"/>
      <c r="R944" s="72"/>
      <c r="S944" s="31" t="str">
        <f t="shared" si="152"/>
        <v/>
      </c>
      <c r="T944" s="32" t="str">
        <f t="shared" si="153"/>
        <v/>
      </c>
      <c r="U944" s="73"/>
      <c r="V944" s="72"/>
      <c r="W944" s="72"/>
    </row>
    <row r="945" ht="21.75" customHeight="1">
      <c r="A945" s="134"/>
      <c r="B945" s="64"/>
      <c r="C945" s="23"/>
      <c r="D945" s="23"/>
      <c r="E945" s="24"/>
      <c r="F945" s="25"/>
      <c r="G945" s="24"/>
      <c r="H945" s="26"/>
      <c r="I945" s="27"/>
      <c r="J945" s="28"/>
      <c r="K945" s="28" t="str">
        <f t="shared" si="151"/>
        <v/>
      </c>
      <c r="L945" s="17"/>
      <c r="M945" s="29"/>
      <c r="N945" s="72"/>
      <c r="O945" s="73"/>
      <c r="P945" s="73"/>
      <c r="Q945" s="72"/>
      <c r="R945" s="72"/>
      <c r="S945" s="31" t="str">
        <f t="shared" si="152"/>
        <v/>
      </c>
      <c r="T945" s="32" t="str">
        <f t="shared" si="153"/>
        <v/>
      </c>
      <c r="U945" s="73"/>
      <c r="V945" s="72"/>
      <c r="W945" s="72"/>
    </row>
    <row r="946" ht="21.75" customHeight="1">
      <c r="A946" s="134"/>
      <c r="B946" s="64"/>
      <c r="C946" s="23"/>
      <c r="D946" s="23"/>
      <c r="E946" s="24"/>
      <c r="F946" s="25"/>
      <c r="G946" s="24"/>
      <c r="H946" s="26"/>
      <c r="I946" s="27"/>
      <c r="J946" s="28"/>
      <c r="K946" s="28" t="str">
        <f t="shared" si="151"/>
        <v/>
      </c>
      <c r="L946" s="17"/>
      <c r="M946" s="29"/>
      <c r="N946" s="72"/>
      <c r="O946" s="73"/>
      <c r="P946" s="73"/>
      <c r="Q946" s="72"/>
      <c r="R946" s="72"/>
      <c r="S946" s="31" t="str">
        <f t="shared" si="152"/>
        <v/>
      </c>
      <c r="T946" s="32" t="str">
        <f t="shared" si="153"/>
        <v/>
      </c>
      <c r="U946" s="73"/>
      <c r="V946" s="72"/>
      <c r="W946" s="72"/>
    </row>
    <row r="947" ht="21.75" customHeight="1">
      <c r="A947" s="134"/>
      <c r="B947" s="64"/>
      <c r="C947" s="23"/>
      <c r="D947" s="23"/>
      <c r="E947" s="24"/>
      <c r="F947" s="25"/>
      <c r="G947" s="24"/>
      <c r="H947" s="26"/>
      <c r="I947" s="27"/>
      <c r="J947" s="28"/>
      <c r="K947" s="28" t="str">
        <f t="shared" si="151"/>
        <v/>
      </c>
      <c r="L947" s="17"/>
      <c r="M947" s="29"/>
      <c r="N947" s="72"/>
      <c r="O947" s="73"/>
      <c r="P947" s="73"/>
      <c r="Q947" s="72"/>
      <c r="R947" s="72"/>
      <c r="S947" s="31" t="str">
        <f t="shared" si="152"/>
        <v/>
      </c>
      <c r="T947" s="32" t="str">
        <f t="shared" si="153"/>
        <v/>
      </c>
      <c r="U947" s="73"/>
      <c r="V947" s="72"/>
      <c r="W947" s="72"/>
    </row>
    <row r="948" ht="21.75" customHeight="1">
      <c r="A948" s="134"/>
      <c r="B948" s="64"/>
      <c r="C948" s="23"/>
      <c r="D948" s="23"/>
      <c r="E948" s="24"/>
      <c r="F948" s="25"/>
      <c r="G948" s="24"/>
      <c r="H948" s="26"/>
      <c r="I948" s="27"/>
      <c r="J948" s="28"/>
      <c r="K948" s="28" t="str">
        <f t="shared" si="151"/>
        <v/>
      </c>
      <c r="L948" s="17"/>
      <c r="M948" s="29"/>
      <c r="N948" s="72"/>
      <c r="O948" s="73"/>
      <c r="P948" s="73"/>
      <c r="Q948" s="72"/>
      <c r="R948" s="72"/>
      <c r="S948" s="31" t="str">
        <f t="shared" si="152"/>
        <v/>
      </c>
      <c r="T948" s="32" t="str">
        <f t="shared" si="153"/>
        <v/>
      </c>
      <c r="U948" s="73"/>
      <c r="V948" s="72"/>
      <c r="W948" s="72"/>
    </row>
    <row r="949" ht="21.75" customHeight="1">
      <c r="A949" s="134"/>
      <c r="B949" s="64"/>
      <c r="C949" s="23"/>
      <c r="D949" s="23"/>
      <c r="E949" s="24"/>
      <c r="F949" s="25"/>
      <c r="G949" s="24"/>
      <c r="H949" s="26"/>
      <c r="I949" s="27"/>
      <c r="J949" s="28"/>
      <c r="K949" s="28" t="str">
        <f t="shared" si="151"/>
        <v/>
      </c>
      <c r="L949" s="17"/>
      <c r="M949" s="29"/>
      <c r="N949" s="72"/>
      <c r="O949" s="73"/>
      <c r="P949" s="73"/>
      <c r="Q949" s="72"/>
      <c r="R949" s="72"/>
      <c r="S949" s="31" t="str">
        <f t="shared" si="152"/>
        <v/>
      </c>
      <c r="T949" s="32" t="str">
        <f t="shared" si="153"/>
        <v/>
      </c>
      <c r="U949" s="73"/>
      <c r="V949" s="72"/>
      <c r="W949" s="72"/>
    </row>
    <row r="950" ht="21.75" customHeight="1">
      <c r="A950" s="134"/>
      <c r="B950" s="64"/>
      <c r="C950" s="23"/>
      <c r="D950" s="23"/>
      <c r="E950" s="24"/>
      <c r="F950" s="25"/>
      <c r="G950" s="24"/>
      <c r="H950" s="26"/>
      <c r="I950" s="27"/>
      <c r="J950" s="28"/>
      <c r="K950" s="28" t="str">
        <f t="shared" si="151"/>
        <v/>
      </c>
      <c r="L950" s="17"/>
      <c r="M950" s="29"/>
      <c r="N950" s="72"/>
      <c r="O950" s="73"/>
      <c r="P950" s="73"/>
      <c r="Q950" s="72"/>
      <c r="R950" s="72"/>
      <c r="S950" s="31" t="str">
        <f t="shared" si="152"/>
        <v/>
      </c>
      <c r="T950" s="32" t="str">
        <f t="shared" si="153"/>
        <v/>
      </c>
      <c r="U950" s="73"/>
      <c r="V950" s="72"/>
      <c r="W950" s="72"/>
    </row>
    <row r="951" ht="21.75" customHeight="1">
      <c r="A951" s="134"/>
      <c r="B951" s="64"/>
      <c r="C951" s="23"/>
      <c r="D951" s="23"/>
      <c r="E951" s="24"/>
      <c r="F951" s="25"/>
      <c r="G951" s="24"/>
      <c r="H951" s="26"/>
      <c r="I951" s="27"/>
      <c r="J951" s="28"/>
      <c r="K951" s="28" t="str">
        <f t="shared" si="151"/>
        <v/>
      </c>
      <c r="L951" s="17"/>
      <c r="M951" s="29"/>
      <c r="N951" s="72"/>
      <c r="O951" s="73"/>
      <c r="P951" s="73"/>
      <c r="Q951" s="72"/>
      <c r="R951" s="72"/>
      <c r="S951" s="31" t="str">
        <f t="shared" si="152"/>
        <v/>
      </c>
      <c r="T951" s="32" t="str">
        <f t="shared" si="153"/>
        <v/>
      </c>
      <c r="U951" s="73"/>
      <c r="V951" s="72"/>
      <c r="W951" s="72"/>
    </row>
    <row r="952" ht="21.75" customHeight="1">
      <c r="A952" s="134"/>
      <c r="B952" s="64"/>
      <c r="C952" s="23"/>
      <c r="D952" s="23"/>
      <c r="E952" s="24"/>
      <c r="F952" s="25"/>
      <c r="G952" s="24"/>
      <c r="H952" s="26"/>
      <c r="I952" s="27"/>
      <c r="J952" s="28"/>
      <c r="K952" s="28" t="str">
        <f t="shared" si="151"/>
        <v/>
      </c>
      <c r="L952" s="17"/>
      <c r="M952" s="29"/>
      <c r="N952" s="72"/>
      <c r="O952" s="73"/>
      <c r="P952" s="73"/>
      <c r="Q952" s="72"/>
      <c r="R952" s="72"/>
      <c r="S952" s="31" t="str">
        <f t="shared" si="152"/>
        <v/>
      </c>
      <c r="T952" s="32" t="str">
        <f t="shared" si="153"/>
        <v/>
      </c>
      <c r="U952" s="73"/>
      <c r="V952" s="72"/>
      <c r="W952" s="72"/>
    </row>
    <row r="953" ht="21.75" customHeight="1">
      <c r="A953" s="134"/>
      <c r="B953" s="64"/>
      <c r="C953" s="23"/>
      <c r="D953" s="23"/>
      <c r="E953" s="24"/>
      <c r="F953" s="25"/>
      <c r="G953" s="24"/>
      <c r="H953" s="26"/>
      <c r="I953" s="27"/>
      <c r="J953" s="28"/>
      <c r="K953" s="28" t="str">
        <f t="shared" si="151"/>
        <v/>
      </c>
      <c r="L953" s="17"/>
      <c r="M953" s="29"/>
      <c r="N953" s="72"/>
      <c r="O953" s="73"/>
      <c r="P953" s="73"/>
      <c r="Q953" s="72"/>
      <c r="R953" s="72"/>
      <c r="S953" s="31" t="str">
        <f t="shared" si="152"/>
        <v/>
      </c>
      <c r="T953" s="32" t="str">
        <f t="shared" si="153"/>
        <v/>
      </c>
      <c r="U953" s="73"/>
      <c r="V953" s="72"/>
      <c r="W953" s="72"/>
    </row>
    <row r="954" ht="21.75" customHeight="1">
      <c r="A954" s="134"/>
      <c r="B954" s="64"/>
      <c r="C954" s="23"/>
      <c r="D954" s="23"/>
      <c r="E954" s="24"/>
      <c r="F954" s="25"/>
      <c r="G954" s="24"/>
      <c r="H954" s="26"/>
      <c r="I954" s="27"/>
      <c r="J954" s="28"/>
      <c r="K954" s="28" t="str">
        <f t="shared" si="151"/>
        <v/>
      </c>
      <c r="L954" s="17"/>
      <c r="M954" s="29"/>
      <c r="N954" s="72"/>
      <c r="O954" s="73"/>
      <c r="P954" s="73"/>
      <c r="Q954" s="72"/>
      <c r="R954" s="72"/>
      <c r="S954" s="31" t="str">
        <f t="shared" si="152"/>
        <v/>
      </c>
      <c r="T954" s="32" t="str">
        <f t="shared" si="153"/>
        <v/>
      </c>
      <c r="U954" s="73"/>
      <c r="V954" s="72"/>
      <c r="W954" s="72"/>
    </row>
    <row r="955" ht="21.75" customHeight="1">
      <c r="A955" s="134"/>
      <c r="B955" s="64"/>
      <c r="C955" s="23"/>
      <c r="D955" s="23"/>
      <c r="E955" s="24"/>
      <c r="F955" s="25"/>
      <c r="G955" s="24"/>
      <c r="H955" s="26"/>
      <c r="I955" s="27"/>
      <c r="J955" s="28"/>
      <c r="K955" s="28" t="str">
        <f t="shared" si="151"/>
        <v/>
      </c>
      <c r="L955" s="17"/>
      <c r="M955" s="29"/>
      <c r="N955" s="72"/>
      <c r="O955" s="73"/>
      <c r="P955" s="73"/>
      <c r="Q955" s="72"/>
      <c r="R955" s="72"/>
      <c r="S955" s="31" t="str">
        <f t="shared" si="152"/>
        <v/>
      </c>
      <c r="T955" s="32" t="str">
        <f t="shared" si="153"/>
        <v/>
      </c>
      <c r="U955" s="73"/>
      <c r="V955" s="72"/>
      <c r="W955" s="72"/>
    </row>
    <row r="956" ht="21.75" customHeight="1">
      <c r="A956" s="134"/>
      <c r="B956" s="64"/>
      <c r="C956" s="23"/>
      <c r="D956" s="23"/>
      <c r="E956" s="24"/>
      <c r="F956" s="25"/>
      <c r="G956" s="24"/>
      <c r="H956" s="26"/>
      <c r="I956" s="27"/>
      <c r="J956" s="28"/>
      <c r="K956" s="28" t="str">
        <f t="shared" si="151"/>
        <v/>
      </c>
      <c r="L956" s="17"/>
      <c r="M956" s="29"/>
      <c r="N956" s="72"/>
      <c r="O956" s="73"/>
      <c r="P956" s="73"/>
      <c r="Q956" s="72"/>
      <c r="R956" s="72"/>
      <c r="S956" s="31" t="str">
        <f t="shared" si="152"/>
        <v/>
      </c>
      <c r="T956" s="32" t="str">
        <f t="shared" si="153"/>
        <v/>
      </c>
      <c r="U956" s="73"/>
      <c r="V956" s="72"/>
      <c r="W956" s="72"/>
    </row>
    <row r="957" ht="21.75" customHeight="1">
      <c r="A957" s="134"/>
      <c r="B957" s="64"/>
      <c r="C957" s="23"/>
      <c r="D957" s="23"/>
      <c r="E957" s="24"/>
      <c r="F957" s="25"/>
      <c r="G957" s="24"/>
      <c r="H957" s="26"/>
      <c r="I957" s="27"/>
      <c r="J957" s="28"/>
      <c r="K957" s="28" t="str">
        <f t="shared" si="151"/>
        <v/>
      </c>
      <c r="L957" s="17"/>
      <c r="M957" s="29"/>
      <c r="N957" s="72"/>
      <c r="O957" s="73"/>
      <c r="P957" s="73"/>
      <c r="Q957" s="72"/>
      <c r="R957" s="72"/>
      <c r="S957" s="31" t="str">
        <f t="shared" si="152"/>
        <v/>
      </c>
      <c r="T957" s="32" t="str">
        <f t="shared" si="153"/>
        <v/>
      </c>
      <c r="U957" s="73"/>
      <c r="V957" s="72"/>
      <c r="W957" s="72"/>
    </row>
    <row r="958" ht="21.75" customHeight="1">
      <c r="A958" s="134"/>
      <c r="B958" s="64"/>
      <c r="C958" s="23"/>
      <c r="D958" s="23"/>
      <c r="E958" s="24"/>
      <c r="F958" s="25"/>
      <c r="G958" s="24"/>
      <c r="H958" s="26"/>
      <c r="I958" s="27"/>
      <c r="J958" s="28"/>
      <c r="K958" s="28" t="str">
        <f t="shared" si="151"/>
        <v/>
      </c>
      <c r="L958" s="17"/>
      <c r="M958" s="29"/>
      <c r="N958" s="72"/>
      <c r="O958" s="73"/>
      <c r="P958" s="73"/>
      <c r="Q958" s="72"/>
      <c r="R958" s="72"/>
      <c r="S958" s="31" t="str">
        <f t="shared" si="152"/>
        <v/>
      </c>
      <c r="T958" s="32" t="str">
        <f t="shared" si="153"/>
        <v/>
      </c>
      <c r="U958" s="73"/>
      <c r="V958" s="72"/>
      <c r="W958" s="72"/>
    </row>
    <row r="959" ht="21.75" customHeight="1">
      <c r="A959" s="134"/>
      <c r="B959" s="64"/>
      <c r="C959" s="23"/>
      <c r="D959" s="23"/>
      <c r="E959" s="24"/>
      <c r="F959" s="25"/>
      <c r="G959" s="24"/>
      <c r="H959" s="26"/>
      <c r="I959" s="27"/>
      <c r="J959" s="28"/>
      <c r="K959" s="28" t="str">
        <f t="shared" si="151"/>
        <v/>
      </c>
      <c r="L959" s="17"/>
      <c r="M959" s="29"/>
      <c r="N959" s="72"/>
      <c r="O959" s="73"/>
      <c r="P959" s="73"/>
      <c r="Q959" s="72"/>
      <c r="R959" s="72"/>
      <c r="S959" s="31" t="str">
        <f t="shared" si="152"/>
        <v/>
      </c>
      <c r="T959" s="32" t="str">
        <f t="shared" si="153"/>
        <v/>
      </c>
      <c r="U959" s="73"/>
      <c r="V959" s="72"/>
      <c r="W959" s="72"/>
    </row>
    <row r="960" ht="21.75" customHeight="1">
      <c r="A960" s="134"/>
      <c r="B960" s="64"/>
      <c r="C960" s="23"/>
      <c r="D960" s="23"/>
      <c r="E960" s="24"/>
      <c r="F960" s="25"/>
      <c r="G960" s="24"/>
      <c r="H960" s="26"/>
      <c r="I960" s="27"/>
      <c r="J960" s="28"/>
      <c r="K960" s="28" t="str">
        <f t="shared" si="151"/>
        <v/>
      </c>
      <c r="L960" s="17"/>
      <c r="M960" s="29"/>
      <c r="N960" s="72"/>
      <c r="O960" s="73"/>
      <c r="P960" s="73"/>
      <c r="Q960" s="72"/>
      <c r="R960" s="72"/>
      <c r="S960" s="31" t="str">
        <f t="shared" si="152"/>
        <v/>
      </c>
      <c r="T960" s="32" t="str">
        <f t="shared" si="153"/>
        <v/>
      </c>
      <c r="U960" s="73"/>
      <c r="V960" s="72"/>
      <c r="W960" s="72"/>
    </row>
    <row r="961" ht="21.75" customHeight="1">
      <c r="A961" s="134"/>
      <c r="B961" s="64"/>
      <c r="C961" s="23"/>
      <c r="D961" s="23"/>
      <c r="E961" s="24"/>
      <c r="F961" s="25"/>
      <c r="G961" s="24"/>
      <c r="H961" s="26"/>
      <c r="I961" s="27"/>
      <c r="J961" s="28"/>
      <c r="K961" s="28" t="str">
        <f t="shared" si="151"/>
        <v/>
      </c>
      <c r="L961" s="17"/>
      <c r="M961" s="29"/>
      <c r="N961" s="72"/>
      <c r="O961" s="73"/>
      <c r="P961" s="73"/>
      <c r="Q961" s="72"/>
      <c r="R961" s="72"/>
      <c r="S961" s="31" t="str">
        <f t="shared" si="152"/>
        <v/>
      </c>
      <c r="T961" s="32" t="str">
        <f t="shared" si="153"/>
        <v/>
      </c>
      <c r="U961" s="73"/>
      <c r="V961" s="72"/>
      <c r="W961" s="72"/>
    </row>
    <row r="962" ht="21.75" customHeight="1">
      <c r="A962" s="134"/>
      <c r="B962" s="64"/>
      <c r="C962" s="23"/>
      <c r="D962" s="23"/>
      <c r="E962" s="24"/>
      <c r="F962" s="25"/>
      <c r="G962" s="24"/>
      <c r="H962" s="26"/>
      <c r="I962" s="27"/>
      <c r="J962" s="28"/>
      <c r="K962" s="28" t="str">
        <f t="shared" si="151"/>
        <v/>
      </c>
      <c r="L962" s="17"/>
      <c r="M962" s="29"/>
      <c r="N962" s="72"/>
      <c r="O962" s="73"/>
      <c r="P962" s="73"/>
      <c r="Q962" s="72"/>
      <c r="R962" s="72"/>
      <c r="S962" s="31" t="str">
        <f t="shared" si="152"/>
        <v/>
      </c>
      <c r="T962" s="32" t="str">
        <f t="shared" si="153"/>
        <v/>
      </c>
      <c r="U962" s="73"/>
      <c r="V962" s="72"/>
      <c r="W962" s="72"/>
    </row>
    <row r="963" ht="21.75" customHeight="1">
      <c r="A963" s="134"/>
      <c r="B963" s="64"/>
      <c r="C963" s="23"/>
      <c r="D963" s="23"/>
      <c r="E963" s="24"/>
      <c r="F963" s="25"/>
      <c r="G963" s="24"/>
      <c r="H963" s="26"/>
      <c r="I963" s="27"/>
      <c r="J963" s="28"/>
      <c r="K963" s="28" t="str">
        <f t="shared" si="151"/>
        <v/>
      </c>
      <c r="L963" s="17"/>
      <c r="M963" s="29"/>
      <c r="N963" s="72"/>
      <c r="O963" s="73"/>
      <c r="P963" s="73"/>
      <c r="Q963" s="72"/>
      <c r="R963" s="72"/>
      <c r="S963" s="31" t="str">
        <f t="shared" si="152"/>
        <v/>
      </c>
      <c r="T963" s="32" t="str">
        <f t="shared" si="153"/>
        <v/>
      </c>
      <c r="U963" s="73"/>
      <c r="V963" s="72"/>
      <c r="W963" s="72"/>
    </row>
    <row r="964" ht="21.75" customHeight="1">
      <c r="A964" s="134"/>
      <c r="B964" s="64"/>
      <c r="C964" s="23"/>
      <c r="D964" s="23"/>
      <c r="E964" s="24"/>
      <c r="F964" s="25"/>
      <c r="G964" s="24"/>
      <c r="H964" s="26"/>
      <c r="I964" s="27"/>
      <c r="J964" s="28"/>
      <c r="K964" s="28" t="str">
        <f t="shared" si="151"/>
        <v/>
      </c>
      <c r="L964" s="17"/>
      <c r="M964" s="29"/>
      <c r="N964" s="72"/>
      <c r="O964" s="73"/>
      <c r="P964" s="73"/>
      <c r="Q964" s="72"/>
      <c r="R964" s="72"/>
      <c r="S964" s="31" t="str">
        <f t="shared" si="152"/>
        <v/>
      </c>
      <c r="T964" s="32" t="str">
        <f t="shared" si="153"/>
        <v/>
      </c>
      <c r="U964" s="73"/>
      <c r="V964" s="72"/>
      <c r="W964" s="72"/>
    </row>
    <row r="965" ht="21.75" customHeight="1">
      <c r="A965" s="134"/>
      <c r="B965" s="64"/>
      <c r="C965" s="23"/>
      <c r="D965" s="23"/>
      <c r="E965" s="24"/>
      <c r="F965" s="25"/>
      <c r="G965" s="24"/>
      <c r="H965" s="26"/>
      <c r="I965" s="27"/>
      <c r="J965" s="28"/>
      <c r="K965" s="28" t="str">
        <f t="shared" si="151"/>
        <v/>
      </c>
      <c r="L965" s="17"/>
      <c r="M965" s="29"/>
      <c r="N965" s="72"/>
      <c r="O965" s="73"/>
      <c r="P965" s="73"/>
      <c r="Q965" s="72"/>
      <c r="R965" s="72"/>
      <c r="S965" s="31" t="str">
        <f t="shared" si="152"/>
        <v/>
      </c>
      <c r="T965" s="32" t="str">
        <f t="shared" si="153"/>
        <v/>
      </c>
      <c r="U965" s="73"/>
      <c r="V965" s="72"/>
      <c r="W965" s="72"/>
    </row>
    <row r="966" ht="21.75" customHeight="1">
      <c r="A966" s="134"/>
      <c r="B966" s="64"/>
      <c r="C966" s="23"/>
      <c r="D966" s="23"/>
      <c r="E966" s="24"/>
      <c r="F966" s="25"/>
      <c r="G966" s="24"/>
      <c r="H966" s="26"/>
      <c r="I966" s="27"/>
      <c r="J966" s="28"/>
      <c r="K966" s="28" t="str">
        <f t="shared" si="151"/>
        <v/>
      </c>
      <c r="L966" s="17"/>
      <c r="M966" s="29"/>
      <c r="N966" s="72"/>
      <c r="O966" s="73"/>
      <c r="P966" s="73"/>
      <c r="Q966" s="72"/>
      <c r="R966" s="72"/>
      <c r="S966" s="31" t="str">
        <f t="shared" si="152"/>
        <v/>
      </c>
      <c r="T966" s="32" t="str">
        <f t="shared" si="153"/>
        <v/>
      </c>
      <c r="U966" s="73"/>
      <c r="V966" s="72"/>
      <c r="W966" s="72"/>
    </row>
    <row r="967" ht="21.75" customHeight="1">
      <c r="A967" s="134"/>
      <c r="B967" s="64"/>
      <c r="C967" s="23"/>
      <c r="D967" s="23"/>
      <c r="E967" s="24"/>
      <c r="F967" s="25"/>
      <c r="G967" s="24"/>
      <c r="H967" s="26"/>
      <c r="I967" s="27"/>
      <c r="J967" s="28"/>
      <c r="K967" s="28" t="str">
        <f t="shared" si="151"/>
        <v/>
      </c>
      <c r="L967" s="17"/>
      <c r="M967" s="29"/>
      <c r="N967" s="72"/>
      <c r="O967" s="73"/>
      <c r="P967" s="73"/>
      <c r="Q967" s="72"/>
      <c r="R967" s="72"/>
      <c r="S967" s="31" t="str">
        <f t="shared" si="152"/>
        <v/>
      </c>
      <c r="T967" s="32" t="str">
        <f t="shared" si="153"/>
        <v/>
      </c>
      <c r="U967" s="73"/>
      <c r="V967" s="72"/>
      <c r="W967" s="72"/>
    </row>
    <row r="968" ht="21.75" customHeight="1">
      <c r="A968" s="134"/>
      <c r="B968" s="64"/>
      <c r="C968" s="23"/>
      <c r="D968" s="23"/>
      <c r="E968" s="24"/>
      <c r="F968" s="25"/>
      <c r="G968" s="24"/>
      <c r="H968" s="26"/>
      <c r="I968" s="27"/>
      <c r="J968" s="28"/>
      <c r="K968" s="28" t="str">
        <f t="shared" si="151"/>
        <v/>
      </c>
      <c r="L968" s="17"/>
      <c r="M968" s="29"/>
      <c r="N968" s="72"/>
      <c r="O968" s="73"/>
      <c r="P968" s="73"/>
      <c r="Q968" s="72"/>
      <c r="R968" s="72"/>
      <c r="S968" s="31" t="str">
        <f t="shared" si="152"/>
        <v/>
      </c>
      <c r="T968" s="32" t="str">
        <f t="shared" si="153"/>
        <v/>
      </c>
      <c r="U968" s="73"/>
      <c r="V968" s="72"/>
      <c r="W968" s="72"/>
    </row>
    <row r="969" ht="21.75" customHeight="1">
      <c r="A969" s="134"/>
      <c r="B969" s="64"/>
      <c r="C969" s="23"/>
      <c r="D969" s="23"/>
      <c r="E969" s="24"/>
      <c r="F969" s="25"/>
      <c r="G969" s="24"/>
      <c r="H969" s="26"/>
      <c r="I969" s="27"/>
      <c r="J969" s="28"/>
      <c r="K969" s="28" t="str">
        <f t="shared" si="151"/>
        <v/>
      </c>
      <c r="L969" s="17"/>
      <c r="M969" s="29"/>
      <c r="N969" s="72"/>
      <c r="O969" s="73"/>
      <c r="P969" s="73"/>
      <c r="Q969" s="72"/>
      <c r="R969" s="72"/>
      <c r="S969" s="31" t="str">
        <f t="shared" si="152"/>
        <v/>
      </c>
      <c r="T969" s="32" t="str">
        <f t="shared" si="153"/>
        <v/>
      </c>
      <c r="U969" s="73"/>
      <c r="V969" s="72"/>
      <c r="W969" s="72"/>
    </row>
    <row r="970" ht="21.75" customHeight="1">
      <c r="A970" s="134"/>
      <c r="B970" s="64"/>
      <c r="C970" s="23"/>
      <c r="D970" s="23"/>
      <c r="E970" s="24"/>
      <c r="F970" s="25"/>
      <c r="G970" s="24"/>
      <c r="H970" s="26"/>
      <c r="I970" s="27"/>
      <c r="J970" s="28"/>
      <c r="K970" s="28" t="str">
        <f t="shared" si="151"/>
        <v/>
      </c>
      <c r="L970" s="17"/>
      <c r="M970" s="29"/>
      <c r="N970" s="72"/>
      <c r="O970" s="73"/>
      <c r="P970" s="73"/>
      <c r="Q970" s="72"/>
      <c r="R970" s="72"/>
      <c r="S970" s="31" t="str">
        <f t="shared" si="152"/>
        <v/>
      </c>
      <c r="T970" s="32" t="str">
        <f t="shared" si="153"/>
        <v/>
      </c>
      <c r="U970" s="73"/>
      <c r="V970" s="72"/>
      <c r="W970" s="72"/>
    </row>
    <row r="971" ht="21.75" customHeight="1">
      <c r="A971" s="134"/>
      <c r="B971" s="64"/>
      <c r="C971" s="23"/>
      <c r="D971" s="23"/>
      <c r="E971" s="24"/>
      <c r="F971" s="25"/>
      <c r="G971" s="24"/>
      <c r="H971" s="26"/>
      <c r="I971" s="27"/>
      <c r="J971" s="28"/>
      <c r="K971" s="28" t="str">
        <f t="shared" si="151"/>
        <v/>
      </c>
      <c r="L971" s="17"/>
      <c r="M971" s="29"/>
      <c r="N971" s="72"/>
      <c r="O971" s="73"/>
      <c r="P971" s="73"/>
      <c r="Q971" s="72"/>
      <c r="R971" s="72"/>
      <c r="S971" s="31" t="str">
        <f t="shared" si="152"/>
        <v/>
      </c>
      <c r="T971" s="32" t="str">
        <f t="shared" si="153"/>
        <v/>
      </c>
      <c r="U971" s="73"/>
      <c r="V971" s="72"/>
      <c r="W971" s="72"/>
    </row>
    <row r="972" ht="21.75" customHeight="1">
      <c r="A972" s="134"/>
      <c r="B972" s="64"/>
      <c r="C972" s="23"/>
      <c r="D972" s="23"/>
      <c r="E972" s="24"/>
      <c r="F972" s="25"/>
      <c r="G972" s="24"/>
      <c r="H972" s="26"/>
      <c r="I972" s="27"/>
      <c r="J972" s="28"/>
      <c r="K972" s="28" t="str">
        <f t="shared" si="151"/>
        <v/>
      </c>
      <c r="L972" s="17"/>
      <c r="M972" s="29"/>
      <c r="N972" s="72"/>
      <c r="O972" s="73"/>
      <c r="P972" s="73"/>
      <c r="Q972" s="72"/>
      <c r="R972" s="72"/>
      <c r="S972" s="31" t="str">
        <f t="shared" si="152"/>
        <v/>
      </c>
      <c r="T972" s="32" t="str">
        <f t="shared" si="153"/>
        <v/>
      </c>
      <c r="U972" s="73"/>
      <c r="V972" s="72"/>
      <c r="W972" s="72"/>
    </row>
    <row r="973" ht="21.75" customHeight="1">
      <c r="A973" s="134"/>
      <c r="B973" s="64"/>
      <c r="C973" s="23"/>
      <c r="D973" s="23"/>
      <c r="E973" s="24"/>
      <c r="F973" s="25"/>
      <c r="G973" s="24"/>
      <c r="H973" s="26"/>
      <c r="I973" s="27"/>
      <c r="J973" s="28"/>
      <c r="K973" s="28" t="str">
        <f t="shared" si="151"/>
        <v/>
      </c>
      <c r="L973" s="17"/>
      <c r="M973" s="29"/>
      <c r="N973" s="72"/>
      <c r="O973" s="73"/>
      <c r="P973" s="73"/>
      <c r="Q973" s="72"/>
      <c r="R973" s="72"/>
      <c r="S973" s="31" t="str">
        <f t="shared" si="152"/>
        <v/>
      </c>
      <c r="T973" s="32" t="str">
        <f t="shared" si="153"/>
        <v/>
      </c>
      <c r="U973" s="73"/>
      <c r="V973" s="72"/>
      <c r="W973" s="72"/>
    </row>
    <row r="974" ht="21.75" customHeight="1">
      <c r="A974" s="134"/>
      <c r="B974" s="64"/>
      <c r="C974" s="23"/>
      <c r="D974" s="23"/>
      <c r="E974" s="24"/>
      <c r="F974" s="25"/>
      <c r="G974" s="24"/>
      <c r="H974" s="26"/>
      <c r="I974" s="27"/>
      <c r="J974" s="28"/>
      <c r="K974" s="28" t="str">
        <f t="shared" si="151"/>
        <v/>
      </c>
      <c r="L974" s="17"/>
      <c r="M974" s="29"/>
      <c r="N974" s="72"/>
      <c r="O974" s="73"/>
      <c r="P974" s="73"/>
      <c r="Q974" s="72"/>
      <c r="R974" s="72"/>
      <c r="S974" s="31" t="str">
        <f t="shared" si="152"/>
        <v/>
      </c>
      <c r="T974" s="32" t="str">
        <f t="shared" si="153"/>
        <v/>
      </c>
      <c r="U974" s="73"/>
      <c r="V974" s="72"/>
      <c r="W974" s="72"/>
    </row>
    <row r="975" ht="21.75" customHeight="1">
      <c r="A975" s="134"/>
      <c r="B975" s="64"/>
      <c r="C975" s="23"/>
      <c r="D975" s="23"/>
      <c r="E975" s="24"/>
      <c r="F975" s="25"/>
      <c r="G975" s="24"/>
      <c r="H975" s="26"/>
      <c r="I975" s="27"/>
      <c r="J975" s="28"/>
      <c r="K975" s="28" t="str">
        <f t="shared" si="151"/>
        <v/>
      </c>
      <c r="L975" s="17"/>
      <c r="M975" s="29"/>
      <c r="N975" s="72"/>
      <c r="O975" s="73"/>
      <c r="P975" s="73"/>
      <c r="Q975" s="72"/>
      <c r="R975" s="72"/>
      <c r="S975" s="31" t="str">
        <f t="shared" si="152"/>
        <v/>
      </c>
      <c r="T975" s="32" t="str">
        <f t="shared" si="153"/>
        <v/>
      </c>
      <c r="U975" s="73"/>
      <c r="V975" s="72"/>
      <c r="W975" s="72"/>
    </row>
    <row r="976" ht="21.75" customHeight="1">
      <c r="A976" s="134"/>
      <c r="B976" s="64"/>
      <c r="C976" s="23"/>
      <c r="D976" s="23"/>
      <c r="E976" s="24"/>
      <c r="F976" s="25"/>
      <c r="G976" s="24"/>
      <c r="H976" s="26"/>
      <c r="I976" s="27"/>
      <c r="J976" s="28"/>
      <c r="K976" s="28" t="str">
        <f t="shared" si="151"/>
        <v/>
      </c>
      <c r="L976" s="17"/>
      <c r="M976" s="29"/>
      <c r="N976" s="72"/>
      <c r="O976" s="73"/>
      <c r="P976" s="73"/>
      <c r="Q976" s="72"/>
      <c r="R976" s="72"/>
      <c r="S976" s="31" t="str">
        <f t="shared" si="152"/>
        <v/>
      </c>
      <c r="T976" s="32" t="str">
        <f t="shared" si="153"/>
        <v/>
      </c>
      <c r="U976" s="73"/>
      <c r="V976" s="72"/>
      <c r="W976" s="72"/>
    </row>
    <row r="977" ht="21.75" customHeight="1">
      <c r="A977" s="134"/>
      <c r="B977" s="64"/>
      <c r="C977" s="23"/>
      <c r="D977" s="23"/>
      <c r="E977" s="24"/>
      <c r="F977" s="25"/>
      <c r="G977" s="24"/>
      <c r="H977" s="26"/>
      <c r="I977" s="27"/>
      <c r="J977" s="28"/>
      <c r="K977" s="28" t="str">
        <f t="shared" si="151"/>
        <v/>
      </c>
      <c r="L977" s="17"/>
      <c r="M977" s="29"/>
      <c r="N977" s="72"/>
      <c r="O977" s="73"/>
      <c r="P977" s="73"/>
      <c r="Q977" s="72"/>
      <c r="R977" s="72"/>
      <c r="S977" s="31" t="str">
        <f t="shared" si="152"/>
        <v/>
      </c>
      <c r="T977" s="32" t="str">
        <f t="shared" si="153"/>
        <v/>
      </c>
      <c r="U977" s="73"/>
      <c r="V977" s="72"/>
      <c r="W977" s="72"/>
    </row>
    <row r="978" ht="21.75" customHeight="1">
      <c r="A978" s="134"/>
      <c r="B978" s="64"/>
      <c r="C978" s="23"/>
      <c r="D978" s="23"/>
      <c r="E978" s="24"/>
      <c r="F978" s="25"/>
      <c r="G978" s="24"/>
      <c r="H978" s="26"/>
      <c r="I978" s="27"/>
      <c r="J978" s="28"/>
      <c r="K978" s="28" t="str">
        <f t="shared" si="151"/>
        <v/>
      </c>
      <c r="L978" s="17"/>
      <c r="M978" s="29"/>
      <c r="N978" s="72"/>
      <c r="O978" s="73"/>
      <c r="P978" s="73"/>
      <c r="Q978" s="72"/>
      <c r="R978" s="72"/>
      <c r="S978" s="31" t="str">
        <f t="shared" si="152"/>
        <v/>
      </c>
      <c r="T978" s="32" t="str">
        <f t="shared" si="153"/>
        <v/>
      </c>
      <c r="U978" s="73"/>
      <c r="V978" s="72"/>
      <c r="W978" s="72"/>
    </row>
    <row r="979" ht="21.75" customHeight="1">
      <c r="A979" s="134"/>
      <c r="B979" s="64"/>
      <c r="C979" s="23"/>
      <c r="D979" s="23"/>
      <c r="E979" s="24"/>
      <c r="F979" s="25"/>
      <c r="G979" s="24"/>
      <c r="H979" s="26"/>
      <c r="I979" s="27"/>
      <c r="J979" s="28"/>
      <c r="K979" s="28" t="str">
        <f t="shared" si="151"/>
        <v/>
      </c>
      <c r="L979" s="17"/>
      <c r="M979" s="29"/>
      <c r="N979" s="72"/>
      <c r="O979" s="73"/>
      <c r="P979" s="73"/>
      <c r="Q979" s="72"/>
      <c r="R979" s="72"/>
      <c r="S979" s="31" t="str">
        <f t="shared" si="152"/>
        <v/>
      </c>
      <c r="T979" s="32" t="str">
        <f t="shared" si="153"/>
        <v/>
      </c>
      <c r="U979" s="73"/>
      <c r="V979" s="72"/>
      <c r="W979" s="72"/>
    </row>
    <row r="980" ht="21.75" customHeight="1">
      <c r="A980" s="134"/>
      <c r="B980" s="64"/>
      <c r="C980" s="23"/>
      <c r="D980" s="23"/>
      <c r="E980" s="24"/>
      <c r="F980" s="25"/>
      <c r="G980" s="24"/>
      <c r="H980" s="26"/>
      <c r="I980" s="27"/>
      <c r="J980" s="28"/>
      <c r="K980" s="28" t="str">
        <f t="shared" si="151"/>
        <v/>
      </c>
      <c r="L980" s="17"/>
      <c r="M980" s="29"/>
      <c r="N980" s="72"/>
      <c r="O980" s="73"/>
      <c r="P980" s="73"/>
      <c r="Q980" s="72"/>
      <c r="R980" s="72"/>
      <c r="S980" s="31" t="str">
        <f t="shared" si="152"/>
        <v/>
      </c>
      <c r="T980" s="32" t="str">
        <f t="shared" si="153"/>
        <v/>
      </c>
      <c r="U980" s="73"/>
      <c r="V980" s="72"/>
      <c r="W980" s="72"/>
    </row>
    <row r="981" ht="21.75" customHeight="1">
      <c r="A981" s="134"/>
      <c r="B981" s="64"/>
      <c r="C981" s="23"/>
      <c r="D981" s="23"/>
      <c r="E981" s="24"/>
      <c r="F981" s="25"/>
      <c r="G981" s="24"/>
      <c r="H981" s="26"/>
      <c r="I981" s="27"/>
      <c r="J981" s="28"/>
      <c r="K981" s="28" t="str">
        <f t="shared" si="151"/>
        <v/>
      </c>
      <c r="L981" s="17"/>
      <c r="M981" s="29"/>
      <c r="N981" s="72"/>
      <c r="O981" s="73"/>
      <c r="P981" s="73"/>
      <c r="Q981" s="72"/>
      <c r="R981" s="72"/>
      <c r="S981" s="31" t="str">
        <f t="shared" si="152"/>
        <v/>
      </c>
      <c r="T981" s="32" t="str">
        <f t="shared" si="153"/>
        <v/>
      </c>
      <c r="U981" s="73"/>
      <c r="V981" s="72"/>
      <c r="W981" s="72"/>
    </row>
    <row r="982" ht="21.75" customHeight="1">
      <c r="A982" s="134"/>
      <c r="B982" s="64"/>
      <c r="C982" s="23"/>
      <c r="D982" s="23"/>
      <c r="E982" s="24"/>
      <c r="F982" s="25"/>
      <c r="G982" s="24"/>
      <c r="H982" s="26"/>
      <c r="I982" s="27"/>
      <c r="J982" s="28"/>
      <c r="K982" s="28" t="str">
        <f t="shared" si="151"/>
        <v/>
      </c>
      <c r="L982" s="17"/>
      <c r="M982" s="29"/>
      <c r="N982" s="72"/>
      <c r="O982" s="73"/>
      <c r="P982" s="73"/>
      <c r="Q982" s="72"/>
      <c r="R982" s="72"/>
      <c r="S982" s="31" t="str">
        <f t="shared" si="152"/>
        <v/>
      </c>
      <c r="T982" s="32" t="str">
        <f t="shared" si="153"/>
        <v/>
      </c>
      <c r="U982" s="73"/>
      <c r="V982" s="72"/>
      <c r="W982" s="72"/>
    </row>
    <row r="983" ht="21.75" customHeight="1">
      <c r="A983" s="134"/>
      <c r="B983" s="64"/>
      <c r="C983" s="23"/>
      <c r="D983" s="23"/>
      <c r="E983" s="24"/>
      <c r="F983" s="25"/>
      <c r="G983" s="24"/>
      <c r="H983" s="26"/>
      <c r="I983" s="27"/>
      <c r="J983" s="28"/>
      <c r="K983" s="28" t="str">
        <f t="shared" si="151"/>
        <v/>
      </c>
      <c r="L983" s="17"/>
      <c r="M983" s="29"/>
      <c r="N983" s="72"/>
      <c r="O983" s="73"/>
      <c r="P983" s="73"/>
      <c r="Q983" s="72"/>
      <c r="R983" s="72"/>
      <c r="S983" s="31" t="str">
        <f t="shared" si="152"/>
        <v/>
      </c>
      <c r="T983" s="32" t="str">
        <f t="shared" si="153"/>
        <v/>
      </c>
      <c r="U983" s="73"/>
      <c r="V983" s="72"/>
      <c r="W983" s="72"/>
    </row>
    <row r="984" ht="21.75" customHeight="1">
      <c r="A984" s="134"/>
      <c r="B984" s="64"/>
      <c r="C984" s="23"/>
      <c r="D984" s="23"/>
      <c r="E984" s="24"/>
      <c r="F984" s="25"/>
      <c r="G984" s="24"/>
      <c r="H984" s="26"/>
      <c r="I984" s="27"/>
      <c r="J984" s="28"/>
      <c r="K984" s="28" t="str">
        <f t="shared" si="151"/>
        <v/>
      </c>
      <c r="L984" s="17"/>
      <c r="M984" s="29"/>
      <c r="N984" s="72"/>
      <c r="O984" s="73"/>
      <c r="P984" s="73"/>
      <c r="Q984" s="72"/>
      <c r="R984" s="72"/>
      <c r="S984" s="31" t="str">
        <f t="shared" si="152"/>
        <v/>
      </c>
      <c r="T984" s="32" t="str">
        <f t="shared" si="153"/>
        <v/>
      </c>
      <c r="U984" s="73"/>
      <c r="V984" s="72"/>
      <c r="W984" s="72"/>
    </row>
    <row r="985" ht="21.75" customHeight="1">
      <c r="A985" s="134"/>
      <c r="B985" s="64"/>
      <c r="C985" s="23"/>
      <c r="D985" s="23"/>
      <c r="E985" s="24"/>
      <c r="F985" s="25"/>
      <c r="G985" s="24"/>
      <c r="H985" s="26"/>
      <c r="I985" s="27"/>
      <c r="J985" s="28"/>
      <c r="K985" s="28" t="str">
        <f t="shared" si="151"/>
        <v/>
      </c>
      <c r="L985" s="17"/>
      <c r="M985" s="29"/>
      <c r="N985" s="72"/>
      <c r="O985" s="73"/>
      <c r="P985" s="73"/>
      <c r="Q985" s="72"/>
      <c r="R985" s="72"/>
      <c r="S985" s="31" t="str">
        <f t="shared" si="152"/>
        <v/>
      </c>
      <c r="T985" s="32" t="str">
        <f t="shared" si="153"/>
        <v/>
      </c>
      <c r="U985" s="73"/>
      <c r="V985" s="72"/>
      <c r="W985" s="72"/>
    </row>
    <row r="986" ht="21.75" customHeight="1">
      <c r="A986" s="134"/>
      <c r="B986" s="64"/>
      <c r="C986" s="23"/>
      <c r="D986" s="23"/>
      <c r="E986" s="24"/>
      <c r="F986" s="25"/>
      <c r="G986" s="24"/>
      <c r="H986" s="26"/>
      <c r="I986" s="27"/>
      <c r="J986" s="28"/>
      <c r="K986" s="28" t="str">
        <f t="shared" si="151"/>
        <v/>
      </c>
      <c r="L986" s="17"/>
      <c r="M986" s="29"/>
      <c r="N986" s="72"/>
      <c r="O986" s="73"/>
      <c r="P986" s="73"/>
      <c r="Q986" s="72"/>
      <c r="R986" s="72"/>
      <c r="S986" s="31" t="str">
        <f t="shared" si="152"/>
        <v/>
      </c>
      <c r="T986" s="32" t="str">
        <f t="shared" si="153"/>
        <v/>
      </c>
      <c r="U986" s="73"/>
      <c r="V986" s="72"/>
      <c r="W986" s="72"/>
    </row>
    <row r="987" ht="21.75" customHeight="1">
      <c r="A987" s="134"/>
      <c r="B987" s="64"/>
      <c r="C987" s="23"/>
      <c r="D987" s="23"/>
      <c r="E987" s="24"/>
      <c r="F987" s="25"/>
      <c r="G987" s="24"/>
      <c r="H987" s="26"/>
      <c r="I987" s="27"/>
      <c r="J987" s="28"/>
      <c r="K987" s="28" t="str">
        <f t="shared" si="151"/>
        <v/>
      </c>
      <c r="L987" s="17"/>
      <c r="M987" s="29"/>
      <c r="N987" s="72"/>
      <c r="O987" s="73"/>
      <c r="P987" s="73"/>
      <c r="Q987" s="72"/>
      <c r="R987" s="72"/>
      <c r="S987" s="31" t="str">
        <f t="shared" si="152"/>
        <v/>
      </c>
      <c r="T987" s="32" t="str">
        <f t="shared" si="153"/>
        <v/>
      </c>
      <c r="U987" s="73"/>
      <c r="V987" s="72"/>
      <c r="W987" s="72"/>
    </row>
    <row r="988" ht="21.75" customHeight="1">
      <c r="A988" s="134"/>
      <c r="B988" s="64"/>
      <c r="C988" s="23"/>
      <c r="D988" s="23"/>
      <c r="E988" s="24"/>
      <c r="F988" s="25"/>
      <c r="G988" s="24"/>
      <c r="H988" s="26"/>
      <c r="I988" s="27"/>
      <c r="J988" s="28"/>
      <c r="K988" s="28" t="str">
        <f t="shared" si="151"/>
        <v/>
      </c>
      <c r="L988" s="17"/>
      <c r="M988" s="29"/>
      <c r="N988" s="72"/>
      <c r="O988" s="73"/>
      <c r="P988" s="73"/>
      <c r="Q988" s="72"/>
      <c r="R988" s="72"/>
      <c r="S988" s="31" t="str">
        <f t="shared" si="152"/>
        <v/>
      </c>
      <c r="T988" s="32" t="str">
        <f t="shared" si="153"/>
        <v/>
      </c>
      <c r="U988" s="73"/>
      <c r="V988" s="72"/>
      <c r="W988" s="72"/>
    </row>
    <row r="989" ht="21.75" customHeight="1">
      <c r="A989" s="134"/>
      <c r="B989" s="64"/>
      <c r="C989" s="23"/>
      <c r="D989" s="23"/>
      <c r="E989" s="24"/>
      <c r="F989" s="25"/>
      <c r="G989" s="24"/>
      <c r="H989" s="26"/>
      <c r="I989" s="27"/>
      <c r="J989" s="28"/>
      <c r="K989" s="28" t="str">
        <f t="shared" si="151"/>
        <v/>
      </c>
      <c r="L989" s="17"/>
      <c r="M989" s="29"/>
      <c r="N989" s="72"/>
      <c r="O989" s="73"/>
      <c r="P989" s="73"/>
      <c r="Q989" s="72"/>
      <c r="R989" s="72"/>
      <c r="S989" s="31" t="str">
        <f t="shared" si="152"/>
        <v/>
      </c>
      <c r="T989" s="32" t="str">
        <f t="shared" si="153"/>
        <v/>
      </c>
      <c r="U989" s="73"/>
      <c r="V989" s="72"/>
      <c r="W989" s="72"/>
    </row>
    <row r="990" ht="21.75" customHeight="1">
      <c r="A990" s="134"/>
      <c r="B990" s="64"/>
      <c r="C990" s="23"/>
      <c r="D990" s="23"/>
      <c r="E990" s="24"/>
      <c r="F990" s="25"/>
      <c r="G990" s="24"/>
      <c r="H990" s="26"/>
      <c r="I990" s="27"/>
      <c r="J990" s="28"/>
      <c r="K990" s="28" t="str">
        <f t="shared" si="151"/>
        <v/>
      </c>
      <c r="L990" s="17"/>
      <c r="M990" s="29"/>
      <c r="N990" s="72"/>
      <c r="O990" s="73"/>
      <c r="P990" s="73"/>
      <c r="Q990" s="72"/>
      <c r="R990" s="72"/>
      <c r="S990" s="31" t="str">
        <f t="shared" si="152"/>
        <v/>
      </c>
      <c r="T990" s="32" t="str">
        <f t="shared" si="153"/>
        <v/>
      </c>
      <c r="U990" s="73"/>
      <c r="V990" s="72"/>
      <c r="W990" s="72"/>
    </row>
    <row r="991" ht="21.75" customHeight="1">
      <c r="A991" s="134"/>
      <c r="B991" s="64"/>
      <c r="C991" s="23"/>
      <c r="D991" s="23"/>
      <c r="E991" s="24"/>
      <c r="F991" s="25"/>
      <c r="G991" s="24"/>
      <c r="H991" s="26"/>
      <c r="I991" s="27"/>
      <c r="J991" s="28"/>
      <c r="K991" s="28" t="str">
        <f t="shared" si="151"/>
        <v/>
      </c>
      <c r="L991" s="17"/>
      <c r="M991" s="29"/>
      <c r="N991" s="72"/>
      <c r="O991" s="73"/>
      <c r="P991" s="73"/>
      <c r="Q991" s="72"/>
      <c r="R991" s="72"/>
      <c r="S991" s="31" t="str">
        <f t="shared" si="152"/>
        <v/>
      </c>
      <c r="T991" s="32" t="str">
        <f t="shared" si="153"/>
        <v/>
      </c>
      <c r="U991" s="73"/>
      <c r="V991" s="72"/>
      <c r="W991" s="72"/>
    </row>
    <row r="992" ht="21.75" customHeight="1">
      <c r="A992" s="134"/>
      <c r="B992" s="64"/>
      <c r="C992" s="23"/>
      <c r="D992" s="23"/>
      <c r="E992" s="24"/>
      <c r="F992" s="25"/>
      <c r="G992" s="24"/>
      <c r="H992" s="26"/>
      <c r="I992" s="27"/>
      <c r="J992" s="28"/>
      <c r="K992" s="28" t="str">
        <f t="shared" si="151"/>
        <v/>
      </c>
      <c r="L992" s="17"/>
      <c r="M992" s="29"/>
      <c r="N992" s="72"/>
      <c r="O992" s="73"/>
      <c r="P992" s="73"/>
      <c r="Q992" s="72"/>
      <c r="R992" s="72"/>
      <c r="S992" s="31" t="str">
        <f t="shared" si="152"/>
        <v/>
      </c>
      <c r="T992" s="32" t="str">
        <f t="shared" si="153"/>
        <v/>
      </c>
      <c r="U992" s="73"/>
      <c r="V992" s="72"/>
      <c r="W992" s="72"/>
    </row>
    <row r="993" ht="21.75" customHeight="1">
      <c r="A993" s="134"/>
      <c r="B993" s="64"/>
      <c r="C993" s="23"/>
      <c r="D993" s="23"/>
      <c r="E993" s="24"/>
      <c r="F993" s="25"/>
      <c r="G993" s="24"/>
      <c r="H993" s="26"/>
      <c r="I993" s="27"/>
      <c r="J993" s="28"/>
      <c r="K993" s="28" t="str">
        <f t="shared" si="151"/>
        <v/>
      </c>
      <c r="L993" s="17"/>
      <c r="M993" s="29"/>
      <c r="N993" s="72"/>
      <c r="O993" s="73"/>
      <c r="P993" s="73"/>
      <c r="Q993" s="72"/>
      <c r="R993" s="72"/>
      <c r="S993" s="31" t="str">
        <f t="shared" si="152"/>
        <v/>
      </c>
      <c r="T993" s="32" t="str">
        <f t="shared" si="153"/>
        <v/>
      </c>
      <c r="U993" s="73"/>
      <c r="V993" s="72"/>
      <c r="W993" s="72"/>
    </row>
    <row r="994" ht="21.75" customHeight="1">
      <c r="A994" s="134"/>
      <c r="B994" s="64"/>
      <c r="C994" s="23"/>
      <c r="D994" s="23"/>
      <c r="E994" s="24"/>
      <c r="F994" s="25"/>
      <c r="G994" s="24"/>
      <c r="H994" s="26"/>
      <c r="I994" s="27"/>
      <c r="J994" s="28"/>
      <c r="K994" s="28" t="str">
        <f t="shared" si="151"/>
        <v/>
      </c>
      <c r="L994" s="17"/>
      <c r="M994" s="29"/>
      <c r="N994" s="72"/>
      <c r="O994" s="73"/>
      <c r="P994" s="73"/>
      <c r="Q994" s="72"/>
      <c r="R994" s="72"/>
      <c r="S994" s="31" t="str">
        <f t="shared" si="152"/>
        <v/>
      </c>
      <c r="T994" s="32" t="str">
        <f t="shared" si="153"/>
        <v/>
      </c>
      <c r="U994" s="73"/>
      <c r="V994" s="72"/>
      <c r="W994" s="72"/>
    </row>
    <row r="995" ht="21.75" customHeight="1">
      <c r="A995" s="134"/>
      <c r="B995" s="64"/>
      <c r="C995" s="23"/>
      <c r="D995" s="23"/>
      <c r="E995" s="24"/>
      <c r="F995" s="25"/>
      <c r="G995" s="24"/>
      <c r="H995" s="26"/>
      <c r="I995" s="27"/>
      <c r="J995" s="28"/>
      <c r="K995" s="28" t="str">
        <f t="shared" si="151"/>
        <v/>
      </c>
      <c r="L995" s="17"/>
      <c r="M995" s="29"/>
      <c r="N995" s="72"/>
      <c r="O995" s="73"/>
      <c r="P995" s="73"/>
      <c r="Q995" s="72"/>
      <c r="R995" s="72"/>
      <c r="S995" s="31" t="str">
        <f t="shared" si="152"/>
        <v/>
      </c>
      <c r="T995" s="32" t="str">
        <f t="shared" si="153"/>
        <v/>
      </c>
      <c r="U995" s="73"/>
      <c r="V995" s="72"/>
      <c r="W995" s="72"/>
    </row>
    <row r="996" ht="21.75" customHeight="1">
      <c r="A996" s="134"/>
      <c r="B996" s="64"/>
      <c r="C996" s="23"/>
      <c r="D996" s="23"/>
      <c r="E996" s="24"/>
      <c r="F996" s="25"/>
      <c r="G996" s="24"/>
      <c r="H996" s="26"/>
      <c r="I996" s="27"/>
      <c r="J996" s="28"/>
      <c r="K996" s="28" t="str">
        <f t="shared" si="151"/>
        <v/>
      </c>
      <c r="L996" s="17"/>
      <c r="M996" s="29"/>
      <c r="N996" s="72"/>
      <c r="O996" s="73"/>
      <c r="P996" s="73"/>
      <c r="Q996" s="72"/>
      <c r="R996" s="72"/>
      <c r="S996" s="31" t="str">
        <f t="shared" si="152"/>
        <v/>
      </c>
      <c r="T996" s="32" t="str">
        <f t="shared" si="153"/>
        <v/>
      </c>
      <c r="U996" s="73"/>
      <c r="V996" s="72"/>
      <c r="W996" s="72"/>
    </row>
    <row r="997" ht="21.75" customHeight="1">
      <c r="A997" s="134"/>
      <c r="B997" s="64"/>
      <c r="C997" s="23"/>
      <c r="D997" s="23"/>
      <c r="E997" s="24"/>
      <c r="F997" s="25"/>
      <c r="G997" s="24"/>
      <c r="H997" s="26"/>
      <c r="I997" s="27"/>
      <c r="J997" s="28"/>
      <c r="K997" s="28" t="str">
        <f t="shared" si="151"/>
        <v/>
      </c>
      <c r="L997" s="17"/>
      <c r="M997" s="29"/>
      <c r="N997" s="72"/>
      <c r="O997" s="73"/>
      <c r="P997" s="73"/>
      <c r="Q997" s="72"/>
      <c r="R997" s="72"/>
      <c r="S997" s="31" t="str">
        <f t="shared" si="152"/>
        <v/>
      </c>
      <c r="T997" s="32" t="str">
        <f t="shared" si="153"/>
        <v/>
      </c>
      <c r="U997" s="73"/>
      <c r="V997" s="72"/>
      <c r="W997" s="72"/>
    </row>
    <row r="998" ht="21.75" customHeight="1">
      <c r="A998" s="134"/>
      <c r="B998" s="64"/>
      <c r="C998" s="23"/>
      <c r="D998" s="23"/>
      <c r="E998" s="24"/>
      <c r="F998" s="25"/>
      <c r="G998" s="24"/>
      <c r="H998" s="26"/>
      <c r="I998" s="27"/>
      <c r="J998" s="28"/>
      <c r="K998" s="28" t="str">
        <f t="shared" si="151"/>
        <v/>
      </c>
      <c r="L998" s="17"/>
      <c r="M998" s="29"/>
      <c r="N998" s="72"/>
      <c r="O998" s="73"/>
      <c r="P998" s="73"/>
      <c r="Q998" s="72"/>
      <c r="R998" s="72"/>
      <c r="S998" s="31" t="str">
        <f t="shared" si="152"/>
        <v/>
      </c>
      <c r="T998" s="32" t="str">
        <f t="shared" si="153"/>
        <v/>
      </c>
      <c r="U998" s="73"/>
      <c r="V998" s="72"/>
      <c r="W998" s="72"/>
    </row>
    <row r="999" ht="21.75" customHeight="1">
      <c r="A999" s="134"/>
      <c r="B999" s="64"/>
      <c r="C999" s="23"/>
      <c r="D999" s="23"/>
      <c r="E999" s="24"/>
      <c r="F999" s="25"/>
      <c r="G999" s="24"/>
      <c r="H999" s="26"/>
      <c r="I999" s="27"/>
      <c r="J999" s="28"/>
      <c r="K999" s="28" t="str">
        <f t="shared" si="151"/>
        <v/>
      </c>
      <c r="L999" s="17"/>
      <c r="M999" s="29"/>
      <c r="N999" s="72"/>
      <c r="O999" s="73"/>
      <c r="P999" s="73"/>
      <c r="Q999" s="72"/>
      <c r="R999" s="72"/>
      <c r="S999" s="31" t="str">
        <f t="shared" si="152"/>
        <v/>
      </c>
      <c r="T999" s="32" t="str">
        <f t="shared" si="153"/>
        <v/>
      </c>
      <c r="U999" s="73"/>
      <c r="V999" s="72"/>
      <c r="W999" s="72"/>
    </row>
    <row r="1000" ht="21.75" customHeight="1">
      <c r="A1000" s="134"/>
      <c r="B1000" s="64"/>
      <c r="C1000" s="23"/>
      <c r="D1000" s="23"/>
      <c r="E1000" s="24"/>
      <c r="F1000" s="25"/>
      <c r="G1000" s="24"/>
      <c r="H1000" s="26"/>
      <c r="I1000" s="27"/>
      <c r="J1000" s="28"/>
      <c r="K1000" s="28" t="str">
        <f t="shared" si="151"/>
        <v/>
      </c>
      <c r="L1000" s="17"/>
      <c r="M1000" s="29"/>
      <c r="N1000" s="72"/>
      <c r="O1000" s="73"/>
      <c r="P1000" s="73"/>
      <c r="Q1000" s="72"/>
      <c r="R1000" s="72"/>
      <c r="S1000" s="31" t="str">
        <f t="shared" si="152"/>
        <v/>
      </c>
      <c r="T1000" s="32" t="str">
        <f t="shared" si="153"/>
        <v/>
      </c>
      <c r="U1000" s="73"/>
      <c r="V1000" s="72"/>
      <c r="W1000" s="72"/>
    </row>
    <row r="1001" ht="21.75" customHeight="1">
      <c r="A1001" s="134"/>
      <c r="B1001" s="64"/>
      <c r="C1001" s="23"/>
      <c r="D1001" s="23"/>
      <c r="E1001" s="24"/>
      <c r="F1001" s="25"/>
      <c r="G1001" s="24"/>
      <c r="H1001" s="26"/>
      <c r="I1001" s="27"/>
      <c r="J1001" s="28"/>
      <c r="K1001" s="28" t="str">
        <f t="shared" si="151"/>
        <v/>
      </c>
      <c r="L1001" s="17"/>
      <c r="M1001" s="29"/>
      <c r="N1001" s="72"/>
      <c r="O1001" s="73"/>
      <c r="P1001" s="73"/>
      <c r="Q1001" s="72"/>
      <c r="R1001" s="72"/>
      <c r="S1001" s="31" t="str">
        <f t="shared" si="152"/>
        <v/>
      </c>
      <c r="T1001" s="32" t="str">
        <f t="shared" si="153"/>
        <v/>
      </c>
      <c r="U1001" s="73"/>
      <c r="V1001" s="72"/>
      <c r="W1001" s="72"/>
    </row>
    <row r="1002" ht="21.75" customHeight="1">
      <c r="A1002" s="134"/>
      <c r="B1002" s="64"/>
      <c r="C1002" s="23"/>
      <c r="D1002" s="23"/>
      <c r="E1002" s="24"/>
      <c r="F1002" s="25"/>
      <c r="G1002" s="24"/>
      <c r="H1002" s="26"/>
      <c r="I1002" s="27"/>
      <c r="J1002" s="28"/>
      <c r="K1002" s="28" t="str">
        <f t="shared" si="151"/>
        <v/>
      </c>
      <c r="L1002" s="17"/>
      <c r="M1002" s="29"/>
      <c r="N1002" s="72"/>
      <c r="O1002" s="73"/>
      <c r="P1002" s="73"/>
      <c r="Q1002" s="72"/>
      <c r="R1002" s="72"/>
      <c r="S1002" s="31" t="str">
        <f t="shared" si="152"/>
        <v/>
      </c>
      <c r="T1002" s="32" t="str">
        <f t="shared" si="153"/>
        <v/>
      </c>
      <c r="U1002" s="73"/>
      <c r="V1002" s="72"/>
      <c r="W1002" s="72"/>
    </row>
    <row r="1003" ht="21.75" customHeight="1">
      <c r="A1003" s="134"/>
      <c r="B1003" s="64"/>
      <c r="C1003" s="23"/>
      <c r="D1003" s="23"/>
      <c r="E1003" s="24"/>
      <c r="F1003" s="25"/>
      <c r="G1003" s="24"/>
      <c r="H1003" s="26"/>
      <c r="I1003" s="27"/>
      <c r="J1003" s="28"/>
      <c r="K1003" s="28" t="str">
        <f t="shared" si="151"/>
        <v/>
      </c>
      <c r="L1003" s="17"/>
      <c r="M1003" s="29"/>
      <c r="N1003" s="72"/>
      <c r="O1003" s="73"/>
      <c r="P1003" s="73"/>
      <c r="Q1003" s="72"/>
      <c r="R1003" s="72"/>
      <c r="S1003" s="31" t="str">
        <f t="shared" si="152"/>
        <v/>
      </c>
      <c r="T1003" s="32" t="str">
        <f t="shared" si="153"/>
        <v/>
      </c>
      <c r="U1003" s="73"/>
      <c r="V1003" s="72"/>
      <c r="W1003" s="72"/>
    </row>
    <row r="1004" ht="21.75" customHeight="1">
      <c r="A1004" s="134"/>
      <c r="B1004" s="64"/>
      <c r="C1004" s="23"/>
      <c r="D1004" s="23"/>
      <c r="E1004" s="24"/>
      <c r="F1004" s="25"/>
      <c r="G1004" s="24"/>
      <c r="H1004" s="26"/>
      <c r="I1004" s="27"/>
      <c r="J1004" s="28"/>
      <c r="K1004" s="28" t="str">
        <f t="shared" si="151"/>
        <v/>
      </c>
      <c r="L1004" s="17"/>
      <c r="M1004" s="29"/>
      <c r="N1004" s="72"/>
      <c r="O1004" s="73"/>
      <c r="P1004" s="73"/>
      <c r="Q1004" s="72"/>
      <c r="R1004" s="72"/>
      <c r="S1004" s="31" t="str">
        <f t="shared" si="152"/>
        <v/>
      </c>
      <c r="T1004" s="32" t="str">
        <f t="shared" si="153"/>
        <v/>
      </c>
      <c r="U1004" s="73"/>
      <c r="V1004" s="72"/>
      <c r="W1004" s="72"/>
    </row>
    <row r="1005" ht="21.75" customHeight="1">
      <c r="A1005" s="134"/>
      <c r="B1005" s="64"/>
      <c r="C1005" s="23"/>
      <c r="D1005" s="23"/>
      <c r="E1005" s="24"/>
      <c r="F1005" s="25"/>
      <c r="G1005" s="24"/>
      <c r="H1005" s="26"/>
      <c r="I1005" s="27"/>
      <c r="J1005" s="28"/>
      <c r="K1005" s="28" t="str">
        <f t="shared" si="151"/>
        <v/>
      </c>
      <c r="L1005" s="17"/>
      <c r="M1005" s="29"/>
      <c r="N1005" s="72"/>
      <c r="O1005" s="73"/>
      <c r="P1005" s="73"/>
      <c r="Q1005" s="72"/>
      <c r="R1005" s="72"/>
      <c r="S1005" s="31" t="str">
        <f t="shared" si="152"/>
        <v/>
      </c>
      <c r="T1005" s="32" t="str">
        <f t="shared" si="153"/>
        <v/>
      </c>
      <c r="U1005" s="73"/>
      <c r="V1005" s="72"/>
      <c r="W1005" s="72"/>
    </row>
    <row r="1006" ht="21.75" customHeight="1">
      <c r="A1006" s="134"/>
      <c r="B1006" s="64"/>
      <c r="C1006" s="23"/>
      <c r="D1006" s="23"/>
      <c r="E1006" s="24"/>
      <c r="F1006" s="25"/>
      <c r="G1006" s="24"/>
      <c r="H1006" s="26"/>
      <c r="I1006" s="27"/>
      <c r="J1006" s="28"/>
      <c r="K1006" s="28" t="str">
        <f t="shared" si="151"/>
        <v/>
      </c>
      <c r="L1006" s="17"/>
      <c r="M1006" s="29"/>
      <c r="N1006" s="72"/>
      <c r="O1006" s="73"/>
      <c r="P1006" s="73"/>
      <c r="Q1006" s="72"/>
      <c r="R1006" s="72"/>
      <c r="S1006" s="31" t="str">
        <f t="shared" si="152"/>
        <v/>
      </c>
      <c r="T1006" s="32" t="str">
        <f t="shared" si="153"/>
        <v/>
      </c>
      <c r="U1006" s="73"/>
      <c r="V1006" s="72"/>
      <c r="W1006" s="72"/>
    </row>
    <row r="1007" ht="21.75" customHeight="1">
      <c r="A1007" s="134"/>
      <c r="B1007" s="64"/>
      <c r="C1007" s="23"/>
      <c r="D1007" s="23"/>
      <c r="E1007" s="24"/>
      <c r="F1007" s="25"/>
      <c r="G1007" s="24"/>
      <c r="H1007" s="26"/>
      <c r="I1007" s="27"/>
      <c r="J1007" s="28"/>
      <c r="K1007" s="28" t="str">
        <f t="shared" si="151"/>
        <v/>
      </c>
      <c r="L1007" s="17"/>
      <c r="M1007" s="29"/>
      <c r="N1007" s="72"/>
      <c r="O1007" s="73"/>
      <c r="P1007" s="73"/>
      <c r="Q1007" s="72"/>
      <c r="R1007" s="72"/>
      <c r="S1007" s="31" t="str">
        <f t="shared" si="152"/>
        <v/>
      </c>
      <c r="T1007" s="32" t="str">
        <f t="shared" si="153"/>
        <v/>
      </c>
      <c r="U1007" s="73"/>
      <c r="V1007" s="72"/>
      <c r="W1007" s="72"/>
    </row>
    <row r="1008" ht="21.75" customHeight="1">
      <c r="A1008" s="134"/>
      <c r="B1008" s="64"/>
      <c r="C1008" s="23"/>
      <c r="D1008" s="23"/>
      <c r="E1008" s="24"/>
      <c r="F1008" s="25"/>
      <c r="G1008" s="24"/>
      <c r="H1008" s="26"/>
      <c r="I1008" s="27"/>
      <c r="J1008" s="28"/>
      <c r="K1008" s="28" t="str">
        <f t="shared" si="151"/>
        <v/>
      </c>
      <c r="L1008" s="17"/>
      <c r="M1008" s="29"/>
      <c r="N1008" s="72"/>
      <c r="O1008" s="73"/>
      <c r="P1008" s="73"/>
      <c r="Q1008" s="72"/>
      <c r="R1008" s="72"/>
      <c r="S1008" s="31" t="str">
        <f t="shared" si="152"/>
        <v/>
      </c>
      <c r="T1008" s="32" t="str">
        <f t="shared" si="153"/>
        <v/>
      </c>
      <c r="U1008" s="73"/>
      <c r="V1008" s="72"/>
      <c r="W1008" s="72"/>
    </row>
    <row r="1009" ht="21.75" customHeight="1">
      <c r="A1009" s="134"/>
      <c r="B1009" s="64"/>
      <c r="C1009" s="23"/>
      <c r="D1009" s="23"/>
      <c r="E1009" s="24"/>
      <c r="F1009" s="25"/>
      <c r="G1009" s="24"/>
      <c r="H1009" s="26"/>
      <c r="I1009" s="27"/>
      <c r="J1009" s="28"/>
      <c r="K1009" s="28" t="str">
        <f t="shared" si="151"/>
        <v/>
      </c>
      <c r="L1009" s="17"/>
      <c r="M1009" s="29"/>
      <c r="N1009" s="72"/>
      <c r="O1009" s="73"/>
      <c r="P1009" s="73"/>
      <c r="Q1009" s="72"/>
      <c r="R1009" s="72"/>
      <c r="S1009" s="31" t="str">
        <f t="shared" si="152"/>
        <v/>
      </c>
      <c r="T1009" s="32" t="str">
        <f t="shared" si="153"/>
        <v/>
      </c>
      <c r="U1009" s="73"/>
      <c r="V1009" s="72"/>
      <c r="W1009" s="72"/>
    </row>
    <row r="1010" ht="21.75" customHeight="1">
      <c r="A1010" s="134"/>
      <c r="B1010" s="64"/>
      <c r="C1010" s="23"/>
      <c r="D1010" s="23"/>
      <c r="E1010" s="24"/>
      <c r="F1010" s="25"/>
      <c r="G1010" s="24"/>
      <c r="H1010" s="26"/>
      <c r="I1010" s="27"/>
      <c r="J1010" s="28"/>
      <c r="K1010" s="28" t="str">
        <f t="shared" si="151"/>
        <v/>
      </c>
      <c r="L1010" s="17"/>
      <c r="M1010" s="29"/>
      <c r="N1010" s="72"/>
      <c r="O1010" s="73"/>
      <c r="P1010" s="73"/>
      <c r="Q1010" s="72"/>
      <c r="R1010" s="72"/>
      <c r="S1010" s="31" t="str">
        <f t="shared" si="152"/>
        <v/>
      </c>
      <c r="T1010" s="32" t="str">
        <f t="shared" si="153"/>
        <v/>
      </c>
      <c r="U1010" s="73"/>
      <c r="V1010" s="72"/>
      <c r="W1010" s="72"/>
    </row>
    <row r="1011" ht="21.75" customHeight="1">
      <c r="A1011" s="134"/>
      <c r="B1011" s="64"/>
      <c r="C1011" s="23"/>
      <c r="D1011" s="23"/>
      <c r="E1011" s="24"/>
      <c r="F1011" s="25"/>
      <c r="G1011" s="24"/>
      <c r="H1011" s="26"/>
      <c r="I1011" s="27"/>
      <c r="J1011" s="28"/>
      <c r="K1011" s="28" t="str">
        <f t="shared" si="151"/>
        <v/>
      </c>
      <c r="L1011" s="17"/>
      <c r="M1011" s="29"/>
      <c r="N1011" s="72"/>
      <c r="O1011" s="73"/>
      <c r="P1011" s="73"/>
      <c r="Q1011" s="72"/>
      <c r="R1011" s="72"/>
      <c r="S1011" s="31" t="str">
        <f t="shared" si="152"/>
        <v/>
      </c>
      <c r="T1011" s="32" t="str">
        <f t="shared" si="153"/>
        <v/>
      </c>
      <c r="U1011" s="73"/>
      <c r="V1011" s="72"/>
      <c r="W1011" s="72"/>
    </row>
    <row r="1012" ht="21.75" customHeight="1">
      <c r="A1012" s="134"/>
      <c r="B1012" s="64"/>
      <c r="C1012" s="23"/>
      <c r="D1012" s="23"/>
      <c r="E1012" s="24"/>
      <c r="F1012" s="25"/>
      <c r="G1012" s="24"/>
      <c r="H1012" s="26"/>
      <c r="I1012" s="27"/>
      <c r="J1012" s="28"/>
      <c r="K1012" s="28" t="str">
        <f t="shared" si="151"/>
        <v/>
      </c>
      <c r="L1012" s="17"/>
      <c r="M1012" s="29"/>
      <c r="N1012" s="72"/>
      <c r="O1012" s="73"/>
      <c r="P1012" s="73"/>
      <c r="Q1012" s="72"/>
      <c r="R1012" s="72"/>
      <c r="S1012" s="31" t="str">
        <f t="shared" si="152"/>
        <v/>
      </c>
      <c r="T1012" s="32" t="str">
        <f t="shared" si="153"/>
        <v/>
      </c>
      <c r="U1012" s="73"/>
      <c r="V1012" s="72"/>
      <c r="W1012" s="72"/>
    </row>
    <row r="1013" ht="21.75" customHeight="1">
      <c r="A1013" s="134"/>
      <c r="B1013" s="64"/>
      <c r="C1013" s="23"/>
      <c r="D1013" s="23"/>
      <c r="E1013" s="24"/>
      <c r="F1013" s="25"/>
      <c r="G1013" s="24"/>
      <c r="H1013" s="26"/>
      <c r="I1013" s="27"/>
      <c r="J1013" s="28"/>
      <c r="K1013" s="28" t="str">
        <f t="shared" si="151"/>
        <v/>
      </c>
      <c r="L1013" s="17"/>
      <c r="M1013" s="29"/>
      <c r="N1013" s="72"/>
      <c r="O1013" s="73"/>
      <c r="P1013" s="73"/>
      <c r="Q1013" s="72"/>
      <c r="R1013" s="72"/>
      <c r="S1013" s="31" t="str">
        <f t="shared" si="152"/>
        <v/>
      </c>
      <c r="T1013" s="32" t="str">
        <f t="shared" si="153"/>
        <v/>
      </c>
      <c r="U1013" s="73"/>
      <c r="V1013" s="72"/>
      <c r="W1013" s="72"/>
    </row>
    <row r="1014" ht="21.75" customHeight="1">
      <c r="A1014" s="134"/>
      <c r="B1014" s="64"/>
      <c r="C1014" s="23"/>
      <c r="D1014" s="23"/>
      <c r="E1014" s="24"/>
      <c r="F1014" s="25"/>
      <c r="G1014" s="24"/>
      <c r="H1014" s="26"/>
      <c r="I1014" s="27"/>
      <c r="J1014" s="28"/>
      <c r="K1014" s="28" t="str">
        <f t="shared" si="151"/>
        <v/>
      </c>
      <c r="L1014" s="17"/>
      <c r="M1014" s="29"/>
      <c r="N1014" s="72"/>
      <c r="O1014" s="73"/>
      <c r="P1014" s="73"/>
      <c r="Q1014" s="72"/>
      <c r="R1014" s="72"/>
      <c r="S1014" s="31" t="str">
        <f t="shared" si="152"/>
        <v/>
      </c>
      <c r="T1014" s="32" t="str">
        <f t="shared" si="153"/>
        <v/>
      </c>
      <c r="U1014" s="73"/>
      <c r="V1014" s="72"/>
      <c r="W1014" s="72"/>
    </row>
    <row r="1015" ht="21.75" customHeight="1">
      <c r="A1015" s="134"/>
      <c r="B1015" s="64"/>
      <c r="C1015" s="23"/>
      <c r="D1015" s="23"/>
      <c r="E1015" s="24"/>
      <c r="F1015" s="25"/>
      <c r="G1015" s="24"/>
      <c r="H1015" s="26"/>
      <c r="I1015" s="27"/>
      <c r="J1015" s="28"/>
      <c r="K1015" s="28" t="str">
        <f t="shared" si="151"/>
        <v/>
      </c>
      <c r="L1015" s="17"/>
      <c r="M1015" s="29"/>
      <c r="N1015" s="72"/>
      <c r="O1015" s="73"/>
      <c r="P1015" s="73"/>
      <c r="Q1015" s="72"/>
      <c r="R1015" s="72"/>
      <c r="S1015" s="31" t="str">
        <f t="shared" si="152"/>
        <v/>
      </c>
      <c r="T1015" s="32" t="str">
        <f t="shared" si="153"/>
        <v/>
      </c>
      <c r="U1015" s="73"/>
      <c r="V1015" s="72"/>
      <c r="W1015" s="72"/>
    </row>
    <row r="1016" ht="21.75" customHeight="1">
      <c r="A1016" s="134"/>
      <c r="B1016" s="64"/>
      <c r="C1016" s="23"/>
      <c r="D1016" s="23"/>
      <c r="E1016" s="24"/>
      <c r="F1016" s="25"/>
      <c r="G1016" s="24"/>
      <c r="H1016" s="26"/>
      <c r="I1016" s="27"/>
      <c r="J1016" s="28"/>
      <c r="K1016" s="28" t="str">
        <f t="shared" si="151"/>
        <v/>
      </c>
      <c r="L1016" s="17"/>
      <c r="M1016" s="29"/>
      <c r="N1016" s="72"/>
      <c r="O1016" s="73"/>
      <c r="P1016" s="73"/>
      <c r="Q1016" s="72"/>
      <c r="R1016" s="72"/>
      <c r="S1016" s="31" t="str">
        <f t="shared" si="152"/>
        <v/>
      </c>
      <c r="T1016" s="32" t="str">
        <f t="shared" si="153"/>
        <v/>
      </c>
      <c r="U1016" s="73"/>
      <c r="V1016" s="72"/>
      <c r="W1016" s="72"/>
    </row>
    <row r="1017" ht="21.75" customHeight="1">
      <c r="A1017" s="134"/>
      <c r="B1017" s="64"/>
      <c r="C1017" s="23"/>
      <c r="D1017" s="23"/>
      <c r="E1017" s="24"/>
      <c r="F1017" s="25"/>
      <c r="G1017" s="24"/>
      <c r="H1017" s="26"/>
      <c r="I1017" s="27"/>
      <c r="J1017" s="28"/>
      <c r="K1017" s="28" t="str">
        <f t="shared" si="151"/>
        <v/>
      </c>
      <c r="L1017" s="17"/>
      <c r="M1017" s="29"/>
      <c r="N1017" s="72"/>
      <c r="O1017" s="73"/>
      <c r="P1017" s="73"/>
      <c r="Q1017" s="72"/>
      <c r="R1017" s="72"/>
      <c r="S1017" s="31" t="str">
        <f t="shared" si="152"/>
        <v/>
      </c>
      <c r="T1017" s="32" t="str">
        <f t="shared" si="153"/>
        <v/>
      </c>
      <c r="U1017" s="73"/>
      <c r="V1017" s="72"/>
      <c r="W1017" s="72"/>
    </row>
    <row r="1018" ht="21.75" customHeight="1">
      <c r="A1018" s="134"/>
      <c r="B1018" s="64"/>
      <c r="C1018" s="23"/>
      <c r="D1018" s="23"/>
      <c r="E1018" s="24"/>
      <c r="F1018" s="25"/>
      <c r="G1018" s="24"/>
      <c r="H1018" s="26"/>
      <c r="I1018" s="27"/>
      <c r="J1018" s="28"/>
      <c r="K1018" s="28" t="str">
        <f t="shared" si="151"/>
        <v/>
      </c>
      <c r="L1018" s="17"/>
      <c r="M1018" s="29"/>
      <c r="N1018" s="72"/>
      <c r="O1018" s="73"/>
      <c r="P1018" s="73"/>
      <c r="Q1018" s="72"/>
      <c r="R1018" s="72"/>
      <c r="S1018" s="31" t="str">
        <f t="shared" si="152"/>
        <v/>
      </c>
      <c r="T1018" s="32" t="str">
        <f t="shared" si="153"/>
        <v/>
      </c>
      <c r="U1018" s="73"/>
      <c r="V1018" s="72"/>
      <c r="W1018" s="72"/>
    </row>
    <row r="1019" ht="21.75" customHeight="1">
      <c r="A1019" s="134"/>
      <c r="B1019" s="64"/>
      <c r="C1019" s="23"/>
      <c r="D1019" s="23"/>
      <c r="E1019" s="24"/>
      <c r="F1019" s="25"/>
      <c r="G1019" s="24"/>
      <c r="H1019" s="26"/>
      <c r="I1019" s="27"/>
      <c r="J1019" s="28"/>
      <c r="K1019" s="28" t="str">
        <f t="shared" si="151"/>
        <v/>
      </c>
      <c r="L1019" s="17"/>
      <c r="M1019" s="29"/>
      <c r="N1019" s="72"/>
      <c r="O1019" s="73"/>
      <c r="P1019" s="73"/>
      <c r="Q1019" s="72"/>
      <c r="R1019" s="72"/>
      <c r="S1019" s="31" t="str">
        <f t="shared" si="152"/>
        <v/>
      </c>
      <c r="T1019" s="32" t="str">
        <f t="shared" si="153"/>
        <v/>
      </c>
      <c r="U1019" s="73"/>
      <c r="V1019" s="72"/>
      <c r="W1019" s="72"/>
    </row>
    <row r="1020" ht="21.75" customHeight="1">
      <c r="A1020" s="134"/>
      <c r="B1020" s="64"/>
      <c r="C1020" s="23"/>
      <c r="D1020" s="23"/>
      <c r="E1020" s="24"/>
      <c r="F1020" s="25"/>
      <c r="G1020" s="24"/>
      <c r="H1020" s="26"/>
      <c r="I1020" s="27"/>
      <c r="J1020" s="28"/>
      <c r="K1020" s="28" t="str">
        <f t="shared" si="151"/>
        <v/>
      </c>
      <c r="L1020" s="17"/>
      <c r="M1020" s="29"/>
      <c r="N1020" s="72"/>
      <c r="O1020" s="73"/>
      <c r="P1020" s="73"/>
      <c r="Q1020" s="72"/>
      <c r="R1020" s="72"/>
      <c r="S1020" s="31" t="str">
        <f t="shared" si="152"/>
        <v/>
      </c>
      <c r="T1020" s="32" t="str">
        <f t="shared" si="153"/>
        <v/>
      </c>
      <c r="U1020" s="73"/>
      <c r="V1020" s="72"/>
      <c r="W1020" s="72"/>
    </row>
    <row r="1021" ht="21.75" customHeight="1">
      <c r="A1021" s="134"/>
      <c r="B1021" s="64"/>
      <c r="C1021" s="23"/>
      <c r="D1021" s="23"/>
      <c r="E1021" s="24"/>
      <c r="F1021" s="25"/>
      <c r="G1021" s="24"/>
      <c r="H1021" s="26"/>
      <c r="I1021" s="27"/>
      <c r="J1021" s="28"/>
      <c r="K1021" s="28" t="str">
        <f t="shared" si="151"/>
        <v/>
      </c>
      <c r="L1021" s="17"/>
      <c r="M1021" s="29"/>
      <c r="N1021" s="72"/>
      <c r="O1021" s="73"/>
      <c r="P1021" s="73"/>
      <c r="Q1021" s="72"/>
      <c r="R1021" s="72"/>
      <c r="S1021" s="31" t="str">
        <f t="shared" si="152"/>
        <v/>
      </c>
      <c r="T1021" s="32" t="str">
        <f t="shared" si="153"/>
        <v/>
      </c>
      <c r="U1021" s="73"/>
      <c r="V1021" s="72"/>
      <c r="W1021" s="72"/>
    </row>
    <row r="1022" ht="21.75" customHeight="1">
      <c r="A1022" s="134"/>
      <c r="B1022" s="64"/>
      <c r="C1022" s="23"/>
      <c r="D1022" s="23"/>
      <c r="E1022" s="24"/>
      <c r="F1022" s="25"/>
      <c r="G1022" s="24"/>
      <c r="H1022" s="26"/>
      <c r="I1022" s="27"/>
      <c r="J1022" s="28"/>
      <c r="K1022" s="28" t="str">
        <f t="shared" si="151"/>
        <v/>
      </c>
      <c r="L1022" s="17"/>
      <c r="M1022" s="29"/>
      <c r="N1022" s="72"/>
      <c r="O1022" s="73"/>
      <c r="P1022" s="73"/>
      <c r="Q1022" s="72"/>
      <c r="R1022" s="72"/>
      <c r="S1022" s="31" t="str">
        <f t="shared" si="152"/>
        <v/>
      </c>
      <c r="T1022" s="32" t="str">
        <f t="shared" si="153"/>
        <v/>
      </c>
      <c r="U1022" s="73"/>
      <c r="V1022" s="72"/>
      <c r="W1022" s="72"/>
    </row>
    <row r="1023" ht="21.75" customHeight="1">
      <c r="A1023" s="134"/>
      <c r="B1023" s="64"/>
      <c r="C1023" s="23"/>
      <c r="D1023" s="23"/>
      <c r="E1023" s="24"/>
      <c r="F1023" s="25"/>
      <c r="G1023" s="24"/>
      <c r="H1023" s="26"/>
      <c r="I1023" s="27"/>
      <c r="J1023" s="28"/>
      <c r="K1023" s="28" t="str">
        <f t="shared" si="151"/>
        <v/>
      </c>
      <c r="L1023" s="17"/>
      <c r="M1023" s="29"/>
      <c r="N1023" s="72"/>
      <c r="O1023" s="73"/>
      <c r="P1023" s="73"/>
      <c r="Q1023" s="72"/>
      <c r="R1023" s="72"/>
      <c r="S1023" s="31" t="str">
        <f t="shared" si="152"/>
        <v/>
      </c>
      <c r="T1023" s="32" t="str">
        <f t="shared" si="153"/>
        <v/>
      </c>
      <c r="U1023" s="73"/>
      <c r="V1023" s="72"/>
      <c r="W1023" s="72"/>
    </row>
    <row r="1024" ht="21.75" customHeight="1">
      <c r="A1024" s="134"/>
      <c r="B1024" s="64"/>
      <c r="C1024" s="23"/>
      <c r="D1024" s="23"/>
      <c r="E1024" s="24"/>
      <c r="F1024" s="25"/>
      <c r="G1024" s="24"/>
      <c r="H1024" s="26"/>
      <c r="I1024" s="27"/>
      <c r="J1024" s="28"/>
      <c r="K1024" s="28" t="str">
        <f t="shared" si="151"/>
        <v/>
      </c>
      <c r="L1024" s="17"/>
      <c r="M1024" s="29"/>
      <c r="N1024" s="72"/>
      <c r="O1024" s="73"/>
      <c r="P1024" s="73"/>
      <c r="Q1024" s="72"/>
      <c r="R1024" s="72"/>
      <c r="S1024" s="31" t="str">
        <f t="shared" si="152"/>
        <v/>
      </c>
      <c r="T1024" s="32" t="str">
        <f t="shared" si="153"/>
        <v/>
      </c>
      <c r="U1024" s="73"/>
      <c r="V1024" s="72"/>
      <c r="W1024" s="72"/>
    </row>
    <row r="1025" ht="21.75" customHeight="1">
      <c r="A1025" s="134"/>
      <c r="B1025" s="64"/>
      <c r="C1025" s="23"/>
      <c r="D1025" s="23"/>
      <c r="E1025" s="24"/>
      <c r="F1025" s="25"/>
      <c r="G1025" s="24"/>
      <c r="H1025" s="26"/>
      <c r="I1025" s="27"/>
      <c r="J1025" s="28"/>
      <c r="K1025" s="28" t="str">
        <f t="shared" si="151"/>
        <v/>
      </c>
      <c r="L1025" s="17"/>
      <c r="M1025" s="29"/>
      <c r="N1025" s="72"/>
      <c r="O1025" s="73"/>
      <c r="P1025" s="73"/>
      <c r="Q1025" s="72"/>
      <c r="R1025" s="72"/>
      <c r="S1025" s="31" t="str">
        <f t="shared" si="152"/>
        <v/>
      </c>
      <c r="T1025" s="32" t="str">
        <f t="shared" si="153"/>
        <v/>
      </c>
      <c r="U1025" s="73"/>
      <c r="V1025" s="72"/>
      <c r="W1025" s="72"/>
    </row>
    <row r="1026" ht="21.75" customHeight="1">
      <c r="A1026" s="134"/>
      <c r="B1026" s="64"/>
      <c r="C1026" s="23"/>
      <c r="D1026" s="23"/>
      <c r="E1026" s="24"/>
      <c r="F1026" s="25"/>
      <c r="G1026" s="24"/>
      <c r="H1026" s="26"/>
      <c r="I1026" s="27"/>
      <c r="J1026" s="28"/>
      <c r="K1026" s="28" t="str">
        <f t="shared" si="151"/>
        <v/>
      </c>
      <c r="L1026" s="17"/>
      <c r="M1026" s="29"/>
      <c r="N1026" s="72"/>
      <c r="O1026" s="73"/>
      <c r="P1026" s="73"/>
      <c r="Q1026" s="72"/>
      <c r="R1026" s="72"/>
      <c r="S1026" s="31" t="str">
        <f t="shared" si="152"/>
        <v/>
      </c>
      <c r="T1026" s="32" t="str">
        <f t="shared" si="153"/>
        <v/>
      </c>
      <c r="U1026" s="73"/>
      <c r="V1026" s="72"/>
      <c r="W1026" s="72"/>
    </row>
    <row r="1027" ht="21.75" customHeight="1">
      <c r="A1027" s="134"/>
      <c r="B1027" s="64"/>
      <c r="C1027" s="23"/>
      <c r="D1027" s="23"/>
      <c r="E1027" s="24"/>
      <c r="F1027" s="25"/>
      <c r="G1027" s="24"/>
      <c r="H1027" s="26"/>
      <c r="I1027" s="27"/>
      <c r="J1027" s="28"/>
      <c r="K1027" s="28" t="str">
        <f t="shared" si="151"/>
        <v/>
      </c>
      <c r="L1027" s="17"/>
      <c r="M1027" s="29"/>
      <c r="N1027" s="72"/>
      <c r="O1027" s="73"/>
      <c r="P1027" s="73"/>
      <c r="Q1027" s="72"/>
      <c r="R1027" s="72"/>
      <c r="S1027" s="31" t="str">
        <f t="shared" si="152"/>
        <v/>
      </c>
      <c r="T1027" s="32" t="str">
        <f t="shared" si="153"/>
        <v/>
      </c>
      <c r="U1027" s="73"/>
      <c r="V1027" s="72"/>
      <c r="W1027" s="72"/>
    </row>
    <row r="1028" ht="21.75" customHeight="1">
      <c r="A1028" s="134"/>
      <c r="B1028" s="64"/>
      <c r="C1028" s="23"/>
      <c r="D1028" s="23"/>
      <c r="E1028" s="24"/>
      <c r="F1028" s="25"/>
      <c r="G1028" s="24"/>
      <c r="H1028" s="26"/>
      <c r="I1028" s="27"/>
      <c r="J1028" s="28"/>
      <c r="K1028" s="28" t="str">
        <f t="shared" si="151"/>
        <v/>
      </c>
      <c r="L1028" s="17"/>
      <c r="M1028" s="29"/>
      <c r="N1028" s="72"/>
      <c r="O1028" s="73"/>
      <c r="P1028" s="73"/>
      <c r="Q1028" s="72"/>
      <c r="R1028" s="72"/>
      <c r="S1028" s="31" t="str">
        <f t="shared" si="152"/>
        <v/>
      </c>
      <c r="T1028" s="32" t="str">
        <f t="shared" si="153"/>
        <v/>
      </c>
      <c r="U1028" s="73"/>
      <c r="V1028" s="72"/>
      <c r="W1028" s="72"/>
    </row>
    <row r="1029" ht="21.75" customHeight="1">
      <c r="A1029" s="134"/>
      <c r="B1029" s="64"/>
      <c r="C1029" s="23"/>
      <c r="D1029" s="23"/>
      <c r="E1029" s="24"/>
      <c r="F1029" s="25"/>
      <c r="G1029" s="24"/>
      <c r="H1029" s="26"/>
      <c r="I1029" s="27"/>
      <c r="J1029" s="28"/>
      <c r="K1029" s="28" t="str">
        <f t="shared" si="151"/>
        <v/>
      </c>
      <c r="L1029" s="17"/>
      <c r="M1029" s="29"/>
      <c r="N1029" s="72"/>
      <c r="O1029" s="73"/>
      <c r="P1029" s="73"/>
      <c r="Q1029" s="72"/>
      <c r="R1029" s="72"/>
      <c r="S1029" s="31" t="str">
        <f t="shared" si="152"/>
        <v/>
      </c>
      <c r="T1029" s="32" t="str">
        <f t="shared" si="153"/>
        <v/>
      </c>
      <c r="U1029" s="73"/>
      <c r="V1029" s="72"/>
      <c r="W1029" s="72"/>
    </row>
    <row r="1030" ht="21.75" customHeight="1">
      <c r="A1030" s="134"/>
      <c r="B1030" s="64"/>
      <c r="C1030" s="23"/>
      <c r="D1030" s="23"/>
      <c r="E1030" s="24"/>
      <c r="F1030" s="25"/>
      <c r="G1030" s="24"/>
      <c r="H1030" s="26"/>
      <c r="I1030" s="27"/>
      <c r="J1030" s="28"/>
      <c r="K1030" s="28" t="str">
        <f t="shared" si="151"/>
        <v/>
      </c>
      <c r="L1030" s="17"/>
      <c r="M1030" s="29"/>
      <c r="N1030" s="72"/>
      <c r="O1030" s="73"/>
      <c r="P1030" s="73"/>
      <c r="Q1030" s="72"/>
      <c r="R1030" s="72"/>
      <c r="S1030" s="31" t="str">
        <f t="shared" si="152"/>
        <v/>
      </c>
      <c r="T1030" s="32" t="str">
        <f t="shared" si="153"/>
        <v/>
      </c>
      <c r="U1030" s="73"/>
      <c r="V1030" s="72"/>
      <c r="W1030" s="72"/>
    </row>
    <row r="1031" ht="21.75" customHeight="1">
      <c r="A1031" s="134"/>
      <c r="B1031" s="64"/>
      <c r="C1031" s="23"/>
      <c r="D1031" s="23"/>
      <c r="E1031" s="24"/>
      <c r="F1031" s="25"/>
      <c r="G1031" s="24"/>
      <c r="H1031" s="26"/>
      <c r="I1031" s="27"/>
      <c r="J1031" s="28"/>
      <c r="K1031" s="28" t="str">
        <f t="shared" si="151"/>
        <v/>
      </c>
      <c r="L1031" s="17"/>
      <c r="M1031" s="29"/>
      <c r="N1031" s="72"/>
      <c r="O1031" s="73"/>
      <c r="P1031" s="73"/>
      <c r="Q1031" s="72"/>
      <c r="R1031" s="72"/>
      <c r="S1031" s="31" t="str">
        <f t="shared" si="152"/>
        <v/>
      </c>
      <c r="T1031" s="32" t="str">
        <f t="shared" si="153"/>
        <v/>
      </c>
      <c r="U1031" s="73"/>
      <c r="V1031" s="72"/>
      <c r="W1031" s="72"/>
    </row>
    <row r="1032" ht="21.75" customHeight="1">
      <c r="A1032" s="134"/>
      <c r="B1032" s="64"/>
      <c r="C1032" s="23"/>
      <c r="D1032" s="23"/>
      <c r="E1032" s="24"/>
      <c r="F1032" s="25"/>
      <c r="G1032" s="24"/>
      <c r="H1032" s="26"/>
      <c r="I1032" s="27"/>
      <c r="J1032" s="28"/>
      <c r="K1032" s="28" t="str">
        <f t="shared" si="151"/>
        <v/>
      </c>
      <c r="L1032" s="17"/>
      <c r="M1032" s="29"/>
      <c r="N1032" s="72"/>
      <c r="O1032" s="73"/>
      <c r="P1032" s="73"/>
      <c r="Q1032" s="72"/>
      <c r="R1032" s="72"/>
      <c r="S1032" s="31" t="str">
        <f t="shared" si="152"/>
        <v/>
      </c>
      <c r="T1032" s="32" t="str">
        <f t="shared" si="153"/>
        <v/>
      </c>
      <c r="U1032" s="73"/>
      <c r="V1032" s="72"/>
      <c r="W1032" s="72"/>
    </row>
    <row r="1033" ht="21.75" customHeight="1">
      <c r="A1033" s="134"/>
      <c r="B1033" s="64"/>
      <c r="C1033" s="23"/>
      <c r="D1033" s="23"/>
      <c r="E1033" s="24"/>
      <c r="F1033" s="25"/>
      <c r="G1033" s="24"/>
      <c r="H1033" s="26"/>
      <c r="I1033" s="27"/>
      <c r="J1033" s="28"/>
      <c r="K1033" s="28" t="str">
        <f t="shared" si="151"/>
        <v/>
      </c>
      <c r="L1033" s="17"/>
      <c r="M1033" s="29"/>
      <c r="N1033" s="72"/>
      <c r="O1033" s="73"/>
      <c r="P1033" s="73"/>
      <c r="Q1033" s="72"/>
      <c r="R1033" s="72"/>
      <c r="S1033" s="31" t="str">
        <f t="shared" si="152"/>
        <v/>
      </c>
      <c r="T1033" s="32" t="str">
        <f t="shared" si="153"/>
        <v/>
      </c>
      <c r="U1033" s="73"/>
      <c r="V1033" s="72"/>
      <c r="W1033" s="72"/>
    </row>
    <row r="1034" ht="21.75" customHeight="1">
      <c r="A1034" s="134"/>
      <c r="B1034" s="64"/>
      <c r="C1034" s="23"/>
      <c r="D1034" s="23"/>
      <c r="E1034" s="24"/>
      <c r="F1034" s="25"/>
      <c r="G1034" s="24"/>
      <c r="H1034" s="26"/>
      <c r="I1034" s="27"/>
      <c r="J1034" s="28"/>
      <c r="K1034" s="28" t="str">
        <f t="shared" si="151"/>
        <v/>
      </c>
      <c r="L1034" s="17"/>
      <c r="M1034" s="29"/>
      <c r="N1034" s="72"/>
      <c r="O1034" s="73"/>
      <c r="P1034" s="73"/>
      <c r="Q1034" s="72"/>
      <c r="R1034" s="72"/>
      <c r="S1034" s="31" t="str">
        <f t="shared" si="152"/>
        <v/>
      </c>
      <c r="T1034" s="32" t="str">
        <f t="shared" si="153"/>
        <v/>
      </c>
      <c r="U1034" s="73"/>
      <c r="V1034" s="72"/>
      <c r="W1034" s="72"/>
    </row>
    <row r="1035" ht="21.75" customHeight="1">
      <c r="A1035" s="134"/>
      <c r="B1035" s="64"/>
      <c r="C1035" s="23"/>
      <c r="D1035" s="23"/>
      <c r="E1035" s="24"/>
      <c r="F1035" s="25"/>
      <c r="G1035" s="24"/>
      <c r="H1035" s="26"/>
      <c r="I1035" s="27"/>
      <c r="J1035" s="28"/>
      <c r="K1035" s="28" t="str">
        <f t="shared" si="151"/>
        <v/>
      </c>
      <c r="L1035" s="17"/>
      <c r="M1035" s="29"/>
      <c r="N1035" s="72"/>
      <c r="O1035" s="73"/>
      <c r="P1035" s="73"/>
      <c r="Q1035" s="72"/>
      <c r="R1035" s="72"/>
      <c r="S1035" s="31" t="str">
        <f t="shared" si="152"/>
        <v/>
      </c>
      <c r="T1035" s="32" t="str">
        <f t="shared" si="153"/>
        <v/>
      </c>
      <c r="U1035" s="73"/>
      <c r="V1035" s="72"/>
      <c r="W1035" s="72"/>
    </row>
    <row r="1036" ht="21.75" customHeight="1">
      <c r="A1036" s="134"/>
      <c r="B1036" s="64"/>
      <c r="C1036" s="23"/>
      <c r="D1036" s="23"/>
      <c r="E1036" s="24"/>
      <c r="F1036" s="25"/>
      <c r="G1036" s="24"/>
      <c r="H1036" s="26"/>
      <c r="I1036" s="27"/>
      <c r="J1036" s="28"/>
      <c r="K1036" s="28" t="str">
        <f t="shared" si="151"/>
        <v/>
      </c>
      <c r="L1036" s="17"/>
      <c r="M1036" s="29"/>
      <c r="N1036" s="72"/>
      <c r="O1036" s="73"/>
      <c r="P1036" s="73"/>
      <c r="Q1036" s="72"/>
      <c r="R1036" s="72"/>
      <c r="S1036" s="31" t="str">
        <f t="shared" si="152"/>
        <v/>
      </c>
      <c r="T1036" s="32" t="str">
        <f t="shared" si="153"/>
        <v/>
      </c>
      <c r="U1036" s="73"/>
      <c r="V1036" s="72"/>
      <c r="W1036" s="72"/>
    </row>
    <row r="1037" ht="21.75" customHeight="1">
      <c r="A1037" s="134"/>
      <c r="B1037" s="64"/>
      <c r="C1037" s="23"/>
      <c r="D1037" s="23"/>
      <c r="E1037" s="24"/>
      <c r="F1037" s="25"/>
      <c r="G1037" s="24"/>
      <c r="H1037" s="26"/>
      <c r="I1037" s="27"/>
      <c r="J1037" s="28"/>
      <c r="K1037" s="28" t="str">
        <f t="shared" si="151"/>
        <v/>
      </c>
      <c r="L1037" s="17"/>
      <c r="M1037" s="29"/>
      <c r="N1037" s="72"/>
      <c r="O1037" s="73"/>
      <c r="P1037" s="73"/>
      <c r="Q1037" s="72"/>
      <c r="R1037" s="72"/>
      <c r="S1037" s="31" t="str">
        <f t="shared" si="152"/>
        <v/>
      </c>
      <c r="T1037" s="32" t="str">
        <f t="shared" si="153"/>
        <v/>
      </c>
      <c r="U1037" s="73"/>
      <c r="V1037" s="72"/>
      <c r="W1037" s="72"/>
    </row>
    <row r="1038" ht="21.75" customHeight="1">
      <c r="A1038" s="134"/>
      <c r="B1038" s="64"/>
      <c r="C1038" s="23"/>
      <c r="D1038" s="23"/>
      <c r="E1038" s="24"/>
      <c r="F1038" s="25"/>
      <c r="G1038" s="24"/>
      <c r="H1038" s="26"/>
      <c r="I1038" s="27"/>
      <c r="J1038" s="28"/>
      <c r="K1038" s="28" t="str">
        <f t="shared" si="151"/>
        <v/>
      </c>
      <c r="L1038" s="17"/>
      <c r="M1038" s="29"/>
      <c r="N1038" s="72"/>
      <c r="O1038" s="73"/>
      <c r="P1038" s="73"/>
      <c r="Q1038" s="72"/>
      <c r="R1038" s="72"/>
      <c r="S1038" s="31" t="str">
        <f t="shared" si="152"/>
        <v/>
      </c>
      <c r="T1038" s="32" t="str">
        <f t="shared" si="153"/>
        <v/>
      </c>
      <c r="U1038" s="73"/>
      <c r="V1038" s="72"/>
      <c r="W1038" s="72"/>
    </row>
    <row r="1039" ht="21.75" customHeight="1">
      <c r="A1039" s="134"/>
      <c r="B1039" s="64"/>
      <c r="C1039" s="23"/>
      <c r="D1039" s="23"/>
      <c r="E1039" s="24"/>
      <c r="F1039" s="25"/>
      <c r="G1039" s="24"/>
      <c r="H1039" s="26"/>
      <c r="I1039" s="27"/>
      <c r="J1039" s="28"/>
      <c r="K1039" s="28" t="str">
        <f t="shared" si="151"/>
        <v/>
      </c>
      <c r="L1039" s="17"/>
      <c r="M1039" s="29"/>
      <c r="N1039" s="72"/>
      <c r="O1039" s="73"/>
      <c r="P1039" s="73"/>
      <c r="Q1039" s="72"/>
      <c r="R1039" s="72"/>
      <c r="S1039" s="31" t="str">
        <f t="shared" si="152"/>
        <v/>
      </c>
      <c r="T1039" s="32" t="str">
        <f t="shared" si="153"/>
        <v/>
      </c>
      <c r="U1039" s="73"/>
      <c r="V1039" s="72"/>
      <c r="W1039" s="72"/>
    </row>
    <row r="1040" ht="21.75" customHeight="1">
      <c r="A1040" s="134"/>
      <c r="B1040" s="64"/>
      <c r="C1040" s="23"/>
      <c r="D1040" s="23"/>
      <c r="E1040" s="24"/>
      <c r="F1040" s="25"/>
      <c r="G1040" s="24"/>
      <c r="H1040" s="26"/>
      <c r="I1040" s="27"/>
      <c r="J1040" s="28"/>
      <c r="K1040" s="28" t="str">
        <f t="shared" si="151"/>
        <v/>
      </c>
      <c r="L1040" s="17"/>
      <c r="M1040" s="29"/>
      <c r="N1040" s="72"/>
      <c r="O1040" s="73"/>
      <c r="P1040" s="73"/>
      <c r="Q1040" s="72"/>
      <c r="R1040" s="72"/>
      <c r="S1040" s="31" t="str">
        <f t="shared" si="152"/>
        <v/>
      </c>
      <c r="T1040" s="32" t="str">
        <f t="shared" si="153"/>
        <v/>
      </c>
      <c r="U1040" s="73"/>
      <c r="V1040" s="72"/>
      <c r="W1040" s="72"/>
    </row>
    <row r="1041" ht="21.75" customHeight="1">
      <c r="A1041" s="134"/>
      <c r="B1041" s="64"/>
      <c r="C1041" s="23"/>
      <c r="D1041" s="23"/>
      <c r="E1041" s="24"/>
      <c r="F1041" s="25"/>
      <c r="G1041" s="24"/>
      <c r="H1041" s="26"/>
      <c r="I1041" s="27"/>
      <c r="J1041" s="28"/>
      <c r="K1041" s="28" t="str">
        <f t="shared" si="151"/>
        <v/>
      </c>
      <c r="L1041" s="17"/>
      <c r="M1041" s="29"/>
      <c r="N1041" s="72"/>
      <c r="O1041" s="73"/>
      <c r="P1041" s="73"/>
      <c r="Q1041" s="72"/>
      <c r="R1041" s="72"/>
      <c r="S1041" s="31" t="str">
        <f t="shared" si="152"/>
        <v/>
      </c>
      <c r="T1041" s="32" t="str">
        <f t="shared" si="153"/>
        <v/>
      </c>
      <c r="U1041" s="73"/>
      <c r="V1041" s="72"/>
      <c r="W1041" s="72"/>
    </row>
    <row r="1042" ht="21.75" customHeight="1">
      <c r="A1042" s="134"/>
      <c r="B1042" s="64"/>
      <c r="C1042" s="23"/>
      <c r="D1042" s="23"/>
      <c r="E1042" s="24"/>
      <c r="F1042" s="25"/>
      <c r="G1042" s="24"/>
      <c r="H1042" s="26"/>
      <c r="I1042" s="27"/>
      <c r="J1042" s="28"/>
      <c r="K1042" s="28" t="str">
        <f t="shared" si="151"/>
        <v/>
      </c>
      <c r="L1042" s="17"/>
      <c r="M1042" s="29"/>
      <c r="N1042" s="72"/>
      <c r="O1042" s="73"/>
      <c r="P1042" s="73"/>
      <c r="Q1042" s="72"/>
      <c r="R1042" s="72"/>
      <c r="S1042" s="31" t="str">
        <f t="shared" si="152"/>
        <v/>
      </c>
      <c r="T1042" s="32" t="str">
        <f t="shared" si="153"/>
        <v/>
      </c>
      <c r="U1042" s="73"/>
      <c r="V1042" s="72"/>
      <c r="W1042" s="72"/>
    </row>
    <row r="1043" ht="21.75" customHeight="1">
      <c r="A1043" s="134"/>
      <c r="B1043" s="64"/>
      <c r="C1043" s="23"/>
      <c r="D1043" s="23"/>
      <c r="E1043" s="24"/>
      <c r="F1043" s="25"/>
      <c r="G1043" s="24"/>
      <c r="H1043" s="26"/>
      <c r="I1043" s="27"/>
      <c r="J1043" s="28"/>
      <c r="K1043" s="28" t="str">
        <f t="shared" si="151"/>
        <v/>
      </c>
      <c r="L1043" s="17"/>
      <c r="M1043" s="29"/>
      <c r="N1043" s="72"/>
      <c r="O1043" s="73"/>
      <c r="P1043" s="73"/>
      <c r="Q1043" s="72"/>
      <c r="R1043" s="72"/>
      <c r="S1043" s="31" t="str">
        <f t="shared" si="152"/>
        <v/>
      </c>
      <c r="T1043" s="32" t="str">
        <f t="shared" si="153"/>
        <v/>
      </c>
      <c r="U1043" s="73"/>
      <c r="V1043" s="72"/>
      <c r="W1043" s="72"/>
    </row>
    <row r="1044" ht="21.75" customHeight="1">
      <c r="A1044" s="134"/>
      <c r="B1044" s="64"/>
      <c r="C1044" s="23"/>
      <c r="D1044" s="23"/>
      <c r="E1044" s="24"/>
      <c r="F1044" s="25"/>
      <c r="G1044" s="24"/>
      <c r="H1044" s="26"/>
      <c r="I1044" s="27"/>
      <c r="J1044" s="28"/>
      <c r="K1044" s="28" t="str">
        <f t="shared" si="151"/>
        <v/>
      </c>
      <c r="L1044" s="17"/>
      <c r="M1044" s="29"/>
      <c r="N1044" s="72"/>
      <c r="O1044" s="73"/>
      <c r="P1044" s="73"/>
      <c r="Q1044" s="72"/>
      <c r="R1044" s="72"/>
      <c r="S1044" s="31" t="str">
        <f t="shared" si="152"/>
        <v/>
      </c>
      <c r="T1044" s="32" t="str">
        <f t="shared" si="153"/>
        <v/>
      </c>
      <c r="U1044" s="73"/>
      <c r="V1044" s="72"/>
      <c r="W1044" s="72"/>
    </row>
    <row r="1045" ht="21.75" customHeight="1">
      <c r="A1045" s="134"/>
      <c r="B1045" s="64"/>
      <c r="C1045" s="23"/>
      <c r="D1045" s="23"/>
      <c r="E1045" s="24"/>
      <c r="F1045" s="25"/>
      <c r="G1045" s="24"/>
      <c r="H1045" s="26"/>
      <c r="I1045" s="27"/>
      <c r="J1045" s="28"/>
      <c r="K1045" s="28" t="str">
        <f t="shared" si="151"/>
        <v/>
      </c>
      <c r="L1045" s="17"/>
      <c r="M1045" s="29"/>
      <c r="N1045" s="72"/>
      <c r="O1045" s="73"/>
      <c r="P1045" s="73"/>
      <c r="Q1045" s="72"/>
      <c r="R1045" s="72"/>
      <c r="S1045" s="31" t="str">
        <f t="shared" si="152"/>
        <v/>
      </c>
      <c r="T1045" s="32" t="str">
        <f t="shared" si="153"/>
        <v/>
      </c>
      <c r="U1045" s="73"/>
      <c r="V1045" s="72"/>
      <c r="W1045" s="72"/>
    </row>
    <row r="1046" ht="21.75" customHeight="1">
      <c r="A1046" s="134"/>
      <c r="B1046" s="64"/>
      <c r="C1046" s="23"/>
      <c r="D1046" s="23"/>
      <c r="E1046" s="24"/>
      <c r="F1046" s="25"/>
      <c r="G1046" s="24"/>
      <c r="H1046" s="26"/>
      <c r="I1046" s="27"/>
      <c r="J1046" s="28"/>
      <c r="K1046" s="28" t="str">
        <f t="shared" si="151"/>
        <v/>
      </c>
      <c r="L1046" s="17"/>
      <c r="M1046" s="29"/>
      <c r="N1046" s="72"/>
      <c r="O1046" s="73"/>
      <c r="P1046" s="73"/>
      <c r="Q1046" s="72"/>
      <c r="R1046" s="72"/>
      <c r="S1046" s="31" t="str">
        <f t="shared" si="152"/>
        <v/>
      </c>
      <c r="T1046" s="32" t="str">
        <f t="shared" si="153"/>
        <v/>
      </c>
      <c r="U1046" s="73"/>
      <c r="V1046" s="72"/>
      <c r="W1046" s="72"/>
    </row>
    <row r="1047" ht="21.75" customHeight="1">
      <c r="A1047" s="134"/>
      <c r="B1047" s="64"/>
      <c r="C1047" s="23"/>
      <c r="D1047" s="23"/>
      <c r="E1047" s="24"/>
      <c r="F1047" s="25"/>
      <c r="G1047" s="24"/>
      <c r="H1047" s="26"/>
      <c r="I1047" s="27"/>
      <c r="J1047" s="28"/>
      <c r="K1047" s="28" t="str">
        <f t="shared" si="151"/>
        <v/>
      </c>
      <c r="L1047" s="17"/>
      <c r="M1047" s="29"/>
      <c r="N1047" s="72"/>
      <c r="O1047" s="73"/>
      <c r="P1047" s="73"/>
      <c r="Q1047" s="72"/>
      <c r="R1047" s="72"/>
      <c r="S1047" s="31" t="str">
        <f t="shared" si="152"/>
        <v/>
      </c>
      <c r="T1047" s="32" t="str">
        <f t="shared" si="153"/>
        <v/>
      </c>
      <c r="U1047" s="73"/>
      <c r="V1047" s="72"/>
      <c r="W1047" s="72"/>
    </row>
    <row r="1048" ht="21.75" customHeight="1">
      <c r="A1048" s="134"/>
      <c r="B1048" s="64"/>
      <c r="C1048" s="23"/>
      <c r="D1048" s="23"/>
      <c r="E1048" s="24"/>
      <c r="F1048" s="25"/>
      <c r="G1048" s="24"/>
      <c r="H1048" s="26"/>
      <c r="I1048" s="27"/>
      <c r="J1048" s="28"/>
      <c r="K1048" s="28" t="str">
        <f t="shared" si="151"/>
        <v/>
      </c>
      <c r="L1048" s="17"/>
      <c r="M1048" s="29"/>
      <c r="N1048" s="72"/>
      <c r="O1048" s="73"/>
      <c r="P1048" s="73"/>
      <c r="Q1048" s="72"/>
      <c r="R1048" s="72"/>
      <c r="S1048" s="31" t="str">
        <f t="shared" si="152"/>
        <v/>
      </c>
      <c r="T1048" s="32" t="str">
        <f t="shared" si="153"/>
        <v/>
      </c>
      <c r="U1048" s="73"/>
      <c r="V1048" s="72"/>
      <c r="W1048" s="72"/>
    </row>
    <row r="1049" ht="21.75" customHeight="1">
      <c r="A1049" s="134"/>
      <c r="B1049" s="64"/>
      <c r="C1049" s="23"/>
      <c r="D1049" s="23"/>
      <c r="E1049" s="24"/>
      <c r="F1049" s="25"/>
      <c r="G1049" s="24"/>
      <c r="H1049" s="26"/>
      <c r="I1049" s="27"/>
      <c r="J1049" s="28"/>
      <c r="K1049" s="28" t="str">
        <f t="shared" si="151"/>
        <v/>
      </c>
      <c r="L1049" s="17"/>
      <c r="M1049" s="29"/>
      <c r="N1049" s="72"/>
      <c r="O1049" s="73"/>
      <c r="P1049" s="73"/>
      <c r="Q1049" s="72"/>
      <c r="R1049" s="72"/>
      <c r="S1049" s="31" t="str">
        <f t="shared" si="152"/>
        <v/>
      </c>
      <c r="T1049" s="32" t="str">
        <f t="shared" si="153"/>
        <v/>
      </c>
      <c r="U1049" s="73"/>
      <c r="V1049" s="72"/>
      <c r="W1049" s="72"/>
    </row>
    <row r="1050" ht="21.75" customHeight="1">
      <c r="A1050" s="134"/>
      <c r="B1050" s="64"/>
      <c r="C1050" s="23"/>
      <c r="D1050" s="23"/>
      <c r="E1050" s="24"/>
      <c r="F1050" s="25"/>
      <c r="G1050" s="24"/>
      <c r="H1050" s="26"/>
      <c r="I1050" s="27"/>
      <c r="J1050" s="28"/>
      <c r="K1050" s="28" t="str">
        <f t="shared" si="151"/>
        <v/>
      </c>
      <c r="L1050" s="17"/>
      <c r="M1050" s="29"/>
      <c r="N1050" s="72"/>
      <c r="O1050" s="73"/>
      <c r="P1050" s="73"/>
      <c r="Q1050" s="72"/>
      <c r="R1050" s="72"/>
      <c r="S1050" s="31" t="str">
        <f t="shared" si="152"/>
        <v/>
      </c>
      <c r="T1050" s="32" t="str">
        <f t="shared" si="153"/>
        <v/>
      </c>
      <c r="U1050" s="73"/>
      <c r="V1050" s="72"/>
      <c r="W1050" s="72"/>
    </row>
    <row r="1051" ht="21.75" customHeight="1">
      <c r="A1051" s="134"/>
      <c r="B1051" s="64"/>
      <c r="C1051" s="23"/>
      <c r="D1051" s="23"/>
      <c r="E1051" s="24"/>
      <c r="F1051" s="25"/>
      <c r="G1051" s="24"/>
      <c r="H1051" s="26"/>
      <c r="I1051" s="27"/>
      <c r="J1051" s="28"/>
      <c r="K1051" s="28" t="str">
        <f t="shared" si="151"/>
        <v/>
      </c>
      <c r="L1051" s="17"/>
      <c r="M1051" s="29"/>
      <c r="N1051" s="72"/>
      <c r="O1051" s="73"/>
      <c r="P1051" s="73"/>
      <c r="Q1051" s="72"/>
      <c r="R1051" s="72"/>
      <c r="S1051" s="31" t="str">
        <f t="shared" si="152"/>
        <v/>
      </c>
      <c r="T1051" s="32" t="str">
        <f t="shared" si="153"/>
        <v/>
      </c>
      <c r="U1051" s="73"/>
      <c r="V1051" s="72"/>
      <c r="W1051" s="72"/>
    </row>
    <row r="1052" ht="21.75" customHeight="1">
      <c r="A1052" s="134"/>
      <c r="B1052" s="64"/>
      <c r="C1052" s="23"/>
      <c r="D1052" s="23"/>
      <c r="E1052" s="24"/>
      <c r="F1052" s="25"/>
      <c r="G1052" s="24"/>
      <c r="H1052" s="26"/>
      <c r="I1052" s="27"/>
      <c r="J1052" s="28"/>
      <c r="K1052" s="28" t="str">
        <f t="shared" si="151"/>
        <v/>
      </c>
      <c r="L1052" s="17"/>
      <c r="M1052" s="29"/>
      <c r="N1052" s="72"/>
      <c r="O1052" s="73"/>
      <c r="P1052" s="73"/>
      <c r="Q1052" s="72"/>
      <c r="R1052" s="72"/>
      <c r="S1052" s="31" t="str">
        <f t="shared" si="152"/>
        <v/>
      </c>
      <c r="T1052" s="32" t="str">
        <f t="shared" si="153"/>
        <v/>
      </c>
      <c r="U1052" s="73"/>
      <c r="V1052" s="72"/>
      <c r="W1052" s="72"/>
    </row>
    <row r="1053" ht="21.75" customHeight="1">
      <c r="A1053" s="134"/>
      <c r="B1053" s="64"/>
      <c r="C1053" s="23"/>
      <c r="D1053" s="23"/>
      <c r="E1053" s="24"/>
      <c r="F1053" s="25"/>
      <c r="G1053" s="24"/>
      <c r="H1053" s="26"/>
      <c r="I1053" s="27"/>
      <c r="J1053" s="28"/>
      <c r="K1053" s="28" t="str">
        <f t="shared" si="151"/>
        <v/>
      </c>
      <c r="L1053" s="17"/>
      <c r="M1053" s="29"/>
      <c r="N1053" s="72"/>
      <c r="O1053" s="73"/>
      <c r="P1053" s="73"/>
      <c r="Q1053" s="72"/>
      <c r="R1053" s="72"/>
      <c r="S1053" s="31" t="str">
        <f t="shared" si="152"/>
        <v/>
      </c>
      <c r="T1053" s="32" t="str">
        <f t="shared" si="153"/>
        <v/>
      </c>
      <c r="U1053" s="73"/>
      <c r="V1053" s="72"/>
      <c r="W1053" s="72"/>
    </row>
    <row r="1054" ht="21.75" customHeight="1">
      <c r="A1054" s="134"/>
      <c r="B1054" s="64"/>
      <c r="C1054" s="23"/>
      <c r="D1054" s="23"/>
      <c r="E1054" s="24"/>
      <c r="F1054" s="25"/>
      <c r="G1054" s="24"/>
      <c r="H1054" s="26"/>
      <c r="I1054" s="27"/>
      <c r="J1054" s="28"/>
      <c r="K1054" s="28" t="str">
        <f t="shared" si="151"/>
        <v/>
      </c>
      <c r="L1054" s="17"/>
      <c r="M1054" s="29"/>
      <c r="N1054" s="72"/>
      <c r="O1054" s="73"/>
      <c r="P1054" s="73"/>
      <c r="Q1054" s="72"/>
      <c r="R1054" s="72"/>
      <c r="S1054" s="31" t="str">
        <f t="shared" si="152"/>
        <v/>
      </c>
      <c r="T1054" s="32" t="str">
        <f t="shared" si="153"/>
        <v/>
      </c>
      <c r="U1054" s="73"/>
      <c r="V1054" s="72"/>
      <c r="W1054" s="72"/>
    </row>
    <row r="1055" ht="21.75" customHeight="1">
      <c r="A1055" s="134"/>
      <c r="B1055" s="64"/>
      <c r="C1055" s="23"/>
      <c r="D1055" s="23"/>
      <c r="E1055" s="24"/>
      <c r="F1055" s="25"/>
      <c r="G1055" s="24"/>
      <c r="H1055" s="26"/>
      <c r="I1055" s="27"/>
      <c r="J1055" s="28"/>
      <c r="K1055" s="28" t="str">
        <f t="shared" si="151"/>
        <v/>
      </c>
      <c r="L1055" s="17"/>
      <c r="M1055" s="29"/>
      <c r="N1055" s="72"/>
      <c r="O1055" s="73"/>
      <c r="P1055" s="73"/>
      <c r="Q1055" s="72"/>
      <c r="R1055" s="72"/>
      <c r="S1055" s="31" t="str">
        <f t="shared" si="152"/>
        <v/>
      </c>
      <c r="T1055" s="32" t="str">
        <f t="shared" si="153"/>
        <v/>
      </c>
      <c r="U1055" s="73"/>
      <c r="V1055" s="72"/>
      <c r="W1055" s="72"/>
    </row>
    <row r="1056" ht="21.75" customHeight="1">
      <c r="A1056" s="134"/>
      <c r="B1056" s="64"/>
      <c r="C1056" s="23"/>
      <c r="D1056" s="23"/>
      <c r="E1056" s="24"/>
      <c r="F1056" s="25"/>
      <c r="G1056" s="24"/>
      <c r="H1056" s="26"/>
      <c r="I1056" s="27"/>
      <c r="J1056" s="28"/>
      <c r="K1056" s="28" t="str">
        <f t="shared" si="151"/>
        <v/>
      </c>
      <c r="L1056" s="17"/>
      <c r="M1056" s="29"/>
      <c r="N1056" s="72"/>
      <c r="O1056" s="73"/>
      <c r="P1056" s="73"/>
      <c r="Q1056" s="72"/>
      <c r="R1056" s="72"/>
      <c r="S1056" s="31" t="str">
        <f t="shared" si="152"/>
        <v/>
      </c>
      <c r="T1056" s="32" t="str">
        <f t="shared" si="153"/>
        <v/>
      </c>
      <c r="U1056" s="73"/>
      <c r="V1056" s="72"/>
      <c r="W1056" s="72"/>
    </row>
    <row r="1057" ht="21.75" customHeight="1">
      <c r="A1057" s="134"/>
      <c r="B1057" s="64"/>
      <c r="C1057" s="23"/>
      <c r="D1057" s="23"/>
      <c r="E1057" s="24"/>
      <c r="F1057" s="25"/>
      <c r="G1057" s="24"/>
      <c r="H1057" s="26"/>
      <c r="I1057" s="27"/>
      <c r="J1057" s="28"/>
      <c r="K1057" s="28" t="str">
        <f t="shared" si="151"/>
        <v/>
      </c>
      <c r="L1057" s="17"/>
      <c r="M1057" s="29"/>
      <c r="N1057" s="72"/>
      <c r="O1057" s="73"/>
      <c r="P1057" s="73"/>
      <c r="Q1057" s="72"/>
      <c r="R1057" s="72"/>
      <c r="S1057" s="31" t="str">
        <f t="shared" si="152"/>
        <v/>
      </c>
      <c r="T1057" s="32" t="str">
        <f t="shared" si="153"/>
        <v/>
      </c>
      <c r="U1057" s="73"/>
      <c r="V1057" s="72"/>
      <c r="W1057" s="72"/>
    </row>
    <row r="1058" ht="21.75" customHeight="1">
      <c r="A1058" s="134"/>
      <c r="B1058" s="64"/>
      <c r="C1058" s="23"/>
      <c r="D1058" s="23"/>
      <c r="E1058" s="24"/>
      <c r="F1058" s="25"/>
      <c r="G1058" s="24"/>
      <c r="H1058" s="26"/>
      <c r="I1058" s="27"/>
      <c r="J1058" s="28"/>
      <c r="K1058" s="28" t="str">
        <f t="shared" si="151"/>
        <v/>
      </c>
      <c r="L1058" s="17"/>
      <c r="M1058" s="29"/>
      <c r="N1058" s="72"/>
      <c r="O1058" s="73"/>
      <c r="P1058" s="73"/>
      <c r="Q1058" s="72"/>
      <c r="R1058" s="72"/>
      <c r="S1058" s="31" t="str">
        <f t="shared" si="152"/>
        <v/>
      </c>
      <c r="T1058" s="32" t="str">
        <f t="shared" si="153"/>
        <v/>
      </c>
      <c r="U1058" s="73"/>
      <c r="V1058" s="72"/>
      <c r="W1058" s="72"/>
    </row>
    <row r="1059" ht="21.75" customHeight="1">
      <c r="A1059" s="134"/>
      <c r="B1059" s="64"/>
      <c r="C1059" s="23"/>
      <c r="D1059" s="23"/>
      <c r="E1059" s="24"/>
      <c r="F1059" s="25"/>
      <c r="G1059" s="24"/>
      <c r="H1059" s="26"/>
      <c r="I1059" s="27"/>
      <c r="J1059" s="28"/>
      <c r="K1059" s="28" t="str">
        <f t="shared" si="151"/>
        <v/>
      </c>
      <c r="L1059" s="17"/>
      <c r="M1059" s="29"/>
      <c r="N1059" s="72"/>
      <c r="O1059" s="73"/>
      <c r="P1059" s="73"/>
      <c r="Q1059" s="72"/>
      <c r="R1059" s="72"/>
      <c r="S1059" s="31" t="str">
        <f t="shared" si="152"/>
        <v/>
      </c>
      <c r="T1059" s="32" t="str">
        <f t="shared" si="153"/>
        <v/>
      </c>
      <c r="U1059" s="73"/>
      <c r="V1059" s="72"/>
      <c r="W1059" s="72"/>
    </row>
    <row r="1060" ht="21.75" customHeight="1">
      <c r="A1060" s="134"/>
      <c r="B1060" s="64"/>
      <c r="C1060" s="23"/>
      <c r="D1060" s="23"/>
      <c r="E1060" s="24"/>
      <c r="F1060" s="25"/>
      <c r="G1060" s="24"/>
      <c r="H1060" s="26"/>
      <c r="I1060" s="27"/>
      <c r="J1060" s="28"/>
      <c r="K1060" s="28" t="str">
        <f t="shared" si="151"/>
        <v/>
      </c>
      <c r="L1060" s="17"/>
      <c r="M1060" s="29"/>
      <c r="N1060" s="72"/>
      <c r="O1060" s="73"/>
      <c r="P1060" s="73"/>
      <c r="Q1060" s="72"/>
      <c r="R1060" s="72"/>
      <c r="S1060" s="31" t="str">
        <f t="shared" si="152"/>
        <v/>
      </c>
      <c r="T1060" s="32" t="str">
        <f t="shared" si="153"/>
        <v/>
      </c>
      <c r="U1060" s="73"/>
      <c r="V1060" s="72"/>
      <c r="W1060" s="72"/>
    </row>
    <row r="1061" ht="21.75" customHeight="1">
      <c r="A1061" s="134"/>
      <c r="B1061" s="64"/>
      <c r="C1061" s="23"/>
      <c r="D1061" s="23"/>
      <c r="E1061" s="24"/>
      <c r="F1061" s="25"/>
      <c r="G1061" s="24"/>
      <c r="H1061" s="26"/>
      <c r="I1061" s="27"/>
      <c r="J1061" s="28"/>
      <c r="K1061" s="28" t="str">
        <f t="shared" si="151"/>
        <v/>
      </c>
      <c r="L1061" s="17"/>
      <c r="M1061" s="29"/>
      <c r="N1061" s="72"/>
      <c r="O1061" s="73"/>
      <c r="P1061" s="73"/>
      <c r="Q1061" s="72"/>
      <c r="R1061" s="72"/>
      <c r="S1061" s="31" t="str">
        <f t="shared" si="152"/>
        <v/>
      </c>
      <c r="T1061" s="32" t="str">
        <f t="shared" si="153"/>
        <v/>
      </c>
      <c r="U1061" s="73"/>
      <c r="V1061" s="72"/>
      <c r="W1061" s="72"/>
    </row>
    <row r="1062" ht="21.75" customHeight="1">
      <c r="A1062" s="134"/>
      <c r="B1062" s="64"/>
      <c r="C1062" s="23"/>
      <c r="D1062" s="23"/>
      <c r="E1062" s="24"/>
      <c r="F1062" s="25"/>
      <c r="G1062" s="24"/>
      <c r="H1062" s="26"/>
      <c r="I1062" s="27"/>
      <c r="J1062" s="28"/>
      <c r="K1062" s="28" t="str">
        <f t="shared" si="151"/>
        <v/>
      </c>
      <c r="L1062" s="17"/>
      <c r="M1062" s="29"/>
      <c r="N1062" s="72"/>
      <c r="O1062" s="73"/>
      <c r="P1062" s="73"/>
      <c r="Q1062" s="72"/>
      <c r="R1062" s="72"/>
      <c r="S1062" s="31" t="str">
        <f t="shared" si="152"/>
        <v/>
      </c>
      <c r="T1062" s="32" t="str">
        <f t="shared" si="153"/>
        <v/>
      </c>
      <c r="U1062" s="73"/>
      <c r="V1062" s="72"/>
      <c r="W1062" s="72"/>
    </row>
    <row r="1063" ht="21.75" customHeight="1">
      <c r="A1063" s="134"/>
      <c r="B1063" s="64"/>
      <c r="C1063" s="23"/>
      <c r="D1063" s="23"/>
      <c r="E1063" s="24"/>
      <c r="F1063" s="25"/>
      <c r="G1063" s="24"/>
      <c r="H1063" s="26"/>
      <c r="I1063" s="27"/>
      <c r="J1063" s="28"/>
      <c r="K1063" s="28" t="str">
        <f t="shared" si="151"/>
        <v/>
      </c>
      <c r="L1063" s="17"/>
      <c r="M1063" s="29"/>
      <c r="N1063" s="72"/>
      <c r="O1063" s="73"/>
      <c r="P1063" s="73"/>
      <c r="Q1063" s="72"/>
      <c r="R1063" s="72"/>
      <c r="S1063" s="31" t="str">
        <f t="shared" si="152"/>
        <v/>
      </c>
      <c r="T1063" s="32" t="str">
        <f t="shared" si="153"/>
        <v/>
      </c>
      <c r="U1063" s="73"/>
      <c r="V1063" s="72"/>
      <c r="W1063" s="72"/>
    </row>
    <row r="1064" ht="21.75" customHeight="1">
      <c r="A1064" s="134"/>
      <c r="B1064" s="64"/>
      <c r="C1064" s="23"/>
      <c r="D1064" s="23"/>
      <c r="E1064" s="24"/>
      <c r="F1064" s="25"/>
      <c r="G1064" s="24"/>
      <c r="H1064" s="26"/>
      <c r="I1064" s="27"/>
      <c r="J1064" s="28"/>
      <c r="K1064" s="28" t="str">
        <f t="shared" si="151"/>
        <v/>
      </c>
      <c r="L1064" s="17"/>
      <c r="M1064" s="29"/>
      <c r="N1064" s="72"/>
      <c r="O1064" s="73"/>
      <c r="P1064" s="73"/>
      <c r="Q1064" s="72"/>
      <c r="R1064" s="72"/>
      <c r="S1064" s="31" t="str">
        <f t="shared" si="152"/>
        <v/>
      </c>
      <c r="T1064" s="32" t="str">
        <f t="shared" si="153"/>
        <v/>
      </c>
      <c r="U1064" s="73"/>
      <c r="V1064" s="72"/>
      <c r="W1064" s="72"/>
    </row>
    <row r="1065" ht="21.75" customHeight="1">
      <c r="A1065" s="134"/>
      <c r="B1065" s="64"/>
      <c r="C1065" s="23"/>
      <c r="D1065" s="23"/>
      <c r="E1065" s="24"/>
      <c r="F1065" s="25"/>
      <c r="G1065" s="24"/>
      <c r="H1065" s="26"/>
      <c r="I1065" s="27"/>
      <c r="J1065" s="28"/>
      <c r="K1065" s="28" t="str">
        <f t="shared" si="151"/>
        <v/>
      </c>
      <c r="L1065" s="17"/>
      <c r="M1065" s="29"/>
      <c r="N1065" s="72"/>
      <c r="O1065" s="73"/>
      <c r="P1065" s="73"/>
      <c r="Q1065" s="72"/>
      <c r="R1065" s="72"/>
      <c r="S1065" s="31" t="str">
        <f t="shared" si="152"/>
        <v/>
      </c>
      <c r="T1065" s="32" t="str">
        <f t="shared" si="153"/>
        <v/>
      </c>
      <c r="U1065" s="73"/>
      <c r="V1065" s="72"/>
      <c r="W1065" s="72"/>
    </row>
    <row r="1066" ht="21.75" customHeight="1">
      <c r="A1066" s="134"/>
      <c r="B1066" s="64"/>
      <c r="C1066" s="23"/>
      <c r="D1066" s="23"/>
      <c r="E1066" s="24"/>
      <c r="F1066" s="25"/>
      <c r="G1066" s="24"/>
      <c r="H1066" s="26"/>
      <c r="I1066" s="27"/>
      <c r="J1066" s="28"/>
      <c r="K1066" s="28" t="str">
        <f t="shared" si="151"/>
        <v/>
      </c>
      <c r="L1066" s="17"/>
      <c r="M1066" s="29"/>
      <c r="N1066" s="72"/>
      <c r="O1066" s="73"/>
      <c r="P1066" s="73"/>
      <c r="Q1066" s="72"/>
      <c r="R1066" s="72"/>
      <c r="S1066" s="31" t="str">
        <f t="shared" si="152"/>
        <v/>
      </c>
      <c r="T1066" s="32" t="str">
        <f t="shared" si="153"/>
        <v/>
      </c>
      <c r="U1066" s="73"/>
      <c r="V1066" s="72"/>
      <c r="W1066" s="72"/>
    </row>
    <row r="1067" ht="21.75" customHeight="1">
      <c r="A1067" s="134"/>
      <c r="B1067" s="64"/>
      <c r="C1067" s="23"/>
      <c r="D1067" s="23"/>
      <c r="E1067" s="24"/>
      <c r="F1067" s="25"/>
      <c r="G1067" s="24"/>
      <c r="H1067" s="26"/>
      <c r="I1067" s="27"/>
      <c r="J1067" s="28"/>
      <c r="K1067" s="28" t="str">
        <f t="shared" si="151"/>
        <v/>
      </c>
      <c r="L1067" s="17"/>
      <c r="M1067" s="29"/>
      <c r="N1067" s="72"/>
      <c r="O1067" s="73"/>
      <c r="P1067" s="73"/>
      <c r="Q1067" s="72"/>
      <c r="R1067" s="72"/>
      <c r="S1067" s="31" t="str">
        <f t="shared" si="152"/>
        <v/>
      </c>
      <c r="T1067" s="32" t="str">
        <f t="shared" si="153"/>
        <v/>
      </c>
      <c r="U1067" s="73"/>
      <c r="V1067" s="72"/>
      <c r="W1067" s="72"/>
    </row>
    <row r="1068" ht="21.75" customHeight="1">
      <c r="A1068" s="134"/>
      <c r="B1068" s="64"/>
      <c r="C1068" s="23"/>
      <c r="D1068" s="23"/>
      <c r="E1068" s="24"/>
      <c r="F1068" s="25"/>
      <c r="G1068" s="24"/>
      <c r="H1068" s="26"/>
      <c r="I1068" s="27"/>
      <c r="J1068" s="28"/>
      <c r="K1068" s="28" t="str">
        <f t="shared" si="151"/>
        <v/>
      </c>
      <c r="L1068" s="17"/>
      <c r="M1068" s="29"/>
      <c r="N1068" s="72"/>
      <c r="O1068" s="73"/>
      <c r="P1068" s="73"/>
      <c r="Q1068" s="72"/>
      <c r="R1068" s="72"/>
      <c r="S1068" s="31" t="str">
        <f t="shared" si="152"/>
        <v/>
      </c>
      <c r="T1068" s="32" t="str">
        <f t="shared" si="153"/>
        <v/>
      </c>
      <c r="U1068" s="73"/>
      <c r="V1068" s="72"/>
      <c r="W1068" s="72"/>
    </row>
    <row r="1069" ht="21.75" customHeight="1">
      <c r="A1069" s="134"/>
      <c r="B1069" s="64"/>
      <c r="C1069" s="23"/>
      <c r="D1069" s="23"/>
      <c r="E1069" s="24"/>
      <c r="F1069" s="25"/>
      <c r="G1069" s="24"/>
      <c r="H1069" s="26"/>
      <c r="I1069" s="27"/>
      <c r="J1069" s="28"/>
      <c r="K1069" s="28" t="str">
        <f t="shared" si="151"/>
        <v/>
      </c>
      <c r="L1069" s="17"/>
      <c r="M1069" s="29"/>
      <c r="N1069" s="72"/>
      <c r="O1069" s="73"/>
      <c r="P1069" s="73"/>
      <c r="Q1069" s="72"/>
      <c r="R1069" s="72"/>
      <c r="S1069" s="31" t="str">
        <f t="shared" si="152"/>
        <v/>
      </c>
      <c r="T1069" s="32" t="str">
        <f t="shared" si="153"/>
        <v/>
      </c>
      <c r="U1069" s="73"/>
      <c r="V1069" s="72"/>
      <c r="W1069" s="72"/>
    </row>
    <row r="1070" ht="21.75" customHeight="1">
      <c r="A1070" s="134"/>
      <c r="B1070" s="64"/>
      <c r="C1070" s="23"/>
      <c r="D1070" s="23"/>
      <c r="E1070" s="24"/>
      <c r="F1070" s="25"/>
      <c r="G1070" s="24"/>
      <c r="H1070" s="26"/>
      <c r="I1070" s="27"/>
      <c r="J1070" s="28"/>
      <c r="K1070" s="28" t="str">
        <f t="shared" si="151"/>
        <v/>
      </c>
      <c r="L1070" s="17"/>
      <c r="M1070" s="29"/>
      <c r="N1070" s="72"/>
      <c r="O1070" s="73"/>
      <c r="P1070" s="73"/>
      <c r="Q1070" s="72"/>
      <c r="R1070" s="72"/>
      <c r="S1070" s="31" t="str">
        <f t="shared" si="152"/>
        <v/>
      </c>
      <c r="T1070" s="32" t="str">
        <f t="shared" si="153"/>
        <v/>
      </c>
      <c r="U1070" s="73"/>
      <c r="V1070" s="72"/>
      <c r="W1070" s="72"/>
    </row>
    <row r="1071" ht="21.75" customHeight="1">
      <c r="A1071" s="134"/>
      <c r="B1071" s="64"/>
      <c r="C1071" s="23"/>
      <c r="D1071" s="23"/>
      <c r="E1071" s="24"/>
      <c r="F1071" s="25"/>
      <c r="G1071" s="24"/>
      <c r="H1071" s="26"/>
      <c r="I1071" s="27"/>
      <c r="J1071" s="28"/>
      <c r="K1071" s="28" t="str">
        <f t="shared" si="151"/>
        <v/>
      </c>
      <c r="L1071" s="17"/>
      <c r="M1071" s="29"/>
      <c r="N1071" s="72"/>
      <c r="O1071" s="73"/>
      <c r="P1071" s="73"/>
      <c r="Q1071" s="72"/>
      <c r="R1071" s="72"/>
      <c r="S1071" s="31" t="str">
        <f t="shared" si="152"/>
        <v/>
      </c>
      <c r="T1071" s="32" t="str">
        <f t="shared" si="153"/>
        <v/>
      </c>
      <c r="U1071" s="73"/>
      <c r="V1071" s="72"/>
      <c r="W1071" s="72"/>
    </row>
    <row r="1072" ht="21.75" customHeight="1">
      <c r="A1072" s="134"/>
      <c r="B1072" s="64"/>
      <c r="C1072" s="23"/>
      <c r="D1072" s="23"/>
      <c r="E1072" s="24"/>
      <c r="F1072" s="25"/>
      <c r="G1072" s="24"/>
      <c r="H1072" s="26"/>
      <c r="I1072" s="27"/>
      <c r="J1072" s="28"/>
      <c r="K1072" s="28" t="str">
        <f t="shared" si="151"/>
        <v/>
      </c>
      <c r="L1072" s="17"/>
      <c r="M1072" s="29"/>
      <c r="N1072" s="72"/>
      <c r="O1072" s="73"/>
      <c r="P1072" s="73"/>
      <c r="Q1072" s="72"/>
      <c r="R1072" s="72"/>
      <c r="S1072" s="31" t="str">
        <f t="shared" si="152"/>
        <v/>
      </c>
      <c r="T1072" s="32" t="str">
        <f t="shared" si="153"/>
        <v/>
      </c>
      <c r="U1072" s="73"/>
      <c r="V1072" s="72"/>
      <c r="W1072" s="72"/>
    </row>
    <row r="1073" ht="21.75" customHeight="1">
      <c r="A1073" s="134"/>
      <c r="B1073" s="64"/>
      <c r="C1073" s="23"/>
      <c r="D1073" s="23"/>
      <c r="E1073" s="24"/>
      <c r="F1073" s="25"/>
      <c r="G1073" s="24"/>
      <c r="H1073" s="26"/>
      <c r="I1073" s="27"/>
      <c r="J1073" s="28"/>
      <c r="K1073" s="28" t="str">
        <f t="shared" si="151"/>
        <v/>
      </c>
      <c r="L1073" s="17"/>
      <c r="M1073" s="29"/>
      <c r="N1073" s="72"/>
      <c r="O1073" s="73"/>
      <c r="P1073" s="73"/>
      <c r="Q1073" s="72"/>
      <c r="R1073" s="72"/>
      <c r="S1073" s="31" t="str">
        <f t="shared" si="152"/>
        <v/>
      </c>
      <c r="T1073" s="32" t="str">
        <f t="shared" si="153"/>
        <v/>
      </c>
      <c r="U1073" s="73"/>
      <c r="V1073" s="72"/>
      <c r="W1073" s="72"/>
    </row>
    <row r="1074" ht="21.75" customHeight="1">
      <c r="A1074" s="134"/>
      <c r="B1074" s="64"/>
      <c r="C1074" s="23"/>
      <c r="D1074" s="23"/>
      <c r="E1074" s="24"/>
      <c r="F1074" s="25"/>
      <c r="G1074" s="24"/>
      <c r="H1074" s="26"/>
      <c r="I1074" s="27"/>
      <c r="J1074" s="28"/>
      <c r="K1074" s="28" t="str">
        <f t="shared" si="151"/>
        <v/>
      </c>
      <c r="L1074" s="17"/>
      <c r="M1074" s="29"/>
      <c r="N1074" s="72"/>
      <c r="O1074" s="73"/>
      <c r="P1074" s="73"/>
      <c r="Q1074" s="72"/>
      <c r="R1074" s="72"/>
      <c r="S1074" s="31" t="str">
        <f t="shared" si="152"/>
        <v/>
      </c>
      <c r="T1074" s="32" t="str">
        <f t="shared" si="153"/>
        <v/>
      </c>
      <c r="U1074" s="73"/>
      <c r="V1074" s="72"/>
      <c r="W1074" s="72"/>
    </row>
    <row r="1075" ht="21.75" customHeight="1">
      <c r="A1075" s="134"/>
      <c r="B1075" s="64"/>
      <c r="C1075" s="23"/>
      <c r="D1075" s="23"/>
      <c r="E1075" s="24"/>
      <c r="F1075" s="25"/>
      <c r="G1075" s="24"/>
      <c r="H1075" s="26"/>
      <c r="I1075" s="27"/>
      <c r="J1075" s="28"/>
      <c r="K1075" s="28" t="str">
        <f t="shared" si="151"/>
        <v/>
      </c>
      <c r="L1075" s="17"/>
      <c r="M1075" s="29"/>
      <c r="N1075" s="72"/>
      <c r="O1075" s="73"/>
      <c r="P1075" s="73"/>
      <c r="Q1075" s="72"/>
      <c r="R1075" s="72"/>
      <c r="S1075" s="31" t="str">
        <f t="shared" si="152"/>
        <v/>
      </c>
      <c r="T1075" s="32" t="str">
        <f t="shared" si="153"/>
        <v/>
      </c>
      <c r="U1075" s="73"/>
      <c r="V1075" s="72"/>
      <c r="W1075" s="72"/>
    </row>
    <row r="1076" ht="21.75" customHeight="1">
      <c r="A1076" s="134"/>
      <c r="B1076" s="64"/>
      <c r="C1076" s="23"/>
      <c r="D1076" s="23"/>
      <c r="E1076" s="24"/>
      <c r="F1076" s="25"/>
      <c r="G1076" s="24"/>
      <c r="H1076" s="26"/>
      <c r="I1076" s="27"/>
      <c r="J1076" s="28"/>
      <c r="K1076" s="28" t="str">
        <f t="shared" si="151"/>
        <v/>
      </c>
      <c r="L1076" s="17"/>
      <c r="M1076" s="29"/>
      <c r="N1076" s="72"/>
      <c r="O1076" s="73"/>
      <c r="P1076" s="73"/>
      <c r="Q1076" s="72"/>
      <c r="R1076" s="72"/>
      <c r="S1076" s="31" t="str">
        <f t="shared" si="152"/>
        <v/>
      </c>
      <c r="T1076" s="32" t="str">
        <f t="shared" si="153"/>
        <v/>
      </c>
      <c r="U1076" s="73"/>
      <c r="V1076" s="72"/>
      <c r="W1076" s="72"/>
    </row>
    <row r="1077" ht="21.75" customHeight="1">
      <c r="A1077" s="134"/>
      <c r="B1077" s="64"/>
      <c r="C1077" s="23"/>
      <c r="D1077" s="23"/>
      <c r="E1077" s="24"/>
      <c r="F1077" s="25"/>
      <c r="G1077" s="24"/>
      <c r="H1077" s="26"/>
      <c r="I1077" s="27"/>
      <c r="J1077" s="28"/>
      <c r="K1077" s="28" t="str">
        <f t="shared" si="151"/>
        <v/>
      </c>
      <c r="L1077" s="17"/>
      <c r="M1077" s="29"/>
      <c r="N1077" s="72"/>
      <c r="O1077" s="73"/>
      <c r="P1077" s="73"/>
      <c r="Q1077" s="72"/>
      <c r="R1077" s="72"/>
      <c r="S1077" s="31" t="str">
        <f t="shared" si="152"/>
        <v/>
      </c>
      <c r="T1077" s="32" t="str">
        <f t="shared" si="153"/>
        <v/>
      </c>
      <c r="U1077" s="73"/>
      <c r="V1077" s="72"/>
      <c r="W1077" s="72"/>
    </row>
    <row r="1078" ht="21.75" customHeight="1">
      <c r="A1078" s="134"/>
      <c r="B1078" s="64"/>
      <c r="C1078" s="23"/>
      <c r="D1078" s="23"/>
      <c r="E1078" s="24"/>
      <c r="F1078" s="25"/>
      <c r="G1078" s="24"/>
      <c r="H1078" s="26"/>
      <c r="I1078" s="27"/>
      <c r="J1078" s="28"/>
      <c r="K1078" s="28" t="str">
        <f t="shared" si="151"/>
        <v/>
      </c>
      <c r="L1078" s="17"/>
      <c r="M1078" s="29"/>
      <c r="N1078" s="72"/>
      <c r="O1078" s="73"/>
      <c r="P1078" s="73"/>
      <c r="Q1078" s="72"/>
      <c r="R1078" s="72"/>
      <c r="S1078" s="31" t="str">
        <f t="shared" si="152"/>
        <v/>
      </c>
      <c r="T1078" s="32" t="str">
        <f t="shared" si="153"/>
        <v/>
      </c>
      <c r="U1078" s="73"/>
      <c r="V1078" s="72"/>
      <c r="W1078" s="72"/>
    </row>
    <row r="1079" ht="21.75" customHeight="1">
      <c r="A1079" s="134"/>
      <c r="B1079" s="64"/>
      <c r="C1079" s="23"/>
      <c r="D1079" s="23"/>
      <c r="E1079" s="24"/>
      <c r="F1079" s="25"/>
      <c r="G1079" s="24"/>
      <c r="H1079" s="26"/>
      <c r="I1079" s="27"/>
      <c r="J1079" s="28"/>
      <c r="K1079" s="28" t="str">
        <f t="shared" si="151"/>
        <v/>
      </c>
      <c r="L1079" s="17"/>
      <c r="M1079" s="29"/>
      <c r="N1079" s="72"/>
      <c r="O1079" s="73"/>
      <c r="P1079" s="73"/>
      <c r="Q1079" s="72"/>
      <c r="R1079" s="72"/>
      <c r="S1079" s="31" t="str">
        <f t="shared" si="152"/>
        <v/>
      </c>
      <c r="T1079" s="32" t="str">
        <f t="shared" si="153"/>
        <v/>
      </c>
      <c r="U1079" s="73"/>
      <c r="V1079" s="72"/>
      <c r="W1079" s="72"/>
    </row>
    <row r="1080" ht="21.75" customHeight="1">
      <c r="A1080" s="134"/>
      <c r="B1080" s="64"/>
      <c r="C1080" s="23"/>
      <c r="D1080" s="23"/>
      <c r="E1080" s="24"/>
      <c r="F1080" s="25"/>
      <c r="G1080" s="24"/>
      <c r="H1080" s="26"/>
      <c r="I1080" s="27"/>
      <c r="J1080" s="28"/>
      <c r="K1080" s="28" t="str">
        <f t="shared" si="151"/>
        <v/>
      </c>
      <c r="L1080" s="17"/>
      <c r="M1080" s="29"/>
      <c r="N1080" s="72"/>
      <c r="O1080" s="73"/>
      <c r="P1080" s="73"/>
      <c r="Q1080" s="72"/>
      <c r="R1080" s="72"/>
      <c r="S1080" s="31" t="str">
        <f t="shared" si="152"/>
        <v/>
      </c>
      <c r="T1080" s="32" t="str">
        <f t="shared" si="153"/>
        <v/>
      </c>
      <c r="U1080" s="73"/>
      <c r="V1080" s="72"/>
      <c r="W1080" s="72"/>
    </row>
    <row r="1081" ht="21.75" customHeight="1">
      <c r="A1081" s="134"/>
      <c r="B1081" s="64"/>
      <c r="C1081" s="23"/>
      <c r="D1081" s="23"/>
      <c r="E1081" s="24"/>
      <c r="F1081" s="25"/>
      <c r="G1081" s="24"/>
      <c r="H1081" s="26"/>
      <c r="I1081" s="27"/>
      <c r="J1081" s="28"/>
      <c r="K1081" s="28" t="str">
        <f t="shared" si="151"/>
        <v/>
      </c>
      <c r="L1081" s="17"/>
      <c r="M1081" s="29"/>
      <c r="N1081" s="72"/>
      <c r="O1081" s="73"/>
      <c r="P1081" s="73"/>
      <c r="Q1081" s="72"/>
      <c r="R1081" s="72"/>
      <c r="S1081" s="31" t="str">
        <f t="shared" si="152"/>
        <v/>
      </c>
      <c r="T1081" s="32" t="str">
        <f t="shared" si="153"/>
        <v/>
      </c>
      <c r="U1081" s="73"/>
      <c r="V1081" s="72"/>
      <c r="W1081" s="72"/>
    </row>
    <row r="1082" ht="21.75" customHeight="1">
      <c r="A1082" s="134"/>
      <c r="B1082" s="64"/>
      <c r="C1082" s="23"/>
      <c r="D1082" s="23"/>
      <c r="E1082" s="24"/>
      <c r="F1082" s="25"/>
      <c r="G1082" s="24"/>
      <c r="H1082" s="26"/>
      <c r="I1082" s="27"/>
      <c r="J1082" s="28"/>
      <c r="K1082" s="28" t="str">
        <f t="shared" si="151"/>
        <v/>
      </c>
      <c r="L1082" s="17"/>
      <c r="M1082" s="29"/>
      <c r="N1082" s="72"/>
      <c r="O1082" s="73"/>
      <c r="P1082" s="73"/>
      <c r="Q1082" s="72"/>
      <c r="R1082" s="72"/>
      <c r="S1082" s="31" t="str">
        <f t="shared" si="152"/>
        <v/>
      </c>
      <c r="T1082" s="32" t="str">
        <f t="shared" si="153"/>
        <v/>
      </c>
      <c r="U1082" s="73"/>
      <c r="V1082" s="72"/>
      <c r="W1082" s="72"/>
    </row>
    <row r="1083" ht="21.75" customHeight="1">
      <c r="A1083" s="134"/>
      <c r="B1083" s="64"/>
      <c r="C1083" s="23"/>
      <c r="D1083" s="23"/>
      <c r="E1083" s="24"/>
      <c r="F1083" s="25"/>
      <c r="G1083" s="24"/>
      <c r="H1083" s="26"/>
      <c r="I1083" s="27"/>
      <c r="J1083" s="28"/>
      <c r="K1083" s="28" t="str">
        <f t="shared" si="151"/>
        <v/>
      </c>
      <c r="L1083" s="17"/>
      <c r="M1083" s="29"/>
      <c r="N1083" s="72"/>
      <c r="O1083" s="73"/>
      <c r="P1083" s="73"/>
      <c r="Q1083" s="72"/>
      <c r="R1083" s="72"/>
      <c r="S1083" s="31" t="str">
        <f t="shared" si="152"/>
        <v/>
      </c>
      <c r="T1083" s="32" t="str">
        <f t="shared" si="153"/>
        <v/>
      </c>
      <c r="U1083" s="73"/>
      <c r="V1083" s="72"/>
      <c r="W1083" s="72"/>
    </row>
    <row r="1084" ht="21.75" customHeight="1">
      <c r="A1084" s="134"/>
      <c r="B1084" s="64"/>
      <c r="C1084" s="23"/>
      <c r="D1084" s="23"/>
      <c r="E1084" s="24"/>
      <c r="F1084" s="25"/>
      <c r="G1084" s="24"/>
      <c r="H1084" s="26"/>
      <c r="I1084" s="27"/>
      <c r="J1084" s="28"/>
      <c r="K1084" s="28" t="str">
        <f t="shared" si="151"/>
        <v/>
      </c>
      <c r="L1084" s="17"/>
      <c r="M1084" s="29"/>
      <c r="N1084" s="72"/>
      <c r="O1084" s="73"/>
      <c r="P1084" s="73"/>
      <c r="Q1084" s="72"/>
      <c r="R1084" s="72"/>
      <c r="S1084" s="31" t="str">
        <f t="shared" si="152"/>
        <v/>
      </c>
      <c r="T1084" s="32" t="str">
        <f t="shared" si="153"/>
        <v/>
      </c>
      <c r="U1084" s="73"/>
      <c r="V1084" s="72"/>
      <c r="W1084" s="72"/>
    </row>
    <row r="1085" ht="21.75" customHeight="1">
      <c r="A1085" s="134"/>
      <c r="B1085" s="64"/>
      <c r="C1085" s="23"/>
      <c r="D1085" s="23"/>
      <c r="E1085" s="24"/>
      <c r="F1085" s="25"/>
      <c r="G1085" s="24"/>
      <c r="H1085" s="26"/>
      <c r="I1085" s="27"/>
      <c r="J1085" s="28"/>
      <c r="K1085" s="28" t="str">
        <f t="shared" si="151"/>
        <v/>
      </c>
      <c r="L1085" s="17"/>
      <c r="M1085" s="29"/>
      <c r="N1085" s="72"/>
      <c r="O1085" s="73"/>
      <c r="P1085" s="73"/>
      <c r="Q1085" s="72"/>
      <c r="R1085" s="72"/>
      <c r="S1085" s="31" t="str">
        <f t="shared" si="152"/>
        <v/>
      </c>
      <c r="T1085" s="32" t="str">
        <f t="shared" si="153"/>
        <v/>
      </c>
      <c r="U1085" s="73"/>
      <c r="V1085" s="72"/>
      <c r="W1085" s="72"/>
    </row>
    <row r="1086" ht="21.75" customHeight="1">
      <c r="A1086" s="134"/>
      <c r="B1086" s="64"/>
      <c r="C1086" s="23"/>
      <c r="D1086" s="23"/>
      <c r="E1086" s="24"/>
      <c r="F1086" s="25"/>
      <c r="G1086" s="24"/>
      <c r="H1086" s="26"/>
      <c r="I1086" s="27"/>
      <c r="J1086" s="28"/>
      <c r="K1086" s="28" t="str">
        <f t="shared" si="151"/>
        <v/>
      </c>
      <c r="L1086" s="17"/>
      <c r="M1086" s="29"/>
      <c r="N1086" s="72"/>
      <c r="O1086" s="73"/>
      <c r="P1086" s="73"/>
      <c r="Q1086" s="72"/>
      <c r="R1086" s="72"/>
      <c r="S1086" s="31" t="str">
        <f t="shared" si="152"/>
        <v/>
      </c>
      <c r="T1086" s="32" t="str">
        <f t="shared" si="153"/>
        <v/>
      </c>
      <c r="U1086" s="73"/>
      <c r="V1086" s="72"/>
      <c r="W1086" s="72"/>
    </row>
    <row r="1087" ht="21.75" customHeight="1">
      <c r="A1087" s="134"/>
      <c r="B1087" s="64"/>
      <c r="C1087" s="23"/>
      <c r="D1087" s="23"/>
      <c r="E1087" s="24"/>
      <c r="F1087" s="25"/>
      <c r="G1087" s="24"/>
      <c r="H1087" s="26"/>
      <c r="I1087" s="27"/>
      <c r="J1087" s="28"/>
      <c r="K1087" s="28" t="str">
        <f t="shared" si="151"/>
        <v/>
      </c>
      <c r="L1087" s="17"/>
      <c r="M1087" s="29"/>
      <c r="N1087" s="72"/>
      <c r="O1087" s="73"/>
      <c r="P1087" s="73"/>
      <c r="Q1087" s="72"/>
      <c r="R1087" s="72"/>
      <c r="S1087" s="31" t="str">
        <f t="shared" si="152"/>
        <v/>
      </c>
      <c r="T1087" s="32" t="str">
        <f t="shared" si="153"/>
        <v/>
      </c>
      <c r="U1087" s="73"/>
      <c r="V1087" s="72"/>
      <c r="W1087" s="72"/>
    </row>
    <row r="1088" ht="21.75" customHeight="1">
      <c r="A1088" s="134"/>
      <c r="B1088" s="64"/>
      <c r="C1088" s="23"/>
      <c r="D1088" s="23"/>
      <c r="E1088" s="24"/>
      <c r="F1088" s="25"/>
      <c r="G1088" s="24"/>
      <c r="H1088" s="26"/>
      <c r="I1088" s="27"/>
      <c r="J1088" s="28"/>
      <c r="K1088" s="28" t="str">
        <f t="shared" si="151"/>
        <v/>
      </c>
      <c r="L1088" s="17"/>
      <c r="M1088" s="29"/>
      <c r="N1088" s="72"/>
      <c r="O1088" s="73"/>
      <c r="P1088" s="73"/>
      <c r="Q1088" s="72"/>
      <c r="R1088" s="72"/>
      <c r="S1088" s="31" t="str">
        <f t="shared" si="152"/>
        <v/>
      </c>
      <c r="T1088" s="32" t="str">
        <f t="shared" si="153"/>
        <v/>
      </c>
      <c r="U1088" s="73"/>
      <c r="V1088" s="72"/>
      <c r="W1088" s="72"/>
    </row>
    <row r="1089" ht="21.75" customHeight="1">
      <c r="A1089" s="134"/>
      <c r="B1089" s="64"/>
      <c r="C1089" s="23"/>
      <c r="D1089" s="23"/>
      <c r="E1089" s="24"/>
      <c r="F1089" s="25"/>
      <c r="G1089" s="24"/>
      <c r="H1089" s="26"/>
      <c r="I1089" s="27"/>
      <c r="J1089" s="28"/>
      <c r="K1089" s="28" t="str">
        <f t="shared" si="151"/>
        <v/>
      </c>
      <c r="L1089" s="17"/>
      <c r="M1089" s="29"/>
      <c r="N1089" s="72"/>
      <c r="O1089" s="73"/>
      <c r="P1089" s="73"/>
      <c r="Q1089" s="72"/>
      <c r="R1089" s="72"/>
      <c r="S1089" s="31" t="str">
        <f t="shared" si="152"/>
        <v/>
      </c>
      <c r="T1089" s="32" t="str">
        <f t="shared" si="153"/>
        <v/>
      </c>
      <c r="U1089" s="73"/>
      <c r="V1089" s="72"/>
      <c r="W1089" s="72"/>
    </row>
    <row r="1090" ht="21.75" customHeight="1">
      <c r="A1090" s="134"/>
      <c r="B1090" s="64"/>
      <c r="C1090" s="23"/>
      <c r="D1090" s="23"/>
      <c r="E1090" s="24"/>
      <c r="F1090" s="25"/>
      <c r="G1090" s="24"/>
      <c r="H1090" s="26"/>
      <c r="I1090" s="27"/>
      <c r="J1090" s="28"/>
      <c r="K1090" s="28" t="str">
        <f t="shared" si="151"/>
        <v/>
      </c>
      <c r="L1090" s="17"/>
      <c r="M1090" s="29"/>
      <c r="N1090" s="72"/>
      <c r="O1090" s="73"/>
      <c r="P1090" s="73"/>
      <c r="Q1090" s="72"/>
      <c r="R1090" s="72"/>
      <c r="S1090" s="31" t="str">
        <f t="shared" si="152"/>
        <v/>
      </c>
      <c r="T1090" s="32" t="str">
        <f t="shared" si="153"/>
        <v/>
      </c>
      <c r="U1090" s="73"/>
      <c r="V1090" s="72"/>
      <c r="W1090" s="72"/>
    </row>
    <row r="1091" ht="21.75" customHeight="1">
      <c r="A1091" s="134"/>
      <c r="B1091" s="64"/>
      <c r="C1091" s="23"/>
      <c r="D1091" s="23"/>
      <c r="E1091" s="24"/>
      <c r="F1091" s="25"/>
      <c r="G1091" s="24"/>
      <c r="H1091" s="26"/>
      <c r="I1091" s="27"/>
      <c r="J1091" s="28"/>
      <c r="K1091" s="28" t="str">
        <f t="shared" si="151"/>
        <v/>
      </c>
      <c r="L1091" s="17"/>
      <c r="M1091" s="29"/>
      <c r="N1091" s="72"/>
      <c r="O1091" s="73"/>
      <c r="P1091" s="73"/>
      <c r="Q1091" s="72"/>
      <c r="R1091" s="72"/>
      <c r="S1091" s="31" t="str">
        <f t="shared" si="152"/>
        <v/>
      </c>
      <c r="T1091" s="32" t="str">
        <f t="shared" si="153"/>
        <v/>
      </c>
      <c r="U1091" s="73"/>
      <c r="V1091" s="72"/>
      <c r="W1091" s="72"/>
    </row>
    <row r="1092" ht="21.75" customHeight="1">
      <c r="A1092" s="134"/>
      <c r="B1092" s="64"/>
      <c r="C1092" s="23"/>
      <c r="D1092" s="23"/>
      <c r="E1092" s="24"/>
      <c r="F1092" s="25"/>
      <c r="G1092" s="24"/>
      <c r="H1092" s="26"/>
      <c r="I1092" s="27"/>
      <c r="J1092" s="28"/>
      <c r="K1092" s="28" t="str">
        <f t="shared" si="151"/>
        <v/>
      </c>
      <c r="L1092" s="17"/>
      <c r="M1092" s="29"/>
      <c r="N1092" s="72"/>
      <c r="O1092" s="73"/>
      <c r="P1092" s="73"/>
      <c r="Q1092" s="72"/>
      <c r="R1092" s="72"/>
      <c r="S1092" s="31" t="str">
        <f t="shared" si="152"/>
        <v/>
      </c>
      <c r="T1092" s="32" t="str">
        <f t="shared" si="153"/>
        <v/>
      </c>
      <c r="U1092" s="73"/>
      <c r="V1092" s="72"/>
      <c r="W1092" s="72"/>
    </row>
    <row r="1093" ht="21.75" customHeight="1">
      <c r="A1093" s="134"/>
      <c r="B1093" s="64"/>
      <c r="C1093" s="23"/>
      <c r="D1093" s="23"/>
      <c r="E1093" s="24"/>
      <c r="F1093" s="25"/>
      <c r="G1093" s="24"/>
      <c r="H1093" s="26"/>
      <c r="I1093" s="27"/>
      <c r="J1093" s="28"/>
      <c r="K1093" s="28" t="str">
        <f t="shared" si="151"/>
        <v/>
      </c>
      <c r="L1093" s="17"/>
      <c r="M1093" s="29"/>
      <c r="N1093" s="72"/>
      <c r="O1093" s="73"/>
      <c r="P1093" s="73"/>
      <c r="Q1093" s="72"/>
      <c r="R1093" s="72"/>
      <c r="S1093" s="31" t="str">
        <f t="shared" si="152"/>
        <v/>
      </c>
      <c r="T1093" s="32" t="str">
        <f t="shared" si="153"/>
        <v/>
      </c>
      <c r="U1093" s="73"/>
      <c r="V1093" s="72"/>
      <c r="W1093" s="72"/>
    </row>
    <row r="1094" ht="21.75" customHeight="1">
      <c r="A1094" s="134"/>
      <c r="B1094" s="64"/>
      <c r="C1094" s="23"/>
      <c r="D1094" s="23"/>
      <c r="E1094" s="24"/>
      <c r="F1094" s="25"/>
      <c r="G1094" s="24"/>
      <c r="H1094" s="26"/>
      <c r="I1094" s="27"/>
      <c r="J1094" s="28"/>
      <c r="K1094" s="28" t="str">
        <f t="shared" si="151"/>
        <v/>
      </c>
      <c r="L1094" s="17"/>
      <c r="M1094" s="29"/>
      <c r="N1094" s="72"/>
      <c r="O1094" s="73"/>
      <c r="P1094" s="73"/>
      <c r="Q1094" s="72"/>
      <c r="R1094" s="72"/>
      <c r="S1094" s="31" t="str">
        <f t="shared" si="152"/>
        <v/>
      </c>
      <c r="T1094" s="32" t="str">
        <f t="shared" si="153"/>
        <v/>
      </c>
      <c r="U1094" s="73"/>
      <c r="V1094" s="72"/>
      <c r="W1094" s="72"/>
    </row>
    <row r="1095" ht="21.75" customHeight="1">
      <c r="A1095" s="134"/>
      <c r="B1095" s="64"/>
      <c r="C1095" s="23"/>
      <c r="D1095" s="23"/>
      <c r="E1095" s="24"/>
      <c r="F1095" s="25"/>
      <c r="G1095" s="24"/>
      <c r="H1095" s="26"/>
      <c r="I1095" s="27"/>
      <c r="J1095" s="28"/>
      <c r="K1095" s="28" t="str">
        <f t="shared" si="151"/>
        <v/>
      </c>
      <c r="L1095" s="17"/>
      <c r="M1095" s="29"/>
      <c r="N1095" s="72"/>
      <c r="O1095" s="73"/>
      <c r="P1095" s="73"/>
      <c r="Q1095" s="72"/>
      <c r="R1095" s="72"/>
      <c r="S1095" s="31" t="str">
        <f t="shared" si="152"/>
        <v/>
      </c>
      <c r="T1095" s="32" t="str">
        <f t="shared" si="153"/>
        <v/>
      </c>
      <c r="U1095" s="73"/>
      <c r="V1095" s="72"/>
      <c r="W1095" s="72"/>
    </row>
    <row r="1096" ht="21.75" customHeight="1">
      <c r="A1096" s="134"/>
      <c r="B1096" s="64"/>
      <c r="C1096" s="23"/>
      <c r="D1096" s="23"/>
      <c r="E1096" s="24"/>
      <c r="F1096" s="25"/>
      <c r="G1096" s="24"/>
      <c r="H1096" s="26"/>
      <c r="I1096" s="27"/>
      <c r="J1096" s="28"/>
      <c r="K1096" s="28" t="str">
        <f t="shared" si="151"/>
        <v/>
      </c>
      <c r="L1096" s="17"/>
      <c r="M1096" s="29"/>
      <c r="N1096" s="72"/>
      <c r="O1096" s="73"/>
      <c r="P1096" s="73"/>
      <c r="Q1096" s="72"/>
      <c r="R1096" s="72"/>
      <c r="S1096" s="31" t="str">
        <f t="shared" si="152"/>
        <v/>
      </c>
      <c r="T1096" s="32" t="str">
        <f t="shared" si="153"/>
        <v/>
      </c>
      <c r="U1096" s="73"/>
      <c r="V1096" s="72"/>
      <c r="W1096" s="72"/>
    </row>
    <row r="1097" ht="21.75" customHeight="1">
      <c r="A1097" s="134"/>
      <c r="B1097" s="64"/>
      <c r="C1097" s="23"/>
      <c r="D1097" s="23"/>
      <c r="E1097" s="24"/>
      <c r="F1097" s="25"/>
      <c r="G1097" s="24"/>
      <c r="H1097" s="26"/>
      <c r="I1097" s="27"/>
      <c r="J1097" s="28"/>
      <c r="K1097" s="28" t="str">
        <f t="shared" si="151"/>
        <v/>
      </c>
      <c r="L1097" s="17"/>
      <c r="M1097" s="29"/>
      <c r="N1097" s="72"/>
      <c r="O1097" s="73"/>
      <c r="P1097" s="73"/>
      <c r="Q1097" s="72"/>
      <c r="R1097" s="72"/>
      <c r="S1097" s="31" t="str">
        <f t="shared" si="152"/>
        <v/>
      </c>
      <c r="T1097" s="32" t="str">
        <f t="shared" si="153"/>
        <v/>
      </c>
      <c r="U1097" s="73"/>
      <c r="V1097" s="72"/>
      <c r="W1097" s="72"/>
    </row>
    <row r="1098" ht="21.75" customHeight="1">
      <c r="A1098" s="134"/>
      <c r="B1098" s="64"/>
      <c r="C1098" s="23"/>
      <c r="D1098" s="23"/>
      <c r="E1098" s="24"/>
      <c r="F1098" s="25"/>
      <c r="G1098" s="24"/>
      <c r="H1098" s="26"/>
      <c r="I1098" s="27"/>
      <c r="J1098" s="28"/>
      <c r="K1098" s="28" t="str">
        <f t="shared" si="151"/>
        <v/>
      </c>
      <c r="L1098" s="17"/>
      <c r="M1098" s="29"/>
      <c r="N1098" s="72"/>
      <c r="O1098" s="73"/>
      <c r="P1098" s="73"/>
      <c r="Q1098" s="72"/>
      <c r="R1098" s="72"/>
      <c r="S1098" s="31" t="str">
        <f t="shared" si="152"/>
        <v/>
      </c>
      <c r="T1098" s="32" t="str">
        <f t="shared" si="153"/>
        <v/>
      </c>
      <c r="U1098" s="73"/>
      <c r="V1098" s="72"/>
      <c r="W1098" s="72"/>
    </row>
    <row r="1099" ht="21.75" customHeight="1">
      <c r="A1099" s="134"/>
      <c r="B1099" s="64"/>
      <c r="C1099" s="23"/>
      <c r="D1099" s="23"/>
      <c r="E1099" s="24"/>
      <c r="F1099" s="25"/>
      <c r="G1099" s="24"/>
      <c r="H1099" s="26"/>
      <c r="I1099" s="27"/>
      <c r="J1099" s="28"/>
      <c r="K1099" s="28" t="str">
        <f t="shared" si="151"/>
        <v/>
      </c>
      <c r="L1099" s="17"/>
      <c r="M1099" s="29"/>
      <c r="N1099" s="72"/>
      <c r="O1099" s="73"/>
      <c r="P1099" s="73"/>
      <c r="Q1099" s="72"/>
      <c r="R1099" s="72"/>
      <c r="S1099" s="31" t="str">
        <f t="shared" si="152"/>
        <v/>
      </c>
      <c r="T1099" s="32" t="str">
        <f t="shared" si="153"/>
        <v/>
      </c>
      <c r="U1099" s="73"/>
      <c r="V1099" s="72"/>
      <c r="W1099" s="72"/>
    </row>
    <row r="1100" ht="21.75" customHeight="1">
      <c r="A1100" s="134"/>
      <c r="B1100" s="64"/>
      <c r="C1100" s="23"/>
      <c r="D1100" s="23"/>
      <c r="E1100" s="24"/>
      <c r="F1100" s="25"/>
      <c r="G1100" s="24"/>
      <c r="H1100" s="26"/>
      <c r="I1100" s="27"/>
      <c r="J1100" s="28"/>
      <c r="K1100" s="28" t="str">
        <f t="shared" si="151"/>
        <v/>
      </c>
      <c r="L1100" s="17"/>
      <c r="M1100" s="29"/>
      <c r="N1100" s="72"/>
      <c r="O1100" s="73"/>
      <c r="P1100" s="73"/>
      <c r="Q1100" s="72"/>
      <c r="R1100" s="72"/>
      <c r="S1100" s="31" t="str">
        <f t="shared" si="152"/>
        <v/>
      </c>
      <c r="T1100" s="32" t="str">
        <f t="shared" si="153"/>
        <v/>
      </c>
      <c r="U1100" s="73"/>
      <c r="V1100" s="72"/>
      <c r="W1100" s="72"/>
    </row>
    <row r="1101" ht="21.75" customHeight="1">
      <c r="A1101" s="134"/>
      <c r="B1101" s="64"/>
      <c r="C1101" s="23"/>
      <c r="D1101" s="23"/>
      <c r="E1101" s="24"/>
      <c r="F1101" s="25"/>
      <c r="G1101" s="24"/>
      <c r="H1101" s="26"/>
      <c r="I1101" s="27"/>
      <c r="J1101" s="28"/>
      <c r="K1101" s="28" t="str">
        <f t="shared" si="151"/>
        <v/>
      </c>
      <c r="L1101" s="17"/>
      <c r="M1101" s="29"/>
      <c r="N1101" s="72"/>
      <c r="O1101" s="73"/>
      <c r="P1101" s="73"/>
      <c r="Q1101" s="72"/>
      <c r="R1101" s="72"/>
      <c r="S1101" s="31" t="str">
        <f t="shared" si="152"/>
        <v/>
      </c>
      <c r="T1101" s="32" t="str">
        <f t="shared" si="153"/>
        <v/>
      </c>
      <c r="U1101" s="73"/>
      <c r="V1101" s="72"/>
      <c r="W1101" s="72"/>
    </row>
    <row r="1102" ht="21.75" customHeight="1">
      <c r="A1102" s="134"/>
      <c r="B1102" s="64"/>
      <c r="C1102" s="23"/>
      <c r="D1102" s="23"/>
      <c r="E1102" s="24"/>
      <c r="F1102" s="25"/>
      <c r="G1102" s="24"/>
      <c r="H1102" s="26"/>
      <c r="I1102" s="27"/>
      <c r="J1102" s="28"/>
      <c r="K1102" s="28" t="str">
        <f t="shared" si="151"/>
        <v/>
      </c>
      <c r="L1102" s="17"/>
      <c r="M1102" s="29"/>
      <c r="N1102" s="72"/>
      <c r="O1102" s="73"/>
      <c r="P1102" s="73"/>
      <c r="Q1102" s="72"/>
      <c r="R1102" s="72"/>
      <c r="S1102" s="31" t="str">
        <f t="shared" si="152"/>
        <v/>
      </c>
      <c r="T1102" s="32" t="str">
        <f t="shared" si="153"/>
        <v/>
      </c>
      <c r="U1102" s="73"/>
      <c r="V1102" s="72"/>
      <c r="W1102" s="72"/>
    </row>
    <row r="1103" ht="21.75" customHeight="1">
      <c r="A1103" s="134"/>
      <c r="B1103" s="64"/>
      <c r="C1103" s="23"/>
      <c r="D1103" s="23"/>
      <c r="E1103" s="24"/>
      <c r="F1103" s="25"/>
      <c r="G1103" s="24"/>
      <c r="H1103" s="26"/>
      <c r="I1103" s="27"/>
      <c r="J1103" s="28"/>
      <c r="K1103" s="28" t="str">
        <f t="shared" si="151"/>
        <v/>
      </c>
      <c r="L1103" s="17"/>
      <c r="M1103" s="29"/>
      <c r="N1103" s="72"/>
      <c r="O1103" s="73"/>
      <c r="P1103" s="73"/>
      <c r="Q1103" s="72"/>
      <c r="R1103" s="72"/>
      <c r="S1103" s="31" t="str">
        <f t="shared" si="152"/>
        <v/>
      </c>
      <c r="T1103" s="32" t="str">
        <f t="shared" si="153"/>
        <v/>
      </c>
      <c r="U1103" s="73"/>
      <c r="V1103" s="72"/>
      <c r="W1103" s="72"/>
    </row>
    <row r="1104" ht="21.75" customHeight="1">
      <c r="A1104" s="134"/>
      <c r="B1104" s="64"/>
      <c r="C1104" s="23"/>
      <c r="D1104" s="23"/>
      <c r="E1104" s="24"/>
      <c r="F1104" s="25"/>
      <c r="G1104" s="24"/>
      <c r="H1104" s="26"/>
      <c r="I1104" s="27"/>
      <c r="J1104" s="28"/>
      <c r="K1104" s="28" t="str">
        <f t="shared" si="151"/>
        <v/>
      </c>
      <c r="L1104" s="17"/>
      <c r="M1104" s="29"/>
      <c r="N1104" s="72"/>
      <c r="O1104" s="73"/>
      <c r="P1104" s="73"/>
      <c r="Q1104" s="72"/>
      <c r="R1104" s="72"/>
      <c r="S1104" s="31" t="str">
        <f t="shared" si="152"/>
        <v/>
      </c>
      <c r="T1104" s="32" t="str">
        <f t="shared" si="153"/>
        <v/>
      </c>
      <c r="U1104" s="73"/>
      <c r="V1104" s="72"/>
      <c r="W1104" s="72"/>
    </row>
    <row r="1105" ht="21.75" customHeight="1">
      <c r="A1105" s="134"/>
      <c r="B1105" s="64"/>
      <c r="C1105" s="23"/>
      <c r="D1105" s="23"/>
      <c r="E1105" s="24"/>
      <c r="F1105" s="25"/>
      <c r="G1105" s="24"/>
      <c r="H1105" s="26"/>
      <c r="I1105" s="27"/>
      <c r="J1105" s="28"/>
      <c r="K1105" s="28" t="str">
        <f t="shared" si="151"/>
        <v/>
      </c>
      <c r="L1105" s="17"/>
      <c r="M1105" s="29"/>
      <c r="N1105" s="72"/>
      <c r="O1105" s="73"/>
      <c r="P1105" s="73"/>
      <c r="Q1105" s="72"/>
      <c r="R1105" s="72"/>
      <c r="S1105" s="31" t="str">
        <f t="shared" si="152"/>
        <v/>
      </c>
      <c r="T1105" s="32" t="str">
        <f t="shared" si="153"/>
        <v/>
      </c>
      <c r="U1105" s="73"/>
      <c r="V1105" s="72"/>
      <c r="W1105" s="72"/>
    </row>
    <row r="1106" ht="21.75" customHeight="1">
      <c r="A1106" s="134"/>
      <c r="B1106" s="64"/>
      <c r="C1106" s="23"/>
      <c r="D1106" s="23"/>
      <c r="E1106" s="24"/>
      <c r="F1106" s="25"/>
      <c r="G1106" s="24"/>
      <c r="H1106" s="26"/>
      <c r="I1106" s="27"/>
      <c r="J1106" s="28"/>
      <c r="K1106" s="28" t="str">
        <f t="shared" si="151"/>
        <v/>
      </c>
      <c r="L1106" s="17"/>
      <c r="M1106" s="29"/>
      <c r="N1106" s="72"/>
      <c r="O1106" s="73"/>
      <c r="P1106" s="73"/>
      <c r="Q1106" s="72"/>
      <c r="R1106" s="72"/>
      <c r="S1106" s="31" t="str">
        <f t="shared" si="152"/>
        <v/>
      </c>
      <c r="T1106" s="32" t="str">
        <f t="shared" si="153"/>
        <v/>
      </c>
      <c r="U1106" s="73"/>
      <c r="V1106" s="72"/>
      <c r="W1106" s="72"/>
    </row>
    <row r="1107" ht="21.75" customHeight="1">
      <c r="A1107" s="134"/>
      <c r="B1107" s="64"/>
      <c r="C1107" s="23"/>
      <c r="D1107" s="23"/>
      <c r="E1107" s="24"/>
      <c r="F1107" s="25"/>
      <c r="G1107" s="24"/>
      <c r="H1107" s="26"/>
      <c r="I1107" s="27"/>
      <c r="J1107" s="28"/>
      <c r="K1107" s="28" t="str">
        <f t="shared" si="151"/>
        <v/>
      </c>
      <c r="L1107" s="17"/>
      <c r="M1107" s="29"/>
      <c r="N1107" s="72"/>
      <c r="O1107" s="73"/>
      <c r="P1107" s="73"/>
      <c r="Q1107" s="72"/>
      <c r="R1107" s="72"/>
      <c r="S1107" s="31" t="str">
        <f t="shared" si="152"/>
        <v/>
      </c>
      <c r="T1107" s="32" t="str">
        <f t="shared" si="153"/>
        <v/>
      </c>
      <c r="U1107" s="73"/>
      <c r="V1107" s="72"/>
      <c r="W1107" s="72"/>
    </row>
    <row r="1108" ht="21.75" customHeight="1">
      <c r="A1108" s="134"/>
      <c r="B1108" s="64"/>
      <c r="C1108" s="23"/>
      <c r="D1108" s="23"/>
      <c r="E1108" s="24"/>
      <c r="F1108" s="25"/>
      <c r="G1108" s="24"/>
      <c r="H1108" s="26"/>
      <c r="I1108" s="27"/>
      <c r="J1108" s="28"/>
      <c r="K1108" s="28" t="str">
        <f t="shared" si="151"/>
        <v/>
      </c>
      <c r="L1108" s="17"/>
      <c r="M1108" s="29"/>
      <c r="N1108" s="72"/>
      <c r="O1108" s="73"/>
      <c r="P1108" s="73"/>
      <c r="Q1108" s="72"/>
      <c r="R1108" s="72"/>
      <c r="S1108" s="31" t="str">
        <f t="shared" si="152"/>
        <v/>
      </c>
      <c r="T1108" s="32" t="str">
        <f t="shared" si="153"/>
        <v/>
      </c>
      <c r="U1108" s="73"/>
      <c r="V1108" s="72"/>
      <c r="W1108" s="72"/>
    </row>
    <row r="1109" ht="21.75" customHeight="1">
      <c r="A1109" s="134"/>
      <c r="B1109" s="64"/>
      <c r="C1109" s="23"/>
      <c r="D1109" s="23"/>
      <c r="E1109" s="24"/>
      <c r="F1109" s="25"/>
      <c r="G1109" s="24"/>
      <c r="H1109" s="26"/>
      <c r="I1109" s="27"/>
      <c r="J1109" s="28"/>
      <c r="K1109" s="28" t="str">
        <f t="shared" si="151"/>
        <v/>
      </c>
      <c r="L1109" s="17"/>
      <c r="M1109" s="29"/>
      <c r="N1109" s="72"/>
      <c r="O1109" s="73"/>
      <c r="P1109" s="73"/>
      <c r="Q1109" s="72"/>
      <c r="R1109" s="72"/>
      <c r="S1109" s="31" t="str">
        <f t="shared" si="152"/>
        <v/>
      </c>
      <c r="T1109" s="32" t="str">
        <f t="shared" si="153"/>
        <v/>
      </c>
      <c r="U1109" s="73"/>
      <c r="V1109" s="72"/>
      <c r="W1109" s="72"/>
    </row>
    <row r="1110" ht="21.75" customHeight="1">
      <c r="A1110" s="134"/>
      <c r="B1110" s="64"/>
      <c r="C1110" s="23"/>
      <c r="D1110" s="23"/>
      <c r="E1110" s="24"/>
      <c r="F1110" s="25"/>
      <c r="G1110" s="24"/>
      <c r="H1110" s="26"/>
      <c r="I1110" s="27"/>
      <c r="J1110" s="28"/>
      <c r="K1110" s="28" t="str">
        <f t="shared" si="151"/>
        <v/>
      </c>
      <c r="L1110" s="17"/>
      <c r="M1110" s="29"/>
      <c r="N1110" s="72"/>
      <c r="O1110" s="73"/>
      <c r="P1110" s="73"/>
      <c r="Q1110" s="72"/>
      <c r="R1110" s="72"/>
      <c r="S1110" s="31" t="str">
        <f t="shared" si="152"/>
        <v/>
      </c>
      <c r="T1110" s="32" t="str">
        <f t="shared" si="153"/>
        <v/>
      </c>
      <c r="U1110" s="73"/>
      <c r="V1110" s="72"/>
      <c r="W1110" s="72"/>
    </row>
    <row r="1111" ht="21.75" customHeight="1">
      <c r="A1111" s="134"/>
      <c r="B1111" s="64"/>
      <c r="C1111" s="23"/>
      <c r="D1111" s="23"/>
      <c r="E1111" s="24"/>
      <c r="F1111" s="25"/>
      <c r="G1111" s="24"/>
      <c r="H1111" s="26"/>
      <c r="I1111" s="27"/>
      <c r="J1111" s="28"/>
      <c r="K1111" s="28" t="str">
        <f t="shared" si="151"/>
        <v/>
      </c>
      <c r="L1111" s="17"/>
      <c r="M1111" s="29"/>
      <c r="N1111" s="72"/>
      <c r="O1111" s="73"/>
      <c r="P1111" s="73"/>
      <c r="Q1111" s="72"/>
      <c r="R1111" s="72"/>
      <c r="S1111" s="31" t="str">
        <f t="shared" si="152"/>
        <v/>
      </c>
      <c r="T1111" s="32" t="str">
        <f t="shared" si="153"/>
        <v/>
      </c>
      <c r="U1111" s="73"/>
      <c r="V1111" s="72"/>
      <c r="W1111" s="72"/>
    </row>
    <row r="1112" ht="21.75" customHeight="1">
      <c r="A1112" s="134"/>
      <c r="B1112" s="64"/>
      <c r="C1112" s="23"/>
      <c r="D1112" s="23"/>
      <c r="E1112" s="24"/>
      <c r="F1112" s="25"/>
      <c r="G1112" s="24"/>
      <c r="H1112" s="26"/>
      <c r="I1112" s="27"/>
      <c r="J1112" s="28"/>
      <c r="K1112" s="28" t="str">
        <f t="shared" si="151"/>
        <v/>
      </c>
      <c r="L1112" s="17"/>
      <c r="M1112" s="29"/>
      <c r="N1112" s="72"/>
      <c r="O1112" s="73"/>
      <c r="P1112" s="73"/>
      <c r="Q1112" s="72"/>
      <c r="R1112" s="72"/>
      <c r="S1112" s="31" t="str">
        <f t="shared" si="152"/>
        <v/>
      </c>
      <c r="T1112" s="32" t="str">
        <f t="shared" si="153"/>
        <v/>
      </c>
      <c r="U1112" s="73"/>
      <c r="V1112" s="72"/>
      <c r="W1112" s="72"/>
    </row>
    <row r="1113" ht="21.75" customHeight="1">
      <c r="A1113" s="134"/>
      <c r="B1113" s="64"/>
      <c r="C1113" s="23"/>
      <c r="D1113" s="23"/>
      <c r="E1113" s="24"/>
      <c r="F1113" s="25"/>
      <c r="G1113" s="24"/>
      <c r="H1113" s="26"/>
      <c r="I1113" s="27"/>
      <c r="J1113" s="28"/>
      <c r="K1113" s="28" t="str">
        <f t="shared" si="151"/>
        <v/>
      </c>
      <c r="L1113" s="17"/>
      <c r="M1113" s="29"/>
      <c r="N1113" s="72"/>
      <c r="O1113" s="73"/>
      <c r="P1113" s="73"/>
      <c r="Q1113" s="72"/>
      <c r="R1113" s="72"/>
      <c r="S1113" s="31" t="str">
        <f t="shared" si="152"/>
        <v/>
      </c>
      <c r="T1113" s="32" t="str">
        <f t="shared" si="153"/>
        <v/>
      </c>
      <c r="U1113" s="73"/>
      <c r="V1113" s="72"/>
      <c r="W1113" s="72"/>
    </row>
    <row r="1114" ht="21.75" customHeight="1">
      <c r="A1114" s="134"/>
      <c r="B1114" s="64"/>
      <c r="C1114" s="23"/>
      <c r="D1114" s="23"/>
      <c r="E1114" s="24"/>
      <c r="F1114" s="25"/>
      <c r="G1114" s="24"/>
      <c r="H1114" s="26"/>
      <c r="I1114" s="27"/>
      <c r="J1114" s="28"/>
      <c r="K1114" s="28" t="str">
        <f t="shared" si="151"/>
        <v/>
      </c>
      <c r="L1114" s="17"/>
      <c r="M1114" s="29"/>
      <c r="N1114" s="72"/>
      <c r="O1114" s="73"/>
      <c r="P1114" s="73"/>
      <c r="Q1114" s="72"/>
      <c r="R1114" s="72"/>
      <c r="S1114" s="31" t="str">
        <f t="shared" si="152"/>
        <v/>
      </c>
      <c r="T1114" s="32" t="str">
        <f t="shared" si="153"/>
        <v/>
      </c>
      <c r="U1114" s="73"/>
      <c r="V1114" s="72"/>
      <c r="W1114" s="72"/>
    </row>
    <row r="1115" ht="21.75" customHeight="1">
      <c r="A1115" s="134"/>
      <c r="B1115" s="64"/>
      <c r="C1115" s="23"/>
      <c r="D1115" s="23"/>
      <c r="E1115" s="24"/>
      <c r="F1115" s="25"/>
      <c r="G1115" s="24"/>
      <c r="H1115" s="26"/>
      <c r="I1115" s="27"/>
      <c r="J1115" s="28"/>
      <c r="K1115" s="28" t="str">
        <f t="shared" si="151"/>
        <v/>
      </c>
      <c r="L1115" s="17"/>
      <c r="M1115" s="29"/>
      <c r="N1115" s="72"/>
      <c r="O1115" s="73"/>
      <c r="P1115" s="73"/>
      <c r="Q1115" s="72"/>
      <c r="R1115" s="72"/>
      <c r="S1115" s="31" t="str">
        <f t="shared" si="152"/>
        <v/>
      </c>
      <c r="T1115" s="32" t="str">
        <f t="shared" si="153"/>
        <v/>
      </c>
      <c r="U1115" s="73"/>
      <c r="V1115" s="72"/>
      <c r="W1115" s="72"/>
    </row>
    <row r="1116" ht="21.75" customHeight="1">
      <c r="A1116" s="134"/>
      <c r="B1116" s="64"/>
      <c r="C1116" s="23"/>
      <c r="D1116" s="23"/>
      <c r="E1116" s="24"/>
      <c r="F1116" s="25"/>
      <c r="G1116" s="24"/>
      <c r="H1116" s="26"/>
      <c r="I1116" s="27"/>
      <c r="J1116" s="28"/>
      <c r="K1116" s="28" t="str">
        <f t="shared" si="151"/>
        <v/>
      </c>
      <c r="L1116" s="17"/>
      <c r="M1116" s="29"/>
      <c r="N1116" s="72"/>
      <c r="O1116" s="73"/>
      <c r="P1116" s="73"/>
      <c r="Q1116" s="72"/>
      <c r="R1116" s="72"/>
      <c r="S1116" s="31" t="str">
        <f t="shared" si="152"/>
        <v/>
      </c>
      <c r="T1116" s="32" t="str">
        <f t="shared" si="153"/>
        <v/>
      </c>
      <c r="U1116" s="73"/>
      <c r="V1116" s="72"/>
      <c r="W1116" s="72"/>
    </row>
    <row r="1117" ht="21.75" customHeight="1">
      <c r="A1117" s="134"/>
      <c r="B1117" s="64"/>
      <c r="C1117" s="23"/>
      <c r="D1117" s="23"/>
      <c r="E1117" s="24"/>
      <c r="F1117" s="25"/>
      <c r="G1117" s="24"/>
      <c r="H1117" s="26"/>
      <c r="I1117" s="27"/>
      <c r="J1117" s="28"/>
      <c r="K1117" s="28" t="str">
        <f t="shared" si="151"/>
        <v/>
      </c>
      <c r="L1117" s="17"/>
      <c r="M1117" s="29"/>
      <c r="N1117" s="72"/>
      <c r="O1117" s="73"/>
      <c r="P1117" s="73"/>
      <c r="Q1117" s="72"/>
      <c r="R1117" s="72"/>
      <c r="S1117" s="31" t="str">
        <f t="shared" si="152"/>
        <v/>
      </c>
      <c r="T1117" s="32" t="str">
        <f t="shared" si="153"/>
        <v/>
      </c>
      <c r="U1117" s="73"/>
      <c r="V1117" s="72"/>
      <c r="W1117" s="72"/>
    </row>
    <row r="1118" ht="21.75" customHeight="1">
      <c r="A1118" s="134"/>
      <c r="B1118" s="64"/>
      <c r="C1118" s="23"/>
      <c r="D1118" s="23"/>
      <c r="E1118" s="24"/>
      <c r="F1118" s="25"/>
      <c r="G1118" s="24"/>
      <c r="H1118" s="26"/>
      <c r="I1118" s="27"/>
      <c r="J1118" s="28"/>
      <c r="K1118" s="28" t="str">
        <f t="shared" si="151"/>
        <v/>
      </c>
      <c r="L1118" s="17"/>
      <c r="M1118" s="29"/>
      <c r="N1118" s="72"/>
      <c r="O1118" s="73"/>
      <c r="P1118" s="73"/>
      <c r="Q1118" s="72"/>
      <c r="R1118" s="72"/>
      <c r="S1118" s="31" t="str">
        <f t="shared" si="152"/>
        <v/>
      </c>
      <c r="T1118" s="32" t="str">
        <f t="shared" si="153"/>
        <v/>
      </c>
      <c r="U1118" s="73"/>
      <c r="V1118" s="72"/>
      <c r="W1118" s="72"/>
    </row>
    <row r="1119" ht="21.75" customHeight="1">
      <c r="A1119" s="134"/>
      <c r="B1119" s="64"/>
      <c r="C1119" s="23"/>
      <c r="D1119" s="23"/>
      <c r="E1119" s="24"/>
      <c r="F1119" s="25"/>
      <c r="G1119" s="24"/>
      <c r="H1119" s="26"/>
      <c r="I1119" s="27"/>
      <c r="J1119" s="28"/>
      <c r="K1119" s="28" t="str">
        <f t="shared" si="151"/>
        <v/>
      </c>
      <c r="L1119" s="17"/>
      <c r="M1119" s="29"/>
      <c r="N1119" s="72"/>
      <c r="O1119" s="73"/>
      <c r="P1119" s="73"/>
      <c r="Q1119" s="72"/>
      <c r="R1119" s="72"/>
      <c r="S1119" s="31" t="str">
        <f t="shared" si="152"/>
        <v/>
      </c>
      <c r="T1119" s="32" t="str">
        <f t="shared" si="153"/>
        <v/>
      </c>
      <c r="U1119" s="73"/>
      <c r="V1119" s="72"/>
      <c r="W1119" s="72"/>
    </row>
    <row r="1120" ht="21.75" customHeight="1">
      <c r="A1120" s="134"/>
      <c r="B1120" s="64"/>
      <c r="C1120" s="23"/>
      <c r="D1120" s="23"/>
      <c r="E1120" s="24"/>
      <c r="F1120" s="25"/>
      <c r="G1120" s="24"/>
      <c r="H1120" s="26"/>
      <c r="I1120" s="27"/>
      <c r="J1120" s="28"/>
      <c r="K1120" s="28" t="str">
        <f t="shared" si="151"/>
        <v/>
      </c>
      <c r="L1120" s="17"/>
      <c r="M1120" s="29"/>
      <c r="N1120" s="72"/>
      <c r="O1120" s="73"/>
      <c r="P1120" s="73"/>
      <c r="Q1120" s="72"/>
      <c r="R1120" s="72"/>
      <c r="S1120" s="31" t="str">
        <f t="shared" si="152"/>
        <v/>
      </c>
      <c r="T1120" s="32" t="str">
        <f t="shared" si="153"/>
        <v/>
      </c>
      <c r="U1120" s="73"/>
      <c r="V1120" s="72"/>
      <c r="W1120" s="72"/>
    </row>
    <row r="1121" ht="21.75" customHeight="1">
      <c r="A1121" s="134"/>
      <c r="B1121" s="64"/>
      <c r="C1121" s="23"/>
      <c r="D1121" s="23"/>
      <c r="E1121" s="24"/>
      <c r="F1121" s="25"/>
      <c r="G1121" s="24"/>
      <c r="H1121" s="26"/>
      <c r="I1121" s="27"/>
      <c r="J1121" s="28"/>
      <c r="K1121" s="28" t="str">
        <f t="shared" si="151"/>
        <v/>
      </c>
      <c r="L1121" s="17"/>
      <c r="M1121" s="29"/>
      <c r="N1121" s="72"/>
      <c r="O1121" s="73"/>
      <c r="P1121" s="73"/>
      <c r="Q1121" s="72"/>
      <c r="R1121" s="72"/>
      <c r="S1121" s="31" t="str">
        <f t="shared" si="152"/>
        <v/>
      </c>
      <c r="T1121" s="32" t="str">
        <f t="shared" si="153"/>
        <v/>
      </c>
      <c r="U1121" s="73"/>
      <c r="V1121" s="72"/>
      <c r="W1121" s="72"/>
    </row>
    <row r="1122" ht="21.75" customHeight="1">
      <c r="A1122" s="134"/>
      <c r="B1122" s="64"/>
      <c r="C1122" s="23"/>
      <c r="D1122" s="23"/>
      <c r="E1122" s="24"/>
      <c r="F1122" s="25"/>
      <c r="G1122" s="24"/>
      <c r="H1122" s="26"/>
      <c r="I1122" s="27"/>
      <c r="J1122" s="28"/>
      <c r="K1122" s="28" t="str">
        <f t="shared" si="151"/>
        <v/>
      </c>
      <c r="L1122" s="17"/>
      <c r="M1122" s="29"/>
      <c r="N1122" s="72"/>
      <c r="O1122" s="73"/>
      <c r="P1122" s="73"/>
      <c r="Q1122" s="72"/>
      <c r="R1122" s="72"/>
      <c r="S1122" s="31" t="str">
        <f t="shared" si="152"/>
        <v/>
      </c>
      <c r="T1122" s="32" t="str">
        <f t="shared" si="153"/>
        <v/>
      </c>
      <c r="U1122" s="73"/>
      <c r="V1122" s="72"/>
      <c r="W1122" s="72"/>
    </row>
    <row r="1123" ht="21.75" customHeight="1">
      <c r="A1123" s="134"/>
      <c r="B1123" s="64"/>
      <c r="C1123" s="23"/>
      <c r="D1123" s="23"/>
      <c r="E1123" s="24"/>
      <c r="F1123" s="25"/>
      <c r="G1123" s="24"/>
      <c r="H1123" s="26"/>
      <c r="I1123" s="27"/>
      <c r="J1123" s="28"/>
      <c r="K1123" s="28" t="str">
        <f t="shared" si="151"/>
        <v/>
      </c>
      <c r="L1123" s="17"/>
      <c r="M1123" s="29"/>
      <c r="N1123" s="72"/>
      <c r="O1123" s="73"/>
      <c r="P1123" s="73"/>
      <c r="Q1123" s="72"/>
      <c r="R1123" s="72"/>
      <c r="S1123" s="31" t="str">
        <f t="shared" si="152"/>
        <v/>
      </c>
      <c r="T1123" s="32" t="str">
        <f t="shared" si="153"/>
        <v/>
      </c>
      <c r="U1123" s="73"/>
      <c r="V1123" s="72"/>
      <c r="W1123" s="72"/>
    </row>
    <row r="1124" ht="21.75" customHeight="1">
      <c r="A1124" s="134"/>
      <c r="B1124" s="64"/>
      <c r="C1124" s="23"/>
      <c r="D1124" s="23"/>
      <c r="E1124" s="24"/>
      <c r="F1124" s="25"/>
      <c r="G1124" s="24"/>
      <c r="H1124" s="26"/>
      <c r="I1124" s="27"/>
      <c r="J1124" s="28"/>
      <c r="K1124" s="28" t="str">
        <f t="shared" si="151"/>
        <v/>
      </c>
      <c r="L1124" s="17"/>
      <c r="M1124" s="29"/>
      <c r="N1124" s="72"/>
      <c r="O1124" s="73"/>
      <c r="P1124" s="73"/>
      <c r="Q1124" s="72"/>
      <c r="R1124" s="72"/>
      <c r="S1124" s="31" t="str">
        <f t="shared" si="152"/>
        <v/>
      </c>
      <c r="T1124" s="32" t="str">
        <f t="shared" si="153"/>
        <v/>
      </c>
      <c r="U1124" s="73"/>
      <c r="V1124" s="72"/>
      <c r="W1124" s="72"/>
    </row>
    <row r="1125" ht="21.75" customHeight="1">
      <c r="A1125" s="134"/>
      <c r="B1125" s="64"/>
      <c r="C1125" s="23"/>
      <c r="D1125" s="23"/>
      <c r="E1125" s="24"/>
      <c r="F1125" s="25"/>
      <c r="G1125" s="24"/>
      <c r="H1125" s="26"/>
      <c r="I1125" s="27"/>
      <c r="J1125" s="28"/>
      <c r="K1125" s="28" t="str">
        <f t="shared" si="151"/>
        <v/>
      </c>
      <c r="L1125" s="17"/>
      <c r="M1125" s="29"/>
      <c r="N1125" s="72"/>
      <c r="O1125" s="73"/>
      <c r="P1125" s="73"/>
      <c r="Q1125" s="72"/>
      <c r="R1125" s="72"/>
      <c r="S1125" s="31" t="str">
        <f t="shared" si="152"/>
        <v/>
      </c>
      <c r="T1125" s="32" t="str">
        <f t="shared" si="153"/>
        <v/>
      </c>
      <c r="U1125" s="73"/>
      <c r="V1125" s="72"/>
      <c r="W1125" s="72"/>
    </row>
    <row r="1126" ht="21.75" customHeight="1">
      <c r="A1126" s="134"/>
      <c r="B1126" s="64"/>
      <c r="C1126" s="23"/>
      <c r="D1126" s="23"/>
      <c r="E1126" s="24"/>
      <c r="F1126" s="25"/>
      <c r="G1126" s="24"/>
      <c r="H1126" s="26"/>
      <c r="I1126" s="27"/>
      <c r="J1126" s="28"/>
      <c r="K1126" s="28" t="str">
        <f t="shared" si="151"/>
        <v/>
      </c>
      <c r="L1126" s="17"/>
      <c r="M1126" s="29"/>
      <c r="N1126" s="72"/>
      <c r="O1126" s="73"/>
      <c r="P1126" s="73"/>
      <c r="Q1126" s="72"/>
      <c r="R1126" s="72"/>
      <c r="S1126" s="31" t="str">
        <f t="shared" si="152"/>
        <v/>
      </c>
      <c r="T1126" s="32" t="str">
        <f t="shared" si="153"/>
        <v/>
      </c>
      <c r="U1126" s="73"/>
      <c r="V1126" s="72"/>
      <c r="W1126" s="72"/>
    </row>
    <row r="1127" ht="21.75" customHeight="1">
      <c r="A1127" s="134"/>
      <c r="B1127" s="64"/>
      <c r="C1127" s="23"/>
      <c r="D1127" s="23"/>
      <c r="E1127" s="24"/>
      <c r="F1127" s="25"/>
      <c r="G1127" s="24"/>
      <c r="H1127" s="26"/>
      <c r="I1127" s="27"/>
      <c r="J1127" s="28"/>
      <c r="K1127" s="28" t="str">
        <f t="shared" si="151"/>
        <v/>
      </c>
      <c r="L1127" s="17"/>
      <c r="M1127" s="29"/>
      <c r="N1127" s="72"/>
      <c r="O1127" s="73"/>
      <c r="P1127" s="73"/>
      <c r="Q1127" s="72"/>
      <c r="R1127" s="72"/>
      <c r="S1127" s="31" t="str">
        <f t="shared" si="152"/>
        <v/>
      </c>
      <c r="T1127" s="32" t="str">
        <f t="shared" si="153"/>
        <v/>
      </c>
      <c r="U1127" s="73"/>
      <c r="V1127" s="72"/>
      <c r="W1127" s="72"/>
    </row>
    <row r="1128" ht="21.75" customHeight="1">
      <c r="A1128" s="134"/>
      <c r="B1128" s="64"/>
      <c r="C1128" s="23"/>
      <c r="D1128" s="23"/>
      <c r="E1128" s="24"/>
      <c r="F1128" s="25"/>
      <c r="G1128" s="24"/>
      <c r="H1128" s="26"/>
      <c r="I1128" s="27"/>
      <c r="J1128" s="28"/>
      <c r="K1128" s="28" t="str">
        <f t="shared" si="151"/>
        <v/>
      </c>
      <c r="L1128" s="17"/>
      <c r="M1128" s="29"/>
      <c r="N1128" s="72"/>
      <c r="O1128" s="73"/>
      <c r="P1128" s="73"/>
      <c r="Q1128" s="72"/>
      <c r="R1128" s="72"/>
      <c r="S1128" s="31" t="str">
        <f t="shared" si="152"/>
        <v/>
      </c>
      <c r="T1128" s="32" t="str">
        <f t="shared" si="153"/>
        <v/>
      </c>
      <c r="U1128" s="73"/>
      <c r="V1128" s="72"/>
      <c r="W1128" s="72"/>
    </row>
    <row r="1129" ht="21.75" customHeight="1">
      <c r="A1129" s="134"/>
      <c r="B1129" s="64"/>
      <c r="C1129" s="23"/>
      <c r="D1129" s="23"/>
      <c r="E1129" s="24"/>
      <c r="F1129" s="25"/>
      <c r="G1129" s="24"/>
      <c r="H1129" s="26"/>
      <c r="I1129" s="27"/>
      <c r="J1129" s="28"/>
      <c r="K1129" s="28" t="str">
        <f t="shared" si="151"/>
        <v/>
      </c>
      <c r="L1129" s="17"/>
      <c r="M1129" s="29"/>
      <c r="N1129" s="72"/>
      <c r="O1129" s="73"/>
      <c r="P1129" s="73"/>
      <c r="Q1129" s="72"/>
      <c r="R1129" s="72"/>
      <c r="S1129" s="31" t="str">
        <f t="shared" si="152"/>
        <v/>
      </c>
      <c r="T1129" s="32" t="str">
        <f t="shared" si="153"/>
        <v/>
      </c>
      <c r="U1129" s="73"/>
      <c r="V1129" s="72"/>
      <c r="W1129" s="72"/>
    </row>
    <row r="1130" ht="21.75" customHeight="1">
      <c r="A1130" s="134"/>
      <c r="B1130" s="64"/>
      <c r="C1130" s="23"/>
      <c r="D1130" s="23"/>
      <c r="E1130" s="24"/>
      <c r="F1130" s="25"/>
      <c r="G1130" s="24"/>
      <c r="H1130" s="26"/>
      <c r="I1130" s="27"/>
      <c r="J1130" s="28"/>
      <c r="K1130" s="28" t="str">
        <f t="shared" si="151"/>
        <v/>
      </c>
      <c r="L1130" s="17"/>
      <c r="M1130" s="29"/>
      <c r="N1130" s="72"/>
      <c r="O1130" s="73"/>
      <c r="P1130" s="73"/>
      <c r="Q1130" s="72"/>
      <c r="R1130" s="72"/>
      <c r="S1130" s="31" t="str">
        <f t="shared" si="152"/>
        <v/>
      </c>
      <c r="T1130" s="32" t="str">
        <f t="shared" si="153"/>
        <v/>
      </c>
      <c r="U1130" s="73"/>
      <c r="V1130" s="72"/>
      <c r="W1130" s="72"/>
    </row>
    <row r="1131" ht="21.75" customHeight="1">
      <c r="A1131" s="134"/>
      <c r="B1131" s="64"/>
      <c r="C1131" s="23"/>
      <c r="D1131" s="23"/>
      <c r="E1131" s="24"/>
      <c r="F1131" s="25"/>
      <c r="G1131" s="24"/>
      <c r="H1131" s="26"/>
      <c r="I1131" s="27"/>
      <c r="J1131" s="28"/>
      <c r="K1131" s="28" t="str">
        <f t="shared" si="151"/>
        <v/>
      </c>
      <c r="L1131" s="17"/>
      <c r="M1131" s="29"/>
      <c r="N1131" s="72"/>
      <c r="O1131" s="73"/>
      <c r="P1131" s="73"/>
      <c r="Q1131" s="72"/>
      <c r="R1131" s="72"/>
      <c r="S1131" s="31" t="str">
        <f t="shared" si="152"/>
        <v/>
      </c>
      <c r="T1131" s="32" t="str">
        <f t="shared" si="153"/>
        <v/>
      </c>
      <c r="U1131" s="73"/>
      <c r="V1131" s="72"/>
      <c r="W1131" s="72"/>
    </row>
    <row r="1132" ht="21.75" customHeight="1">
      <c r="A1132" s="134"/>
      <c r="B1132" s="64"/>
      <c r="C1132" s="23"/>
      <c r="D1132" s="23"/>
      <c r="E1132" s="24"/>
      <c r="F1132" s="25"/>
      <c r="G1132" s="24"/>
      <c r="H1132" s="26"/>
      <c r="I1132" s="27"/>
      <c r="J1132" s="28"/>
      <c r="K1132" s="28" t="str">
        <f t="shared" si="151"/>
        <v/>
      </c>
      <c r="L1132" s="17"/>
      <c r="M1132" s="29"/>
      <c r="N1132" s="72"/>
      <c r="O1132" s="73"/>
      <c r="P1132" s="73"/>
      <c r="Q1132" s="72"/>
      <c r="R1132" s="72"/>
      <c r="S1132" s="31" t="str">
        <f t="shared" si="152"/>
        <v/>
      </c>
      <c r="T1132" s="32" t="str">
        <f t="shared" si="153"/>
        <v/>
      </c>
      <c r="U1132" s="73"/>
      <c r="V1132" s="72"/>
      <c r="W1132" s="72"/>
    </row>
    <row r="1133" ht="21.75" customHeight="1">
      <c r="A1133" s="134"/>
      <c r="B1133" s="64"/>
      <c r="C1133" s="23"/>
      <c r="D1133" s="23"/>
      <c r="E1133" s="24"/>
      <c r="F1133" s="25"/>
      <c r="G1133" s="24"/>
      <c r="H1133" s="26"/>
      <c r="I1133" s="27"/>
      <c r="J1133" s="28"/>
      <c r="K1133" s="28" t="str">
        <f t="shared" si="151"/>
        <v/>
      </c>
      <c r="L1133" s="17"/>
      <c r="M1133" s="29"/>
      <c r="N1133" s="72"/>
      <c r="O1133" s="73"/>
      <c r="P1133" s="73"/>
      <c r="Q1133" s="72"/>
      <c r="R1133" s="72"/>
      <c r="S1133" s="31" t="str">
        <f t="shared" si="152"/>
        <v/>
      </c>
      <c r="T1133" s="32" t="str">
        <f t="shared" si="153"/>
        <v/>
      </c>
      <c r="U1133" s="73"/>
      <c r="V1133" s="72"/>
      <c r="W1133" s="72"/>
    </row>
    <row r="1134" ht="21.75" customHeight="1">
      <c r="A1134" s="134"/>
      <c r="B1134" s="64"/>
      <c r="C1134" s="23"/>
      <c r="D1134" s="23"/>
      <c r="E1134" s="24"/>
      <c r="F1134" s="25"/>
      <c r="G1134" s="24"/>
      <c r="H1134" s="26"/>
      <c r="I1134" s="27"/>
      <c r="J1134" s="28"/>
      <c r="K1134" s="28" t="str">
        <f t="shared" si="151"/>
        <v/>
      </c>
      <c r="L1134" s="17"/>
      <c r="M1134" s="29"/>
      <c r="N1134" s="72"/>
      <c r="O1134" s="73"/>
      <c r="P1134" s="73"/>
      <c r="Q1134" s="72"/>
      <c r="R1134" s="72"/>
      <c r="S1134" s="31" t="str">
        <f t="shared" si="152"/>
        <v/>
      </c>
      <c r="T1134" s="32" t="str">
        <f t="shared" si="153"/>
        <v/>
      </c>
      <c r="U1134" s="73"/>
      <c r="V1134" s="72"/>
      <c r="W1134" s="72"/>
    </row>
    <row r="1135" ht="21.75" customHeight="1">
      <c r="A1135" s="134"/>
      <c r="B1135" s="64"/>
      <c r="C1135" s="23"/>
      <c r="D1135" s="23"/>
      <c r="E1135" s="24"/>
      <c r="F1135" s="25"/>
      <c r="G1135" s="24"/>
      <c r="H1135" s="26"/>
      <c r="I1135" s="27"/>
      <c r="J1135" s="28"/>
      <c r="K1135" s="28" t="str">
        <f t="shared" si="151"/>
        <v/>
      </c>
      <c r="L1135" s="17"/>
      <c r="M1135" s="29"/>
      <c r="N1135" s="72"/>
      <c r="O1135" s="73"/>
      <c r="P1135" s="73"/>
      <c r="Q1135" s="72"/>
      <c r="R1135" s="72"/>
      <c r="S1135" s="31" t="str">
        <f t="shared" si="152"/>
        <v/>
      </c>
      <c r="T1135" s="32" t="str">
        <f t="shared" si="153"/>
        <v/>
      </c>
      <c r="U1135" s="73"/>
      <c r="V1135" s="72"/>
      <c r="W1135" s="72"/>
    </row>
    <row r="1136" ht="21.75" customHeight="1">
      <c r="A1136" s="134"/>
      <c r="B1136" s="64"/>
      <c r="C1136" s="23"/>
      <c r="D1136" s="23"/>
      <c r="E1136" s="24"/>
      <c r="F1136" s="25"/>
      <c r="G1136" s="24"/>
      <c r="H1136" s="26"/>
      <c r="I1136" s="27"/>
      <c r="J1136" s="28"/>
      <c r="K1136" s="28" t="str">
        <f t="shared" si="151"/>
        <v/>
      </c>
      <c r="L1136" s="17"/>
      <c r="M1136" s="29"/>
      <c r="N1136" s="72"/>
      <c r="O1136" s="73"/>
      <c r="P1136" s="73"/>
      <c r="Q1136" s="72"/>
      <c r="R1136" s="72"/>
      <c r="S1136" s="31" t="str">
        <f t="shared" si="152"/>
        <v/>
      </c>
      <c r="T1136" s="32" t="str">
        <f t="shared" si="153"/>
        <v/>
      </c>
      <c r="U1136" s="73"/>
      <c r="V1136" s="72"/>
      <c r="W1136" s="72"/>
    </row>
    <row r="1137" ht="21.75" customHeight="1">
      <c r="A1137" s="134"/>
      <c r="B1137" s="64"/>
      <c r="C1137" s="23"/>
      <c r="D1137" s="23"/>
      <c r="E1137" s="24"/>
      <c r="F1137" s="25"/>
      <c r="G1137" s="24"/>
      <c r="H1137" s="26"/>
      <c r="I1137" s="27"/>
      <c r="J1137" s="28"/>
      <c r="K1137" s="28" t="str">
        <f t="shared" si="151"/>
        <v/>
      </c>
      <c r="L1137" s="17"/>
      <c r="M1137" s="29"/>
      <c r="N1137" s="72"/>
      <c r="O1137" s="73"/>
      <c r="P1137" s="73"/>
      <c r="Q1137" s="72"/>
      <c r="R1137" s="72"/>
      <c r="S1137" s="31" t="str">
        <f t="shared" si="152"/>
        <v/>
      </c>
      <c r="T1137" s="32" t="str">
        <f t="shared" si="153"/>
        <v/>
      </c>
      <c r="U1137" s="73"/>
      <c r="V1137" s="72"/>
      <c r="W1137" s="72"/>
    </row>
    <row r="1138" ht="21.75" customHeight="1">
      <c r="A1138" s="134"/>
      <c r="B1138" s="64"/>
      <c r="C1138" s="23"/>
      <c r="D1138" s="23"/>
      <c r="E1138" s="24"/>
      <c r="F1138" s="25"/>
      <c r="G1138" s="24"/>
      <c r="H1138" s="26"/>
      <c r="I1138" s="27"/>
      <c r="J1138" s="28"/>
      <c r="K1138" s="28" t="str">
        <f t="shared" si="151"/>
        <v/>
      </c>
      <c r="L1138" s="17"/>
      <c r="M1138" s="29"/>
      <c r="N1138" s="72"/>
      <c r="O1138" s="73"/>
      <c r="P1138" s="73"/>
      <c r="Q1138" s="72"/>
      <c r="R1138" s="72"/>
      <c r="S1138" s="31" t="str">
        <f t="shared" si="152"/>
        <v/>
      </c>
      <c r="T1138" s="32" t="str">
        <f t="shared" si="153"/>
        <v/>
      </c>
      <c r="U1138" s="73"/>
      <c r="V1138" s="72"/>
      <c r="W1138" s="72"/>
    </row>
    <row r="1139" ht="21.75" customHeight="1">
      <c r="A1139" s="134"/>
      <c r="B1139" s="64"/>
      <c r="C1139" s="23"/>
      <c r="D1139" s="23"/>
      <c r="E1139" s="24"/>
      <c r="F1139" s="25"/>
      <c r="G1139" s="24"/>
      <c r="H1139" s="26"/>
      <c r="I1139" s="27"/>
      <c r="J1139" s="28"/>
      <c r="K1139" s="28" t="str">
        <f t="shared" si="151"/>
        <v/>
      </c>
      <c r="L1139" s="17"/>
      <c r="M1139" s="29"/>
      <c r="N1139" s="72"/>
      <c r="O1139" s="73"/>
      <c r="P1139" s="73"/>
      <c r="Q1139" s="72"/>
      <c r="R1139" s="72"/>
      <c r="S1139" s="31" t="str">
        <f t="shared" si="152"/>
        <v/>
      </c>
      <c r="T1139" s="32" t="str">
        <f t="shared" si="153"/>
        <v/>
      </c>
      <c r="U1139" s="73"/>
      <c r="V1139" s="72"/>
      <c r="W1139" s="72"/>
    </row>
    <row r="1140" ht="21.75" customHeight="1">
      <c r="A1140" s="134"/>
      <c r="B1140" s="64"/>
      <c r="C1140" s="23"/>
      <c r="D1140" s="23"/>
      <c r="E1140" s="24"/>
      <c r="F1140" s="25"/>
      <c r="G1140" s="24"/>
      <c r="H1140" s="26"/>
      <c r="I1140" s="27"/>
      <c r="J1140" s="28"/>
      <c r="K1140" s="28" t="str">
        <f t="shared" si="151"/>
        <v/>
      </c>
      <c r="L1140" s="17"/>
      <c r="M1140" s="29"/>
      <c r="N1140" s="72"/>
      <c r="O1140" s="73"/>
      <c r="P1140" s="73"/>
      <c r="Q1140" s="72"/>
      <c r="R1140" s="72"/>
      <c r="S1140" s="31" t="str">
        <f t="shared" si="152"/>
        <v/>
      </c>
      <c r="T1140" s="32" t="str">
        <f t="shared" si="153"/>
        <v/>
      </c>
      <c r="U1140" s="73"/>
      <c r="V1140" s="72"/>
      <c r="W1140" s="72"/>
    </row>
    <row r="1141" ht="21.75" customHeight="1">
      <c r="A1141" s="134"/>
      <c r="B1141" s="64"/>
      <c r="C1141" s="23"/>
      <c r="D1141" s="23"/>
      <c r="E1141" s="24"/>
      <c r="F1141" s="25"/>
      <c r="G1141" s="24"/>
      <c r="H1141" s="26"/>
      <c r="I1141" s="27"/>
      <c r="J1141" s="28"/>
      <c r="K1141" s="28" t="str">
        <f t="shared" si="151"/>
        <v/>
      </c>
      <c r="L1141" s="17"/>
      <c r="M1141" s="29"/>
      <c r="N1141" s="72"/>
      <c r="O1141" s="73"/>
      <c r="P1141" s="73"/>
      <c r="Q1141" s="72"/>
      <c r="R1141" s="72"/>
      <c r="S1141" s="31" t="str">
        <f t="shared" si="152"/>
        <v/>
      </c>
      <c r="T1141" s="32" t="str">
        <f t="shared" si="153"/>
        <v/>
      </c>
      <c r="U1141" s="73"/>
      <c r="V1141" s="72"/>
      <c r="W1141" s="72"/>
    </row>
    <row r="1142" ht="21.75" customHeight="1">
      <c r="A1142" s="134"/>
      <c r="B1142" s="64"/>
      <c r="C1142" s="23"/>
      <c r="D1142" s="23"/>
      <c r="E1142" s="24"/>
      <c r="F1142" s="25"/>
      <c r="G1142" s="24"/>
      <c r="H1142" s="26"/>
      <c r="I1142" s="27"/>
      <c r="J1142" s="28"/>
      <c r="K1142" s="28" t="str">
        <f t="shared" si="151"/>
        <v/>
      </c>
      <c r="L1142" s="17"/>
      <c r="M1142" s="29"/>
      <c r="N1142" s="72"/>
      <c r="O1142" s="73"/>
      <c r="P1142" s="73"/>
      <c r="Q1142" s="72"/>
      <c r="R1142" s="72"/>
      <c r="S1142" s="31" t="str">
        <f t="shared" si="152"/>
        <v/>
      </c>
      <c r="T1142" s="32" t="str">
        <f t="shared" si="153"/>
        <v/>
      </c>
      <c r="U1142" s="73"/>
      <c r="V1142" s="72"/>
      <c r="W1142" s="72"/>
    </row>
    <row r="1143" ht="21.75" customHeight="1">
      <c r="A1143" s="134"/>
      <c r="B1143" s="64"/>
      <c r="C1143" s="23"/>
      <c r="D1143" s="23"/>
      <c r="E1143" s="24"/>
      <c r="F1143" s="25"/>
      <c r="G1143" s="24"/>
      <c r="H1143" s="26"/>
      <c r="I1143" s="27"/>
      <c r="J1143" s="28"/>
      <c r="K1143" s="28" t="str">
        <f t="shared" si="151"/>
        <v/>
      </c>
      <c r="L1143" s="17"/>
      <c r="M1143" s="29"/>
      <c r="N1143" s="72"/>
      <c r="O1143" s="73"/>
      <c r="P1143" s="73"/>
      <c r="Q1143" s="72"/>
      <c r="R1143" s="72"/>
      <c r="S1143" s="31" t="str">
        <f t="shared" si="152"/>
        <v/>
      </c>
      <c r="T1143" s="32" t="str">
        <f t="shared" si="153"/>
        <v/>
      </c>
      <c r="U1143" s="73"/>
      <c r="V1143" s="72"/>
      <c r="W1143" s="72"/>
    </row>
    <row r="1144" ht="21.75" customHeight="1">
      <c r="A1144" s="134"/>
      <c r="B1144" s="64"/>
      <c r="C1144" s="23"/>
      <c r="D1144" s="23"/>
      <c r="E1144" s="24"/>
      <c r="F1144" s="25"/>
      <c r="G1144" s="24"/>
      <c r="H1144" s="26"/>
      <c r="I1144" s="27"/>
      <c r="J1144" s="28"/>
      <c r="K1144" s="28" t="str">
        <f t="shared" si="151"/>
        <v/>
      </c>
      <c r="L1144" s="17"/>
      <c r="M1144" s="29"/>
      <c r="N1144" s="72"/>
      <c r="O1144" s="73"/>
      <c r="P1144" s="73"/>
      <c r="Q1144" s="72"/>
      <c r="R1144" s="72"/>
      <c r="S1144" s="31" t="str">
        <f t="shared" si="152"/>
        <v/>
      </c>
      <c r="T1144" s="32" t="str">
        <f t="shared" si="153"/>
        <v/>
      </c>
      <c r="U1144" s="73"/>
      <c r="V1144" s="72"/>
      <c r="W1144" s="72"/>
    </row>
    <row r="1145" ht="21.75" customHeight="1">
      <c r="A1145" s="134"/>
      <c r="B1145" s="64"/>
      <c r="C1145" s="23"/>
      <c r="D1145" s="23"/>
      <c r="E1145" s="24"/>
      <c r="F1145" s="25"/>
      <c r="G1145" s="24"/>
      <c r="H1145" s="26"/>
      <c r="I1145" s="27"/>
      <c r="J1145" s="28"/>
      <c r="K1145" s="28" t="str">
        <f t="shared" si="151"/>
        <v/>
      </c>
      <c r="L1145" s="17"/>
      <c r="M1145" s="29"/>
      <c r="N1145" s="72"/>
      <c r="O1145" s="73"/>
      <c r="P1145" s="73"/>
      <c r="Q1145" s="72"/>
      <c r="R1145" s="72"/>
      <c r="S1145" s="31" t="str">
        <f t="shared" si="152"/>
        <v/>
      </c>
      <c r="T1145" s="32" t="str">
        <f t="shared" si="153"/>
        <v/>
      </c>
      <c r="U1145" s="73"/>
      <c r="V1145" s="72"/>
      <c r="W1145" s="72"/>
    </row>
    <row r="1146" ht="21.75" customHeight="1">
      <c r="A1146" s="134"/>
      <c r="B1146" s="64"/>
      <c r="C1146" s="23"/>
      <c r="D1146" s="23"/>
      <c r="E1146" s="24"/>
      <c r="F1146" s="25"/>
      <c r="G1146" s="24"/>
      <c r="H1146" s="26"/>
      <c r="I1146" s="27"/>
      <c r="J1146" s="28"/>
      <c r="K1146" s="28" t="str">
        <f t="shared" si="151"/>
        <v/>
      </c>
      <c r="L1146" s="17"/>
      <c r="M1146" s="29"/>
      <c r="N1146" s="72"/>
      <c r="O1146" s="73"/>
      <c r="P1146" s="73"/>
      <c r="Q1146" s="72"/>
      <c r="R1146" s="72"/>
      <c r="S1146" s="31" t="str">
        <f t="shared" si="152"/>
        <v/>
      </c>
      <c r="T1146" s="32" t="str">
        <f t="shared" si="153"/>
        <v/>
      </c>
      <c r="U1146" s="73"/>
      <c r="V1146" s="72"/>
      <c r="W1146" s="72"/>
    </row>
    <row r="1147" ht="21.75" customHeight="1">
      <c r="A1147" s="134"/>
      <c r="B1147" s="64"/>
      <c r="C1147" s="23"/>
      <c r="D1147" s="23"/>
      <c r="E1147" s="24"/>
      <c r="F1147" s="25"/>
      <c r="G1147" s="24"/>
      <c r="H1147" s="26"/>
      <c r="I1147" s="27"/>
      <c r="J1147" s="28"/>
      <c r="K1147" s="28" t="str">
        <f t="shared" si="151"/>
        <v/>
      </c>
      <c r="L1147" s="17"/>
      <c r="M1147" s="29"/>
      <c r="N1147" s="72"/>
      <c r="O1147" s="73"/>
      <c r="P1147" s="73"/>
      <c r="Q1147" s="72"/>
      <c r="R1147" s="72"/>
      <c r="S1147" s="31" t="str">
        <f t="shared" si="152"/>
        <v/>
      </c>
      <c r="T1147" s="32" t="str">
        <f t="shared" si="153"/>
        <v/>
      </c>
      <c r="U1147" s="73"/>
      <c r="V1147" s="72"/>
      <c r="W1147" s="72"/>
    </row>
    <row r="1148" ht="21.75" customHeight="1">
      <c r="A1148" s="134"/>
      <c r="B1148" s="64"/>
      <c r="C1148" s="23"/>
      <c r="D1148" s="23"/>
      <c r="E1148" s="24"/>
      <c r="F1148" s="25"/>
      <c r="G1148" s="24"/>
      <c r="H1148" s="26"/>
      <c r="I1148" s="27"/>
      <c r="J1148" s="28"/>
      <c r="K1148" s="28" t="str">
        <f t="shared" si="151"/>
        <v/>
      </c>
      <c r="L1148" s="17"/>
      <c r="M1148" s="29"/>
      <c r="N1148" s="72"/>
      <c r="O1148" s="73"/>
      <c r="P1148" s="73"/>
      <c r="Q1148" s="72"/>
      <c r="R1148" s="72"/>
      <c r="S1148" s="31" t="str">
        <f t="shared" si="152"/>
        <v/>
      </c>
      <c r="T1148" s="32" t="str">
        <f t="shared" si="153"/>
        <v/>
      </c>
      <c r="U1148" s="73"/>
      <c r="V1148" s="72"/>
      <c r="W1148" s="72"/>
    </row>
    <row r="1149" ht="21.75" customHeight="1">
      <c r="A1149" s="134"/>
      <c r="B1149" s="64"/>
      <c r="C1149" s="23"/>
      <c r="D1149" s="23"/>
      <c r="E1149" s="24"/>
      <c r="F1149" s="25"/>
      <c r="G1149" s="24"/>
      <c r="H1149" s="26"/>
      <c r="I1149" s="27"/>
      <c r="J1149" s="28"/>
      <c r="K1149" s="28" t="str">
        <f t="shared" si="151"/>
        <v/>
      </c>
      <c r="L1149" s="17"/>
      <c r="M1149" s="29"/>
      <c r="N1149" s="72"/>
      <c r="O1149" s="73"/>
      <c r="P1149" s="73"/>
      <c r="Q1149" s="72"/>
      <c r="R1149" s="72"/>
      <c r="S1149" s="31" t="str">
        <f t="shared" si="152"/>
        <v/>
      </c>
      <c r="T1149" s="32" t="str">
        <f t="shared" si="153"/>
        <v/>
      </c>
      <c r="U1149" s="73"/>
      <c r="V1149" s="72"/>
      <c r="W1149" s="72"/>
    </row>
    <row r="1150" ht="21.75" customHeight="1">
      <c r="A1150" s="134"/>
      <c r="B1150" s="64"/>
      <c r="C1150" s="23"/>
      <c r="D1150" s="23"/>
      <c r="E1150" s="24"/>
      <c r="F1150" s="25"/>
      <c r="G1150" s="24"/>
      <c r="H1150" s="26"/>
      <c r="I1150" s="27"/>
      <c r="J1150" s="28"/>
      <c r="K1150" s="28" t="str">
        <f t="shared" si="151"/>
        <v/>
      </c>
      <c r="L1150" s="17"/>
      <c r="M1150" s="29"/>
      <c r="N1150" s="72"/>
      <c r="O1150" s="73"/>
      <c r="P1150" s="73"/>
      <c r="Q1150" s="72"/>
      <c r="R1150" s="72"/>
      <c r="S1150" s="31" t="str">
        <f t="shared" si="152"/>
        <v/>
      </c>
      <c r="T1150" s="32" t="str">
        <f t="shared" si="153"/>
        <v/>
      </c>
      <c r="U1150" s="73"/>
      <c r="V1150" s="72"/>
      <c r="W1150" s="72"/>
    </row>
    <row r="1151" ht="21.75" customHeight="1">
      <c r="A1151" s="134"/>
      <c r="B1151" s="64"/>
      <c r="C1151" s="23"/>
      <c r="D1151" s="23"/>
      <c r="E1151" s="24"/>
      <c r="F1151" s="25"/>
      <c r="G1151" s="24"/>
      <c r="H1151" s="26"/>
      <c r="I1151" s="27"/>
      <c r="J1151" s="28"/>
      <c r="K1151" s="28" t="str">
        <f t="shared" si="151"/>
        <v/>
      </c>
      <c r="L1151" s="17"/>
      <c r="M1151" s="29"/>
      <c r="N1151" s="72"/>
      <c r="O1151" s="73"/>
      <c r="P1151" s="73"/>
      <c r="Q1151" s="72"/>
      <c r="R1151" s="72"/>
      <c r="S1151" s="31" t="str">
        <f t="shared" si="152"/>
        <v/>
      </c>
      <c r="T1151" s="32" t="str">
        <f t="shared" si="153"/>
        <v/>
      </c>
      <c r="U1151" s="73"/>
      <c r="V1151" s="72"/>
      <c r="W1151" s="72"/>
    </row>
    <row r="1152" ht="21.75" customHeight="1">
      <c r="A1152" s="134"/>
      <c r="B1152" s="64"/>
      <c r="C1152" s="23"/>
      <c r="D1152" s="23"/>
      <c r="E1152" s="24"/>
      <c r="F1152" s="25"/>
      <c r="G1152" s="24"/>
      <c r="H1152" s="26"/>
      <c r="I1152" s="27"/>
      <c r="J1152" s="28"/>
      <c r="K1152" s="28" t="str">
        <f t="shared" si="151"/>
        <v/>
      </c>
      <c r="L1152" s="17"/>
      <c r="M1152" s="29"/>
      <c r="N1152" s="72"/>
      <c r="O1152" s="73"/>
      <c r="P1152" s="73"/>
      <c r="Q1152" s="72"/>
      <c r="R1152" s="72"/>
      <c r="S1152" s="31" t="str">
        <f t="shared" si="152"/>
        <v/>
      </c>
      <c r="T1152" s="32" t="str">
        <f t="shared" si="153"/>
        <v/>
      </c>
      <c r="U1152" s="73"/>
      <c r="V1152" s="72"/>
      <c r="W1152" s="72"/>
    </row>
    <row r="1153" ht="21.75" customHeight="1">
      <c r="A1153" s="134"/>
      <c r="B1153" s="64"/>
      <c r="C1153" s="23"/>
      <c r="D1153" s="23"/>
      <c r="E1153" s="24"/>
      <c r="F1153" s="25"/>
      <c r="G1153" s="24"/>
      <c r="H1153" s="26"/>
      <c r="I1153" s="27"/>
      <c r="J1153" s="28"/>
      <c r="K1153" s="28" t="str">
        <f t="shared" si="151"/>
        <v/>
      </c>
      <c r="L1153" s="17"/>
      <c r="M1153" s="29"/>
      <c r="N1153" s="72"/>
      <c r="O1153" s="73"/>
      <c r="P1153" s="73"/>
      <c r="Q1153" s="72"/>
      <c r="R1153" s="72"/>
      <c r="S1153" s="31" t="str">
        <f t="shared" si="152"/>
        <v/>
      </c>
      <c r="T1153" s="32" t="str">
        <f t="shared" si="153"/>
        <v/>
      </c>
      <c r="U1153" s="73"/>
      <c r="V1153" s="72"/>
      <c r="W1153" s="72"/>
    </row>
    <row r="1154" ht="21.75" customHeight="1">
      <c r="A1154" s="134"/>
      <c r="B1154" s="64"/>
      <c r="C1154" s="23"/>
      <c r="D1154" s="23"/>
      <c r="E1154" s="24"/>
      <c r="F1154" s="25"/>
      <c r="G1154" s="24"/>
      <c r="H1154" s="26"/>
      <c r="I1154" s="27"/>
      <c r="J1154" s="28"/>
      <c r="K1154" s="28" t="str">
        <f t="shared" si="151"/>
        <v/>
      </c>
      <c r="L1154" s="17"/>
      <c r="M1154" s="29"/>
      <c r="N1154" s="72"/>
      <c r="O1154" s="73"/>
      <c r="P1154" s="73"/>
      <c r="Q1154" s="72"/>
      <c r="R1154" s="72"/>
      <c r="S1154" s="31" t="str">
        <f t="shared" si="152"/>
        <v/>
      </c>
      <c r="T1154" s="32" t="str">
        <f t="shared" si="153"/>
        <v/>
      </c>
      <c r="U1154" s="73"/>
      <c r="V1154" s="72"/>
      <c r="W1154" s="72"/>
    </row>
    <row r="1155" ht="21.75" customHeight="1">
      <c r="A1155" s="134"/>
      <c r="B1155" s="64"/>
      <c r="C1155" s="23"/>
      <c r="D1155" s="23"/>
      <c r="E1155" s="24"/>
      <c r="F1155" s="25"/>
      <c r="G1155" s="24"/>
      <c r="H1155" s="26"/>
      <c r="I1155" s="27"/>
      <c r="J1155" s="28"/>
      <c r="K1155" s="28" t="str">
        <f t="shared" si="151"/>
        <v/>
      </c>
      <c r="L1155" s="17"/>
      <c r="M1155" s="29"/>
      <c r="N1155" s="72"/>
      <c r="O1155" s="73"/>
      <c r="P1155" s="73"/>
      <c r="Q1155" s="72"/>
      <c r="R1155" s="72"/>
      <c r="S1155" s="31" t="str">
        <f t="shared" si="152"/>
        <v/>
      </c>
      <c r="T1155" s="32" t="str">
        <f t="shared" si="153"/>
        <v/>
      </c>
      <c r="U1155" s="73"/>
      <c r="V1155" s="72"/>
      <c r="W1155" s="72"/>
    </row>
    <row r="1156" ht="21.75" customHeight="1">
      <c r="A1156" s="134"/>
      <c r="B1156" s="64"/>
      <c r="C1156" s="23"/>
      <c r="D1156" s="23"/>
      <c r="E1156" s="24"/>
      <c r="F1156" s="25"/>
      <c r="G1156" s="24"/>
      <c r="H1156" s="26"/>
      <c r="I1156" s="27"/>
      <c r="J1156" s="28"/>
      <c r="K1156" s="28" t="str">
        <f t="shared" si="151"/>
        <v/>
      </c>
      <c r="L1156" s="17"/>
      <c r="M1156" s="29"/>
      <c r="N1156" s="72"/>
      <c r="O1156" s="73"/>
      <c r="P1156" s="73"/>
      <c r="Q1156" s="72"/>
      <c r="R1156" s="72"/>
      <c r="S1156" s="31" t="str">
        <f t="shared" si="152"/>
        <v/>
      </c>
      <c r="T1156" s="32" t="str">
        <f t="shared" si="153"/>
        <v/>
      </c>
      <c r="U1156" s="73"/>
      <c r="V1156" s="72"/>
      <c r="W1156" s="72"/>
    </row>
    <row r="1157" ht="21.75" customHeight="1">
      <c r="A1157" s="134"/>
      <c r="B1157" s="64"/>
      <c r="C1157" s="23"/>
      <c r="D1157" s="23"/>
      <c r="E1157" s="24"/>
      <c r="F1157" s="25"/>
      <c r="G1157" s="24"/>
      <c r="H1157" s="26"/>
      <c r="I1157" s="27"/>
      <c r="J1157" s="28"/>
      <c r="K1157" s="28" t="str">
        <f t="shared" si="151"/>
        <v/>
      </c>
      <c r="L1157" s="17"/>
      <c r="M1157" s="29"/>
      <c r="N1157" s="72"/>
      <c r="O1157" s="73"/>
      <c r="P1157" s="73"/>
      <c r="Q1157" s="72"/>
      <c r="R1157" s="72"/>
      <c r="S1157" s="31" t="str">
        <f t="shared" si="152"/>
        <v/>
      </c>
      <c r="T1157" s="32" t="str">
        <f t="shared" si="153"/>
        <v/>
      </c>
      <c r="U1157" s="73"/>
      <c r="V1157" s="72"/>
      <c r="W1157" s="72"/>
    </row>
    <row r="1158" ht="21.75" customHeight="1">
      <c r="A1158" s="134"/>
      <c r="B1158" s="64"/>
      <c r="C1158" s="23"/>
      <c r="D1158" s="23"/>
      <c r="E1158" s="24"/>
      <c r="F1158" s="25"/>
      <c r="G1158" s="24"/>
      <c r="H1158" s="26"/>
      <c r="I1158" s="27"/>
      <c r="J1158" s="28"/>
      <c r="K1158" s="28" t="str">
        <f t="shared" si="151"/>
        <v/>
      </c>
      <c r="L1158" s="17"/>
      <c r="M1158" s="29"/>
      <c r="N1158" s="72"/>
      <c r="O1158" s="73"/>
      <c r="P1158" s="73"/>
      <c r="Q1158" s="72"/>
      <c r="R1158" s="72"/>
      <c r="S1158" s="31" t="str">
        <f t="shared" si="152"/>
        <v/>
      </c>
      <c r="T1158" s="32" t="str">
        <f t="shared" si="153"/>
        <v/>
      </c>
      <c r="U1158" s="73"/>
      <c r="V1158" s="72"/>
      <c r="W1158" s="72"/>
    </row>
    <row r="1159" ht="21.75" customHeight="1">
      <c r="A1159" s="134"/>
      <c r="B1159" s="64"/>
      <c r="C1159" s="23"/>
      <c r="D1159" s="23"/>
      <c r="E1159" s="24"/>
      <c r="F1159" s="25"/>
      <c r="G1159" s="24"/>
      <c r="H1159" s="26"/>
      <c r="I1159" s="27"/>
      <c r="J1159" s="28"/>
      <c r="K1159" s="28" t="str">
        <f t="shared" si="151"/>
        <v/>
      </c>
      <c r="L1159" s="17"/>
      <c r="M1159" s="29"/>
      <c r="N1159" s="72"/>
      <c r="O1159" s="73"/>
      <c r="P1159" s="73"/>
      <c r="Q1159" s="72"/>
      <c r="R1159" s="72"/>
      <c r="S1159" s="31" t="str">
        <f t="shared" si="152"/>
        <v/>
      </c>
      <c r="T1159" s="32" t="str">
        <f t="shared" si="153"/>
        <v/>
      </c>
      <c r="U1159" s="73"/>
      <c r="V1159" s="72"/>
      <c r="W1159" s="72"/>
    </row>
    <row r="1160" ht="21.75" customHeight="1">
      <c r="A1160" s="134"/>
      <c r="B1160" s="64"/>
      <c r="C1160" s="23"/>
      <c r="D1160" s="23"/>
      <c r="E1160" s="24"/>
      <c r="F1160" s="25"/>
      <c r="G1160" s="24"/>
      <c r="H1160" s="26"/>
      <c r="I1160" s="27"/>
      <c r="J1160" s="28"/>
      <c r="K1160" s="28" t="str">
        <f t="shared" si="151"/>
        <v/>
      </c>
      <c r="L1160" s="17"/>
      <c r="M1160" s="29"/>
      <c r="N1160" s="72"/>
      <c r="O1160" s="73"/>
      <c r="P1160" s="73"/>
      <c r="Q1160" s="72"/>
      <c r="R1160" s="72"/>
      <c r="S1160" s="31" t="str">
        <f t="shared" si="152"/>
        <v/>
      </c>
      <c r="T1160" s="32" t="str">
        <f t="shared" si="153"/>
        <v/>
      </c>
      <c r="U1160" s="73"/>
      <c r="V1160" s="72"/>
      <c r="W1160" s="72"/>
    </row>
    <row r="1161" ht="21.75" customHeight="1">
      <c r="A1161" s="134"/>
      <c r="B1161" s="64"/>
      <c r="C1161" s="23"/>
      <c r="D1161" s="23"/>
      <c r="E1161" s="24"/>
      <c r="F1161" s="25"/>
      <c r="G1161" s="24"/>
      <c r="H1161" s="26"/>
      <c r="I1161" s="27"/>
      <c r="J1161" s="28"/>
      <c r="K1161" s="28" t="str">
        <f t="shared" si="151"/>
        <v/>
      </c>
      <c r="L1161" s="17"/>
      <c r="M1161" s="29"/>
      <c r="N1161" s="72"/>
      <c r="O1161" s="73"/>
      <c r="P1161" s="73"/>
      <c r="Q1161" s="72"/>
      <c r="R1161" s="72"/>
      <c r="S1161" s="31" t="str">
        <f t="shared" si="152"/>
        <v/>
      </c>
      <c r="T1161" s="32" t="str">
        <f t="shared" si="153"/>
        <v/>
      </c>
      <c r="U1161" s="73"/>
      <c r="V1161" s="72"/>
      <c r="W1161" s="72"/>
    </row>
    <row r="1162" ht="21.75" customHeight="1">
      <c r="A1162" s="134"/>
      <c r="B1162" s="64"/>
      <c r="C1162" s="23"/>
      <c r="D1162" s="23"/>
      <c r="E1162" s="24"/>
      <c r="F1162" s="25"/>
      <c r="G1162" s="24"/>
      <c r="H1162" s="26"/>
      <c r="I1162" s="27"/>
      <c r="J1162" s="28"/>
      <c r="K1162" s="28" t="str">
        <f t="shared" si="151"/>
        <v/>
      </c>
      <c r="L1162" s="17"/>
      <c r="M1162" s="29"/>
      <c r="N1162" s="72"/>
      <c r="O1162" s="73"/>
      <c r="P1162" s="73"/>
      <c r="Q1162" s="72"/>
      <c r="R1162" s="72"/>
      <c r="S1162" s="31" t="str">
        <f t="shared" si="152"/>
        <v/>
      </c>
      <c r="T1162" s="32" t="str">
        <f t="shared" si="153"/>
        <v/>
      </c>
      <c r="U1162" s="73"/>
      <c r="V1162" s="72"/>
      <c r="W1162" s="72"/>
    </row>
    <row r="1163" ht="21.75" customHeight="1">
      <c r="A1163" s="134"/>
      <c r="B1163" s="64"/>
      <c r="C1163" s="23"/>
      <c r="D1163" s="23"/>
      <c r="E1163" s="24"/>
      <c r="F1163" s="25"/>
      <c r="G1163" s="24"/>
      <c r="H1163" s="26"/>
      <c r="I1163" s="27"/>
      <c r="J1163" s="28"/>
      <c r="K1163" s="28" t="str">
        <f t="shared" si="151"/>
        <v/>
      </c>
      <c r="L1163" s="17"/>
      <c r="M1163" s="29"/>
      <c r="N1163" s="72"/>
      <c r="O1163" s="73"/>
      <c r="P1163" s="73"/>
      <c r="Q1163" s="72"/>
      <c r="R1163" s="72"/>
      <c r="S1163" s="31" t="str">
        <f t="shared" si="152"/>
        <v/>
      </c>
      <c r="T1163" s="32" t="str">
        <f t="shared" si="153"/>
        <v/>
      </c>
      <c r="U1163" s="73"/>
      <c r="V1163" s="72"/>
      <c r="W1163" s="72"/>
    </row>
    <row r="1164" ht="21.75" customHeight="1">
      <c r="A1164" s="134"/>
      <c r="B1164" s="64"/>
      <c r="C1164" s="23"/>
      <c r="D1164" s="23"/>
      <c r="E1164" s="24"/>
      <c r="F1164" s="25"/>
      <c r="G1164" s="24"/>
      <c r="H1164" s="26"/>
      <c r="I1164" s="27"/>
      <c r="J1164" s="28"/>
      <c r="K1164" s="28" t="str">
        <f t="shared" si="151"/>
        <v/>
      </c>
      <c r="L1164" s="17"/>
      <c r="M1164" s="29"/>
      <c r="N1164" s="72"/>
      <c r="O1164" s="73"/>
      <c r="P1164" s="73"/>
      <c r="Q1164" s="72"/>
      <c r="R1164" s="72"/>
      <c r="S1164" s="31" t="str">
        <f t="shared" si="152"/>
        <v/>
      </c>
      <c r="T1164" s="32" t="str">
        <f t="shared" si="153"/>
        <v/>
      </c>
      <c r="U1164" s="73"/>
      <c r="V1164" s="72"/>
      <c r="W1164" s="72"/>
    </row>
    <row r="1165" ht="21.75" customHeight="1">
      <c r="A1165" s="134"/>
      <c r="B1165" s="64"/>
      <c r="C1165" s="23"/>
      <c r="D1165" s="23"/>
      <c r="E1165" s="24"/>
      <c r="F1165" s="25"/>
      <c r="G1165" s="24"/>
      <c r="H1165" s="26"/>
      <c r="I1165" s="27"/>
      <c r="J1165" s="28"/>
      <c r="K1165" s="28" t="str">
        <f t="shared" si="151"/>
        <v/>
      </c>
      <c r="L1165" s="17"/>
      <c r="M1165" s="29"/>
      <c r="N1165" s="72"/>
      <c r="O1165" s="73"/>
      <c r="P1165" s="73"/>
      <c r="Q1165" s="72"/>
      <c r="R1165" s="72"/>
      <c r="S1165" s="31" t="str">
        <f t="shared" si="152"/>
        <v/>
      </c>
      <c r="T1165" s="32" t="str">
        <f t="shared" si="153"/>
        <v/>
      </c>
      <c r="U1165" s="73"/>
      <c r="V1165" s="72"/>
      <c r="W1165" s="72"/>
    </row>
    <row r="1166" ht="21.75" customHeight="1">
      <c r="A1166" s="134"/>
      <c r="B1166" s="64"/>
      <c r="C1166" s="23"/>
      <c r="D1166" s="23"/>
      <c r="E1166" s="24"/>
      <c r="F1166" s="25"/>
      <c r="G1166" s="24"/>
      <c r="H1166" s="26"/>
      <c r="I1166" s="27"/>
      <c r="J1166" s="28"/>
      <c r="K1166" s="28" t="str">
        <f t="shared" si="151"/>
        <v/>
      </c>
      <c r="L1166" s="17"/>
      <c r="M1166" s="29"/>
      <c r="N1166" s="72"/>
      <c r="O1166" s="73"/>
      <c r="P1166" s="73"/>
      <c r="Q1166" s="72"/>
      <c r="R1166" s="72"/>
      <c r="S1166" s="31" t="str">
        <f t="shared" si="152"/>
        <v/>
      </c>
      <c r="T1166" s="32" t="str">
        <f t="shared" si="153"/>
        <v/>
      </c>
      <c r="U1166" s="73"/>
      <c r="V1166" s="72"/>
      <c r="W1166" s="72"/>
    </row>
    <row r="1167" ht="21.75" customHeight="1">
      <c r="A1167" s="134"/>
      <c r="B1167" s="64"/>
      <c r="C1167" s="23"/>
      <c r="D1167" s="23"/>
      <c r="E1167" s="24"/>
      <c r="F1167" s="25"/>
      <c r="G1167" s="24"/>
      <c r="H1167" s="26"/>
      <c r="I1167" s="27"/>
      <c r="J1167" s="28"/>
      <c r="K1167" s="28" t="str">
        <f t="shared" si="151"/>
        <v/>
      </c>
      <c r="L1167" s="17"/>
      <c r="M1167" s="29"/>
      <c r="N1167" s="72"/>
      <c r="O1167" s="73"/>
      <c r="P1167" s="73"/>
      <c r="Q1167" s="72"/>
      <c r="R1167" s="72"/>
      <c r="S1167" s="31" t="str">
        <f t="shared" si="152"/>
        <v/>
      </c>
      <c r="T1167" s="32" t="str">
        <f t="shared" si="153"/>
        <v/>
      </c>
      <c r="U1167" s="73"/>
      <c r="V1167" s="72"/>
      <c r="W1167" s="72"/>
    </row>
    <row r="1168" ht="21.75" customHeight="1">
      <c r="A1168" s="134"/>
      <c r="B1168" s="64"/>
      <c r="C1168" s="23"/>
      <c r="D1168" s="23"/>
      <c r="E1168" s="24"/>
      <c r="F1168" s="25"/>
      <c r="G1168" s="24"/>
      <c r="H1168" s="26"/>
      <c r="I1168" s="27"/>
      <c r="J1168" s="28"/>
      <c r="K1168" s="28" t="str">
        <f t="shared" si="151"/>
        <v/>
      </c>
      <c r="L1168" s="17"/>
      <c r="M1168" s="29"/>
      <c r="N1168" s="72"/>
      <c r="O1168" s="73"/>
      <c r="P1168" s="73"/>
      <c r="Q1168" s="72"/>
      <c r="R1168" s="72"/>
      <c r="S1168" s="31" t="str">
        <f t="shared" si="152"/>
        <v/>
      </c>
      <c r="T1168" s="32" t="str">
        <f t="shared" si="153"/>
        <v/>
      </c>
      <c r="U1168" s="73"/>
      <c r="V1168" s="72"/>
      <c r="W1168" s="72"/>
    </row>
    <row r="1169" ht="21.75" customHeight="1">
      <c r="A1169" s="134"/>
      <c r="B1169" s="64"/>
      <c r="C1169" s="23"/>
      <c r="D1169" s="23"/>
      <c r="E1169" s="24"/>
      <c r="F1169" s="25"/>
      <c r="G1169" s="24"/>
      <c r="H1169" s="26"/>
      <c r="I1169" s="27"/>
      <c r="J1169" s="28"/>
      <c r="K1169" s="28" t="str">
        <f t="shared" si="151"/>
        <v/>
      </c>
      <c r="L1169" s="17"/>
      <c r="M1169" s="29"/>
      <c r="N1169" s="72"/>
      <c r="O1169" s="73"/>
      <c r="P1169" s="73"/>
      <c r="Q1169" s="72"/>
      <c r="R1169" s="72"/>
      <c r="S1169" s="31" t="str">
        <f t="shared" si="152"/>
        <v/>
      </c>
      <c r="T1169" s="32" t="str">
        <f t="shared" si="153"/>
        <v/>
      </c>
      <c r="U1169" s="73"/>
      <c r="V1169" s="72"/>
      <c r="W1169" s="72"/>
    </row>
    <row r="1170" ht="21.75" customHeight="1">
      <c r="A1170" s="134"/>
      <c r="B1170" s="64"/>
      <c r="C1170" s="23"/>
      <c r="D1170" s="23"/>
      <c r="E1170" s="24"/>
      <c r="F1170" s="25"/>
      <c r="G1170" s="24"/>
      <c r="H1170" s="26"/>
      <c r="I1170" s="27"/>
      <c r="J1170" s="28"/>
      <c r="K1170" s="28" t="str">
        <f t="shared" si="151"/>
        <v/>
      </c>
      <c r="L1170" s="17"/>
      <c r="M1170" s="29"/>
      <c r="N1170" s="72"/>
      <c r="O1170" s="73"/>
      <c r="P1170" s="73"/>
      <c r="Q1170" s="72"/>
      <c r="R1170" s="72"/>
      <c r="S1170" s="31" t="str">
        <f t="shared" si="152"/>
        <v/>
      </c>
      <c r="T1170" s="32" t="str">
        <f t="shared" si="153"/>
        <v/>
      </c>
      <c r="U1170" s="73"/>
      <c r="V1170" s="72"/>
      <c r="W1170" s="72"/>
    </row>
    <row r="1171" ht="21.75" customHeight="1">
      <c r="A1171" s="134"/>
      <c r="B1171" s="64"/>
      <c r="C1171" s="23"/>
      <c r="D1171" s="23"/>
      <c r="E1171" s="24"/>
      <c r="F1171" s="25"/>
      <c r="G1171" s="24"/>
      <c r="H1171" s="26"/>
      <c r="I1171" s="27"/>
      <c r="J1171" s="28"/>
      <c r="K1171" s="28" t="str">
        <f t="shared" si="151"/>
        <v/>
      </c>
      <c r="L1171" s="17"/>
      <c r="M1171" s="29"/>
      <c r="N1171" s="72"/>
      <c r="O1171" s="73"/>
      <c r="P1171" s="73"/>
      <c r="Q1171" s="72"/>
      <c r="R1171" s="72"/>
      <c r="S1171" s="31" t="str">
        <f t="shared" si="152"/>
        <v/>
      </c>
      <c r="T1171" s="32" t="str">
        <f t="shared" si="153"/>
        <v/>
      </c>
      <c r="U1171" s="73"/>
      <c r="V1171" s="72"/>
      <c r="W1171" s="72"/>
    </row>
    <row r="1172" ht="21.75" customHeight="1">
      <c r="A1172" s="134"/>
      <c r="B1172" s="64"/>
      <c r="C1172" s="23"/>
      <c r="D1172" s="23"/>
      <c r="E1172" s="24"/>
      <c r="F1172" s="25"/>
      <c r="G1172" s="24"/>
      <c r="H1172" s="26"/>
      <c r="I1172" s="27"/>
      <c r="J1172" s="28"/>
      <c r="K1172" s="28" t="str">
        <f t="shared" si="151"/>
        <v/>
      </c>
      <c r="L1172" s="17"/>
      <c r="M1172" s="29"/>
      <c r="N1172" s="72"/>
      <c r="O1172" s="73"/>
      <c r="P1172" s="73"/>
      <c r="Q1172" s="72"/>
      <c r="R1172" s="72"/>
      <c r="S1172" s="31" t="str">
        <f t="shared" si="152"/>
        <v/>
      </c>
      <c r="T1172" s="32" t="str">
        <f t="shared" si="153"/>
        <v/>
      </c>
      <c r="U1172" s="73"/>
      <c r="V1172" s="72"/>
      <c r="W1172" s="72"/>
    </row>
    <row r="1173" ht="21.75" customHeight="1">
      <c r="A1173" s="134"/>
      <c r="B1173" s="64"/>
      <c r="C1173" s="23"/>
      <c r="D1173" s="23"/>
      <c r="E1173" s="24"/>
      <c r="F1173" s="25"/>
      <c r="G1173" s="24"/>
      <c r="H1173" s="26"/>
      <c r="I1173" s="27"/>
      <c r="J1173" s="28"/>
      <c r="K1173" s="28" t="str">
        <f t="shared" si="151"/>
        <v/>
      </c>
      <c r="L1173" s="17"/>
      <c r="M1173" s="29"/>
      <c r="N1173" s="72"/>
      <c r="O1173" s="73"/>
      <c r="P1173" s="73"/>
      <c r="Q1173" s="72"/>
      <c r="R1173" s="72"/>
      <c r="S1173" s="31" t="str">
        <f t="shared" si="152"/>
        <v/>
      </c>
      <c r="T1173" s="32" t="str">
        <f t="shared" si="153"/>
        <v/>
      </c>
      <c r="U1173" s="73"/>
      <c r="V1173" s="72"/>
      <c r="W1173" s="72"/>
    </row>
    <row r="1174" ht="21.75" customHeight="1">
      <c r="A1174" s="134"/>
      <c r="B1174" s="64"/>
      <c r="C1174" s="23"/>
      <c r="D1174" s="23"/>
      <c r="E1174" s="24"/>
      <c r="F1174" s="25"/>
      <c r="G1174" s="24"/>
      <c r="H1174" s="26"/>
      <c r="I1174" s="27"/>
      <c r="J1174" s="28"/>
      <c r="K1174" s="28" t="str">
        <f t="shared" si="151"/>
        <v/>
      </c>
      <c r="L1174" s="17"/>
      <c r="M1174" s="29"/>
      <c r="N1174" s="72"/>
      <c r="O1174" s="73"/>
      <c r="P1174" s="73"/>
      <c r="Q1174" s="72"/>
      <c r="R1174" s="72"/>
      <c r="S1174" s="31" t="str">
        <f t="shared" si="152"/>
        <v/>
      </c>
      <c r="T1174" s="32" t="str">
        <f t="shared" si="153"/>
        <v/>
      </c>
      <c r="U1174" s="73"/>
      <c r="V1174" s="72"/>
      <c r="W1174" s="72"/>
    </row>
    <row r="1175" ht="21.75" customHeight="1">
      <c r="A1175" s="134"/>
      <c r="B1175" s="64"/>
      <c r="C1175" s="23"/>
      <c r="D1175" s="23"/>
      <c r="E1175" s="24"/>
      <c r="F1175" s="25"/>
      <c r="G1175" s="24"/>
      <c r="H1175" s="26"/>
      <c r="I1175" s="27"/>
      <c r="J1175" s="28"/>
      <c r="K1175" s="28" t="str">
        <f t="shared" si="151"/>
        <v/>
      </c>
      <c r="L1175" s="17"/>
      <c r="M1175" s="29"/>
      <c r="N1175" s="72"/>
      <c r="O1175" s="73"/>
      <c r="P1175" s="73"/>
      <c r="Q1175" s="72"/>
      <c r="R1175" s="72"/>
      <c r="S1175" s="31" t="str">
        <f t="shared" si="152"/>
        <v/>
      </c>
      <c r="T1175" s="32" t="str">
        <f t="shared" si="153"/>
        <v/>
      </c>
      <c r="U1175" s="73"/>
      <c r="V1175" s="72"/>
      <c r="W1175" s="72"/>
    </row>
    <row r="1176" ht="21.75" customHeight="1">
      <c r="A1176" s="134"/>
      <c r="B1176" s="64"/>
      <c r="C1176" s="23"/>
      <c r="D1176" s="23"/>
      <c r="E1176" s="24"/>
      <c r="F1176" s="25"/>
      <c r="G1176" s="24"/>
      <c r="H1176" s="26"/>
      <c r="I1176" s="27"/>
      <c r="J1176" s="28"/>
      <c r="K1176" s="28" t="str">
        <f t="shared" si="151"/>
        <v/>
      </c>
      <c r="L1176" s="17"/>
      <c r="M1176" s="29"/>
      <c r="N1176" s="72"/>
      <c r="O1176" s="73"/>
      <c r="P1176" s="73"/>
      <c r="Q1176" s="72"/>
      <c r="R1176" s="72"/>
      <c r="S1176" s="31" t="str">
        <f t="shared" si="152"/>
        <v/>
      </c>
      <c r="T1176" s="32" t="str">
        <f t="shared" si="153"/>
        <v/>
      </c>
      <c r="U1176" s="73"/>
      <c r="V1176" s="72"/>
      <c r="W1176" s="72"/>
    </row>
    <row r="1177" ht="21.75" customHeight="1">
      <c r="A1177" s="134"/>
      <c r="B1177" s="64"/>
      <c r="C1177" s="23"/>
      <c r="D1177" s="23"/>
      <c r="E1177" s="24"/>
      <c r="F1177" s="25"/>
      <c r="G1177" s="24"/>
      <c r="H1177" s="26"/>
      <c r="I1177" s="27"/>
      <c r="J1177" s="28"/>
      <c r="K1177" s="28" t="str">
        <f t="shared" si="151"/>
        <v/>
      </c>
      <c r="L1177" s="17"/>
      <c r="M1177" s="29"/>
      <c r="N1177" s="72"/>
      <c r="O1177" s="73"/>
      <c r="P1177" s="73"/>
      <c r="Q1177" s="72"/>
      <c r="R1177" s="72"/>
      <c r="S1177" s="31" t="str">
        <f t="shared" si="152"/>
        <v/>
      </c>
      <c r="T1177" s="32" t="str">
        <f t="shared" si="153"/>
        <v/>
      </c>
      <c r="U1177" s="73"/>
      <c r="V1177" s="72"/>
      <c r="W1177" s="72"/>
    </row>
  </sheetData>
  <mergeCells count="1">
    <mergeCell ref="C1:D1"/>
  </mergeCells>
  <conditionalFormatting sqref="E1 E4:E296 E298:E327 E329:E425 E427:E495 E497:E557 E559:E1177">
    <cfRule type="containsText" dxfId="0" priority="1" operator="containsText" text="Working On it">
      <formula>NOT(ISERROR(SEARCH(("Working On it"),(E1))))</formula>
    </cfRule>
  </conditionalFormatting>
  <conditionalFormatting sqref="E1 E4:E296 E298:E327 E329:E425 E427:E495 E497:E557 E559:E1177">
    <cfRule type="containsText" dxfId="1" priority="2" operator="containsText" text="Not Started">
      <formula>NOT(ISERROR(SEARCH(("Not Started"),(E1))))</formula>
    </cfRule>
  </conditionalFormatting>
  <conditionalFormatting sqref="E1 E4:E296 E298:E327 E329:E425 E427:E495 E497:E557 E559:E1177">
    <cfRule type="containsText" dxfId="2" priority="3" operator="containsText" text="Done">
      <formula>NOT(ISERROR(SEARCH(("Done"),(E1))))</formula>
    </cfRule>
  </conditionalFormatting>
  <conditionalFormatting sqref="E1 E4:E296 E298:E327 E329:E425 E427:E495 E497:E557 E559:E1177">
    <cfRule type="containsText" dxfId="3" priority="4" operator="containsText" text="In Review">
      <formula>NOT(ISERROR(SEARCH(("In Review"),(E1))))</formula>
    </cfRule>
  </conditionalFormatting>
  <conditionalFormatting sqref="E1 E4:E296 E298:E327 E329:E425 E427:E495 E497:E557 E559:E1177">
    <cfRule type="containsText" dxfId="4" priority="5" operator="containsText" text="On Hold">
      <formula>NOT(ISERROR(SEARCH(("On Hold"),(E1))))</formula>
    </cfRule>
  </conditionalFormatting>
  <dataValidations>
    <dataValidation type="list" allowBlank="1" showErrorMessage="1" sqref="F4:F296 F298:F327 F329:F425 F427:F495 F497:F557 F559:F1177">
      <formula1>Data_Validation!$D$2:$D$15</formula1>
    </dataValidation>
    <dataValidation type="list" allowBlank="1" showErrorMessage="1" sqref="G4 G11 G16 G23 G26 G30 G33 G36 G42 G50 G55 G60 G62 G67 G69 G72 G79 G84 G86 G92 G99 G104 G107 G110 G116 G121 G125 G133 G141 G146 G152 G155 G163 G168 G171 G175 G179 G183 G189 G192 G197 G202 G209 G212 G219 G222 G228 G233 G240 G248 G256:G296 G298 G305 G310 G314:G327 G329 G335 G343 G348 G356 G363 G371 G377 G384 G391 G398 G403 G408:G425 G427 G432 G438 G446 G450 G454 G459 G465 G471 G476 G482 G486:G495 G497 G501 G504 G507 G512 G516:G539 G543 G546:G557 G559 G563 G567 G570 G575 G578 G581 G584 G587 G590 G593 G596 G599 G602 G607 G610 G617 G623:G1177">
      <formula1>Data_Validation!$C$2:$C$5</formula1>
    </dataValidation>
    <dataValidation type="list" allowBlank="1" showErrorMessage="1" sqref="E5:E10 E12:E15 E17:E22 E24:E25 E27:E29 E31:E32 E34:E35 E37:E41 E43:E49 E51:E54 E56:E59 E61 E63:E66 E68 E70:E71 E73:E78 E80:E83 E85 E87:E91 E93:E98 E100:E103 E105:E106 E108:E109 E111:E115 E117:E120 E122:E124 E126:E132 E134:E140 E142:E145 E147:E151 E153:E154 E156:E162 E164:E167 E169:E170 E172:E174 E176:E178 E180:E182 E184:E188 E190:E191 E193:E196 E198:E201 E203:E208 E210:E211 E213:E218 E220:E221 E223:E227 E229:E232 E234:E239 E241:E247 E249:E255 E311:E313 E330:E334 E336:E342 E344:E347 E349:E355 E357:E362 E364:E370 E372:E376 E378:E383 E385:E390 E392:E397 E399:E402 E404:E407 E428:E431 E433:E437 E439:E445 E447:E449 E451:E453 E455:E458 E460:E464 E466:E470 E472:E475 E477:E481 E483:E485 E498:E500 E502:E503 E505:E506 E508:E511 E513:E515 E517:E520 E522:E524 E526:E529 E531:E533 E535:E538 E540:E542 E544:E545 E560:E562 E564:E566 E568:E569 E571:E574 E576:E577 E579:E580 E582:E583 E585:E586 E588:E589 E591:E592 E594:E595 E597:E598 E600:E601 E603:E606 E608:E609 E611:E616 E618:E622">
      <formula1>Data_Validation!$A$2:$A$15</formula1>
    </dataValidation>
    <dataValidation type="list" allowBlank="1" showErrorMessage="1" sqref="E299:E304 E306:E309">
      <formula1>Data_Validation!$A$2:$A$15</formula1>
    </dataValidation>
    <dataValidation type="list" allowBlank="1" showErrorMessage="1" sqref="E4 E11 E16 E23 E26 E30 E33 E36 E42 E50 E55 E60 E62 E67 E69 E72 E79 E84 E86 E92 E99 E104 E107 E110 E116 E121 E125 E133 E141 E146 E152 E155 E163 E168 E171 E175 E179 E183 E189 E192 E197 E202 E209 E212 E219 E222 E228 E233 E240 E248 E256:E296 E298 E305 E310 E314:E327 E329 E335 E343 E348 E356 E363 E371 E377 E384 E391 E398 E403 E408:E425 E427 E432 E438 E446 E450 E454 E459 E465 E471 E476 E482 E486:E495 E497 E501 E504 E507 E512 E516 E521 E525 E530 E534 E539 E543 E546:E557 E559 E563 E567 E570 E575 E578 E581 E584 E587 E590 E593 E596 E599 E602 E607 E610 E617 E623:E1177">
      <formula1>Data_Validation!$B$2:$B$15</formula1>
    </dataValidation>
  </dataValidations>
  <hyperlinks>
    <hyperlink r:id="rId2" location="heading=h.cb0tz5hvtxhq" ref="G5"/>
    <hyperlink r:id="rId3" ref="G17"/>
    <hyperlink r:id="rId4" ref="G24"/>
    <hyperlink r:id="rId5" ref="G37"/>
    <hyperlink r:id="rId6" ref="G56"/>
    <hyperlink r:id="rId7" ref="G63"/>
    <hyperlink r:id="rId8" ref="G73"/>
    <hyperlink r:id="rId9" ref="G85"/>
    <hyperlink r:id="rId10" ref="G87"/>
    <hyperlink r:id="rId11" ref="G93"/>
    <hyperlink r:id="rId12" ref="G111"/>
    <hyperlink r:id="rId13" ref="G122"/>
    <hyperlink r:id="rId14" ref="G134"/>
    <hyperlink r:id="rId15" ref="G147"/>
    <hyperlink r:id="rId16" ref="G180"/>
    <hyperlink r:id="rId17" ref="G223"/>
    <hyperlink r:id="rId18" ref="G299"/>
    <hyperlink r:id="rId19" ref="G306"/>
    <hyperlink r:id="rId20" ref="G330"/>
    <hyperlink r:id="rId21" ref="G336"/>
    <hyperlink r:id="rId22" ref="G342"/>
    <hyperlink r:id="rId23" ref="G344"/>
    <hyperlink r:id="rId24" ref="G349"/>
    <hyperlink r:id="rId25" ref="G357"/>
    <hyperlink r:id="rId26" ref="G364"/>
    <hyperlink r:id="rId27" ref="G372"/>
    <hyperlink r:id="rId28" ref="G378"/>
    <hyperlink r:id="rId29" ref="G385"/>
    <hyperlink r:id="rId30" ref="G392"/>
    <hyperlink r:id="rId31" ref="G400"/>
    <hyperlink r:id="rId32" ref="G433"/>
    <hyperlink r:id="rId33" ref="G439"/>
    <hyperlink r:id="rId34" ref="G451"/>
    <hyperlink r:id="rId35" ref="G455"/>
    <hyperlink r:id="rId36" ref="G466"/>
    <hyperlink r:id="rId37" ref="G483"/>
    <hyperlink r:id="rId38" ref="G499"/>
    <hyperlink r:id="rId39" ref="G502"/>
    <hyperlink r:id="rId40" ref="G505"/>
    <hyperlink r:id="rId41" ref="G509"/>
    <hyperlink r:id="rId42" ref="G560"/>
    <hyperlink r:id="rId43" ref="G564"/>
    <hyperlink r:id="rId44" location="heading=h.tfs8vvuc1d0n" ref="G571"/>
    <hyperlink r:id="rId45" ref="G603"/>
    <hyperlink r:id="rId46" ref="G604"/>
    <hyperlink r:id="rId47" ref="G611"/>
  </hyperlinks>
  <drawing r:id="rId48"/>
  <legacyDrawing r:id="rId49"/>
  <tableParts count="2">
    <tablePart r:id="rId52"/>
    <tablePart r:id="rId5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857FF"/>
    <outlinePr summaryBelow="0" summaryRight="0"/>
  </sheetPr>
  <sheetViews>
    <sheetView workbookViewId="0"/>
  </sheetViews>
  <sheetFormatPr customHeight="1" defaultColWidth="12.63" defaultRowHeight="15.75" outlineLevelCol="1" outlineLevelRow="1"/>
  <cols>
    <col customWidth="1" min="1" max="1" width="18.63"/>
    <col customWidth="1" min="2" max="2" width="12.88"/>
    <col customWidth="1" min="3" max="3" width="3.0"/>
    <col customWidth="1" min="4" max="4" width="23.75"/>
    <col customWidth="1" min="5" max="5" width="17.88"/>
    <col customWidth="1" min="6" max="6" width="17.5"/>
    <col customWidth="1" min="7" max="7" width="18.88"/>
    <col customWidth="1" min="8" max="8" width="20.75"/>
    <col customWidth="1" min="9" max="9" width="26.25"/>
    <col customWidth="1" min="10" max="10" width="4.5"/>
    <col customWidth="1" hidden="1" min="11" max="11" width="14.88"/>
    <col customWidth="1" min="12" max="12" width="1.0"/>
    <col customWidth="1" min="13" max="13" width="17.25"/>
    <col customWidth="1" min="14" max="14" width="16.38" outlineLevel="1"/>
    <col customWidth="1" min="15" max="15" width="15.5" outlineLevel="1"/>
    <col customWidth="1" min="16" max="16" width="16.13" outlineLevel="1"/>
    <col customWidth="1" min="17" max="18" width="15.5"/>
  </cols>
  <sheetData>
    <row r="1" ht="15.75" customHeight="1">
      <c r="A1" s="135"/>
      <c r="B1" s="136"/>
      <c r="C1" s="137"/>
      <c r="D1" s="137"/>
      <c r="E1" s="137"/>
      <c r="F1" s="138"/>
      <c r="G1" s="137"/>
      <c r="H1" s="138"/>
      <c r="I1" s="139"/>
      <c r="J1" s="137"/>
      <c r="K1" s="135"/>
      <c r="L1" s="140"/>
      <c r="M1" s="135"/>
      <c r="N1" s="135"/>
      <c r="O1" s="141"/>
      <c r="P1" s="141"/>
      <c r="Q1" s="135"/>
      <c r="R1" s="135"/>
    </row>
    <row r="2" ht="26.25" customHeight="1">
      <c r="A2" s="135" t="s">
        <v>955</v>
      </c>
      <c r="B2" s="137" t="s">
        <v>0</v>
      </c>
      <c r="C2" s="137" t="s">
        <v>956</v>
      </c>
      <c r="E2" s="137" t="s">
        <v>957</v>
      </c>
      <c r="F2" s="138" t="s">
        <v>3</v>
      </c>
      <c r="G2" s="137" t="s">
        <v>958</v>
      </c>
      <c r="H2" s="138" t="s">
        <v>959</v>
      </c>
      <c r="I2" s="139" t="s">
        <v>5</v>
      </c>
      <c r="J2" s="137" t="s">
        <v>6</v>
      </c>
      <c r="K2" s="135" t="s">
        <v>7</v>
      </c>
      <c r="L2" s="140"/>
      <c r="M2" s="135" t="s">
        <v>960</v>
      </c>
      <c r="N2" s="135" t="s">
        <v>9</v>
      </c>
      <c r="O2" s="135" t="s">
        <v>10</v>
      </c>
      <c r="P2" s="135" t="s">
        <v>11</v>
      </c>
      <c r="Q2" s="135" t="s">
        <v>12</v>
      </c>
      <c r="R2" s="135" t="s">
        <v>13</v>
      </c>
    </row>
    <row r="3" ht="21.75" customHeight="1" collapsed="1">
      <c r="A3" s="142" t="s">
        <v>18</v>
      </c>
      <c r="B3" s="21" t="s">
        <v>961</v>
      </c>
      <c r="C3" s="22" t="s">
        <v>962</v>
      </c>
      <c r="D3" s="23"/>
      <c r="E3" s="24" t="s">
        <v>963</v>
      </c>
      <c r="F3" s="25" t="s">
        <v>27</v>
      </c>
      <c r="G3" s="24" t="s">
        <v>89</v>
      </c>
      <c r="H3" s="26">
        <f>MAX(H4:H11)</f>
        <v>45222</v>
      </c>
      <c r="I3" s="143" t="str">
        <f>IFERROR(__xludf.DUMMYFUNCTION("SPARKLINE(SUM(I4:I11), {""charttype"", ""bar""; ""max"", J3; ""color1"", ""green""})"),"")</f>
        <v/>
      </c>
      <c r="J3" s="144">
        <f>COUNT(I4:I11)</f>
        <v>8</v>
      </c>
      <c r="K3" s="144" t="str">
        <f>IF(ISNUMBER(B42), K42, "")</f>
        <v/>
      </c>
      <c r="L3" s="17"/>
      <c r="M3" s="145">
        <f>MIN(M4:M11)</f>
        <v>45220.63033</v>
      </c>
      <c r="N3" s="145">
        <f>MAX(N4:N11)</f>
        <v>45233.43268</v>
      </c>
      <c r="O3" s="146"/>
      <c r="P3" s="146"/>
      <c r="Q3" s="145"/>
      <c r="R3" s="147">
        <f>SUM(R4:R11)</f>
        <v>0.1444444444</v>
      </c>
    </row>
    <row r="4" ht="21.75" hidden="1" customHeight="1" outlineLevel="1">
      <c r="A4" s="142"/>
      <c r="B4" s="21" t="s">
        <v>964</v>
      </c>
      <c r="C4" s="22"/>
      <c r="D4" s="22" t="s">
        <v>965</v>
      </c>
      <c r="E4" s="24" t="s">
        <v>26</v>
      </c>
      <c r="F4" s="25" t="s">
        <v>27</v>
      </c>
      <c r="G4" s="24"/>
      <c r="H4" s="35">
        <v>45219.0</v>
      </c>
      <c r="I4" s="143">
        <f t="shared" ref="I4:I11" si="1">IFERROR(IF($E4="Done", 1, IF(OR($E4="Working on it", $E4="In Review", $E4="On Hold"), 0.5, IF($E4="Not Started", 0, ""))), 0)</f>
        <v>1</v>
      </c>
      <c r="J4" s="144"/>
      <c r="K4" s="144"/>
      <c r="L4" s="17"/>
      <c r="M4" s="145"/>
      <c r="N4" s="145"/>
      <c r="O4" s="146"/>
      <c r="P4" s="146"/>
      <c r="Q4" s="145"/>
      <c r="R4" s="147"/>
    </row>
    <row r="5" ht="21.75" hidden="1" customHeight="1" outlineLevel="1">
      <c r="A5" s="142"/>
      <c r="B5" s="21" t="s">
        <v>966</v>
      </c>
      <c r="C5" s="22"/>
      <c r="D5" s="22" t="s">
        <v>967</v>
      </c>
      <c r="E5" s="24" t="s">
        <v>26</v>
      </c>
      <c r="F5" s="25" t="s">
        <v>27</v>
      </c>
      <c r="G5" s="24"/>
      <c r="H5" s="35">
        <v>45222.0</v>
      </c>
      <c r="I5" s="143">
        <f t="shared" si="1"/>
        <v>1</v>
      </c>
      <c r="J5" s="144"/>
      <c r="K5" s="144"/>
      <c r="L5" s="17"/>
      <c r="M5" s="145"/>
      <c r="N5" s="145"/>
      <c r="O5" s="146"/>
      <c r="P5" s="146"/>
      <c r="Q5" s="145"/>
      <c r="R5" s="147"/>
    </row>
    <row r="6" ht="21.75" hidden="1" customHeight="1" outlineLevel="1">
      <c r="A6" s="142"/>
      <c r="B6" s="21" t="s">
        <v>968</v>
      </c>
      <c r="C6" s="22"/>
      <c r="D6" s="22" t="s">
        <v>969</v>
      </c>
      <c r="E6" s="24" t="s">
        <v>26</v>
      </c>
      <c r="F6" s="25" t="s">
        <v>27</v>
      </c>
      <c r="G6" s="24"/>
      <c r="H6" s="35">
        <v>45221.0</v>
      </c>
      <c r="I6" s="143">
        <f t="shared" si="1"/>
        <v>1</v>
      </c>
      <c r="J6" s="144"/>
      <c r="K6" s="144"/>
      <c r="L6" s="17"/>
      <c r="M6" s="145"/>
      <c r="N6" s="145"/>
      <c r="O6" s="146"/>
      <c r="P6" s="146"/>
      <c r="Q6" s="145"/>
      <c r="R6" s="147"/>
    </row>
    <row r="7" ht="21.75" hidden="1" customHeight="1" outlineLevel="1">
      <c r="A7" s="142"/>
      <c r="B7" s="21" t="s">
        <v>970</v>
      </c>
      <c r="C7" s="22"/>
      <c r="D7" s="22" t="s">
        <v>971</v>
      </c>
      <c r="E7" s="24" t="s">
        <v>26</v>
      </c>
      <c r="F7" s="25" t="s">
        <v>27</v>
      </c>
      <c r="G7" s="24"/>
      <c r="H7" s="35">
        <v>45221.0</v>
      </c>
      <c r="I7" s="143">
        <f t="shared" si="1"/>
        <v>1</v>
      </c>
      <c r="J7" s="144"/>
      <c r="K7" s="144"/>
      <c r="L7" s="17"/>
      <c r="M7" s="145"/>
      <c r="N7" s="145"/>
      <c r="O7" s="146"/>
      <c r="P7" s="146"/>
      <c r="Q7" s="145"/>
      <c r="R7" s="147"/>
    </row>
    <row r="8" ht="21.75" hidden="1" customHeight="1" outlineLevel="1">
      <c r="A8" s="142"/>
      <c r="B8" s="21" t="s">
        <v>972</v>
      </c>
      <c r="C8" s="22"/>
      <c r="D8" s="22" t="s">
        <v>973</v>
      </c>
      <c r="E8" s="24" t="s">
        <v>26</v>
      </c>
      <c r="F8" s="25" t="s">
        <v>27</v>
      </c>
      <c r="G8" s="24"/>
      <c r="H8" s="35">
        <v>45221.0</v>
      </c>
      <c r="I8" s="143">
        <f t="shared" si="1"/>
        <v>1</v>
      </c>
      <c r="J8" s="144"/>
      <c r="K8" s="144"/>
      <c r="L8" s="17"/>
      <c r="M8" s="145"/>
      <c r="N8" s="145"/>
      <c r="O8" s="146"/>
      <c r="P8" s="146"/>
      <c r="Q8" s="145"/>
      <c r="R8" s="147"/>
    </row>
    <row r="9" ht="21.75" hidden="1" customHeight="1" outlineLevel="1">
      <c r="A9" s="142"/>
      <c r="B9" s="21" t="s">
        <v>974</v>
      </c>
      <c r="C9" s="22"/>
      <c r="D9" s="22" t="s">
        <v>975</v>
      </c>
      <c r="E9" s="24" t="s">
        <v>26</v>
      </c>
      <c r="F9" s="25" t="s">
        <v>22</v>
      </c>
      <c r="G9" s="24"/>
      <c r="H9" s="35">
        <v>45220.0</v>
      </c>
      <c r="I9" s="143">
        <f t="shared" si="1"/>
        <v>1</v>
      </c>
      <c r="J9" s="144"/>
      <c r="K9" s="144"/>
      <c r="L9" s="17"/>
      <c r="M9" s="145">
        <v>45224.504907407405</v>
      </c>
      <c r="N9" s="145">
        <v>45233.43268100695</v>
      </c>
      <c r="O9" s="148" t="s">
        <v>976</v>
      </c>
      <c r="P9" s="148" t="s">
        <v>977</v>
      </c>
      <c r="Q9" s="149" t="s">
        <v>31</v>
      </c>
      <c r="R9" s="147">
        <v>0.06597222222222222</v>
      </c>
    </row>
    <row r="10" ht="21.75" hidden="1" customHeight="1" outlineLevel="1">
      <c r="A10" s="142"/>
      <c r="B10" s="21" t="s">
        <v>978</v>
      </c>
      <c r="C10" s="22"/>
      <c r="D10" s="22" t="s">
        <v>979</v>
      </c>
      <c r="E10" s="24" t="s">
        <v>26</v>
      </c>
      <c r="F10" s="25" t="s">
        <v>22</v>
      </c>
      <c r="G10" s="24"/>
      <c r="H10" s="35">
        <v>45220.0</v>
      </c>
      <c r="I10" s="143">
        <f t="shared" si="1"/>
        <v>1</v>
      </c>
      <c r="J10" s="144"/>
      <c r="K10" s="144"/>
      <c r="L10" s="17"/>
      <c r="M10" s="145">
        <v>45225.60508101852</v>
      </c>
      <c r="N10" s="145">
        <v>45225.683211724536</v>
      </c>
      <c r="O10" s="146"/>
      <c r="P10" s="146"/>
      <c r="Q10" s="149" t="s">
        <v>31</v>
      </c>
      <c r="R10" s="147">
        <v>0.07777777777777778</v>
      </c>
    </row>
    <row r="11" ht="21.75" hidden="1" customHeight="1" outlineLevel="1">
      <c r="A11" s="142"/>
      <c r="B11" s="21" t="s">
        <v>980</v>
      </c>
      <c r="C11" s="22"/>
      <c r="D11" s="22" t="s">
        <v>981</v>
      </c>
      <c r="E11" s="24" t="s">
        <v>26</v>
      </c>
      <c r="F11" s="25" t="s">
        <v>27</v>
      </c>
      <c r="G11" s="24"/>
      <c r="H11" s="35">
        <v>45219.0</v>
      </c>
      <c r="I11" s="143">
        <f t="shared" si="1"/>
        <v>1</v>
      </c>
      <c r="J11" s="144"/>
      <c r="K11" s="144"/>
      <c r="L11" s="17"/>
      <c r="M11" s="145">
        <v>45220.6303281713</v>
      </c>
      <c r="N11" s="145">
        <v>45220.63115483796</v>
      </c>
      <c r="O11" s="146"/>
      <c r="P11" s="146"/>
      <c r="Q11" s="149" t="s">
        <v>31</v>
      </c>
      <c r="R11" s="147">
        <v>6.944444444444445E-4</v>
      </c>
    </row>
    <row r="12" ht="21.75" customHeight="1" collapsed="1">
      <c r="A12" s="142" t="s">
        <v>490</v>
      </c>
      <c r="B12" s="21" t="s">
        <v>982</v>
      </c>
      <c r="C12" s="22" t="s">
        <v>983</v>
      </c>
      <c r="D12" s="23"/>
      <c r="E12" s="24" t="s">
        <v>984</v>
      </c>
      <c r="F12" s="25" t="s">
        <v>41</v>
      </c>
      <c r="G12" s="24" t="s">
        <v>79</v>
      </c>
      <c r="H12" s="26">
        <f>MAX(H13:H19)</f>
        <v>45239</v>
      </c>
      <c r="I12" s="143" t="str">
        <f>IFERROR(__xludf.DUMMYFUNCTION("SPARKLINE(SUM(I13:I19), {""charttype"", ""bar""; ""max"", J12; ""color1"", ""green""})"),"")</f>
        <v/>
      </c>
      <c r="J12" s="144">
        <f>COUNT(I13:I19)</f>
        <v>7</v>
      </c>
      <c r="K12" s="144" t="str">
        <f>IF(ISNUMBER(#REF!), #REF!, "")</f>
        <v/>
      </c>
      <c r="L12" s="17"/>
      <c r="M12" s="145">
        <f>MIN(M13:M19)</f>
        <v>45205.50209</v>
      </c>
      <c r="N12" s="145">
        <f>MAX(N13:N19)</f>
        <v>45233.4351</v>
      </c>
      <c r="O12" s="146"/>
      <c r="P12" s="146"/>
      <c r="Q12" s="145"/>
      <c r="R12" s="147">
        <f>SUM(R13:R19)</f>
        <v>0.4444444444</v>
      </c>
    </row>
    <row r="13" ht="21.75" hidden="1" customHeight="1" outlineLevel="1">
      <c r="A13" s="142"/>
      <c r="B13" s="21" t="s">
        <v>985</v>
      </c>
      <c r="C13" s="22"/>
      <c r="D13" s="22" t="s">
        <v>986</v>
      </c>
      <c r="E13" s="24" t="s">
        <v>26</v>
      </c>
      <c r="F13" s="25" t="s">
        <v>41</v>
      </c>
      <c r="G13" s="24"/>
      <c r="H13" s="35">
        <v>45195.0</v>
      </c>
      <c r="I13" s="143">
        <f t="shared" ref="I13:I19" si="2">IFERROR(IF($E13="Done", 1, IF(OR($E13="Working on it", $E13="In Review", $E13="On Hold"), 0.5, IF($E13="Not Started", 0, ""))), 0)</f>
        <v>1</v>
      </c>
      <c r="J13" s="144"/>
      <c r="K13" s="144"/>
      <c r="L13" s="17"/>
      <c r="M13" s="145"/>
      <c r="N13" s="145"/>
      <c r="O13" s="146"/>
      <c r="P13" s="146"/>
      <c r="Q13" s="145"/>
      <c r="R13" s="147"/>
    </row>
    <row r="14" ht="21.75" hidden="1" customHeight="1" outlineLevel="1">
      <c r="A14" s="142"/>
      <c r="B14" s="21" t="s">
        <v>987</v>
      </c>
      <c r="C14" s="22"/>
      <c r="D14" s="22" t="s">
        <v>988</v>
      </c>
      <c r="E14" s="24" t="s">
        <v>26</v>
      </c>
      <c r="F14" s="25" t="s">
        <v>41</v>
      </c>
      <c r="G14" s="24"/>
      <c r="H14" s="35">
        <v>45195.0</v>
      </c>
      <c r="I14" s="143">
        <f t="shared" si="2"/>
        <v>1</v>
      </c>
      <c r="J14" s="144"/>
      <c r="K14" s="144"/>
      <c r="L14" s="17"/>
      <c r="M14" s="145"/>
      <c r="N14" s="145"/>
      <c r="O14" s="146"/>
      <c r="P14" s="146"/>
      <c r="Q14" s="145"/>
      <c r="R14" s="147"/>
    </row>
    <row r="15" ht="21.75" hidden="1" customHeight="1" outlineLevel="1">
      <c r="A15" s="142"/>
      <c r="B15" s="21" t="s">
        <v>989</v>
      </c>
      <c r="C15" s="22"/>
      <c r="D15" s="22" t="s">
        <v>990</v>
      </c>
      <c r="E15" s="24" t="s">
        <v>26</v>
      </c>
      <c r="F15" s="25" t="s">
        <v>41</v>
      </c>
      <c r="G15" s="24"/>
      <c r="H15" s="35">
        <v>45202.0</v>
      </c>
      <c r="I15" s="143">
        <f t="shared" si="2"/>
        <v>1</v>
      </c>
      <c r="J15" s="144"/>
      <c r="K15" s="144"/>
      <c r="L15" s="17"/>
      <c r="M15" s="145"/>
      <c r="N15" s="145"/>
      <c r="O15" s="146"/>
      <c r="P15" s="146"/>
      <c r="Q15" s="145"/>
      <c r="R15" s="147"/>
    </row>
    <row r="16" ht="21.75" hidden="1" customHeight="1" outlineLevel="1">
      <c r="A16" s="142"/>
      <c r="B16" s="21" t="s">
        <v>991</v>
      </c>
      <c r="C16" s="22"/>
      <c r="D16" s="22" t="s">
        <v>992</v>
      </c>
      <c r="E16" s="24" t="s">
        <v>26</v>
      </c>
      <c r="F16" s="25" t="s">
        <v>41</v>
      </c>
      <c r="G16" s="24"/>
      <c r="H16" s="35">
        <v>45204.0</v>
      </c>
      <c r="I16" s="143">
        <f t="shared" si="2"/>
        <v>1</v>
      </c>
      <c r="J16" s="144"/>
      <c r="K16" s="144"/>
      <c r="L16" s="17"/>
      <c r="M16" s="145">
        <v>45205.50208569445</v>
      </c>
      <c r="N16" s="145">
        <v>45205.79258951389</v>
      </c>
      <c r="O16" s="148" t="s">
        <v>993</v>
      </c>
      <c r="P16" s="148" t="s">
        <v>994</v>
      </c>
      <c r="Q16" s="149" t="s">
        <v>31</v>
      </c>
      <c r="R16" s="147">
        <v>0.20625</v>
      </c>
    </row>
    <row r="17" ht="21.75" hidden="1" customHeight="1" outlineLevel="1">
      <c r="A17" s="142"/>
      <c r="B17" s="21" t="s">
        <v>995</v>
      </c>
      <c r="C17" s="22"/>
      <c r="D17" s="22" t="s">
        <v>996</v>
      </c>
      <c r="E17" s="24" t="s">
        <v>26</v>
      </c>
      <c r="F17" s="25" t="s">
        <v>41</v>
      </c>
      <c r="G17" s="24"/>
      <c r="H17" s="35">
        <v>45204.0</v>
      </c>
      <c r="I17" s="143">
        <f t="shared" si="2"/>
        <v>1</v>
      </c>
      <c r="J17" s="144"/>
      <c r="K17" s="144"/>
      <c r="L17" s="17"/>
      <c r="M17" s="145">
        <v>45205.792879444445</v>
      </c>
      <c r="N17" s="145">
        <v>45206.50946806713</v>
      </c>
      <c r="O17" s="148" t="s">
        <v>997</v>
      </c>
      <c r="P17" s="148" t="s">
        <v>998</v>
      </c>
      <c r="Q17" s="149" t="s">
        <v>31</v>
      </c>
      <c r="R17" s="147">
        <v>0.06388888888888888</v>
      </c>
    </row>
    <row r="18" ht="21.75" hidden="1" customHeight="1" outlineLevel="1">
      <c r="A18" s="142"/>
      <c r="B18" s="21" t="s">
        <v>999</v>
      </c>
      <c r="C18" s="22"/>
      <c r="D18" s="22" t="s">
        <v>303</v>
      </c>
      <c r="E18" s="24" t="s">
        <v>26</v>
      </c>
      <c r="F18" s="25" t="s">
        <v>22</v>
      </c>
      <c r="G18" s="24"/>
      <c r="H18" s="35">
        <v>45230.0</v>
      </c>
      <c r="I18" s="143">
        <f t="shared" si="2"/>
        <v>1</v>
      </c>
      <c r="J18" s="144"/>
      <c r="K18" s="144"/>
      <c r="L18" s="17"/>
      <c r="M18" s="145">
        <v>45222.65077416667</v>
      </c>
      <c r="N18" s="145">
        <v>45233.43510127315</v>
      </c>
      <c r="O18" s="148" t="s">
        <v>1000</v>
      </c>
      <c r="P18" s="148" t="s">
        <v>1001</v>
      </c>
      <c r="Q18" s="149" t="s">
        <v>31</v>
      </c>
      <c r="R18" s="147">
        <v>0.17430555555555555</v>
      </c>
    </row>
    <row r="19" ht="21.75" hidden="1" customHeight="1" outlineLevel="1">
      <c r="A19" s="142"/>
      <c r="B19" s="21" t="s">
        <v>1002</v>
      </c>
      <c r="C19" s="22"/>
      <c r="D19" s="22" t="s">
        <v>1003</v>
      </c>
      <c r="E19" s="24" t="s">
        <v>179</v>
      </c>
      <c r="F19" s="25" t="s">
        <v>41</v>
      </c>
      <c r="G19" s="24"/>
      <c r="H19" s="35">
        <v>45239.0</v>
      </c>
      <c r="I19" s="143">
        <f t="shared" si="2"/>
        <v>0</v>
      </c>
      <c r="J19" s="144"/>
      <c r="K19" s="144"/>
      <c r="L19" s="17"/>
      <c r="M19" s="145"/>
      <c r="N19" s="145"/>
      <c r="O19" s="146"/>
      <c r="P19" s="146"/>
      <c r="Q19" s="145"/>
      <c r="R19" s="147"/>
    </row>
    <row r="20" ht="21.75" customHeight="1" collapsed="1">
      <c r="A20" s="142" t="s">
        <v>743</v>
      </c>
      <c r="B20" s="150" t="s">
        <v>1004</v>
      </c>
      <c r="C20" s="44" t="s">
        <v>1005</v>
      </c>
      <c r="D20" s="44"/>
      <c r="E20" s="24" t="s">
        <v>1006</v>
      </c>
      <c r="F20" s="25" t="s">
        <v>22</v>
      </c>
      <c r="G20" s="24" t="s">
        <v>79</v>
      </c>
      <c r="H20" s="26">
        <f>MAX(H21:H32)</f>
        <v>45248</v>
      </c>
      <c r="I20" s="143" t="str">
        <f>IFERROR(__xludf.DUMMYFUNCTION("SPARKLINE(SUM(I21:I32), {""charttype"", ""bar""; ""max"", J20; ""color1"", ""green""})"),"")</f>
        <v/>
      </c>
      <c r="J20" s="144">
        <f>COUNT(I21:I32)</f>
        <v>12</v>
      </c>
      <c r="K20" s="144"/>
      <c r="L20" s="17"/>
      <c r="M20" s="145"/>
      <c r="N20" s="145"/>
      <c r="O20" s="146"/>
      <c r="P20" s="146"/>
      <c r="Q20" s="145"/>
      <c r="R20" s="147"/>
    </row>
    <row r="21" ht="21.75" hidden="1" customHeight="1" outlineLevel="1">
      <c r="A21" s="142"/>
      <c r="B21" s="150" t="s">
        <v>1007</v>
      </c>
      <c r="C21" s="44"/>
      <c r="D21" s="44" t="s">
        <v>1008</v>
      </c>
      <c r="E21" s="24" t="s">
        <v>26</v>
      </c>
      <c r="F21" s="25" t="s">
        <v>22</v>
      </c>
      <c r="G21" s="24"/>
      <c r="H21" s="35">
        <v>45198.0</v>
      </c>
      <c r="I21" s="143">
        <f t="shared" ref="I21:I32" si="3">IFERROR(IF($E21="Done", 1, IF(OR($E21="Working on it", $E21="In Review", $E21="On Hold"), 0.5, IF($E21="Not Started", 0, ""))), 0)</f>
        <v>1</v>
      </c>
      <c r="J21" s="144"/>
      <c r="K21" s="144"/>
      <c r="L21" s="17"/>
      <c r="M21" s="145"/>
      <c r="N21" s="145"/>
      <c r="O21" s="146"/>
      <c r="P21" s="146"/>
      <c r="Q21" s="145"/>
      <c r="R21" s="147"/>
    </row>
    <row r="22" ht="21.75" hidden="1" customHeight="1" outlineLevel="1">
      <c r="A22" s="142"/>
      <c r="B22" s="150" t="s">
        <v>1009</v>
      </c>
      <c r="C22" s="44"/>
      <c r="D22" s="44" t="s">
        <v>1010</v>
      </c>
      <c r="E22" s="24" t="s">
        <v>26</v>
      </c>
      <c r="F22" s="25" t="s">
        <v>41</v>
      </c>
      <c r="G22" s="24"/>
      <c r="H22" s="35">
        <v>45211.0</v>
      </c>
      <c r="I22" s="143">
        <f t="shared" si="3"/>
        <v>1</v>
      </c>
      <c r="J22" s="144"/>
      <c r="K22" s="144"/>
      <c r="L22" s="17"/>
      <c r="M22" s="145">
        <v>45210.61261221065</v>
      </c>
      <c r="N22" s="145">
        <v>45215.51097821759</v>
      </c>
      <c r="O22" s="148" t="s">
        <v>1011</v>
      </c>
      <c r="P22" s="148" t="s">
        <v>1012</v>
      </c>
      <c r="Q22" s="149" t="s">
        <v>31</v>
      </c>
      <c r="R22" s="147">
        <v>0.011111111111111112</v>
      </c>
    </row>
    <row r="23" ht="21.75" hidden="1" customHeight="1" outlineLevel="1">
      <c r="A23" s="142"/>
      <c r="B23" s="150" t="s">
        <v>1013</v>
      </c>
      <c r="D23" s="44" t="s">
        <v>1014</v>
      </c>
      <c r="E23" s="24" t="s">
        <v>26</v>
      </c>
      <c r="F23" s="25" t="s">
        <v>22</v>
      </c>
      <c r="G23" s="24"/>
      <c r="H23" s="35">
        <v>45215.0</v>
      </c>
      <c r="I23" s="143">
        <f t="shared" si="3"/>
        <v>1</v>
      </c>
      <c r="J23" s="144"/>
      <c r="K23" s="144"/>
      <c r="L23" s="17"/>
      <c r="M23" s="145"/>
      <c r="N23" s="145"/>
      <c r="O23" s="148"/>
      <c r="P23" s="146"/>
      <c r="Q23" s="149"/>
      <c r="R23" s="147"/>
    </row>
    <row r="24" ht="21.75" hidden="1" customHeight="1" outlineLevel="1">
      <c r="A24" s="142"/>
      <c r="B24" s="150" t="s">
        <v>1015</v>
      </c>
      <c r="D24" s="44" t="s">
        <v>1016</v>
      </c>
      <c r="E24" s="24" t="s">
        <v>26</v>
      </c>
      <c r="F24" s="25" t="s">
        <v>41</v>
      </c>
      <c r="G24" s="24"/>
      <c r="H24" s="35">
        <v>45236.0</v>
      </c>
      <c r="I24" s="143">
        <f t="shared" si="3"/>
        <v>1</v>
      </c>
      <c r="J24" s="144"/>
      <c r="K24" s="144"/>
      <c r="L24" s="17"/>
      <c r="M24" s="145">
        <v>45236.803275474536</v>
      </c>
      <c r="N24" s="145">
        <v>45237.444998935185</v>
      </c>
      <c r="O24" s="148" t="s">
        <v>1017</v>
      </c>
      <c r="P24" s="148" t="s">
        <v>1018</v>
      </c>
      <c r="Q24" s="149" t="s">
        <v>31</v>
      </c>
      <c r="R24" s="147">
        <v>0.6097222222222223</v>
      </c>
    </row>
    <row r="25" ht="21.75" hidden="1" customHeight="1" outlineLevel="1">
      <c r="A25" s="142"/>
      <c r="B25" s="150" t="s">
        <v>1019</v>
      </c>
      <c r="D25" s="44" t="s">
        <v>1020</v>
      </c>
      <c r="E25" s="24" t="s">
        <v>26</v>
      </c>
      <c r="F25" s="25" t="s">
        <v>22</v>
      </c>
      <c r="G25" s="24"/>
      <c r="H25" s="35">
        <v>45215.0</v>
      </c>
      <c r="I25" s="143">
        <f t="shared" si="3"/>
        <v>1</v>
      </c>
      <c r="J25" s="144"/>
      <c r="K25" s="144"/>
      <c r="L25" s="17"/>
      <c r="M25" s="145">
        <v>45215.4436264699</v>
      </c>
      <c r="N25" s="145">
        <v>45218.41591765046</v>
      </c>
      <c r="O25" s="148"/>
      <c r="P25" s="146"/>
      <c r="Q25" s="149" t="s">
        <v>31</v>
      </c>
      <c r="R25" s="147">
        <v>2.9722222222222223</v>
      </c>
    </row>
    <row r="26" ht="21.75" hidden="1" customHeight="1" outlineLevel="1">
      <c r="A26" s="142"/>
      <c r="B26" s="150" t="s">
        <v>1021</v>
      </c>
      <c r="D26" s="44" t="s">
        <v>1022</v>
      </c>
      <c r="E26" s="24" t="s">
        <v>26</v>
      </c>
      <c r="F26" s="25" t="s">
        <v>48</v>
      </c>
      <c r="G26" s="58" t="s">
        <v>1023</v>
      </c>
      <c r="H26" s="35">
        <v>45214.0</v>
      </c>
      <c r="I26" s="143">
        <f t="shared" si="3"/>
        <v>1</v>
      </c>
      <c r="J26" s="144"/>
      <c r="K26" s="144"/>
      <c r="L26" s="17"/>
      <c r="M26" s="145">
        <v>45216.46820472222</v>
      </c>
      <c r="N26" s="145">
        <v>45217.82414256944</v>
      </c>
      <c r="O26" s="148" t="s">
        <v>1024</v>
      </c>
      <c r="P26" s="148" t="s">
        <v>1025</v>
      </c>
      <c r="Q26" s="149" t="s">
        <v>31</v>
      </c>
      <c r="R26" s="147">
        <v>0.07291666666666667</v>
      </c>
    </row>
    <row r="27" ht="21.75" hidden="1" customHeight="1" outlineLevel="1">
      <c r="A27" s="142"/>
      <c r="B27" s="150" t="s">
        <v>1026</v>
      </c>
      <c r="D27" s="44" t="s">
        <v>1027</v>
      </c>
      <c r="E27" s="24" t="s">
        <v>26</v>
      </c>
      <c r="F27" s="25" t="s">
        <v>34</v>
      </c>
      <c r="G27" s="24"/>
      <c r="H27" s="35">
        <v>45214.0</v>
      </c>
      <c r="I27" s="143">
        <f t="shared" si="3"/>
        <v>1</v>
      </c>
      <c r="J27" s="144"/>
      <c r="K27" s="144"/>
      <c r="L27" s="17"/>
      <c r="M27" s="145"/>
      <c r="N27" s="145"/>
      <c r="O27" s="148"/>
      <c r="P27" s="146"/>
      <c r="Q27" s="149"/>
      <c r="R27" s="147"/>
    </row>
    <row r="28" ht="21.75" hidden="1" customHeight="1" outlineLevel="1">
      <c r="A28" s="142"/>
      <c r="B28" s="150" t="s">
        <v>1028</v>
      </c>
      <c r="D28" s="44" t="s">
        <v>1029</v>
      </c>
      <c r="E28" s="24" t="s">
        <v>388</v>
      </c>
      <c r="F28" s="25" t="s">
        <v>48</v>
      </c>
      <c r="G28" s="24"/>
      <c r="H28" s="35">
        <v>45248.0</v>
      </c>
      <c r="I28" s="143">
        <f t="shared" si="3"/>
        <v>0.5</v>
      </c>
      <c r="J28" s="144"/>
      <c r="K28" s="144"/>
      <c r="L28" s="17"/>
      <c r="M28" s="145">
        <v>45217.829324108796</v>
      </c>
      <c r="N28" s="145"/>
      <c r="O28" s="148" t="s">
        <v>1030</v>
      </c>
      <c r="P28" s="148" t="s">
        <v>1031</v>
      </c>
      <c r="Q28" s="149" t="s">
        <v>309</v>
      </c>
      <c r="R28" s="147"/>
    </row>
    <row r="29" ht="21.75" hidden="1" customHeight="1" outlineLevel="1">
      <c r="A29" s="142"/>
      <c r="B29" s="150" t="s">
        <v>1032</v>
      </c>
      <c r="D29" s="44" t="s">
        <v>1033</v>
      </c>
      <c r="E29" s="24" t="s">
        <v>388</v>
      </c>
      <c r="F29" s="25" t="s">
        <v>48</v>
      </c>
      <c r="G29" s="24"/>
      <c r="H29" s="35">
        <v>45248.0</v>
      </c>
      <c r="I29" s="143">
        <f t="shared" si="3"/>
        <v>0.5</v>
      </c>
      <c r="J29" s="144"/>
      <c r="K29" s="144"/>
      <c r="L29" s="17"/>
      <c r="M29" s="145">
        <v>45212.57436277778</v>
      </c>
      <c r="N29" s="145"/>
      <c r="O29" s="148" t="s">
        <v>1034</v>
      </c>
      <c r="P29" s="148" t="s">
        <v>1035</v>
      </c>
      <c r="Q29" s="149" t="s">
        <v>309</v>
      </c>
      <c r="R29" s="147"/>
    </row>
    <row r="30" ht="21.75" hidden="1" customHeight="1" outlineLevel="1">
      <c r="A30" s="142"/>
      <c r="B30" s="150" t="s">
        <v>1036</v>
      </c>
      <c r="D30" s="44" t="s">
        <v>1037</v>
      </c>
      <c r="E30" s="24" t="s">
        <v>388</v>
      </c>
      <c r="F30" s="25" t="s">
        <v>48</v>
      </c>
      <c r="G30" s="24"/>
      <c r="H30" s="35">
        <v>45248.0</v>
      </c>
      <c r="I30" s="143">
        <f t="shared" si="3"/>
        <v>0.5</v>
      </c>
      <c r="J30" s="144"/>
      <c r="K30" s="144"/>
      <c r="L30" s="17"/>
      <c r="M30" s="145">
        <v>45212.57449594907</v>
      </c>
      <c r="N30" s="145"/>
      <c r="O30" s="148" t="s">
        <v>1038</v>
      </c>
      <c r="P30" s="148" t="s">
        <v>1039</v>
      </c>
      <c r="Q30" s="149" t="s">
        <v>309</v>
      </c>
      <c r="R30" s="147"/>
    </row>
    <row r="31" ht="21.75" hidden="1" customHeight="1" outlineLevel="1">
      <c r="A31" s="142"/>
      <c r="B31" s="150" t="s">
        <v>1040</v>
      </c>
      <c r="D31" s="44" t="s">
        <v>1041</v>
      </c>
      <c r="E31" s="24" t="s">
        <v>388</v>
      </c>
      <c r="F31" s="25" t="s">
        <v>48</v>
      </c>
      <c r="G31" s="24"/>
      <c r="H31" s="35">
        <v>45248.0</v>
      </c>
      <c r="I31" s="143">
        <f t="shared" si="3"/>
        <v>0.5</v>
      </c>
      <c r="J31" s="144"/>
      <c r="K31" s="144"/>
      <c r="L31" s="17"/>
      <c r="M31" s="145">
        <v>45212.57458402778</v>
      </c>
      <c r="N31" s="145"/>
      <c r="O31" s="148" t="s">
        <v>1042</v>
      </c>
      <c r="P31" s="148" t="s">
        <v>1043</v>
      </c>
      <c r="Q31" s="149" t="s">
        <v>309</v>
      </c>
      <c r="R31" s="147"/>
    </row>
    <row r="32" ht="21.75" hidden="1" customHeight="1" outlineLevel="1">
      <c r="A32" s="142"/>
      <c r="B32" s="150" t="s">
        <v>1044</v>
      </c>
      <c r="D32" s="44" t="s">
        <v>1045</v>
      </c>
      <c r="E32" s="24" t="s">
        <v>388</v>
      </c>
      <c r="F32" s="25" t="s">
        <v>48</v>
      </c>
      <c r="G32" s="24"/>
      <c r="H32" s="35">
        <v>45248.0</v>
      </c>
      <c r="I32" s="143">
        <f t="shared" si="3"/>
        <v>0.5</v>
      </c>
      <c r="J32" s="144"/>
      <c r="K32" s="144"/>
      <c r="L32" s="17"/>
      <c r="M32" s="145">
        <v>45212.57464505787</v>
      </c>
      <c r="N32" s="145"/>
      <c r="O32" s="148" t="s">
        <v>1046</v>
      </c>
      <c r="P32" s="148" t="s">
        <v>1047</v>
      </c>
      <c r="Q32" s="149" t="s">
        <v>309</v>
      </c>
      <c r="R32" s="147"/>
    </row>
    <row r="33" ht="21.75" customHeight="1" collapsed="1">
      <c r="A33" s="142" t="s">
        <v>1048</v>
      </c>
      <c r="B33" s="21" t="s">
        <v>1049</v>
      </c>
      <c r="C33" s="22" t="s">
        <v>1050</v>
      </c>
      <c r="D33" s="23"/>
      <c r="E33" s="24" t="s">
        <v>1051</v>
      </c>
      <c r="F33" s="25" t="s">
        <v>22</v>
      </c>
      <c r="G33" s="24" t="s">
        <v>79</v>
      </c>
      <c r="H33" s="26">
        <f>MAX(H34:H38)</f>
        <v>45248</v>
      </c>
      <c r="I33" s="143" t="str">
        <f>IFERROR(__xludf.DUMMYFUNCTION("SPARKLINE(SUM(I34:I38), {""charttype"", ""bar""; ""max"", J33; ""color1"", ""green""})"),"")</f>
        <v/>
      </c>
      <c r="J33" s="144">
        <f>COUNT(I34:I38)</f>
        <v>5</v>
      </c>
      <c r="K33" s="144" t="str">
        <f>IF(ISNUMBER(#REF!), #REF!, "")</f>
        <v/>
      </c>
      <c r="L33" s="17"/>
      <c r="M33" s="145">
        <f>MIN(M34:M38)</f>
        <v>45211.13464</v>
      </c>
      <c r="N33" s="145">
        <f>MAX(N34:N38)</f>
        <v>45233.6959</v>
      </c>
      <c r="O33" s="146"/>
      <c r="P33" s="146"/>
      <c r="Q33" s="145"/>
      <c r="R33" s="147">
        <f>SUM(R34:R38)</f>
        <v>16.21388889</v>
      </c>
    </row>
    <row r="34" ht="21.75" hidden="1" customHeight="1" outlineLevel="1">
      <c r="A34" s="142"/>
      <c r="B34" s="21" t="s">
        <v>1052</v>
      </c>
      <c r="C34" s="22"/>
      <c r="D34" s="22" t="s">
        <v>1053</v>
      </c>
      <c r="E34" s="24" t="s">
        <v>26</v>
      </c>
      <c r="F34" s="25" t="s">
        <v>22</v>
      </c>
      <c r="G34" s="24"/>
      <c r="H34" s="35">
        <v>45211.052252442125</v>
      </c>
      <c r="I34" s="143">
        <f t="shared" ref="I34:I38" si="4">IFERROR(IF($E34="Done", 1, IF(OR($E34="Working on it", $E34="In Review", $E34="On Hold"), 0.5, IF($E34="Not Started", 0, ""))), 0)</f>
        <v>1</v>
      </c>
      <c r="J34" s="144"/>
      <c r="K34" s="144"/>
      <c r="L34" s="17"/>
      <c r="M34" s="145">
        <v>45211.13464315972</v>
      </c>
      <c r="N34" s="145">
        <v>45211.182220601855</v>
      </c>
      <c r="O34" s="146"/>
      <c r="P34" s="146"/>
      <c r="Q34" s="149" t="s">
        <v>31</v>
      </c>
      <c r="R34" s="147">
        <v>0.04722222222222222</v>
      </c>
    </row>
    <row r="35" ht="21.75" hidden="1" customHeight="1" outlineLevel="1">
      <c r="A35" s="142"/>
      <c r="B35" s="21" t="s">
        <v>1054</v>
      </c>
      <c r="C35" s="22"/>
      <c r="D35" s="22" t="s">
        <v>1055</v>
      </c>
      <c r="E35" s="24" t="s">
        <v>26</v>
      </c>
      <c r="F35" s="25" t="s">
        <v>22</v>
      </c>
      <c r="G35" s="24"/>
      <c r="H35" s="35">
        <v>45213.052252442125</v>
      </c>
      <c r="I35" s="143">
        <f t="shared" si="4"/>
        <v>1</v>
      </c>
      <c r="J35" s="144"/>
      <c r="K35" s="144"/>
      <c r="L35" s="17"/>
      <c r="M35" s="145"/>
      <c r="N35" s="145"/>
      <c r="O35" s="146"/>
      <c r="P35" s="146"/>
      <c r="Q35" s="145"/>
      <c r="R35" s="147"/>
    </row>
    <row r="36" ht="21.75" hidden="1" customHeight="1" outlineLevel="1">
      <c r="A36" s="142"/>
      <c r="B36" s="21" t="s">
        <v>1056</v>
      </c>
      <c r="C36" s="22"/>
      <c r="D36" s="22" t="s">
        <v>1057</v>
      </c>
      <c r="E36" s="24" t="s">
        <v>26</v>
      </c>
      <c r="F36" s="25" t="s">
        <v>22</v>
      </c>
      <c r="G36" s="24"/>
      <c r="H36" s="35">
        <v>45215.052252442125</v>
      </c>
      <c r="I36" s="143">
        <f t="shared" si="4"/>
        <v>1</v>
      </c>
      <c r="J36" s="144"/>
      <c r="K36" s="144"/>
      <c r="L36" s="17"/>
      <c r="M36" s="145">
        <v>45216.626851851855</v>
      </c>
      <c r="N36" s="145">
        <v>45233.695895069446</v>
      </c>
      <c r="O36" s="148" t="s">
        <v>1058</v>
      </c>
      <c r="P36" s="148" t="s">
        <v>1059</v>
      </c>
      <c r="Q36" s="149" t="s">
        <v>31</v>
      </c>
      <c r="R36" s="147">
        <v>16.166666666666668</v>
      </c>
    </row>
    <row r="37" ht="21.75" hidden="1" customHeight="1" outlineLevel="1">
      <c r="A37" s="142"/>
      <c r="B37" s="21" t="s">
        <v>1060</v>
      </c>
      <c r="C37" s="22"/>
      <c r="D37" s="22" t="s">
        <v>1061</v>
      </c>
      <c r="E37" s="24" t="s">
        <v>26</v>
      </c>
      <c r="F37" s="25" t="s">
        <v>22</v>
      </c>
      <c r="G37" s="24"/>
      <c r="H37" s="35">
        <v>45215.052252442125</v>
      </c>
      <c r="I37" s="143">
        <f t="shared" si="4"/>
        <v>1</v>
      </c>
      <c r="J37" s="144"/>
      <c r="K37" s="144"/>
      <c r="L37" s="17"/>
      <c r="M37" s="145"/>
      <c r="N37" s="145"/>
      <c r="O37" s="146"/>
      <c r="P37" s="146"/>
      <c r="Q37" s="145"/>
      <c r="R37" s="147"/>
    </row>
    <row r="38" ht="21.75" hidden="1" customHeight="1" outlineLevel="1">
      <c r="A38" s="142"/>
      <c r="B38" s="21" t="s">
        <v>1062</v>
      </c>
      <c r="C38" s="22"/>
      <c r="D38" s="22" t="s">
        <v>1063</v>
      </c>
      <c r="E38" s="24" t="s">
        <v>179</v>
      </c>
      <c r="F38" s="25" t="s">
        <v>22</v>
      </c>
      <c r="G38" s="24"/>
      <c r="H38" s="35">
        <v>45248.0</v>
      </c>
      <c r="I38" s="143">
        <f t="shared" si="4"/>
        <v>0</v>
      </c>
      <c r="J38" s="144"/>
      <c r="K38" s="144"/>
      <c r="L38" s="17"/>
      <c r="M38" s="145"/>
      <c r="N38" s="145"/>
      <c r="O38" s="146"/>
      <c r="P38" s="146"/>
      <c r="Q38" s="145"/>
      <c r="R38" s="147"/>
    </row>
    <row r="39" ht="21.75" customHeight="1" collapsed="1">
      <c r="A39" s="142" t="s">
        <v>1064</v>
      </c>
      <c r="B39" s="21" t="s">
        <v>1065</v>
      </c>
      <c r="C39" s="22" t="s">
        <v>1066</v>
      </c>
      <c r="D39" s="23"/>
      <c r="E39" s="24" t="s">
        <v>1051</v>
      </c>
      <c r="F39" s="25" t="s">
        <v>22</v>
      </c>
      <c r="G39" s="24" t="s">
        <v>23</v>
      </c>
      <c r="H39" s="26">
        <f>MAX(H40:H42)</f>
        <v>45238</v>
      </c>
      <c r="I39" s="143" t="str">
        <f>IFERROR(__xludf.DUMMYFUNCTION("SPARKLINE(SUM(I40:I42), {""charttype"", ""bar""; ""max"", J39; ""color1"", ""green""})"),"")</f>
        <v/>
      </c>
      <c r="J39" s="144">
        <f>COUNT(I40:I42)</f>
        <v>3</v>
      </c>
      <c r="K39" s="144" t="str">
        <f>IF(ISNUMBER(#REF!), #REF!, "")</f>
        <v/>
      </c>
      <c r="L39" s="17"/>
      <c r="M39" s="145">
        <f>MIN(M40:M42)</f>
        <v>45215.83205</v>
      </c>
      <c r="N39" s="145">
        <f>MAX(N40:N42)</f>
        <v>45217.41138</v>
      </c>
      <c r="O39" s="146"/>
      <c r="P39" s="146"/>
      <c r="Q39" s="145"/>
      <c r="R39" s="147">
        <f>SUM(R40:R42)</f>
        <v>0.05555555556</v>
      </c>
    </row>
    <row r="40" ht="21.75" hidden="1" customHeight="1" outlineLevel="1">
      <c r="A40" s="142"/>
      <c r="B40" s="21" t="s">
        <v>1067</v>
      </c>
      <c r="C40" s="22"/>
      <c r="D40" s="22" t="s">
        <v>40</v>
      </c>
      <c r="E40" s="24" t="s">
        <v>26</v>
      </c>
      <c r="F40" s="25" t="s">
        <v>22</v>
      </c>
      <c r="G40" s="24"/>
      <c r="H40" s="35">
        <v>45219.53804008102</v>
      </c>
      <c r="I40" s="143">
        <f t="shared" ref="I40:I42" si="5">IFERROR(IF($E40="Done", 1, IF(OR($E40="Working on it", $E40="In Review", $E40="On Hold"), 0.5, IF($E40="Not Started", 0, ""))), 0)</f>
        <v>1</v>
      </c>
      <c r="J40" s="144"/>
      <c r="K40" s="144"/>
      <c r="L40" s="17"/>
      <c r="M40" s="145">
        <v>45215.832053356484</v>
      </c>
      <c r="N40" s="145">
        <v>45216.410779224534</v>
      </c>
      <c r="O40" s="148" t="s">
        <v>1068</v>
      </c>
      <c r="P40" s="148" t="s">
        <v>1069</v>
      </c>
      <c r="Q40" s="149" t="s">
        <v>31</v>
      </c>
      <c r="R40" s="147">
        <v>0.03680555555555556</v>
      </c>
    </row>
    <row r="41" ht="21.75" hidden="1" customHeight="1" outlineLevel="1">
      <c r="A41" s="142"/>
      <c r="B41" s="21" t="s">
        <v>1070</v>
      </c>
      <c r="C41" s="22"/>
      <c r="D41" s="22" t="s">
        <v>1071</v>
      </c>
      <c r="E41" s="24" t="s">
        <v>179</v>
      </c>
      <c r="F41" s="25" t="s">
        <v>22</v>
      </c>
      <c r="G41" s="24"/>
      <c r="H41" s="35">
        <v>45238.0</v>
      </c>
      <c r="I41" s="143">
        <f t="shared" si="5"/>
        <v>0</v>
      </c>
      <c r="J41" s="144"/>
      <c r="K41" s="144"/>
      <c r="L41" s="17"/>
      <c r="M41" s="145"/>
      <c r="N41" s="145"/>
      <c r="O41" s="148"/>
      <c r="P41" s="148"/>
      <c r="Q41" s="149"/>
      <c r="R41" s="147"/>
    </row>
    <row r="42" ht="21.75" hidden="1" customHeight="1" outlineLevel="1">
      <c r="A42" s="142"/>
      <c r="B42" s="21" t="s">
        <v>1072</v>
      </c>
      <c r="C42" s="22"/>
      <c r="D42" s="22" t="s">
        <v>274</v>
      </c>
      <c r="E42" s="24" t="s">
        <v>26</v>
      </c>
      <c r="F42" s="25" t="s">
        <v>22</v>
      </c>
      <c r="G42" s="24"/>
      <c r="H42" s="35">
        <v>45221.53804008102</v>
      </c>
      <c r="I42" s="143">
        <f t="shared" si="5"/>
        <v>1</v>
      </c>
      <c r="J42" s="144"/>
      <c r="K42" s="144"/>
      <c r="L42" s="17"/>
      <c r="M42" s="145">
        <v>45216.60959490741</v>
      </c>
      <c r="N42" s="145">
        <v>45217.41138454861</v>
      </c>
      <c r="O42" s="148" t="s">
        <v>1073</v>
      </c>
      <c r="P42" s="148" t="s">
        <v>1074</v>
      </c>
      <c r="Q42" s="149" t="s">
        <v>31</v>
      </c>
      <c r="R42" s="147">
        <v>0.01875</v>
      </c>
    </row>
    <row r="43" ht="21.75" customHeight="1" collapsed="1">
      <c r="A43" s="142" t="s">
        <v>829</v>
      </c>
      <c r="B43" s="21" t="s">
        <v>1075</v>
      </c>
      <c r="C43" s="22" t="s">
        <v>1076</v>
      </c>
      <c r="D43" s="23"/>
      <c r="E43" s="24" t="s">
        <v>984</v>
      </c>
      <c r="F43" s="25" t="s">
        <v>22</v>
      </c>
      <c r="G43" s="24" t="s">
        <v>89</v>
      </c>
      <c r="H43" s="26">
        <f>MAX(H44:H47)</f>
        <v>45239</v>
      </c>
      <c r="I43" s="143" t="str">
        <f>IFERROR(__xludf.DUMMYFUNCTION("SPARKLINE(SUM(I44:I47), {""charttype"", ""bar""; ""max"", J43; ""color1"", ""green""})"),"")</f>
        <v/>
      </c>
      <c r="J43" s="144">
        <f>COUNT(I44:I47)</f>
        <v>4</v>
      </c>
      <c r="K43" s="144" t="str">
        <f>IF(ISNUMBER(B64), K64, "")</f>
        <v/>
      </c>
      <c r="L43" s="151"/>
      <c r="M43" s="145">
        <f>MIN(M44:M47)</f>
        <v>45217.62333</v>
      </c>
      <c r="N43" s="145">
        <f>MAX(N44:N47)</f>
        <v>45239.54479</v>
      </c>
      <c r="O43" s="146"/>
      <c r="P43" s="146"/>
      <c r="Q43" s="145"/>
      <c r="R43" s="147">
        <f>SUM(R44:R47)</f>
        <v>0.09444444444</v>
      </c>
    </row>
    <row r="44" ht="21.75" hidden="1" customHeight="1" outlineLevel="1">
      <c r="A44" s="142"/>
      <c r="B44" s="21" t="s">
        <v>1077</v>
      </c>
      <c r="C44" s="22"/>
      <c r="D44" s="22" t="s">
        <v>975</v>
      </c>
      <c r="E44" s="24" t="s">
        <v>26</v>
      </c>
      <c r="F44" s="25" t="s">
        <v>41</v>
      </c>
      <c r="G44" s="24"/>
      <c r="H44" s="35">
        <v>45217.6229147338</v>
      </c>
      <c r="I44" s="143">
        <f t="shared" ref="I44:I47" si="6">IFERROR(IF($E44="Done", 1, IF(OR($E44="Working on it", $E44="In Review", $E44="On Hold"), 0.5, IF($E44="Not Started", 0, ""))), 0)</f>
        <v>1</v>
      </c>
      <c r="J44" s="144"/>
      <c r="K44" s="144"/>
      <c r="L44" s="151"/>
      <c r="M44" s="145">
        <v>45217.62333325231</v>
      </c>
      <c r="N44" s="145">
        <v>45218.47042780093</v>
      </c>
      <c r="O44" s="148" t="s">
        <v>1078</v>
      </c>
      <c r="P44" s="148" t="s">
        <v>1079</v>
      </c>
      <c r="Q44" s="149" t="s">
        <v>31</v>
      </c>
      <c r="R44" s="147">
        <v>0.04513888888888889</v>
      </c>
    </row>
    <row r="45" ht="21.75" hidden="1" customHeight="1" outlineLevel="1">
      <c r="A45" s="142"/>
      <c r="B45" s="21" t="s">
        <v>1080</v>
      </c>
      <c r="C45" s="22"/>
      <c r="D45" s="22" t="s">
        <v>1081</v>
      </c>
      <c r="E45" s="24" t="s">
        <v>26</v>
      </c>
      <c r="F45" s="25" t="s">
        <v>22</v>
      </c>
      <c r="G45" s="24"/>
      <c r="H45" s="35">
        <v>45222.0</v>
      </c>
      <c r="I45" s="143">
        <f t="shared" si="6"/>
        <v>1</v>
      </c>
      <c r="J45" s="144"/>
      <c r="K45" s="144"/>
      <c r="L45" s="151"/>
      <c r="M45" s="145">
        <v>45222.455947696755</v>
      </c>
      <c r="N45" s="145">
        <v>45222.5557578125</v>
      </c>
      <c r="O45" s="148" t="s">
        <v>1082</v>
      </c>
      <c r="P45" s="148" t="s">
        <v>1083</v>
      </c>
      <c r="Q45" s="149" t="s">
        <v>31</v>
      </c>
      <c r="R45" s="147">
        <v>0.01597222222222222</v>
      </c>
    </row>
    <row r="46" ht="21.75" hidden="1" customHeight="1" outlineLevel="1">
      <c r="A46" s="142"/>
      <c r="B46" s="21" t="s">
        <v>1084</v>
      </c>
      <c r="C46" s="22"/>
      <c r="D46" s="22" t="s">
        <v>1085</v>
      </c>
      <c r="E46" s="24" t="s">
        <v>26</v>
      </c>
      <c r="F46" s="25" t="s">
        <v>41</v>
      </c>
      <c r="G46" s="24"/>
      <c r="H46" s="35">
        <v>45236.0</v>
      </c>
      <c r="I46" s="143">
        <f t="shared" si="6"/>
        <v>1</v>
      </c>
      <c r="J46" s="144"/>
      <c r="K46" s="144"/>
      <c r="L46" s="151"/>
      <c r="M46" s="145"/>
      <c r="N46" s="145"/>
      <c r="O46" s="146"/>
      <c r="P46" s="146"/>
      <c r="Q46" s="145"/>
      <c r="R46" s="147"/>
    </row>
    <row r="47" ht="21.75" hidden="1" customHeight="1" outlineLevel="1">
      <c r="A47" s="142"/>
      <c r="B47" s="21" t="s">
        <v>1086</v>
      </c>
      <c r="C47" s="22"/>
      <c r="D47" s="22" t="s">
        <v>1087</v>
      </c>
      <c r="E47" s="24" t="s">
        <v>26</v>
      </c>
      <c r="F47" s="25" t="s">
        <v>41</v>
      </c>
      <c r="G47" s="24"/>
      <c r="H47" s="35">
        <v>45239.0</v>
      </c>
      <c r="I47" s="143">
        <f t="shared" si="6"/>
        <v>1</v>
      </c>
      <c r="J47" s="144"/>
      <c r="K47" s="144"/>
      <c r="L47" s="151"/>
      <c r="M47" s="145">
        <v>45239.461575740745</v>
      </c>
      <c r="N47" s="145">
        <v>45239.54478993056</v>
      </c>
      <c r="O47" s="148" t="s">
        <v>1088</v>
      </c>
      <c r="P47" s="148" t="s">
        <v>1089</v>
      </c>
      <c r="Q47" s="149" t="s">
        <v>31</v>
      </c>
      <c r="R47" s="147">
        <v>0.03333333333333333</v>
      </c>
    </row>
    <row r="48" ht="21.75" customHeight="1" collapsed="1">
      <c r="A48" s="142" t="s">
        <v>18</v>
      </c>
      <c r="B48" s="21" t="s">
        <v>1090</v>
      </c>
      <c r="C48" s="22" t="s">
        <v>1091</v>
      </c>
      <c r="D48" s="23"/>
      <c r="E48" s="24" t="s">
        <v>984</v>
      </c>
      <c r="F48" s="25" t="s">
        <v>22</v>
      </c>
      <c r="G48" s="24" t="s">
        <v>89</v>
      </c>
      <c r="H48" s="26">
        <f>MAX(H49:H55)</f>
        <v>45240</v>
      </c>
      <c r="I48" s="143" t="str">
        <f>IFERROR(__xludf.DUMMYFUNCTION("SPARKLINE(SUM(I49:I55), {""charttype"", ""bar""; ""max"", J48; ""color1"", ""green""})"),"")</f>
        <v/>
      </c>
      <c r="J48" s="144">
        <f>COUNT(I49:I55)</f>
        <v>4</v>
      </c>
      <c r="K48" s="144" t="str">
        <f>IF(ISNUMBER(B72), K72, "")</f>
        <v/>
      </c>
      <c r="L48" s="17"/>
      <c r="M48" s="145">
        <f>MIN(M49:M55)</f>
        <v>45231.66381</v>
      </c>
      <c r="N48" s="145">
        <f>MAX(N49:N55)</f>
        <v>45239.79655</v>
      </c>
      <c r="O48" s="146"/>
      <c r="P48" s="146"/>
      <c r="Q48" s="145"/>
      <c r="R48" s="147">
        <f>SUM(R49:R55)</f>
        <v>0.3798611111</v>
      </c>
    </row>
    <row r="49" ht="21.75" hidden="1" customHeight="1" outlineLevel="1">
      <c r="A49" s="142"/>
      <c r="B49" s="21" t="s">
        <v>1092</v>
      </c>
      <c r="C49" s="22"/>
      <c r="D49" s="22" t="s">
        <v>1093</v>
      </c>
      <c r="E49" s="24" t="s">
        <v>26</v>
      </c>
      <c r="F49" s="25" t="s">
        <v>22</v>
      </c>
      <c r="G49" s="24"/>
      <c r="H49" s="35">
        <v>45232.49699351852</v>
      </c>
      <c r="I49" s="143">
        <f t="shared" ref="I49:I51" si="7">IFERROR(IF($E49="Done", 1, IF(OR($E49="Working on it", $E49="In Review", $E49="On Hold"), 0.5, IF($E49="Not Started", 0, ""))), 0)</f>
        <v>1</v>
      </c>
      <c r="J49" s="144"/>
      <c r="K49" s="144"/>
      <c r="L49" s="17"/>
      <c r="M49" s="145">
        <v>45231.66380787037</v>
      </c>
      <c r="N49" s="145">
        <v>45232.49776945602</v>
      </c>
      <c r="O49" s="148" t="s">
        <v>1094</v>
      </c>
      <c r="P49" s="148" t="s">
        <v>1095</v>
      </c>
      <c r="Q49" s="149" t="s">
        <v>31</v>
      </c>
      <c r="R49" s="147">
        <v>0.2638888888888889</v>
      </c>
    </row>
    <row r="50" ht="21.75" hidden="1" customHeight="1" outlineLevel="1">
      <c r="A50" s="142"/>
      <c r="B50" s="21" t="s">
        <v>1096</v>
      </c>
      <c r="C50" s="22"/>
      <c r="D50" s="22" t="s">
        <v>1097</v>
      </c>
      <c r="E50" s="24" t="s">
        <v>26</v>
      </c>
      <c r="F50" s="25" t="s">
        <v>41</v>
      </c>
      <c r="G50" s="24"/>
      <c r="H50" s="35">
        <v>45231.0</v>
      </c>
      <c r="I50" s="143">
        <f t="shared" si="7"/>
        <v>1</v>
      </c>
      <c r="J50" s="144"/>
      <c r="K50" s="144"/>
      <c r="L50" s="17"/>
      <c r="M50" s="145"/>
      <c r="N50" s="145"/>
      <c r="O50" s="146"/>
      <c r="P50" s="146"/>
      <c r="Q50" s="145"/>
      <c r="R50" s="147"/>
    </row>
    <row r="51" ht="21.75" hidden="1" customHeight="1" outlineLevel="1">
      <c r="A51" s="142"/>
      <c r="B51" s="21" t="s">
        <v>1098</v>
      </c>
      <c r="C51" s="22"/>
      <c r="D51" s="22" t="s">
        <v>1099</v>
      </c>
      <c r="E51" s="24" t="s">
        <v>26</v>
      </c>
      <c r="F51" s="25" t="s">
        <v>48</v>
      </c>
      <c r="G51" s="24"/>
      <c r="H51" s="35">
        <v>45234.0</v>
      </c>
      <c r="I51" s="143">
        <f t="shared" si="7"/>
        <v>1</v>
      </c>
      <c r="J51" s="144"/>
      <c r="K51" s="144"/>
      <c r="L51" s="17"/>
      <c r="M51" s="145">
        <v>45234.750417442134</v>
      </c>
      <c r="N51" s="145">
        <v>45234.75148427083</v>
      </c>
      <c r="O51" s="146"/>
      <c r="P51" s="146"/>
      <c r="Q51" s="149" t="s">
        <v>31</v>
      </c>
      <c r="R51" s="147">
        <v>6.944444444444445E-4</v>
      </c>
    </row>
    <row r="52" ht="21.75" hidden="1" customHeight="1" outlineLevel="1">
      <c r="A52" s="142"/>
      <c r="B52" s="21" t="s">
        <v>1100</v>
      </c>
      <c r="C52" s="22"/>
      <c r="D52" s="22" t="s">
        <v>1101</v>
      </c>
      <c r="E52" s="24" t="s">
        <v>26</v>
      </c>
      <c r="F52" s="25" t="s">
        <v>22</v>
      </c>
      <c r="G52" s="24"/>
      <c r="H52" s="35">
        <v>45236.0</v>
      </c>
      <c r="I52" s="143"/>
      <c r="J52" s="144"/>
      <c r="K52" s="144"/>
      <c r="L52" s="17"/>
      <c r="M52" s="145">
        <v>45236.41421296296</v>
      </c>
      <c r="N52" s="145">
        <v>45236.57425709491</v>
      </c>
      <c r="O52" s="148" t="s">
        <v>1102</v>
      </c>
      <c r="P52" s="148" t="s">
        <v>1103</v>
      </c>
      <c r="Q52" s="149" t="s">
        <v>31</v>
      </c>
      <c r="R52" s="147">
        <v>0.1111111111111111</v>
      </c>
    </row>
    <row r="53" ht="21.75" hidden="1" customHeight="1" outlineLevel="1">
      <c r="A53" s="142"/>
      <c r="B53" s="21" t="s">
        <v>1104</v>
      </c>
      <c r="C53" s="22"/>
      <c r="D53" s="22" t="s">
        <v>1105</v>
      </c>
      <c r="E53" s="24" t="s">
        <v>388</v>
      </c>
      <c r="F53" s="25" t="s">
        <v>41</v>
      </c>
      <c r="G53" s="24"/>
      <c r="H53" s="35">
        <v>45240.0</v>
      </c>
      <c r="I53" s="143"/>
      <c r="J53" s="144"/>
      <c r="K53" s="144"/>
      <c r="L53" s="17"/>
      <c r="M53" s="145">
        <v>45238.46602934028</v>
      </c>
      <c r="N53" s="145"/>
      <c r="O53" s="148" t="s">
        <v>1106</v>
      </c>
      <c r="P53" s="148" t="s">
        <v>1107</v>
      </c>
      <c r="Q53" s="149" t="s">
        <v>309</v>
      </c>
      <c r="R53" s="147"/>
    </row>
    <row r="54" ht="21.75" hidden="1" customHeight="1" outlineLevel="1">
      <c r="A54" s="142"/>
      <c r="B54" s="21" t="s">
        <v>1108</v>
      </c>
      <c r="C54" s="22"/>
      <c r="D54" s="22" t="s">
        <v>1109</v>
      </c>
      <c r="E54" s="24" t="s">
        <v>26</v>
      </c>
      <c r="F54" s="25" t="s">
        <v>34</v>
      </c>
      <c r="G54" s="24"/>
      <c r="H54" s="35">
        <v>45239.0</v>
      </c>
      <c r="I54" s="143"/>
      <c r="J54" s="144"/>
      <c r="K54" s="144"/>
      <c r="L54" s="17"/>
      <c r="M54" s="145">
        <v>45239.40509429398</v>
      </c>
      <c r="N54" s="145">
        <v>45239.79655</v>
      </c>
      <c r="O54" s="148" t="s">
        <v>1110</v>
      </c>
      <c r="P54" s="148" t="s">
        <v>1111</v>
      </c>
      <c r="Q54" s="149" t="s">
        <v>31</v>
      </c>
      <c r="R54" s="147">
        <v>0.004166666666666667</v>
      </c>
    </row>
    <row r="55" ht="21.75" hidden="1" customHeight="1" outlineLevel="1">
      <c r="A55" s="142"/>
      <c r="B55" s="21" t="s">
        <v>1112</v>
      </c>
      <c r="C55" s="22"/>
      <c r="D55" s="22" t="s">
        <v>1113</v>
      </c>
      <c r="E55" s="24" t="s">
        <v>179</v>
      </c>
      <c r="F55" s="25"/>
      <c r="G55" s="24"/>
      <c r="H55" s="35"/>
      <c r="I55" s="143">
        <f>IFERROR(IF($E55="Done", 1, IF(OR($E55="Working on it", $E55="In Review", $E55="On Hold"), 0.5, IF($E55="Not Started", 0, ""))), 0)</f>
        <v>0</v>
      </c>
      <c r="J55" s="144"/>
      <c r="K55" s="144"/>
      <c r="L55" s="17"/>
      <c r="M55" s="145"/>
      <c r="N55" s="145"/>
      <c r="O55" s="146"/>
      <c r="P55" s="146"/>
      <c r="Q55" s="145"/>
      <c r="R55" s="147"/>
    </row>
    <row r="56" ht="21.75" customHeight="1" collapsed="1">
      <c r="A56" s="142" t="s">
        <v>1114</v>
      </c>
      <c r="B56" s="21" t="s">
        <v>1115</v>
      </c>
      <c r="C56" s="22" t="s">
        <v>1116</v>
      </c>
      <c r="D56" s="23"/>
      <c r="E56" s="24" t="s">
        <v>963</v>
      </c>
      <c r="F56" s="25" t="s">
        <v>22</v>
      </c>
      <c r="G56" s="24" t="s">
        <v>79</v>
      </c>
      <c r="H56" s="26">
        <f>MAX(H57:H58)</f>
        <v>45238</v>
      </c>
      <c r="I56" s="143" t="str">
        <f>IFERROR(__xludf.DUMMYFUNCTION("SPARKLINE(SUM(I57:I58), {""charttype"", ""bar""; ""max"", J56; ""color1"", ""green""})"),"")</f>
        <v/>
      </c>
      <c r="J56" s="144">
        <f>COUNT(I57:I58)</f>
        <v>2</v>
      </c>
      <c r="K56" s="144" t="str">
        <f>IF(ISNUMBER(B55), K55, "")</f>
        <v/>
      </c>
      <c r="L56" s="17"/>
      <c r="M56" s="145">
        <f>MIN(M57:M58)</f>
        <v>45233.73993</v>
      </c>
      <c r="N56" s="145">
        <f>MAX(N57:N58)</f>
        <v>45238.08416</v>
      </c>
      <c r="O56" s="146"/>
      <c r="P56" s="146"/>
      <c r="Q56" s="145"/>
      <c r="R56" s="147">
        <f>SUM(R57:R58)</f>
        <v>0.07847222222</v>
      </c>
    </row>
    <row r="57" ht="21.75" hidden="1" customHeight="1" outlineLevel="1">
      <c r="A57" s="142"/>
      <c r="B57" s="21" t="s">
        <v>1117</v>
      </c>
      <c r="C57" s="22"/>
      <c r="D57" s="22" t="s">
        <v>1118</v>
      </c>
      <c r="E57" s="24" t="s">
        <v>26</v>
      </c>
      <c r="F57" s="25" t="s">
        <v>22</v>
      </c>
      <c r="G57" s="24"/>
      <c r="H57" s="35">
        <v>45233.64623751157</v>
      </c>
      <c r="I57" s="143">
        <f t="shared" ref="I57:I58" si="8">IFERROR(IF($E57="Done", 1, IF(OR($E57="Working on it", $E57="In Review", $E57="On Hold"), 0.5, IF($E57="Not Started", 0, ""))), 0)</f>
        <v>1</v>
      </c>
      <c r="J57" s="144"/>
      <c r="K57" s="144"/>
      <c r="L57" s="17"/>
      <c r="M57" s="145">
        <v>45233.73992515046</v>
      </c>
      <c r="N57" s="145">
        <v>45238.08415784722</v>
      </c>
      <c r="O57" s="148" t="s">
        <v>1119</v>
      </c>
      <c r="P57" s="148" t="s">
        <v>1120</v>
      </c>
      <c r="Q57" s="149" t="s">
        <v>31</v>
      </c>
      <c r="R57" s="147">
        <v>0.07847222222222222</v>
      </c>
    </row>
    <row r="58" ht="21.75" hidden="1" customHeight="1" outlineLevel="1">
      <c r="A58" s="142"/>
      <c r="B58" s="21" t="s">
        <v>1121</v>
      </c>
      <c r="C58" s="22"/>
      <c r="D58" s="22" t="s">
        <v>1122</v>
      </c>
      <c r="E58" s="24" t="s">
        <v>388</v>
      </c>
      <c r="F58" s="25" t="s">
        <v>22</v>
      </c>
      <c r="G58" s="24"/>
      <c r="H58" s="35">
        <v>45238.0</v>
      </c>
      <c r="I58" s="143">
        <f t="shared" si="8"/>
        <v>0.5</v>
      </c>
      <c r="J58" s="144"/>
      <c r="K58" s="144"/>
      <c r="L58" s="17"/>
      <c r="M58" s="145">
        <v>45236.52799768518</v>
      </c>
      <c r="N58" s="145"/>
      <c r="O58" s="148" t="s">
        <v>1123</v>
      </c>
      <c r="P58" s="146"/>
      <c r="Q58" s="149" t="s">
        <v>309</v>
      </c>
      <c r="R58" s="147"/>
    </row>
    <row r="59" ht="21.75" customHeight="1">
      <c r="A59" s="142" t="s">
        <v>457</v>
      </c>
      <c r="B59" s="21" t="s">
        <v>1124</v>
      </c>
      <c r="C59" s="22" t="s">
        <v>1125</v>
      </c>
      <c r="D59" s="23"/>
      <c r="E59" s="24" t="s">
        <v>963</v>
      </c>
      <c r="F59" s="25" t="s">
        <v>27</v>
      </c>
      <c r="G59" s="24" t="s">
        <v>79</v>
      </c>
      <c r="H59" s="26">
        <f>MAX(H60:H64)</f>
        <v>45244</v>
      </c>
      <c r="I59" s="143" t="str">
        <f>IFERROR(__xludf.DUMMYFUNCTION("SPARKLINE(SUM(I60:I64), {""charttype"", ""bar""; ""max"", J59; ""color1"", ""green""})"),"")</f>
        <v/>
      </c>
      <c r="J59" s="144">
        <f>COUNT(I60:I64)</f>
        <v>5</v>
      </c>
      <c r="K59" s="144" t="str">
        <f>IF(ISNUMBER(B11), K11, "")</f>
        <v/>
      </c>
      <c r="L59" s="17"/>
      <c r="M59" s="145">
        <f>MIN(M60:M64)</f>
        <v>45217.83067</v>
      </c>
      <c r="N59" s="145">
        <f>MAX(N60:N64)</f>
        <v>0</v>
      </c>
      <c r="O59" s="146"/>
      <c r="P59" s="146"/>
      <c r="Q59" s="145"/>
      <c r="R59" s="147">
        <f>SUM(R60:R64)</f>
        <v>0</v>
      </c>
    </row>
    <row r="60" ht="21.75" customHeight="1" outlineLevel="1">
      <c r="A60" s="142"/>
      <c r="B60" s="21" t="s">
        <v>1126</v>
      </c>
      <c r="C60" s="22"/>
      <c r="D60" s="22" t="s">
        <v>25</v>
      </c>
      <c r="E60" s="24" t="s">
        <v>307</v>
      </c>
      <c r="F60" s="25" t="s">
        <v>22</v>
      </c>
      <c r="G60" s="34" t="s">
        <v>1127</v>
      </c>
      <c r="H60" s="35">
        <v>45240.0</v>
      </c>
      <c r="I60" s="143">
        <f t="shared" ref="I60:I64" si="9">IFERROR(IF($E60="Done", 1, IF(OR($E60="Working on it", $E60="In Review", $E60="On Hold"), 0.5, IF($E60="Not Started", 0, ""))), 0)</f>
        <v>0.5</v>
      </c>
      <c r="J60" s="144"/>
      <c r="K60" s="144"/>
      <c r="L60" s="17"/>
      <c r="M60" s="145">
        <v>45217.83066952546</v>
      </c>
      <c r="N60" s="145"/>
      <c r="O60" s="148" t="s">
        <v>1128</v>
      </c>
      <c r="P60" s="148" t="s">
        <v>1129</v>
      </c>
      <c r="Q60" s="149" t="s">
        <v>309</v>
      </c>
      <c r="R60" s="147"/>
    </row>
    <row r="61" ht="21.75" customHeight="1" outlineLevel="1">
      <c r="A61" s="142"/>
      <c r="B61" s="21" t="s">
        <v>1130</v>
      </c>
      <c r="C61" s="22"/>
      <c r="D61" s="22" t="s">
        <v>1131</v>
      </c>
      <c r="E61" s="24" t="s">
        <v>179</v>
      </c>
      <c r="F61" s="25" t="s">
        <v>27</v>
      </c>
      <c r="G61" s="24"/>
      <c r="H61" s="35">
        <v>45241.0</v>
      </c>
      <c r="I61" s="143">
        <f t="shared" si="9"/>
        <v>0</v>
      </c>
      <c r="J61" s="144"/>
      <c r="K61" s="144"/>
      <c r="L61" s="17"/>
      <c r="M61" s="145"/>
      <c r="N61" s="145"/>
      <c r="O61" s="146"/>
      <c r="P61" s="146"/>
      <c r="Q61" s="145"/>
      <c r="R61" s="147"/>
    </row>
    <row r="62" ht="21.75" customHeight="1" outlineLevel="1">
      <c r="A62" s="142"/>
      <c r="B62" s="21" t="s">
        <v>1132</v>
      </c>
      <c r="C62" s="22"/>
      <c r="D62" s="22" t="s">
        <v>40</v>
      </c>
      <c r="E62" s="24" t="s">
        <v>179</v>
      </c>
      <c r="F62" s="25" t="s">
        <v>27</v>
      </c>
      <c r="G62" s="24"/>
      <c r="H62" s="35">
        <v>45244.0</v>
      </c>
      <c r="I62" s="143">
        <f t="shared" si="9"/>
        <v>0</v>
      </c>
      <c r="J62" s="144"/>
      <c r="K62" s="144"/>
      <c r="L62" s="17"/>
      <c r="M62" s="145"/>
      <c r="N62" s="145"/>
      <c r="O62" s="146"/>
      <c r="P62" s="146"/>
      <c r="Q62" s="145"/>
      <c r="R62" s="147"/>
    </row>
    <row r="63" ht="21.75" customHeight="1" outlineLevel="1">
      <c r="A63" s="142"/>
      <c r="B63" s="21" t="s">
        <v>1133</v>
      </c>
      <c r="C63" s="22"/>
      <c r="D63" s="22" t="s">
        <v>274</v>
      </c>
      <c r="E63" s="24" t="s">
        <v>179</v>
      </c>
      <c r="F63" s="25" t="s">
        <v>22</v>
      </c>
      <c r="G63" s="24"/>
      <c r="H63" s="35">
        <v>45244.0</v>
      </c>
      <c r="I63" s="143">
        <f t="shared" si="9"/>
        <v>0</v>
      </c>
      <c r="J63" s="144"/>
      <c r="K63" s="144"/>
      <c r="L63" s="17"/>
      <c r="M63" s="145"/>
      <c r="N63" s="145"/>
      <c r="O63" s="146"/>
      <c r="P63" s="146"/>
      <c r="Q63" s="145"/>
      <c r="R63" s="147"/>
    </row>
    <row r="64" ht="21.75" customHeight="1" outlineLevel="1">
      <c r="A64" s="142"/>
      <c r="B64" s="21" t="s">
        <v>1134</v>
      </c>
      <c r="C64" s="22"/>
      <c r="D64" s="22" t="s">
        <v>1135</v>
      </c>
      <c r="E64" s="24" t="s">
        <v>307</v>
      </c>
      <c r="F64" s="25" t="s">
        <v>48</v>
      </c>
      <c r="G64" s="24"/>
      <c r="H64" s="35">
        <v>45244.0</v>
      </c>
      <c r="I64" s="143">
        <f t="shared" si="9"/>
        <v>0.5</v>
      </c>
      <c r="J64" s="144"/>
      <c r="K64" s="144"/>
      <c r="L64" s="17"/>
      <c r="M64" s="145"/>
      <c r="N64" s="145"/>
      <c r="O64" s="146"/>
      <c r="P64" s="146"/>
      <c r="Q64" s="145"/>
      <c r="R64" s="147"/>
    </row>
    <row r="65" ht="21.75" customHeight="1" collapsed="1">
      <c r="A65" s="142" t="s">
        <v>457</v>
      </c>
      <c r="B65" s="21" t="s">
        <v>1136</v>
      </c>
      <c r="C65" s="22" t="s">
        <v>1137</v>
      </c>
      <c r="D65" s="23"/>
      <c r="E65" s="24" t="s">
        <v>963</v>
      </c>
      <c r="F65" s="25" t="s">
        <v>27</v>
      </c>
      <c r="G65" s="24" t="s">
        <v>79</v>
      </c>
      <c r="H65" s="26">
        <f>MAX(H66:H72)</f>
        <v>45241</v>
      </c>
      <c r="I65" s="143" t="str">
        <f>IFERROR(__xludf.DUMMYFUNCTION("SPARKLINE(SUM(I66:I72), {""charttype"", ""bar""; ""max"", J65; ""color1"", ""green""})"),"")</f>
        <v/>
      </c>
      <c r="J65" s="144">
        <f>COUNT(I66:I72)</f>
        <v>7</v>
      </c>
      <c r="K65" s="144" t="str">
        <f>IF(ISNUMBER(B47), K47, "")</f>
        <v/>
      </c>
      <c r="L65" s="17"/>
      <c r="M65" s="145">
        <f>MIN(M66:M72)</f>
        <v>45219.50742</v>
      </c>
      <c r="N65" s="145">
        <f>MAX(N66:N72)</f>
        <v>45239.75151</v>
      </c>
      <c r="O65" s="146"/>
      <c r="P65" s="146"/>
      <c r="Q65" s="145"/>
      <c r="R65" s="147">
        <f>SUM(R66:R72)</f>
        <v>0.1722222222</v>
      </c>
    </row>
    <row r="66" ht="21.75" hidden="1" customHeight="1" outlineLevel="1">
      <c r="A66" s="142"/>
      <c r="B66" s="21" t="s">
        <v>1138</v>
      </c>
      <c r="C66" s="22"/>
      <c r="D66" s="22" t="s">
        <v>25</v>
      </c>
      <c r="E66" s="24" t="s">
        <v>26</v>
      </c>
      <c r="F66" s="25" t="s">
        <v>22</v>
      </c>
      <c r="G66" s="34" t="s">
        <v>1139</v>
      </c>
      <c r="H66" s="35">
        <v>45217.74334</v>
      </c>
      <c r="I66" s="143">
        <f t="shared" ref="I66:I72" si="10">IFERROR(IF($E66="Done", 1, IF(OR($E66="Working on it", $E66="In Review", $E66="On Hold"), 0.5, IF($E66="Not Started", 0, ""))), 0)</f>
        <v>1</v>
      </c>
      <c r="J66" s="144"/>
      <c r="K66" s="144"/>
      <c r="L66" s="17"/>
      <c r="M66" s="145">
        <v>45219.507422511575</v>
      </c>
      <c r="N66" s="145">
        <v>45220.421401898144</v>
      </c>
      <c r="O66" s="148" t="s">
        <v>1140</v>
      </c>
      <c r="P66" s="148" t="s">
        <v>1141</v>
      </c>
      <c r="Q66" s="149" t="s">
        <v>31</v>
      </c>
      <c r="R66" s="147">
        <v>0.15208333333333332</v>
      </c>
    </row>
    <row r="67" ht="21.75" hidden="1" customHeight="1" outlineLevel="1">
      <c r="A67" s="142"/>
      <c r="B67" s="21" t="s">
        <v>1142</v>
      </c>
      <c r="C67" s="22"/>
      <c r="D67" s="22" t="s">
        <v>1143</v>
      </c>
      <c r="E67" s="24" t="s">
        <v>26</v>
      </c>
      <c r="F67" s="25" t="s">
        <v>48</v>
      </c>
      <c r="G67" s="24"/>
      <c r="H67" s="35">
        <v>45220.0</v>
      </c>
      <c r="I67" s="143">
        <f t="shared" si="10"/>
        <v>1</v>
      </c>
      <c r="J67" s="144"/>
      <c r="K67" s="144"/>
      <c r="L67" s="17"/>
      <c r="M67" s="145">
        <v>45220.41931997685</v>
      </c>
      <c r="N67" s="145">
        <v>45220.42137278935</v>
      </c>
      <c r="O67" s="146"/>
      <c r="P67" s="146"/>
      <c r="Q67" s="149" t="s">
        <v>31</v>
      </c>
      <c r="R67" s="147">
        <v>0.001388888888888889</v>
      </c>
    </row>
    <row r="68" ht="21.75" hidden="1" customHeight="1" outlineLevel="1">
      <c r="A68" s="142"/>
      <c r="B68" s="21" t="s">
        <v>1144</v>
      </c>
      <c r="C68" s="22"/>
      <c r="D68" s="22" t="s">
        <v>40</v>
      </c>
      <c r="E68" s="24" t="s">
        <v>26</v>
      </c>
      <c r="F68" s="25" t="s">
        <v>236</v>
      </c>
      <c r="G68" s="24" t="s">
        <v>1145</v>
      </c>
      <c r="H68" s="35">
        <v>45219.0</v>
      </c>
      <c r="I68" s="143">
        <f t="shared" si="10"/>
        <v>1</v>
      </c>
      <c r="J68" s="144"/>
      <c r="K68" s="144"/>
      <c r="L68" s="17"/>
      <c r="M68" s="145"/>
      <c r="N68" s="145"/>
      <c r="O68" s="146"/>
      <c r="P68" s="146"/>
      <c r="Q68" s="145"/>
      <c r="R68" s="147"/>
    </row>
    <row r="69" ht="21.75" hidden="1" customHeight="1" outlineLevel="1">
      <c r="A69" s="142"/>
      <c r="B69" s="21" t="s">
        <v>1146</v>
      </c>
      <c r="C69" s="22"/>
      <c r="D69" s="22" t="s">
        <v>33</v>
      </c>
      <c r="E69" s="24" t="s">
        <v>179</v>
      </c>
      <c r="F69" s="25" t="s">
        <v>34</v>
      </c>
      <c r="G69" s="24"/>
      <c r="H69" s="35">
        <v>45240.0</v>
      </c>
      <c r="I69" s="143">
        <f t="shared" si="10"/>
        <v>0</v>
      </c>
      <c r="J69" s="144"/>
      <c r="K69" s="144"/>
      <c r="L69" s="17"/>
      <c r="M69" s="145"/>
      <c r="N69" s="145"/>
      <c r="O69" s="148"/>
      <c r="P69" s="148"/>
      <c r="Q69" s="149"/>
      <c r="R69" s="147"/>
    </row>
    <row r="70" ht="21.75" hidden="1" customHeight="1" outlineLevel="1">
      <c r="A70" s="142"/>
      <c r="B70" s="21" t="s">
        <v>1147</v>
      </c>
      <c r="C70" s="22"/>
      <c r="D70" s="22" t="s">
        <v>675</v>
      </c>
      <c r="E70" s="24" t="s">
        <v>26</v>
      </c>
      <c r="F70" s="25" t="s">
        <v>48</v>
      </c>
      <c r="G70" s="24"/>
      <c r="H70" s="35">
        <v>45239.0</v>
      </c>
      <c r="I70" s="143">
        <f t="shared" si="10"/>
        <v>1</v>
      </c>
      <c r="J70" s="144"/>
      <c r="K70" s="144"/>
      <c r="L70" s="17"/>
      <c r="M70" s="145">
        <v>45239.62912619213</v>
      </c>
      <c r="N70" s="145">
        <v>45239.751512002316</v>
      </c>
      <c r="O70" s="148" t="s">
        <v>1148</v>
      </c>
      <c r="P70" s="148" t="s">
        <v>1149</v>
      </c>
      <c r="Q70" s="149" t="s">
        <v>31</v>
      </c>
      <c r="R70" s="147">
        <v>0.01875</v>
      </c>
    </row>
    <row r="71" ht="21.75" hidden="1" customHeight="1" outlineLevel="1">
      <c r="A71" s="142"/>
      <c r="B71" s="21" t="s">
        <v>1150</v>
      </c>
      <c r="C71" s="22"/>
      <c r="D71" s="22" t="s">
        <v>274</v>
      </c>
      <c r="E71" s="24" t="s">
        <v>307</v>
      </c>
      <c r="F71" s="25" t="s">
        <v>22</v>
      </c>
      <c r="G71" s="24"/>
      <c r="H71" s="35">
        <v>45240.0</v>
      </c>
      <c r="I71" s="143">
        <f t="shared" si="10"/>
        <v>0.5</v>
      </c>
      <c r="J71" s="144"/>
      <c r="K71" s="144"/>
      <c r="L71" s="17"/>
      <c r="M71" s="145">
        <v>45225.50759259259</v>
      </c>
      <c r="N71" s="145"/>
      <c r="O71" s="148" t="s">
        <v>1151</v>
      </c>
      <c r="P71" s="148" t="s">
        <v>1152</v>
      </c>
      <c r="Q71" s="149" t="s">
        <v>17</v>
      </c>
      <c r="R71" s="147"/>
    </row>
    <row r="72" ht="21.75" hidden="1" customHeight="1" outlineLevel="1">
      <c r="A72" s="142"/>
      <c r="B72" s="21" t="s">
        <v>1153</v>
      </c>
      <c r="C72" s="22"/>
      <c r="D72" s="22" t="s">
        <v>1135</v>
      </c>
      <c r="E72" s="24" t="s">
        <v>307</v>
      </c>
      <c r="F72" s="25" t="s">
        <v>48</v>
      </c>
      <c r="G72" s="24"/>
      <c r="H72" s="35">
        <v>45241.0</v>
      </c>
      <c r="I72" s="143">
        <f t="shared" si="10"/>
        <v>0.5</v>
      </c>
      <c r="J72" s="144"/>
      <c r="K72" s="144"/>
      <c r="L72" s="17"/>
      <c r="M72" s="145">
        <v>45227.72628556713</v>
      </c>
      <c r="N72" s="145"/>
      <c r="O72" s="148" t="s">
        <v>1154</v>
      </c>
      <c r="P72" s="146"/>
      <c r="Q72" s="149" t="s">
        <v>309</v>
      </c>
      <c r="R72" s="147"/>
    </row>
    <row r="73" ht="21.75" customHeight="1">
      <c r="A73" s="152" t="s">
        <v>457</v>
      </c>
      <c r="B73" s="21" t="s">
        <v>1155</v>
      </c>
      <c r="C73" s="22" t="s">
        <v>1156</v>
      </c>
      <c r="D73" s="23"/>
      <c r="E73" s="24" t="s">
        <v>963</v>
      </c>
      <c r="F73" s="25" t="s">
        <v>27</v>
      </c>
      <c r="G73" s="24" t="s">
        <v>23</v>
      </c>
      <c r="H73" s="26">
        <f>MAX(H74:H77)</f>
        <v>45241</v>
      </c>
      <c r="I73" s="143" t="str">
        <f>IFERROR(__xludf.DUMMYFUNCTION("SPARKLINE(SUM(I74:I77), {""charttype"", ""bar""; ""max"", J73; ""color1"", ""green""})"),"")</f>
        <v/>
      </c>
      <c r="J73" s="144">
        <f>COUNT(I74:I77)</f>
        <v>4</v>
      </c>
      <c r="K73" s="144" t="str">
        <f>IF(ISNUMBER(B58), K58, "")</f>
        <v/>
      </c>
      <c r="L73" s="17"/>
      <c r="M73" s="145">
        <f>MIN(M74:M77)</f>
        <v>45240.48247</v>
      </c>
      <c r="N73" s="145">
        <f>MAX(N74:N77)</f>
        <v>0</v>
      </c>
      <c r="O73" s="146"/>
      <c r="P73" s="146"/>
      <c r="Q73" s="145"/>
      <c r="R73" s="147">
        <f>SUM(R74:R77)</f>
        <v>0</v>
      </c>
    </row>
    <row r="74" ht="21.75" customHeight="1" outlineLevel="1">
      <c r="A74" s="142"/>
      <c r="B74" s="21" t="s">
        <v>1157</v>
      </c>
      <c r="C74" s="23"/>
      <c r="D74" s="22" t="s">
        <v>25</v>
      </c>
      <c r="E74" s="24" t="s">
        <v>307</v>
      </c>
      <c r="F74" s="25" t="s">
        <v>236</v>
      </c>
      <c r="G74" s="24" t="s">
        <v>1158</v>
      </c>
      <c r="H74" s="35">
        <v>45237.45250912037</v>
      </c>
      <c r="I74" s="143">
        <f t="shared" ref="I74:I77" si="11">IFERROR(IF($E74="Done", 1, IF(OR($E74="Working on it", $E74="In Review", $E74="On Hold"), 0.5, IF($E74="Not Started", 0, ""))), 0)</f>
        <v>0.5</v>
      </c>
      <c r="J74" s="144"/>
      <c r="K74" s="144"/>
      <c r="L74" s="17"/>
      <c r="M74" s="145">
        <v>45240.48246659723</v>
      </c>
      <c r="N74" s="145"/>
      <c r="O74" s="148" t="s">
        <v>1159</v>
      </c>
      <c r="P74" s="146"/>
      <c r="Q74" s="149" t="s">
        <v>309</v>
      </c>
      <c r="R74" s="147"/>
    </row>
    <row r="75" ht="21.75" customHeight="1" outlineLevel="1">
      <c r="A75" s="142"/>
      <c r="B75" s="21" t="s">
        <v>1160</v>
      </c>
      <c r="C75" s="23"/>
      <c r="D75" s="22" t="s">
        <v>40</v>
      </c>
      <c r="E75" s="24" t="s">
        <v>307</v>
      </c>
      <c r="F75" s="25" t="s">
        <v>71</v>
      </c>
      <c r="G75" s="24"/>
      <c r="H75" s="35">
        <v>45240.0</v>
      </c>
      <c r="I75" s="143">
        <f t="shared" si="11"/>
        <v>0.5</v>
      </c>
      <c r="J75" s="144"/>
      <c r="K75" s="144"/>
      <c r="L75" s="17"/>
      <c r="M75" s="145">
        <v>45240.71298427084</v>
      </c>
      <c r="N75" s="145"/>
      <c r="O75" s="148" t="s">
        <v>1161</v>
      </c>
      <c r="P75" s="146"/>
      <c r="Q75" s="149" t="s">
        <v>309</v>
      </c>
      <c r="R75" s="147"/>
    </row>
    <row r="76" ht="21.75" customHeight="1" outlineLevel="1">
      <c r="A76" s="142"/>
      <c r="B76" s="21" t="s">
        <v>1162</v>
      </c>
      <c r="C76" s="23"/>
      <c r="D76" s="22" t="s">
        <v>1163</v>
      </c>
      <c r="E76" s="24" t="s">
        <v>179</v>
      </c>
      <c r="F76" s="25" t="s">
        <v>48</v>
      </c>
      <c r="G76" s="24"/>
      <c r="H76" s="35">
        <v>45241.0</v>
      </c>
      <c r="I76" s="143">
        <f t="shared" si="11"/>
        <v>0</v>
      </c>
      <c r="J76" s="144"/>
      <c r="K76" s="144"/>
      <c r="L76" s="17"/>
      <c r="M76" s="145"/>
      <c r="N76" s="145"/>
      <c r="O76" s="146"/>
      <c r="P76" s="146"/>
      <c r="Q76" s="145"/>
      <c r="R76" s="147"/>
    </row>
    <row r="77" ht="21.75" customHeight="1" outlineLevel="1">
      <c r="A77" s="142"/>
      <c r="B77" s="21" t="s">
        <v>1164</v>
      </c>
      <c r="C77" s="23"/>
      <c r="D77" s="22" t="s">
        <v>1165</v>
      </c>
      <c r="E77" s="24" t="s">
        <v>179</v>
      </c>
      <c r="F77" s="25" t="s">
        <v>48</v>
      </c>
      <c r="G77" s="24"/>
      <c r="H77" s="35">
        <v>45241.0</v>
      </c>
      <c r="I77" s="143">
        <f t="shared" si="11"/>
        <v>0</v>
      </c>
      <c r="J77" s="144"/>
      <c r="K77" s="144"/>
      <c r="L77" s="17"/>
      <c r="M77" s="145"/>
      <c r="N77" s="145"/>
      <c r="O77" s="146"/>
      <c r="P77" s="146"/>
      <c r="Q77" s="145"/>
      <c r="R77" s="147"/>
    </row>
    <row r="78" ht="21.75" customHeight="1" collapsed="1">
      <c r="A78" s="142" t="s">
        <v>457</v>
      </c>
      <c r="B78" s="21" t="s">
        <v>1166</v>
      </c>
      <c r="C78" s="22" t="s">
        <v>1167</v>
      </c>
      <c r="D78" s="23"/>
      <c r="E78" s="24" t="s">
        <v>1006</v>
      </c>
      <c r="F78" s="25" t="s">
        <v>48</v>
      </c>
      <c r="G78" s="24" t="s">
        <v>79</v>
      </c>
      <c r="H78" s="26">
        <f>MAX(H79:H87)</f>
        <v>45241</v>
      </c>
      <c r="I78" s="143" t="str">
        <f>IFERROR(__xludf.DUMMYFUNCTION("SPARKLINE(SUM(I79:I87), {""charttype"", ""bar""; ""max"", J78; ""color1"", ""green""})"),"")</f>
        <v/>
      </c>
      <c r="J78" s="144">
        <f>COUNT(I79:I87)</f>
        <v>9</v>
      </c>
      <c r="K78" s="144" t="str">
        <f>IF(ISNUMBER(#REF!), #REF!, "")</f>
        <v/>
      </c>
      <c r="L78" s="17"/>
      <c r="M78" s="145">
        <f>MIN(M79:M87)</f>
        <v>45190.4327</v>
      </c>
      <c r="N78" s="145">
        <f>MAX(N79:N87)</f>
        <v>45227.7361</v>
      </c>
      <c r="O78" s="146"/>
      <c r="P78" s="146"/>
      <c r="Q78" s="145"/>
      <c r="R78" s="147">
        <f>SUM(R79:R87)</f>
        <v>0.9236111111</v>
      </c>
    </row>
    <row r="79" ht="21.75" hidden="1" customHeight="1" outlineLevel="1">
      <c r="A79" s="142"/>
      <c r="B79" s="21" t="s">
        <v>1168</v>
      </c>
      <c r="C79" s="23"/>
      <c r="D79" s="22" t="s">
        <v>1169</v>
      </c>
      <c r="E79" s="24" t="s">
        <v>26</v>
      </c>
      <c r="F79" s="25" t="s">
        <v>48</v>
      </c>
      <c r="G79" s="24"/>
      <c r="H79" s="35">
        <v>45190.43090355324</v>
      </c>
      <c r="I79" s="143">
        <f t="shared" ref="I79:I88" si="12">IFERROR(IF($E79="Done", 1, IF(OR($E79="Working on it", $E79="In Review", $E79="On Hold"), 0.5, IF($E79="Not Started", 0, ""))), 0)</f>
        <v>1</v>
      </c>
      <c r="J79" s="144"/>
      <c r="K79" s="144"/>
      <c r="L79" s="17"/>
      <c r="M79" s="145">
        <v>45190.43270094907</v>
      </c>
      <c r="N79" s="145">
        <v>45192.514128344905</v>
      </c>
      <c r="O79" s="148" t="s">
        <v>1170</v>
      </c>
      <c r="P79" s="148" t="s">
        <v>1171</v>
      </c>
      <c r="Q79" s="149" t="s">
        <v>31</v>
      </c>
      <c r="R79" s="147">
        <v>0.07083333333333333</v>
      </c>
    </row>
    <row r="80" ht="21.75" hidden="1" customHeight="1" outlineLevel="1">
      <c r="A80" s="142"/>
      <c r="B80" s="21" t="s">
        <v>1172</v>
      </c>
      <c r="C80" s="23"/>
      <c r="D80" s="22" t="s">
        <v>1173</v>
      </c>
      <c r="E80" s="24" t="s">
        <v>26</v>
      </c>
      <c r="F80" s="25" t="s">
        <v>48</v>
      </c>
      <c r="G80" s="24"/>
      <c r="H80" s="35">
        <v>45190.0</v>
      </c>
      <c r="I80" s="143">
        <f t="shared" si="12"/>
        <v>1</v>
      </c>
      <c r="J80" s="144"/>
      <c r="K80" s="144"/>
      <c r="L80" s="17"/>
      <c r="M80" s="145">
        <v>45190.56366008102</v>
      </c>
      <c r="N80" s="145">
        <v>45192.51416302084</v>
      </c>
      <c r="O80" s="148" t="s">
        <v>1174</v>
      </c>
      <c r="P80" s="148" t="s">
        <v>1175</v>
      </c>
      <c r="Q80" s="149" t="s">
        <v>31</v>
      </c>
      <c r="R80" s="147">
        <v>0.02361111111111111</v>
      </c>
    </row>
    <row r="81" ht="21.75" hidden="1" customHeight="1" outlineLevel="1">
      <c r="A81" s="142"/>
      <c r="B81" s="21" t="s">
        <v>1176</v>
      </c>
      <c r="C81" s="23"/>
      <c r="D81" s="22" t="s">
        <v>7</v>
      </c>
      <c r="E81" s="24" t="s">
        <v>26</v>
      </c>
      <c r="F81" s="25" t="s">
        <v>48</v>
      </c>
      <c r="G81" s="34" t="s">
        <v>1177</v>
      </c>
      <c r="H81" s="35">
        <v>45194.0</v>
      </c>
      <c r="I81" s="143">
        <f t="shared" si="12"/>
        <v>1</v>
      </c>
      <c r="J81" s="144"/>
      <c r="K81" s="144"/>
      <c r="L81" s="17"/>
      <c r="M81" s="145">
        <v>45195.44392355324</v>
      </c>
      <c r="N81" s="145">
        <v>45208.40930579861</v>
      </c>
      <c r="O81" s="148" t="s">
        <v>1178</v>
      </c>
      <c r="P81" s="148" t="s">
        <v>1179</v>
      </c>
      <c r="Q81" s="149" t="s">
        <v>31</v>
      </c>
      <c r="R81" s="147">
        <v>0.05416666666666667</v>
      </c>
    </row>
    <row r="82" ht="21.75" hidden="1" customHeight="1" outlineLevel="1">
      <c r="A82" s="142"/>
      <c r="B82" s="21" t="s">
        <v>1180</v>
      </c>
      <c r="C82" s="23"/>
      <c r="D82" s="22" t="s">
        <v>1181</v>
      </c>
      <c r="E82" s="24" t="s">
        <v>26</v>
      </c>
      <c r="F82" s="25" t="s">
        <v>48</v>
      </c>
      <c r="G82" s="34" t="s">
        <v>1182</v>
      </c>
      <c r="H82" s="35">
        <v>45195.0</v>
      </c>
      <c r="I82" s="143">
        <f t="shared" si="12"/>
        <v>1</v>
      </c>
      <c r="J82" s="144"/>
      <c r="K82" s="144"/>
      <c r="L82" s="17"/>
      <c r="M82" s="145">
        <v>45198.48911332176</v>
      </c>
      <c r="N82" s="145">
        <v>45208.40932864584</v>
      </c>
      <c r="O82" s="148" t="s">
        <v>1183</v>
      </c>
      <c r="P82" s="148" t="s">
        <v>1184</v>
      </c>
      <c r="Q82" s="149" t="s">
        <v>31</v>
      </c>
      <c r="R82" s="147">
        <v>0.009027777777777777</v>
      </c>
    </row>
    <row r="83" ht="21.75" hidden="1" customHeight="1" outlineLevel="1">
      <c r="A83" s="142"/>
      <c r="B83" s="21" t="s">
        <v>1185</v>
      </c>
      <c r="C83" s="23"/>
      <c r="D83" s="22" t="s">
        <v>1186</v>
      </c>
      <c r="E83" s="24" t="s">
        <v>26</v>
      </c>
      <c r="F83" s="25" t="s">
        <v>48</v>
      </c>
      <c r="G83" s="34" t="s">
        <v>1187</v>
      </c>
      <c r="H83" s="35">
        <v>45215.0</v>
      </c>
      <c r="I83" s="143">
        <f t="shared" si="12"/>
        <v>1</v>
      </c>
      <c r="J83" s="144"/>
      <c r="K83" s="144"/>
      <c r="L83" s="17"/>
      <c r="M83" s="145">
        <v>45218.49383180555</v>
      </c>
      <c r="N83" s="145">
        <v>45227.736102546296</v>
      </c>
      <c r="O83" s="148" t="s">
        <v>1188</v>
      </c>
      <c r="P83" s="148" t="s">
        <v>1189</v>
      </c>
      <c r="Q83" s="149" t="s">
        <v>31</v>
      </c>
      <c r="R83" s="147">
        <v>0.052083333333333336</v>
      </c>
    </row>
    <row r="84" ht="21.0" hidden="1" customHeight="1" outlineLevel="1">
      <c r="A84" s="142"/>
      <c r="B84" s="21" t="s">
        <v>1190</v>
      </c>
      <c r="C84" s="23"/>
      <c r="D84" s="153" t="s">
        <v>1191</v>
      </c>
      <c r="E84" s="24" t="s">
        <v>26</v>
      </c>
      <c r="F84" s="25" t="s">
        <v>41</v>
      </c>
      <c r="G84" s="24"/>
      <c r="H84" s="35">
        <v>45212.0</v>
      </c>
      <c r="I84" s="143">
        <f t="shared" si="12"/>
        <v>1</v>
      </c>
      <c r="J84" s="144"/>
      <c r="K84" s="144"/>
      <c r="L84" s="17"/>
      <c r="M84" s="145">
        <v>45216.800693425925</v>
      </c>
      <c r="N84" s="145">
        <v>45220.55514974537</v>
      </c>
      <c r="O84" s="148" t="s">
        <v>1192</v>
      </c>
      <c r="P84" s="148" t="s">
        <v>1193</v>
      </c>
      <c r="Q84" s="149" t="s">
        <v>31</v>
      </c>
      <c r="R84" s="147">
        <v>0.7104166666666667</v>
      </c>
    </row>
    <row r="85" ht="21.75" hidden="1" customHeight="1" outlineLevel="1">
      <c r="A85" s="142"/>
      <c r="B85" s="21" t="s">
        <v>1194</v>
      </c>
      <c r="C85" s="23"/>
      <c r="D85" s="22" t="s">
        <v>1195</v>
      </c>
      <c r="E85" s="24" t="s">
        <v>179</v>
      </c>
      <c r="F85" s="25" t="s">
        <v>22</v>
      </c>
      <c r="G85" s="24"/>
      <c r="H85" s="35">
        <v>45241.0</v>
      </c>
      <c r="I85" s="143">
        <f t="shared" si="12"/>
        <v>0</v>
      </c>
      <c r="J85" s="144"/>
      <c r="K85" s="144"/>
      <c r="L85" s="17"/>
      <c r="M85" s="145"/>
      <c r="N85" s="145"/>
      <c r="O85" s="148"/>
      <c r="P85" s="146"/>
      <c r="Q85" s="149"/>
      <c r="R85" s="147"/>
    </row>
    <row r="86" ht="21.75" hidden="1" customHeight="1" outlineLevel="1">
      <c r="A86" s="142"/>
      <c r="B86" s="21" t="s">
        <v>1196</v>
      </c>
      <c r="C86" s="23"/>
      <c r="D86" s="22" t="s">
        <v>1197</v>
      </c>
      <c r="E86" s="24" t="s">
        <v>179</v>
      </c>
      <c r="F86" s="25" t="s">
        <v>48</v>
      </c>
      <c r="G86" s="24"/>
      <c r="H86" s="35">
        <v>45240.0</v>
      </c>
      <c r="I86" s="143">
        <f t="shared" si="12"/>
        <v>0</v>
      </c>
      <c r="J86" s="144"/>
      <c r="K86" s="144"/>
      <c r="L86" s="17"/>
      <c r="M86" s="145"/>
      <c r="N86" s="145"/>
      <c r="O86" s="146"/>
      <c r="P86" s="146"/>
      <c r="Q86" s="145"/>
      <c r="R86" s="147"/>
    </row>
    <row r="87" ht="21.75" hidden="1" customHeight="1" outlineLevel="1">
      <c r="A87" s="142"/>
      <c r="B87" s="21" t="s">
        <v>1198</v>
      </c>
      <c r="C87" s="23"/>
      <c r="D87" s="22" t="s">
        <v>1199</v>
      </c>
      <c r="E87" s="24" t="s">
        <v>26</v>
      </c>
      <c r="F87" s="25" t="s">
        <v>41</v>
      </c>
      <c r="G87" s="58" t="s">
        <v>1200</v>
      </c>
      <c r="H87" s="35">
        <v>45218.0</v>
      </c>
      <c r="I87" s="143">
        <f t="shared" si="12"/>
        <v>1</v>
      </c>
      <c r="J87" s="144"/>
      <c r="K87" s="144"/>
      <c r="L87" s="17"/>
      <c r="M87" s="145">
        <v>45219.64146644676</v>
      </c>
      <c r="N87" s="145">
        <v>45220.56311200232</v>
      </c>
      <c r="O87" s="148" t="s">
        <v>1201</v>
      </c>
      <c r="P87" s="148" t="s">
        <v>1202</v>
      </c>
      <c r="Q87" s="149" t="s">
        <v>31</v>
      </c>
      <c r="R87" s="147">
        <v>0.003472222222222222</v>
      </c>
    </row>
    <row r="88" ht="21.75" hidden="1" customHeight="1" outlineLevel="1">
      <c r="A88" s="142"/>
      <c r="B88" s="21" t="s">
        <v>1203</v>
      </c>
      <c r="C88" s="23"/>
      <c r="D88" s="22" t="s">
        <v>1204</v>
      </c>
      <c r="E88" s="24" t="s">
        <v>26</v>
      </c>
      <c r="F88" s="25" t="s">
        <v>22</v>
      </c>
      <c r="G88" s="24"/>
      <c r="H88" s="35">
        <v>45217.0</v>
      </c>
      <c r="I88" s="143">
        <f t="shared" si="12"/>
        <v>1</v>
      </c>
      <c r="J88" s="144"/>
      <c r="K88" s="144"/>
      <c r="L88" s="17"/>
      <c r="M88" s="145">
        <v>45217.56850596065</v>
      </c>
      <c r="N88" s="145">
        <v>45217.60032615741</v>
      </c>
      <c r="O88" s="148"/>
      <c r="P88" s="146"/>
      <c r="Q88" s="149" t="s">
        <v>31</v>
      </c>
      <c r="R88" s="147">
        <v>0.03125</v>
      </c>
    </row>
    <row r="89" ht="21.75" hidden="1" customHeight="1" outlineLevel="1">
      <c r="A89" s="142"/>
      <c r="B89" s="21" t="s">
        <v>1205</v>
      </c>
      <c r="C89" s="23"/>
      <c r="D89" s="22" t="s">
        <v>1206</v>
      </c>
      <c r="E89" s="24" t="s">
        <v>26</v>
      </c>
      <c r="F89" s="25" t="s">
        <v>41</v>
      </c>
      <c r="G89" s="24"/>
      <c r="H89" s="35">
        <v>45223.0</v>
      </c>
      <c r="I89" s="143"/>
      <c r="J89" s="144"/>
      <c r="K89" s="144"/>
      <c r="L89" s="17"/>
      <c r="M89" s="145">
        <v>45227.423305902776</v>
      </c>
      <c r="N89" s="145">
        <v>45237.428759525465</v>
      </c>
      <c r="O89" s="148" t="s">
        <v>1207</v>
      </c>
      <c r="P89" s="148" t="s">
        <v>1208</v>
      </c>
      <c r="Q89" s="149" t="s">
        <v>31</v>
      </c>
      <c r="R89" s="147">
        <v>0.04652777777777778</v>
      </c>
    </row>
    <row r="90" ht="21.75" hidden="1" customHeight="1" outlineLevel="1">
      <c r="A90" s="142"/>
      <c r="B90" s="21" t="s">
        <v>1209</v>
      </c>
      <c r="C90" s="23"/>
      <c r="D90" s="22" t="s">
        <v>1210</v>
      </c>
      <c r="E90" s="24" t="s">
        <v>26</v>
      </c>
      <c r="F90" s="25" t="s">
        <v>41</v>
      </c>
      <c r="G90" s="34" t="s">
        <v>1211</v>
      </c>
      <c r="H90" s="35">
        <v>45223.0</v>
      </c>
      <c r="I90" s="143"/>
      <c r="J90" s="144"/>
      <c r="K90" s="144"/>
      <c r="L90" s="17"/>
      <c r="M90" s="145">
        <v>45233.61702320602</v>
      </c>
      <c r="N90" s="145">
        <v>45237.429049479164</v>
      </c>
      <c r="O90" s="148" t="s">
        <v>1212</v>
      </c>
      <c r="P90" s="148" t="s">
        <v>1213</v>
      </c>
      <c r="Q90" s="149" t="s">
        <v>31</v>
      </c>
      <c r="R90" s="147">
        <v>0.043055555555555555</v>
      </c>
    </row>
    <row r="91" ht="21.75" hidden="1" customHeight="1" outlineLevel="1">
      <c r="A91" s="142"/>
      <c r="B91" s="21" t="s">
        <v>1214</v>
      </c>
      <c r="C91" s="23"/>
      <c r="D91" s="22" t="s">
        <v>1215</v>
      </c>
      <c r="E91" s="24" t="s">
        <v>26</v>
      </c>
      <c r="F91" s="25" t="s">
        <v>71</v>
      </c>
      <c r="G91" s="24"/>
      <c r="H91" s="35">
        <v>45236.0</v>
      </c>
      <c r="I91" s="143"/>
      <c r="J91" s="144"/>
      <c r="K91" s="144"/>
      <c r="L91" s="17"/>
      <c r="M91" s="145">
        <v>45236.59405542824</v>
      </c>
      <c r="N91" s="145">
        <v>45237.431741747685</v>
      </c>
      <c r="O91" s="148" t="s">
        <v>1216</v>
      </c>
      <c r="P91" s="148" t="s">
        <v>1217</v>
      </c>
      <c r="Q91" s="149" t="s">
        <v>31</v>
      </c>
      <c r="R91" s="147">
        <v>0.15416666666666667</v>
      </c>
    </row>
    <row r="92" ht="21.75" hidden="1" customHeight="1" outlineLevel="1">
      <c r="A92" s="142"/>
      <c r="B92" s="21" t="s">
        <v>1218</v>
      </c>
      <c r="C92" s="23"/>
      <c r="D92" s="22" t="s">
        <v>1219</v>
      </c>
      <c r="E92" s="24" t="s">
        <v>388</v>
      </c>
      <c r="F92" s="25" t="s">
        <v>22</v>
      </c>
      <c r="G92" s="24"/>
      <c r="H92" s="35">
        <v>45239.0</v>
      </c>
      <c r="I92" s="143"/>
      <c r="J92" s="144"/>
      <c r="K92" s="144"/>
      <c r="L92" s="17"/>
      <c r="M92" s="145">
        <v>45237.41933979167</v>
      </c>
      <c r="N92" s="145"/>
      <c r="O92" s="148" t="s">
        <v>1220</v>
      </c>
      <c r="P92" s="148" t="s">
        <v>1221</v>
      </c>
      <c r="Q92" s="149" t="s">
        <v>309</v>
      </c>
      <c r="R92" s="147"/>
    </row>
    <row r="93" ht="21.75" hidden="1" customHeight="1" outlineLevel="1">
      <c r="A93" s="142"/>
      <c r="B93" s="21" t="s">
        <v>1222</v>
      </c>
      <c r="C93" s="23"/>
      <c r="D93" s="22" t="s">
        <v>1223</v>
      </c>
      <c r="E93" s="24" t="s">
        <v>26</v>
      </c>
      <c r="F93" s="25" t="s">
        <v>22</v>
      </c>
      <c r="G93" s="24"/>
      <c r="H93" s="35">
        <v>45217.0</v>
      </c>
      <c r="I93" s="143">
        <f>IFERROR(IF($E93="Done", 1, IF(OR($E93="Working on it", $E93="In Review", $E93="On Hold"), 0.5, IF($E93="Not Started", 0, ""))), 0)</f>
        <v>1</v>
      </c>
      <c r="J93" s="144"/>
      <c r="K93" s="144"/>
      <c r="L93" s="17"/>
      <c r="M93" s="145">
        <v>45217.626276469906</v>
      </c>
      <c r="N93" s="145">
        <v>45218.587425729165</v>
      </c>
      <c r="O93" s="148" t="s">
        <v>1224</v>
      </c>
      <c r="P93" s="148" t="s">
        <v>1225</v>
      </c>
      <c r="Q93" s="149" t="s">
        <v>31</v>
      </c>
      <c r="R93" s="147">
        <v>0.010416666666666666</v>
      </c>
    </row>
    <row r="94" ht="21.75" customHeight="1" collapsed="1">
      <c r="A94" s="142" t="s">
        <v>457</v>
      </c>
      <c r="B94" s="150" t="s">
        <v>1226</v>
      </c>
      <c r="C94" s="44" t="s">
        <v>1227</v>
      </c>
      <c r="D94" s="44"/>
      <c r="E94" s="24" t="s">
        <v>1228</v>
      </c>
      <c r="F94" s="25" t="s">
        <v>48</v>
      </c>
      <c r="G94" s="24" t="s">
        <v>79</v>
      </c>
      <c r="H94" s="26">
        <f>MAX(H95:H98)</f>
        <v>45162</v>
      </c>
      <c r="I94" s="143" t="str">
        <f>IFERROR(__xludf.DUMMYFUNCTION("SPARKLINE(SUM(I95:I100), {""charttype"", ""bar""; ""max"", J94; ""color1"", ""green""})"),"")</f>
        <v/>
      </c>
      <c r="J94" s="144">
        <f>COUNT(I95:I100)</f>
        <v>6</v>
      </c>
      <c r="K94" s="144"/>
      <c r="L94" s="17"/>
      <c r="M94" s="145"/>
      <c r="N94" s="145"/>
      <c r="O94" s="146"/>
      <c r="P94" s="146"/>
      <c r="Q94" s="145"/>
      <c r="R94" s="147"/>
    </row>
    <row r="95" ht="21.75" hidden="1" customHeight="1" outlineLevel="1">
      <c r="A95" s="142"/>
      <c r="B95" s="150" t="s">
        <v>1229</v>
      </c>
      <c r="C95" s="44"/>
      <c r="D95" s="44" t="s">
        <v>1230</v>
      </c>
      <c r="E95" s="24" t="s">
        <v>26</v>
      </c>
      <c r="F95" s="25" t="s">
        <v>48</v>
      </c>
      <c r="G95" s="24"/>
      <c r="H95" s="35">
        <v>45162.0</v>
      </c>
      <c r="I95" s="143">
        <f t="shared" ref="I95:I100" si="13">IFERROR(IF($E95="Done", 1, IF(OR($E95="Working on it", $E95="In Review", $E95="On Hold"), 0.5, IF($E95="Not Started", 0, ""))), 0)</f>
        <v>1</v>
      </c>
      <c r="J95" s="144"/>
      <c r="K95" s="144"/>
      <c r="L95" s="17"/>
      <c r="M95" s="145">
        <v>45162.39088340278</v>
      </c>
      <c r="N95" s="145">
        <v>45170.4485799074</v>
      </c>
      <c r="O95" s="148" t="s">
        <v>1231</v>
      </c>
      <c r="P95" s="148" t="s">
        <v>1232</v>
      </c>
      <c r="Q95" s="149" t="s">
        <v>31</v>
      </c>
      <c r="R95" s="147">
        <v>0.03125</v>
      </c>
    </row>
    <row r="96" ht="21.75" hidden="1" customHeight="1" outlineLevel="1">
      <c r="A96" s="142"/>
      <c r="B96" s="150" t="s">
        <v>1233</v>
      </c>
      <c r="C96" s="44"/>
      <c r="D96" s="44" t="s">
        <v>1234</v>
      </c>
      <c r="E96" s="24" t="s">
        <v>26</v>
      </c>
      <c r="F96" s="25" t="s">
        <v>48</v>
      </c>
      <c r="G96" s="24"/>
      <c r="H96" s="35">
        <v>45162.0</v>
      </c>
      <c r="I96" s="143">
        <f t="shared" si="13"/>
        <v>1</v>
      </c>
      <c r="J96" s="144"/>
      <c r="K96" s="144"/>
      <c r="L96" s="17"/>
      <c r="M96" s="145">
        <v>45164.75269854166</v>
      </c>
      <c r="N96" s="145">
        <v>45170.44860530093</v>
      </c>
      <c r="O96" s="148" t="s">
        <v>1235</v>
      </c>
      <c r="P96" s="148" t="s">
        <v>1236</v>
      </c>
      <c r="Q96" s="149" t="s">
        <v>31</v>
      </c>
      <c r="R96" s="147">
        <v>0.03333333333333333</v>
      </c>
    </row>
    <row r="97" ht="21.75" hidden="1" customHeight="1" outlineLevel="1">
      <c r="A97" s="142"/>
      <c r="B97" s="150" t="s">
        <v>1237</v>
      </c>
      <c r="C97" s="44"/>
      <c r="D97" s="44" t="s">
        <v>1238</v>
      </c>
      <c r="E97" s="24" t="s">
        <v>26</v>
      </c>
      <c r="F97" s="25" t="s">
        <v>48</v>
      </c>
      <c r="G97" s="24"/>
      <c r="H97" s="35">
        <v>45162.0</v>
      </c>
      <c r="I97" s="143">
        <f t="shared" si="13"/>
        <v>1</v>
      </c>
      <c r="J97" s="144"/>
      <c r="K97" s="144"/>
      <c r="L97" s="17"/>
      <c r="M97" s="145">
        <v>45169.54680628472</v>
      </c>
      <c r="N97" s="145">
        <v>45170.44863392361</v>
      </c>
      <c r="O97" s="148" t="s">
        <v>1239</v>
      </c>
      <c r="P97" s="148" t="s">
        <v>1240</v>
      </c>
      <c r="Q97" s="149" t="s">
        <v>31</v>
      </c>
      <c r="R97" s="147">
        <v>0.05694444444444444</v>
      </c>
    </row>
    <row r="98" ht="21.75" hidden="1" customHeight="1" outlineLevel="1">
      <c r="A98" s="142"/>
      <c r="B98" s="150" t="s">
        <v>1241</v>
      </c>
      <c r="C98" s="44"/>
      <c r="D98" s="44" t="s">
        <v>1037</v>
      </c>
      <c r="E98" s="24" t="s">
        <v>26</v>
      </c>
      <c r="F98" s="25" t="s">
        <v>48</v>
      </c>
      <c r="G98" s="24"/>
      <c r="H98" s="35">
        <v>45162.0</v>
      </c>
      <c r="I98" s="143">
        <f t="shared" si="13"/>
        <v>1</v>
      </c>
      <c r="J98" s="144"/>
      <c r="K98" s="144"/>
      <c r="L98" s="17"/>
      <c r="M98" s="145">
        <v>45169.705037962965</v>
      </c>
      <c r="N98" s="145">
        <v>45170.50897481482</v>
      </c>
      <c r="O98" s="148" t="s">
        <v>1242</v>
      </c>
      <c r="P98" s="148" t="s">
        <v>1243</v>
      </c>
      <c r="Q98" s="149" t="s">
        <v>31</v>
      </c>
      <c r="R98" s="147">
        <v>0.025694444444444443</v>
      </c>
    </row>
    <row r="99" ht="21.75" hidden="1" customHeight="1" outlineLevel="1">
      <c r="A99" s="142"/>
      <c r="B99" s="150" t="s">
        <v>1244</v>
      </c>
      <c r="C99" s="44"/>
      <c r="D99" s="44" t="s">
        <v>1245</v>
      </c>
      <c r="E99" s="24" t="s">
        <v>26</v>
      </c>
      <c r="F99" s="25" t="s">
        <v>41</v>
      </c>
      <c r="G99" s="24"/>
      <c r="H99" s="35">
        <v>45195.0</v>
      </c>
      <c r="I99" s="143">
        <f t="shared" si="13"/>
        <v>1</v>
      </c>
      <c r="J99" s="144"/>
      <c r="K99" s="144"/>
      <c r="L99" s="17"/>
      <c r="M99" s="145">
        <v>45198.50184701389</v>
      </c>
      <c r="N99" s="145">
        <v>45198.50420685185</v>
      </c>
      <c r="O99" s="148"/>
      <c r="P99" s="148"/>
      <c r="Q99" s="149" t="s">
        <v>31</v>
      </c>
      <c r="R99" s="147">
        <v>0.0020833333333333333</v>
      </c>
    </row>
    <row r="100" ht="21.75" hidden="1" customHeight="1" outlineLevel="1">
      <c r="A100" s="142"/>
      <c r="B100" s="150" t="s">
        <v>1246</v>
      </c>
      <c r="C100" s="44"/>
      <c r="D100" s="44" t="s">
        <v>274</v>
      </c>
      <c r="E100" s="24" t="s">
        <v>388</v>
      </c>
      <c r="F100" s="25" t="s">
        <v>22</v>
      </c>
      <c r="G100" s="24"/>
      <c r="H100" s="35">
        <v>45236.0</v>
      </c>
      <c r="I100" s="143">
        <f t="shared" si="13"/>
        <v>0.5</v>
      </c>
      <c r="J100" s="144"/>
      <c r="K100" s="144"/>
      <c r="L100" s="17"/>
      <c r="M100" s="145">
        <v>45209.55605324074</v>
      </c>
      <c r="N100" s="145">
        <v>45209.84858809027</v>
      </c>
      <c r="O100" s="148" t="s">
        <v>1247</v>
      </c>
      <c r="P100" s="148" t="s">
        <v>1248</v>
      </c>
      <c r="Q100" s="149" t="s">
        <v>31</v>
      </c>
      <c r="R100" s="147">
        <v>0.013888888888888888</v>
      </c>
    </row>
    <row r="101" ht="21.75" customHeight="1" collapsed="1">
      <c r="A101" s="142" t="s">
        <v>457</v>
      </c>
      <c r="B101" s="150" t="s">
        <v>1249</v>
      </c>
      <c r="C101" s="44" t="s">
        <v>1250</v>
      </c>
      <c r="D101" s="44"/>
      <c r="E101" s="24" t="s">
        <v>984</v>
      </c>
      <c r="F101" s="25" t="s">
        <v>22</v>
      </c>
      <c r="G101" s="24" t="s">
        <v>79</v>
      </c>
      <c r="H101" s="26">
        <f>MAX(H102:H107)</f>
        <v>45240</v>
      </c>
      <c r="I101" s="143" t="str">
        <f>IFERROR(__xludf.DUMMYFUNCTION("SPARKLINE(SUM(I102:I107), {""charttype"", ""bar""; ""max"", J101; ""color1"", ""green""})"),"")</f>
        <v/>
      </c>
      <c r="J101" s="144">
        <f>COUNT(I102:I107)</f>
        <v>5</v>
      </c>
      <c r="K101" s="144"/>
      <c r="L101" s="17"/>
      <c r="M101" s="145"/>
      <c r="N101" s="145"/>
      <c r="O101" s="146"/>
      <c r="P101" s="146"/>
      <c r="Q101" s="145"/>
      <c r="R101" s="147"/>
    </row>
    <row r="102" ht="21.75" hidden="1" customHeight="1" outlineLevel="1">
      <c r="A102" s="142"/>
      <c r="B102" s="150" t="s">
        <v>1251</v>
      </c>
      <c r="C102" s="44"/>
      <c r="D102" s="44" t="s">
        <v>1252</v>
      </c>
      <c r="E102" s="24" t="s">
        <v>388</v>
      </c>
      <c r="F102" s="25" t="s">
        <v>22</v>
      </c>
      <c r="G102" s="34" t="s">
        <v>1253</v>
      </c>
      <c r="H102" s="35">
        <v>45238.0</v>
      </c>
      <c r="I102" s="143">
        <f t="shared" ref="I102:I104" si="14">IFERROR(IF($E102="Done", 1, IF(OR($E102="Working on it", $E102="In Review", $E102="On Hold"), 0.5, IF($E102="Not Started", 0, ""))), 0)</f>
        <v>0.5</v>
      </c>
      <c r="J102" s="144"/>
      <c r="K102" s="154"/>
      <c r="L102" s="17"/>
      <c r="M102" s="145">
        <v>45209.60196759259</v>
      </c>
      <c r="N102" s="145"/>
      <c r="O102" s="148" t="s">
        <v>1254</v>
      </c>
      <c r="P102" s="148" t="s">
        <v>1255</v>
      </c>
      <c r="Q102" s="149" t="s">
        <v>309</v>
      </c>
      <c r="R102" s="147"/>
    </row>
    <row r="103" ht="21.75" hidden="1" customHeight="1" outlineLevel="1">
      <c r="A103" s="142"/>
      <c r="B103" s="150" t="s">
        <v>1256</v>
      </c>
      <c r="C103" s="44"/>
      <c r="D103" s="44" t="s">
        <v>1050</v>
      </c>
      <c r="E103" s="24" t="s">
        <v>26</v>
      </c>
      <c r="F103" s="25" t="s">
        <v>41</v>
      </c>
      <c r="G103" s="34" t="s">
        <v>1257</v>
      </c>
      <c r="H103" s="35">
        <v>45197.0</v>
      </c>
      <c r="I103" s="143">
        <f t="shared" si="14"/>
        <v>1</v>
      </c>
      <c r="J103" s="144"/>
      <c r="K103" s="154"/>
      <c r="L103" s="17"/>
      <c r="M103" s="145">
        <v>45194.55738384259</v>
      </c>
      <c r="N103" s="145">
        <v>45206.51839300926</v>
      </c>
      <c r="O103" s="148" t="s">
        <v>1258</v>
      </c>
      <c r="P103" s="148" t="s">
        <v>1259</v>
      </c>
      <c r="Q103" s="149" t="s">
        <v>31</v>
      </c>
      <c r="R103" s="147">
        <v>0.11597222222222223</v>
      </c>
    </row>
    <row r="104" ht="21.75" hidden="1" customHeight="1" outlineLevel="1">
      <c r="A104" s="142"/>
      <c r="B104" s="150" t="s">
        <v>1260</v>
      </c>
      <c r="C104" s="44"/>
      <c r="D104" s="44" t="s">
        <v>1261</v>
      </c>
      <c r="E104" s="24" t="s">
        <v>26</v>
      </c>
      <c r="F104" s="25" t="s">
        <v>41</v>
      </c>
      <c r="G104" s="24"/>
      <c r="H104" s="35">
        <v>45191.0</v>
      </c>
      <c r="I104" s="143">
        <f t="shared" si="14"/>
        <v>1</v>
      </c>
      <c r="J104" s="144"/>
      <c r="K104" s="154"/>
      <c r="L104" s="17"/>
      <c r="M104" s="145"/>
      <c r="N104" s="145"/>
      <c r="O104" s="146"/>
      <c r="P104" s="146"/>
      <c r="Q104" s="145"/>
      <c r="R104" s="147"/>
    </row>
    <row r="105" ht="21.75" hidden="1" customHeight="1" outlineLevel="1">
      <c r="A105" s="142"/>
      <c r="B105" s="150" t="s">
        <v>1262</v>
      </c>
      <c r="C105" s="44"/>
      <c r="D105" s="44" t="s">
        <v>1263</v>
      </c>
      <c r="E105" s="24" t="s">
        <v>179</v>
      </c>
      <c r="F105" s="25" t="s">
        <v>27</v>
      </c>
      <c r="G105" s="24"/>
      <c r="H105" s="35">
        <v>45240.0</v>
      </c>
      <c r="I105" s="143"/>
      <c r="J105" s="144"/>
      <c r="K105" s="154"/>
      <c r="L105" s="17"/>
      <c r="M105" s="145"/>
      <c r="N105" s="145"/>
      <c r="O105" s="146"/>
      <c r="P105" s="146"/>
      <c r="Q105" s="145"/>
      <c r="R105" s="147"/>
    </row>
    <row r="106" ht="21.75" hidden="1" customHeight="1" outlineLevel="1">
      <c r="A106" s="142"/>
      <c r="B106" s="150" t="s">
        <v>1264</v>
      </c>
      <c r="C106" s="44"/>
      <c r="D106" s="44" t="s">
        <v>1265</v>
      </c>
      <c r="E106" s="24" t="s">
        <v>26</v>
      </c>
      <c r="F106" s="25" t="s">
        <v>22</v>
      </c>
      <c r="G106" s="24"/>
      <c r="H106" s="35">
        <v>45163.0</v>
      </c>
      <c r="I106" s="143">
        <f t="shared" ref="I106:I107" si="15">IFERROR(IF($E106="Done", 1, IF(OR($E106="Working on it", $E106="In Review", $E106="On Hold"), 0.5, IF($E106="Not Started", 0, ""))), 0)</f>
        <v>1</v>
      </c>
      <c r="J106" s="144"/>
      <c r="K106" s="154"/>
      <c r="L106" s="17"/>
      <c r="M106" s="145">
        <v>45163.54489831018</v>
      </c>
      <c r="N106" s="145">
        <v>45168.497427870374</v>
      </c>
      <c r="O106" s="148" t="s">
        <v>1266</v>
      </c>
      <c r="P106" s="148" t="s">
        <v>1267</v>
      </c>
      <c r="Q106" s="149" t="s">
        <v>31</v>
      </c>
      <c r="R106" s="147">
        <v>0.25625</v>
      </c>
    </row>
    <row r="107" ht="21.75" hidden="1" customHeight="1" outlineLevel="1">
      <c r="A107" s="142"/>
      <c r="B107" s="150" t="s">
        <v>1268</v>
      </c>
      <c r="C107" s="44"/>
      <c r="D107" s="44" t="s">
        <v>1269</v>
      </c>
      <c r="E107" s="24" t="s">
        <v>307</v>
      </c>
      <c r="F107" s="25" t="s">
        <v>22</v>
      </c>
      <c r="G107" s="24"/>
      <c r="H107" s="35">
        <v>45235.0</v>
      </c>
      <c r="I107" s="143">
        <f t="shared" si="15"/>
        <v>0.5</v>
      </c>
      <c r="J107" s="144"/>
      <c r="K107" s="154"/>
      <c r="L107" s="17"/>
      <c r="M107" s="145">
        <v>45218.80821959491</v>
      </c>
      <c r="N107" s="145"/>
      <c r="O107" s="148" t="s">
        <v>1270</v>
      </c>
      <c r="P107" s="148" t="s">
        <v>1271</v>
      </c>
      <c r="Q107" s="149" t="s">
        <v>309</v>
      </c>
      <c r="R107" s="147">
        <v>1.3597222222222223</v>
      </c>
    </row>
    <row r="108" ht="21.75" customHeight="1">
      <c r="A108" s="142" t="s">
        <v>18</v>
      </c>
      <c r="B108" s="21" t="s">
        <v>1272</v>
      </c>
      <c r="C108" s="22" t="s">
        <v>1273</v>
      </c>
      <c r="D108" s="23"/>
      <c r="E108" s="24" t="s">
        <v>1228</v>
      </c>
      <c r="F108" s="25" t="s">
        <v>41</v>
      </c>
      <c r="G108" s="24" t="s">
        <v>23</v>
      </c>
      <c r="H108" s="26">
        <f>MAX(H109:H115)</f>
        <v>45244</v>
      </c>
      <c r="I108" s="143" t="str">
        <f>IFERROR(__xludf.DUMMYFUNCTION("SPARKLINE(SUM(I109:I115), {""charttype"", ""bar""; ""max"", J108; ""color1"", ""green""})"),"")</f>
        <v/>
      </c>
      <c r="J108" s="144">
        <f>COUNT(I109:I115)</f>
        <v>4</v>
      </c>
      <c r="K108" s="144" t="str">
        <f>IF(ISNUMBER(B107), K107, "")</f>
        <v/>
      </c>
      <c r="L108" s="17"/>
      <c r="M108" s="145">
        <f>MIN(M109:M115)</f>
        <v>45238.68978</v>
      </c>
      <c r="N108" s="145">
        <f>MAX(N109:N115)</f>
        <v>0</v>
      </c>
      <c r="O108" s="146"/>
      <c r="P108" s="146"/>
      <c r="Q108" s="145"/>
      <c r="R108" s="147">
        <f>SUM(R109:R115)</f>
        <v>0</v>
      </c>
    </row>
    <row r="109" ht="21.75" customHeight="1" outlineLevel="1">
      <c r="A109" s="142"/>
      <c r="B109" s="21" t="s">
        <v>1274</v>
      </c>
      <c r="C109" s="22"/>
      <c r="D109" s="22" t="s">
        <v>1275</v>
      </c>
      <c r="E109" s="24" t="s">
        <v>388</v>
      </c>
      <c r="F109" s="25" t="s">
        <v>41</v>
      </c>
      <c r="G109" s="24"/>
      <c r="H109" s="35">
        <v>45244.0</v>
      </c>
      <c r="I109" s="143">
        <f t="shared" ref="I109:I111" si="16">IFERROR(IF($E109="Done", 1, IF(OR($E109="Working on it", $E109="In Review", $E109="On Hold"), 0.5, IF($E109="Not Started", 0, ""))), 0)</f>
        <v>0.5</v>
      </c>
      <c r="J109" s="144"/>
      <c r="K109" s="144"/>
      <c r="L109" s="17"/>
      <c r="M109" s="145">
        <v>45238.68978398148</v>
      </c>
      <c r="N109" s="145"/>
      <c r="O109" s="148" t="s">
        <v>1276</v>
      </c>
      <c r="P109" s="148" t="s">
        <v>1277</v>
      </c>
      <c r="Q109" s="149" t="s">
        <v>309</v>
      </c>
      <c r="R109" s="147"/>
    </row>
    <row r="110" ht="21.75" customHeight="1" outlineLevel="1">
      <c r="A110" s="142"/>
      <c r="B110" s="21" t="s">
        <v>1278</v>
      </c>
      <c r="C110" s="22"/>
      <c r="D110" s="22" t="s">
        <v>1279</v>
      </c>
      <c r="E110" s="24" t="s">
        <v>388</v>
      </c>
      <c r="F110" s="25" t="s">
        <v>41</v>
      </c>
      <c r="G110" s="24"/>
      <c r="H110" s="35">
        <v>45244.0</v>
      </c>
      <c r="I110" s="143">
        <f t="shared" si="16"/>
        <v>0.5</v>
      </c>
      <c r="J110" s="144"/>
      <c r="K110" s="144"/>
      <c r="L110" s="17"/>
      <c r="M110" s="145">
        <v>45238.77660166667</v>
      </c>
      <c r="N110" s="145"/>
      <c r="O110" s="148" t="s">
        <v>1280</v>
      </c>
      <c r="P110" s="146"/>
      <c r="Q110" s="149" t="s">
        <v>309</v>
      </c>
      <c r="R110" s="147"/>
    </row>
    <row r="111" ht="21.75" customHeight="1" outlineLevel="1">
      <c r="A111" s="142"/>
      <c r="B111" s="21" t="s">
        <v>1281</v>
      </c>
      <c r="C111" s="22"/>
      <c r="D111" s="22" t="s">
        <v>1282</v>
      </c>
      <c r="E111" s="24" t="s">
        <v>179</v>
      </c>
      <c r="F111" s="25" t="s">
        <v>41</v>
      </c>
      <c r="G111" s="24"/>
      <c r="H111" s="35">
        <v>45244.0</v>
      </c>
      <c r="I111" s="143">
        <f t="shared" si="16"/>
        <v>0</v>
      </c>
      <c r="J111" s="144"/>
      <c r="K111" s="144"/>
      <c r="L111" s="17"/>
      <c r="M111" s="145"/>
      <c r="N111" s="145"/>
      <c r="O111" s="146"/>
      <c r="P111" s="146"/>
      <c r="Q111" s="145"/>
      <c r="R111" s="147"/>
    </row>
    <row r="112" ht="21.75" customHeight="1" outlineLevel="1">
      <c r="A112" s="142"/>
      <c r="B112" s="21" t="s">
        <v>1283</v>
      </c>
      <c r="C112" s="22"/>
      <c r="D112" s="22" t="s">
        <v>1284</v>
      </c>
      <c r="E112" s="24" t="s">
        <v>388</v>
      </c>
      <c r="F112" s="25" t="s">
        <v>41</v>
      </c>
      <c r="G112" s="24"/>
      <c r="H112" s="35">
        <v>45244.0</v>
      </c>
      <c r="I112" s="143"/>
      <c r="J112" s="144"/>
      <c r="K112" s="144"/>
      <c r="L112" s="17"/>
      <c r="M112" s="145">
        <v>45238.818799872686</v>
      </c>
      <c r="N112" s="145"/>
      <c r="O112" s="148" t="s">
        <v>1285</v>
      </c>
      <c r="P112" s="146"/>
      <c r="Q112" s="149" t="s">
        <v>309</v>
      </c>
      <c r="R112" s="147"/>
    </row>
    <row r="113" ht="21.75" customHeight="1" outlineLevel="1">
      <c r="A113" s="142"/>
      <c r="B113" s="21" t="s">
        <v>1286</v>
      </c>
      <c r="C113" s="22"/>
      <c r="D113" s="22" t="s">
        <v>1287</v>
      </c>
      <c r="E113" s="24" t="s">
        <v>388</v>
      </c>
      <c r="F113" s="25" t="s">
        <v>41</v>
      </c>
      <c r="G113" s="24"/>
      <c r="H113" s="35">
        <v>45244.0</v>
      </c>
      <c r="I113" s="143"/>
      <c r="J113" s="144"/>
      <c r="K113" s="144"/>
      <c r="L113" s="17"/>
      <c r="M113" s="145">
        <v>45240.52749289352</v>
      </c>
      <c r="N113" s="145"/>
      <c r="O113" s="148" t="s">
        <v>1288</v>
      </c>
      <c r="P113" s="148" t="s">
        <v>1289</v>
      </c>
      <c r="Q113" s="149" t="s">
        <v>309</v>
      </c>
      <c r="R113" s="147"/>
    </row>
    <row r="114" ht="21.75" customHeight="1" outlineLevel="1">
      <c r="A114" s="142"/>
      <c r="B114" s="21" t="s">
        <v>1290</v>
      </c>
      <c r="C114" s="22"/>
      <c r="D114" s="22" t="s">
        <v>1230</v>
      </c>
      <c r="E114" s="24" t="s">
        <v>307</v>
      </c>
      <c r="F114" s="25" t="s">
        <v>41</v>
      </c>
      <c r="G114" s="24"/>
      <c r="H114" s="35">
        <v>45240.0</v>
      </c>
      <c r="I114" s="143"/>
      <c r="J114" s="144"/>
      <c r="K114" s="144"/>
      <c r="L114" s="17"/>
      <c r="M114" s="145">
        <v>45240.67734844907</v>
      </c>
      <c r="N114" s="145"/>
      <c r="O114" s="148" t="s">
        <v>1291</v>
      </c>
      <c r="P114" s="148" t="s">
        <v>1292</v>
      </c>
      <c r="Q114" s="149" t="s">
        <v>309</v>
      </c>
      <c r="R114" s="147"/>
    </row>
    <row r="115" ht="21.75" customHeight="1" outlineLevel="1">
      <c r="A115" s="142"/>
      <c r="B115" s="21" t="s">
        <v>1293</v>
      </c>
      <c r="C115" s="22"/>
      <c r="D115" s="22" t="s">
        <v>1135</v>
      </c>
      <c r="E115" s="24" t="s">
        <v>179</v>
      </c>
      <c r="F115" s="25" t="s">
        <v>41</v>
      </c>
      <c r="G115" s="24"/>
      <c r="H115" s="35">
        <v>45238.0</v>
      </c>
      <c r="I115" s="143">
        <f>IFERROR(IF($E115="Done", 1, IF(OR($E115="Working on it", $E115="In Review", $E115="On Hold"), 0.5, IF($E115="Not Started", 0, ""))), 0)</f>
        <v>0</v>
      </c>
      <c r="J115" s="144"/>
      <c r="K115" s="144"/>
      <c r="L115" s="17"/>
      <c r="M115" s="145"/>
      <c r="N115" s="145"/>
      <c r="O115" s="146"/>
      <c r="P115" s="146"/>
      <c r="Q115" s="145"/>
      <c r="R115" s="147"/>
    </row>
    <row r="116" ht="21.75" customHeight="1">
      <c r="A116" s="142" t="s">
        <v>457</v>
      </c>
      <c r="B116" s="21" t="s">
        <v>1294</v>
      </c>
      <c r="C116" s="22" t="s">
        <v>1295</v>
      </c>
      <c r="D116" s="23"/>
      <c r="E116" s="24" t="s">
        <v>963</v>
      </c>
      <c r="F116" s="25" t="s">
        <v>27</v>
      </c>
      <c r="G116" s="24" t="s">
        <v>79</v>
      </c>
      <c r="H116" s="26">
        <f>MAX(H117:H123)</f>
        <v>45251.80562</v>
      </c>
      <c r="I116" s="143" t="str">
        <f>IFERROR(__xludf.DUMMYFUNCTION("SPARKLINE(SUM(I117:I123), {""charttype"", ""bar""; ""max"", J116; ""color1"", ""green""})"),"")</f>
        <v/>
      </c>
      <c r="J116" s="144">
        <f>COUNT(I117:I123)</f>
        <v>7</v>
      </c>
      <c r="K116" s="144" t="str">
        <f>IF(ISNUMBER(B115), K115, "")</f>
        <v/>
      </c>
      <c r="L116" s="17"/>
      <c r="M116" s="145">
        <f>MIN(M117:M123)</f>
        <v>0</v>
      </c>
      <c r="N116" s="145">
        <f>MAX(N117:N123)</f>
        <v>0</v>
      </c>
      <c r="O116" s="146"/>
      <c r="P116" s="146"/>
      <c r="Q116" s="145"/>
      <c r="R116" s="147">
        <f>SUM(R117:R123)</f>
        <v>0</v>
      </c>
    </row>
    <row r="117" ht="21.75" customHeight="1" outlineLevel="1">
      <c r="A117" s="142"/>
      <c r="B117" s="21" t="s">
        <v>1296</v>
      </c>
      <c r="C117" s="23"/>
      <c r="D117" s="22" t="s">
        <v>25</v>
      </c>
      <c r="E117" s="24" t="s">
        <v>179</v>
      </c>
      <c r="F117" s="25"/>
      <c r="G117" s="24"/>
      <c r="H117" s="35">
        <v>45239.80562108796</v>
      </c>
      <c r="I117" s="143">
        <f t="shared" ref="I117:I123" si="17">IFERROR(IF($E117="Done", 1, IF(OR($E117="Working on it", $E117="In Review", $E117="On Hold"), 0.5, IF($E117="Not Started", 0, ""))), 0)</f>
        <v>0</v>
      </c>
      <c r="J117" s="144"/>
      <c r="K117" s="144"/>
      <c r="L117" s="17"/>
      <c r="M117" s="145"/>
      <c r="N117" s="145"/>
      <c r="O117" s="146"/>
      <c r="P117" s="146"/>
      <c r="Q117" s="145"/>
      <c r="R117" s="147"/>
    </row>
    <row r="118" ht="21.75" customHeight="1" outlineLevel="1">
      <c r="A118" s="142"/>
      <c r="B118" s="21" t="s">
        <v>1297</v>
      </c>
      <c r="C118" s="23"/>
      <c r="D118" s="22" t="s">
        <v>33</v>
      </c>
      <c r="E118" s="24" t="s">
        <v>179</v>
      </c>
      <c r="F118" s="25"/>
      <c r="G118" s="24"/>
      <c r="H118" s="35">
        <v>45241.80562108796</v>
      </c>
      <c r="I118" s="143">
        <f t="shared" si="17"/>
        <v>0</v>
      </c>
      <c r="J118" s="144"/>
      <c r="K118" s="144"/>
      <c r="L118" s="17"/>
      <c r="M118" s="145"/>
      <c r="N118" s="145"/>
      <c r="O118" s="146"/>
      <c r="P118" s="146"/>
      <c r="Q118" s="145"/>
      <c r="R118" s="147"/>
    </row>
    <row r="119" ht="21.75" customHeight="1" outlineLevel="1">
      <c r="A119" s="142"/>
      <c r="B119" s="21" t="s">
        <v>1298</v>
      </c>
      <c r="C119" s="23"/>
      <c r="D119" s="22" t="s">
        <v>121</v>
      </c>
      <c r="E119" s="24" t="s">
        <v>179</v>
      </c>
      <c r="F119" s="25"/>
      <c r="G119" s="24"/>
      <c r="H119" s="35">
        <v>45243.80562108796</v>
      </c>
      <c r="I119" s="143">
        <f t="shared" si="17"/>
        <v>0</v>
      </c>
      <c r="J119" s="144"/>
      <c r="K119" s="144"/>
      <c r="L119" s="17"/>
      <c r="M119" s="145"/>
      <c r="N119" s="145"/>
      <c r="O119" s="146"/>
      <c r="P119" s="146"/>
      <c r="Q119" s="145"/>
      <c r="R119" s="147"/>
    </row>
    <row r="120" ht="21.75" customHeight="1" outlineLevel="1">
      <c r="A120" s="142"/>
      <c r="B120" s="21" t="s">
        <v>1299</v>
      </c>
      <c r="C120" s="23"/>
      <c r="D120" s="22" t="s">
        <v>38</v>
      </c>
      <c r="E120" s="24" t="s">
        <v>179</v>
      </c>
      <c r="F120" s="25"/>
      <c r="G120" s="24"/>
      <c r="H120" s="35">
        <v>45245.80562108796</v>
      </c>
      <c r="I120" s="143">
        <f t="shared" si="17"/>
        <v>0</v>
      </c>
      <c r="J120" s="144"/>
      <c r="K120" s="144"/>
      <c r="L120" s="17"/>
      <c r="M120" s="145"/>
      <c r="N120" s="145"/>
      <c r="O120" s="146"/>
      <c r="P120" s="146"/>
      <c r="Q120" s="145"/>
      <c r="R120" s="147"/>
    </row>
    <row r="121" ht="21.75" customHeight="1" outlineLevel="1">
      <c r="A121" s="142"/>
      <c r="B121" s="21" t="s">
        <v>1300</v>
      </c>
      <c r="C121" s="23"/>
      <c r="D121" s="22" t="s">
        <v>40</v>
      </c>
      <c r="E121" s="24" t="s">
        <v>179</v>
      </c>
      <c r="F121" s="25"/>
      <c r="G121" s="24"/>
      <c r="H121" s="35">
        <v>45247.80562108796</v>
      </c>
      <c r="I121" s="143">
        <f t="shared" si="17"/>
        <v>0</v>
      </c>
      <c r="J121" s="144"/>
      <c r="K121" s="144"/>
      <c r="L121" s="17"/>
      <c r="M121" s="145"/>
      <c r="N121" s="145"/>
      <c r="O121" s="146"/>
      <c r="P121" s="146"/>
      <c r="Q121" s="145"/>
      <c r="R121" s="147"/>
    </row>
    <row r="122" ht="21.75" customHeight="1" outlineLevel="1">
      <c r="A122" s="142"/>
      <c r="B122" s="21" t="s">
        <v>1301</v>
      </c>
      <c r="C122" s="23"/>
      <c r="D122" s="22" t="s">
        <v>274</v>
      </c>
      <c r="E122" s="24" t="s">
        <v>179</v>
      </c>
      <c r="F122" s="25"/>
      <c r="G122" s="24"/>
      <c r="H122" s="35">
        <v>45249.80562108796</v>
      </c>
      <c r="I122" s="143">
        <f t="shared" si="17"/>
        <v>0</v>
      </c>
      <c r="J122" s="144"/>
      <c r="K122" s="144"/>
      <c r="L122" s="17"/>
      <c r="M122" s="145"/>
      <c r="N122" s="145"/>
      <c r="O122" s="146"/>
      <c r="P122" s="146"/>
      <c r="Q122" s="145"/>
      <c r="R122" s="147"/>
    </row>
    <row r="123" ht="21.75" customHeight="1" outlineLevel="1">
      <c r="A123" s="142"/>
      <c r="B123" s="21" t="s">
        <v>1302</v>
      </c>
      <c r="C123" s="23"/>
      <c r="D123" s="22" t="s">
        <v>1135</v>
      </c>
      <c r="E123" s="24" t="s">
        <v>179</v>
      </c>
      <c r="F123" s="25"/>
      <c r="G123" s="24"/>
      <c r="H123" s="35">
        <v>45251.80562108796</v>
      </c>
      <c r="I123" s="143">
        <f t="shared" si="17"/>
        <v>0</v>
      </c>
      <c r="J123" s="144"/>
      <c r="K123" s="144"/>
      <c r="L123" s="17"/>
      <c r="M123" s="145"/>
      <c r="N123" s="145"/>
      <c r="O123" s="146"/>
      <c r="P123" s="146"/>
      <c r="Q123" s="145"/>
      <c r="R123" s="147"/>
    </row>
    <row r="124" ht="21.75" customHeight="1">
      <c r="A124" s="142"/>
      <c r="B124" s="64"/>
      <c r="C124" s="23"/>
      <c r="D124" s="23"/>
      <c r="E124" s="24"/>
      <c r="F124" s="25"/>
      <c r="G124" s="24"/>
      <c r="H124" s="26"/>
      <c r="I124" s="143"/>
      <c r="J124" s="144"/>
      <c r="K124" s="144" t="str">
        <f t="shared" ref="K124:K831" si="18">A124</f>
        <v/>
      </c>
      <c r="L124" s="17"/>
      <c r="M124" s="145"/>
      <c r="N124" s="145"/>
      <c r="O124" s="146"/>
      <c r="P124" s="146"/>
      <c r="Q124" s="145"/>
      <c r="R124" s="147"/>
    </row>
    <row r="125" ht="21.75" customHeight="1">
      <c r="A125" s="155"/>
      <c r="B125" s="64"/>
      <c r="C125" s="23"/>
      <c r="D125" s="23"/>
      <c r="E125" s="24"/>
      <c r="F125" s="25"/>
      <c r="G125" s="24"/>
      <c r="H125" s="26"/>
      <c r="I125" s="143"/>
      <c r="J125" s="144"/>
      <c r="K125" s="144" t="str">
        <f t="shared" si="18"/>
        <v/>
      </c>
      <c r="L125" s="17"/>
      <c r="M125" s="145"/>
      <c r="N125" s="145"/>
      <c r="O125" s="146"/>
      <c r="P125" s="146"/>
      <c r="Q125" s="145"/>
      <c r="R125" s="147"/>
    </row>
    <row r="126" ht="21.75" customHeight="1">
      <c r="A126" s="155"/>
      <c r="B126" s="64"/>
      <c r="C126" s="23"/>
      <c r="D126" s="23"/>
      <c r="E126" s="24"/>
      <c r="F126" s="25"/>
      <c r="G126" s="24"/>
      <c r="H126" s="26"/>
      <c r="I126" s="143"/>
      <c r="J126" s="144"/>
      <c r="K126" s="144" t="str">
        <f t="shared" si="18"/>
        <v/>
      </c>
      <c r="L126" s="17"/>
      <c r="M126" s="145"/>
      <c r="N126" s="145"/>
      <c r="O126" s="146"/>
      <c r="P126" s="146"/>
      <c r="Q126" s="145"/>
      <c r="R126" s="147"/>
    </row>
    <row r="127" ht="21.75" customHeight="1">
      <c r="A127" s="155"/>
      <c r="B127" s="64"/>
      <c r="C127" s="23"/>
      <c r="D127" s="23"/>
      <c r="E127" s="24"/>
      <c r="F127" s="25"/>
      <c r="G127" s="24"/>
      <c r="H127" s="26"/>
      <c r="I127" s="143"/>
      <c r="J127" s="144"/>
      <c r="K127" s="144" t="str">
        <f t="shared" si="18"/>
        <v/>
      </c>
      <c r="L127" s="17"/>
      <c r="M127" s="145"/>
      <c r="N127" s="145"/>
      <c r="O127" s="146"/>
      <c r="P127" s="146"/>
      <c r="Q127" s="145"/>
      <c r="R127" s="147"/>
    </row>
    <row r="128" ht="21.75" customHeight="1">
      <c r="A128" s="155"/>
      <c r="B128" s="64"/>
      <c r="C128" s="23"/>
      <c r="D128" s="23"/>
      <c r="E128" s="24"/>
      <c r="F128" s="25"/>
      <c r="G128" s="24"/>
      <c r="H128" s="26"/>
      <c r="I128" s="143"/>
      <c r="J128" s="144"/>
      <c r="K128" s="144" t="str">
        <f t="shared" si="18"/>
        <v/>
      </c>
      <c r="L128" s="17"/>
      <c r="M128" s="145"/>
      <c r="N128" s="145"/>
      <c r="O128" s="146"/>
      <c r="P128" s="146"/>
      <c r="Q128" s="145"/>
      <c r="R128" s="147"/>
    </row>
    <row r="129" ht="21.75" customHeight="1">
      <c r="A129" s="155"/>
      <c r="B129" s="64"/>
      <c r="C129" s="23"/>
      <c r="D129" s="23"/>
      <c r="E129" s="24"/>
      <c r="F129" s="25"/>
      <c r="G129" s="24"/>
      <c r="H129" s="26"/>
      <c r="I129" s="143"/>
      <c r="J129" s="144"/>
      <c r="K129" s="144" t="str">
        <f t="shared" si="18"/>
        <v/>
      </c>
      <c r="L129" s="17"/>
      <c r="M129" s="145"/>
      <c r="N129" s="145"/>
      <c r="O129" s="146"/>
      <c r="P129" s="146"/>
      <c r="Q129" s="145"/>
      <c r="R129" s="147"/>
    </row>
    <row r="130" ht="21.75" customHeight="1">
      <c r="A130" s="155"/>
      <c r="B130" s="64"/>
      <c r="C130" s="23"/>
      <c r="D130" s="23"/>
      <c r="E130" s="24"/>
      <c r="F130" s="25"/>
      <c r="G130" s="24"/>
      <c r="H130" s="26"/>
      <c r="I130" s="143"/>
      <c r="J130" s="144"/>
      <c r="K130" s="144" t="str">
        <f t="shared" si="18"/>
        <v/>
      </c>
      <c r="L130" s="17"/>
      <c r="M130" s="145"/>
      <c r="N130" s="145"/>
      <c r="O130" s="146"/>
      <c r="P130" s="146"/>
      <c r="Q130" s="145"/>
      <c r="R130" s="147"/>
    </row>
    <row r="131" ht="21.75" customHeight="1">
      <c r="A131" s="155"/>
      <c r="B131" s="64"/>
      <c r="C131" s="23"/>
      <c r="D131" s="23"/>
      <c r="E131" s="24"/>
      <c r="F131" s="25"/>
      <c r="G131" s="24"/>
      <c r="H131" s="26"/>
      <c r="I131" s="143"/>
      <c r="J131" s="144"/>
      <c r="K131" s="144" t="str">
        <f t="shared" si="18"/>
        <v/>
      </c>
      <c r="L131" s="17"/>
      <c r="M131" s="145"/>
      <c r="N131" s="145"/>
      <c r="O131" s="146"/>
      <c r="P131" s="146"/>
      <c r="Q131" s="145"/>
      <c r="R131" s="147"/>
    </row>
    <row r="132" ht="21.75" customHeight="1">
      <c r="A132" s="155"/>
      <c r="B132" s="64"/>
      <c r="C132" s="23"/>
      <c r="D132" s="23"/>
      <c r="E132" s="24"/>
      <c r="F132" s="25"/>
      <c r="G132" s="24"/>
      <c r="H132" s="26"/>
      <c r="I132" s="143"/>
      <c r="J132" s="144"/>
      <c r="K132" s="144" t="str">
        <f t="shared" si="18"/>
        <v/>
      </c>
      <c r="L132" s="17"/>
      <c r="M132" s="145"/>
      <c r="N132" s="145"/>
      <c r="O132" s="146"/>
      <c r="P132" s="146"/>
      <c r="Q132" s="145"/>
      <c r="R132" s="147"/>
    </row>
    <row r="133" ht="21.75" customHeight="1">
      <c r="A133" s="155"/>
      <c r="B133" s="64"/>
      <c r="C133" s="23"/>
      <c r="D133" s="23"/>
      <c r="E133" s="24"/>
      <c r="F133" s="25"/>
      <c r="G133" s="24"/>
      <c r="H133" s="26"/>
      <c r="I133" s="143"/>
      <c r="J133" s="144"/>
      <c r="K133" s="144" t="str">
        <f t="shared" si="18"/>
        <v/>
      </c>
      <c r="L133" s="17"/>
      <c r="M133" s="145"/>
      <c r="N133" s="145"/>
      <c r="O133" s="146"/>
      <c r="P133" s="146"/>
      <c r="Q133" s="145"/>
      <c r="R133" s="147"/>
    </row>
    <row r="134" ht="21.75" customHeight="1">
      <c r="A134" s="155"/>
      <c r="B134" s="64"/>
      <c r="C134" s="23"/>
      <c r="D134" s="23"/>
      <c r="E134" s="24"/>
      <c r="F134" s="25"/>
      <c r="G134" s="24"/>
      <c r="H134" s="26"/>
      <c r="I134" s="143"/>
      <c r="J134" s="144"/>
      <c r="K134" s="144" t="str">
        <f t="shared" si="18"/>
        <v/>
      </c>
      <c r="L134" s="17"/>
      <c r="M134" s="145"/>
      <c r="N134" s="145"/>
      <c r="O134" s="146"/>
      <c r="P134" s="146"/>
      <c r="Q134" s="145"/>
      <c r="R134" s="147"/>
    </row>
    <row r="135" ht="21.75" customHeight="1">
      <c r="A135" s="155"/>
      <c r="B135" s="64"/>
      <c r="C135" s="23"/>
      <c r="D135" s="23"/>
      <c r="E135" s="24"/>
      <c r="F135" s="25"/>
      <c r="G135" s="24"/>
      <c r="H135" s="26"/>
      <c r="I135" s="143"/>
      <c r="J135" s="144"/>
      <c r="K135" s="144" t="str">
        <f t="shared" si="18"/>
        <v/>
      </c>
      <c r="L135" s="17"/>
      <c r="M135" s="145"/>
      <c r="N135" s="145"/>
      <c r="O135" s="146"/>
      <c r="P135" s="146"/>
      <c r="Q135" s="145"/>
      <c r="R135" s="147"/>
    </row>
    <row r="136" ht="21.75" customHeight="1">
      <c r="A136" s="155"/>
      <c r="B136" s="64"/>
      <c r="C136" s="23"/>
      <c r="D136" s="23"/>
      <c r="E136" s="24"/>
      <c r="F136" s="25"/>
      <c r="G136" s="24"/>
      <c r="H136" s="26"/>
      <c r="I136" s="143"/>
      <c r="J136" s="144"/>
      <c r="K136" s="144" t="str">
        <f t="shared" si="18"/>
        <v/>
      </c>
      <c r="L136" s="17"/>
      <c r="M136" s="145"/>
      <c r="N136" s="145"/>
      <c r="O136" s="146"/>
      <c r="P136" s="146"/>
      <c r="Q136" s="145"/>
      <c r="R136" s="147"/>
    </row>
    <row r="137" ht="21.75" customHeight="1">
      <c r="A137" s="155"/>
      <c r="B137" s="64"/>
      <c r="C137" s="23"/>
      <c r="D137" s="23"/>
      <c r="E137" s="24"/>
      <c r="F137" s="25"/>
      <c r="G137" s="24"/>
      <c r="H137" s="26"/>
      <c r="I137" s="143"/>
      <c r="J137" s="144"/>
      <c r="K137" s="144" t="str">
        <f t="shared" si="18"/>
        <v/>
      </c>
      <c r="L137" s="17"/>
      <c r="M137" s="145"/>
      <c r="N137" s="145"/>
      <c r="O137" s="146"/>
      <c r="P137" s="146"/>
      <c r="Q137" s="145"/>
      <c r="R137" s="147"/>
    </row>
    <row r="138" ht="21.75" customHeight="1">
      <c r="A138" s="155"/>
      <c r="B138" s="64"/>
      <c r="C138" s="23"/>
      <c r="D138" s="23"/>
      <c r="E138" s="24"/>
      <c r="F138" s="25"/>
      <c r="G138" s="24"/>
      <c r="H138" s="26"/>
      <c r="I138" s="143"/>
      <c r="J138" s="144"/>
      <c r="K138" s="144" t="str">
        <f t="shared" si="18"/>
        <v/>
      </c>
      <c r="L138" s="17"/>
      <c r="M138" s="145"/>
      <c r="N138" s="145"/>
      <c r="O138" s="146"/>
      <c r="P138" s="146"/>
      <c r="Q138" s="145"/>
      <c r="R138" s="147"/>
    </row>
    <row r="139" ht="21.75" customHeight="1">
      <c r="A139" s="155"/>
      <c r="B139" s="64"/>
      <c r="C139" s="23"/>
      <c r="D139" s="23"/>
      <c r="E139" s="24"/>
      <c r="F139" s="25"/>
      <c r="G139" s="24"/>
      <c r="H139" s="26"/>
      <c r="I139" s="143"/>
      <c r="J139" s="144"/>
      <c r="K139" s="144" t="str">
        <f t="shared" si="18"/>
        <v/>
      </c>
      <c r="L139" s="17"/>
      <c r="M139" s="145"/>
      <c r="N139" s="145"/>
      <c r="O139" s="146"/>
      <c r="P139" s="146"/>
      <c r="Q139" s="145"/>
      <c r="R139" s="147"/>
    </row>
    <row r="140" ht="21.75" customHeight="1">
      <c r="A140" s="155"/>
      <c r="B140" s="64"/>
      <c r="C140" s="23"/>
      <c r="D140" s="23"/>
      <c r="E140" s="24"/>
      <c r="F140" s="25"/>
      <c r="G140" s="24"/>
      <c r="H140" s="26"/>
      <c r="I140" s="143"/>
      <c r="J140" s="144"/>
      <c r="K140" s="144" t="str">
        <f t="shared" si="18"/>
        <v/>
      </c>
      <c r="L140" s="17"/>
      <c r="M140" s="145"/>
      <c r="N140" s="145"/>
      <c r="O140" s="146"/>
      <c r="P140" s="146"/>
      <c r="Q140" s="145"/>
      <c r="R140" s="147"/>
    </row>
    <row r="141" ht="21.75" customHeight="1">
      <c r="A141" s="155"/>
      <c r="B141" s="64"/>
      <c r="C141" s="23"/>
      <c r="D141" s="23"/>
      <c r="E141" s="24"/>
      <c r="F141" s="25"/>
      <c r="G141" s="24"/>
      <c r="H141" s="26"/>
      <c r="I141" s="143"/>
      <c r="J141" s="144"/>
      <c r="K141" s="144" t="str">
        <f t="shared" si="18"/>
        <v/>
      </c>
      <c r="L141" s="17"/>
      <c r="M141" s="145"/>
      <c r="N141" s="145"/>
      <c r="O141" s="146"/>
      <c r="P141" s="146"/>
      <c r="Q141" s="145"/>
      <c r="R141" s="147"/>
    </row>
    <row r="142" ht="21.75" customHeight="1">
      <c r="A142" s="155"/>
      <c r="B142" s="64"/>
      <c r="C142" s="23"/>
      <c r="D142" s="23"/>
      <c r="E142" s="24"/>
      <c r="F142" s="25"/>
      <c r="G142" s="24"/>
      <c r="H142" s="26"/>
      <c r="I142" s="143"/>
      <c r="J142" s="144"/>
      <c r="K142" s="144" t="str">
        <f t="shared" si="18"/>
        <v/>
      </c>
      <c r="L142" s="17"/>
      <c r="M142" s="145"/>
      <c r="N142" s="145"/>
      <c r="O142" s="146"/>
      <c r="P142" s="146"/>
      <c r="Q142" s="145"/>
      <c r="R142" s="147"/>
    </row>
    <row r="143" ht="21.75" customHeight="1">
      <c r="A143" s="155"/>
      <c r="B143" s="64"/>
      <c r="C143" s="23"/>
      <c r="D143" s="23"/>
      <c r="E143" s="24"/>
      <c r="F143" s="25"/>
      <c r="G143" s="24"/>
      <c r="H143" s="26"/>
      <c r="I143" s="143"/>
      <c r="J143" s="144"/>
      <c r="K143" s="144" t="str">
        <f t="shared" si="18"/>
        <v/>
      </c>
      <c r="L143" s="17"/>
      <c r="M143" s="145"/>
      <c r="N143" s="145"/>
      <c r="O143" s="146"/>
      <c r="P143" s="146"/>
      <c r="Q143" s="145"/>
      <c r="R143" s="147"/>
    </row>
    <row r="144" ht="21.75" customHeight="1">
      <c r="A144" s="155"/>
      <c r="B144" s="64"/>
      <c r="C144" s="23"/>
      <c r="D144" s="23"/>
      <c r="E144" s="24"/>
      <c r="F144" s="25"/>
      <c r="G144" s="24"/>
      <c r="H144" s="26"/>
      <c r="I144" s="143"/>
      <c r="J144" s="144"/>
      <c r="K144" s="144" t="str">
        <f t="shared" si="18"/>
        <v/>
      </c>
      <c r="L144" s="17"/>
      <c r="M144" s="145"/>
      <c r="N144" s="145"/>
      <c r="O144" s="146"/>
      <c r="P144" s="146"/>
      <c r="Q144" s="145"/>
      <c r="R144" s="147"/>
    </row>
    <row r="145" ht="21.75" customHeight="1">
      <c r="A145" s="155"/>
      <c r="B145" s="64"/>
      <c r="C145" s="23"/>
      <c r="D145" s="23"/>
      <c r="E145" s="24"/>
      <c r="F145" s="25"/>
      <c r="G145" s="24"/>
      <c r="H145" s="26"/>
      <c r="I145" s="143"/>
      <c r="J145" s="144"/>
      <c r="K145" s="144" t="str">
        <f t="shared" si="18"/>
        <v/>
      </c>
      <c r="L145" s="17"/>
      <c r="M145" s="145"/>
      <c r="N145" s="145"/>
      <c r="O145" s="146"/>
      <c r="P145" s="146"/>
      <c r="Q145" s="145"/>
      <c r="R145" s="147"/>
    </row>
    <row r="146" ht="21.75" customHeight="1">
      <c r="A146" s="155"/>
      <c r="B146" s="64"/>
      <c r="C146" s="23"/>
      <c r="D146" s="23"/>
      <c r="E146" s="24"/>
      <c r="F146" s="25"/>
      <c r="G146" s="24"/>
      <c r="H146" s="26"/>
      <c r="I146" s="143"/>
      <c r="J146" s="144"/>
      <c r="K146" s="144" t="str">
        <f t="shared" si="18"/>
        <v/>
      </c>
      <c r="L146" s="17"/>
      <c r="M146" s="145"/>
      <c r="N146" s="145"/>
      <c r="O146" s="146"/>
      <c r="P146" s="146"/>
      <c r="Q146" s="145"/>
      <c r="R146" s="147"/>
    </row>
    <row r="147" ht="21.75" customHeight="1">
      <c r="A147" s="155"/>
      <c r="B147" s="64"/>
      <c r="C147" s="23"/>
      <c r="D147" s="23"/>
      <c r="E147" s="24"/>
      <c r="F147" s="25"/>
      <c r="G147" s="24"/>
      <c r="H147" s="26"/>
      <c r="I147" s="143"/>
      <c r="J147" s="144"/>
      <c r="K147" s="144" t="str">
        <f t="shared" si="18"/>
        <v/>
      </c>
      <c r="L147" s="17"/>
      <c r="M147" s="145"/>
      <c r="N147" s="145"/>
      <c r="O147" s="146"/>
      <c r="P147" s="146"/>
      <c r="Q147" s="145"/>
      <c r="R147" s="147"/>
    </row>
    <row r="148" ht="21.75" customHeight="1">
      <c r="A148" s="155"/>
      <c r="B148" s="64"/>
      <c r="C148" s="23"/>
      <c r="D148" s="23"/>
      <c r="E148" s="24"/>
      <c r="F148" s="25"/>
      <c r="G148" s="24"/>
      <c r="H148" s="26"/>
      <c r="I148" s="143"/>
      <c r="J148" s="144"/>
      <c r="K148" s="144" t="str">
        <f t="shared" si="18"/>
        <v/>
      </c>
      <c r="L148" s="17"/>
      <c r="M148" s="145"/>
      <c r="N148" s="145"/>
      <c r="O148" s="146"/>
      <c r="P148" s="146"/>
      <c r="Q148" s="145"/>
      <c r="R148" s="147"/>
    </row>
    <row r="149" ht="21.75" customHeight="1">
      <c r="A149" s="155"/>
      <c r="B149" s="64"/>
      <c r="C149" s="23"/>
      <c r="D149" s="23"/>
      <c r="E149" s="24"/>
      <c r="F149" s="25"/>
      <c r="G149" s="24"/>
      <c r="H149" s="26"/>
      <c r="I149" s="143"/>
      <c r="J149" s="144"/>
      <c r="K149" s="144" t="str">
        <f t="shared" si="18"/>
        <v/>
      </c>
      <c r="L149" s="17"/>
      <c r="M149" s="145"/>
      <c r="N149" s="145"/>
      <c r="O149" s="146"/>
      <c r="P149" s="146"/>
      <c r="Q149" s="145"/>
      <c r="R149" s="147"/>
    </row>
    <row r="150" ht="21.75" customHeight="1">
      <c r="A150" s="155"/>
      <c r="B150" s="64"/>
      <c r="C150" s="23"/>
      <c r="D150" s="23"/>
      <c r="E150" s="24"/>
      <c r="F150" s="25"/>
      <c r="G150" s="24"/>
      <c r="H150" s="26"/>
      <c r="I150" s="143"/>
      <c r="J150" s="144"/>
      <c r="K150" s="144" t="str">
        <f t="shared" si="18"/>
        <v/>
      </c>
      <c r="L150" s="17"/>
      <c r="M150" s="145"/>
      <c r="N150" s="145"/>
      <c r="O150" s="146"/>
      <c r="P150" s="146"/>
      <c r="Q150" s="145"/>
      <c r="R150" s="147"/>
    </row>
    <row r="151" ht="21.75" customHeight="1">
      <c r="A151" s="155"/>
      <c r="B151" s="64"/>
      <c r="C151" s="23"/>
      <c r="D151" s="23"/>
      <c r="E151" s="24"/>
      <c r="F151" s="25"/>
      <c r="G151" s="24"/>
      <c r="H151" s="26"/>
      <c r="I151" s="143"/>
      <c r="J151" s="144"/>
      <c r="K151" s="144" t="str">
        <f t="shared" si="18"/>
        <v/>
      </c>
      <c r="L151" s="17"/>
      <c r="M151" s="145"/>
      <c r="N151" s="145"/>
      <c r="O151" s="146"/>
      <c r="P151" s="146"/>
      <c r="Q151" s="145"/>
      <c r="R151" s="147"/>
    </row>
    <row r="152" ht="21.75" customHeight="1">
      <c r="A152" s="155"/>
      <c r="B152" s="64"/>
      <c r="C152" s="23"/>
      <c r="D152" s="23"/>
      <c r="E152" s="24"/>
      <c r="F152" s="25"/>
      <c r="G152" s="24"/>
      <c r="H152" s="26"/>
      <c r="I152" s="143"/>
      <c r="J152" s="144"/>
      <c r="K152" s="144" t="str">
        <f t="shared" si="18"/>
        <v/>
      </c>
      <c r="L152" s="17"/>
      <c r="M152" s="145"/>
      <c r="N152" s="145"/>
      <c r="O152" s="146"/>
      <c r="P152" s="146"/>
      <c r="Q152" s="145"/>
      <c r="R152" s="147"/>
    </row>
    <row r="153" ht="21.75" customHeight="1">
      <c r="A153" s="155"/>
      <c r="B153" s="64"/>
      <c r="C153" s="23"/>
      <c r="D153" s="23"/>
      <c r="E153" s="24"/>
      <c r="F153" s="25"/>
      <c r="G153" s="24"/>
      <c r="H153" s="26"/>
      <c r="I153" s="143"/>
      <c r="J153" s="144"/>
      <c r="K153" s="144" t="str">
        <f t="shared" si="18"/>
        <v/>
      </c>
      <c r="L153" s="17"/>
      <c r="M153" s="145"/>
      <c r="N153" s="145"/>
      <c r="O153" s="146"/>
      <c r="P153" s="146"/>
      <c r="Q153" s="145"/>
      <c r="R153" s="147"/>
    </row>
    <row r="154" ht="21.75" customHeight="1">
      <c r="A154" s="155"/>
      <c r="B154" s="64"/>
      <c r="C154" s="23"/>
      <c r="D154" s="23"/>
      <c r="E154" s="24"/>
      <c r="F154" s="25"/>
      <c r="G154" s="24"/>
      <c r="H154" s="26"/>
      <c r="I154" s="143"/>
      <c r="J154" s="144"/>
      <c r="K154" s="144" t="str">
        <f t="shared" si="18"/>
        <v/>
      </c>
      <c r="L154" s="17"/>
      <c r="M154" s="145"/>
      <c r="N154" s="145"/>
      <c r="O154" s="146"/>
      <c r="P154" s="146"/>
      <c r="Q154" s="145"/>
      <c r="R154" s="147"/>
    </row>
    <row r="155" ht="21.75" customHeight="1">
      <c r="A155" s="155"/>
      <c r="B155" s="64"/>
      <c r="C155" s="23"/>
      <c r="D155" s="23"/>
      <c r="E155" s="24"/>
      <c r="F155" s="25"/>
      <c r="G155" s="24"/>
      <c r="H155" s="26"/>
      <c r="I155" s="143"/>
      <c r="J155" s="144"/>
      <c r="K155" s="144" t="str">
        <f t="shared" si="18"/>
        <v/>
      </c>
      <c r="L155" s="17"/>
      <c r="M155" s="145"/>
      <c r="N155" s="145"/>
      <c r="O155" s="146"/>
      <c r="P155" s="146"/>
      <c r="Q155" s="145"/>
      <c r="R155" s="147"/>
    </row>
    <row r="156" ht="21.75" customHeight="1">
      <c r="A156" s="155"/>
      <c r="B156" s="64"/>
      <c r="C156" s="23"/>
      <c r="D156" s="23"/>
      <c r="E156" s="24"/>
      <c r="F156" s="25"/>
      <c r="G156" s="24"/>
      <c r="H156" s="26"/>
      <c r="I156" s="143"/>
      <c r="J156" s="144"/>
      <c r="K156" s="144" t="str">
        <f t="shared" si="18"/>
        <v/>
      </c>
      <c r="L156" s="17"/>
      <c r="M156" s="145"/>
      <c r="N156" s="145"/>
      <c r="O156" s="146"/>
      <c r="P156" s="146"/>
      <c r="Q156" s="145"/>
      <c r="R156" s="147"/>
    </row>
    <row r="157" ht="21.75" customHeight="1">
      <c r="A157" s="155"/>
      <c r="B157" s="64"/>
      <c r="C157" s="23"/>
      <c r="D157" s="23"/>
      <c r="E157" s="24"/>
      <c r="F157" s="25"/>
      <c r="G157" s="24"/>
      <c r="H157" s="26"/>
      <c r="I157" s="143"/>
      <c r="J157" s="144"/>
      <c r="K157" s="144" t="str">
        <f t="shared" si="18"/>
        <v/>
      </c>
      <c r="L157" s="17"/>
      <c r="M157" s="145"/>
      <c r="N157" s="145"/>
      <c r="O157" s="146"/>
      <c r="P157" s="146"/>
      <c r="Q157" s="145"/>
      <c r="R157" s="147"/>
    </row>
    <row r="158" ht="21.75" customHeight="1">
      <c r="A158" s="155"/>
      <c r="B158" s="64"/>
      <c r="C158" s="23"/>
      <c r="D158" s="23"/>
      <c r="E158" s="24"/>
      <c r="F158" s="25"/>
      <c r="G158" s="24"/>
      <c r="H158" s="26"/>
      <c r="I158" s="143"/>
      <c r="J158" s="144"/>
      <c r="K158" s="144" t="str">
        <f t="shared" si="18"/>
        <v/>
      </c>
      <c r="L158" s="17"/>
      <c r="M158" s="145"/>
      <c r="N158" s="145"/>
      <c r="O158" s="146"/>
      <c r="P158" s="146"/>
      <c r="Q158" s="145"/>
      <c r="R158" s="147"/>
    </row>
    <row r="159" ht="21.75" customHeight="1">
      <c r="A159" s="155"/>
      <c r="B159" s="64"/>
      <c r="C159" s="23"/>
      <c r="D159" s="23"/>
      <c r="E159" s="24"/>
      <c r="F159" s="25"/>
      <c r="G159" s="24"/>
      <c r="H159" s="26"/>
      <c r="I159" s="143"/>
      <c r="J159" s="144"/>
      <c r="K159" s="144" t="str">
        <f t="shared" si="18"/>
        <v/>
      </c>
      <c r="L159" s="17"/>
      <c r="M159" s="145"/>
      <c r="N159" s="145"/>
      <c r="O159" s="146"/>
      <c r="P159" s="146"/>
      <c r="Q159" s="145"/>
      <c r="R159" s="147"/>
    </row>
    <row r="160" ht="21.75" customHeight="1">
      <c r="A160" s="155"/>
      <c r="B160" s="64"/>
      <c r="C160" s="23"/>
      <c r="D160" s="23"/>
      <c r="E160" s="24"/>
      <c r="F160" s="25"/>
      <c r="G160" s="24"/>
      <c r="H160" s="26"/>
      <c r="I160" s="143"/>
      <c r="J160" s="144"/>
      <c r="K160" s="144" t="str">
        <f t="shared" si="18"/>
        <v/>
      </c>
      <c r="L160" s="17"/>
      <c r="M160" s="145"/>
      <c r="N160" s="145"/>
      <c r="O160" s="146"/>
      <c r="P160" s="146"/>
      <c r="Q160" s="145"/>
      <c r="R160" s="147"/>
    </row>
    <row r="161" ht="21.75" customHeight="1">
      <c r="A161" s="155"/>
      <c r="B161" s="64"/>
      <c r="C161" s="23"/>
      <c r="D161" s="23"/>
      <c r="E161" s="24"/>
      <c r="F161" s="25"/>
      <c r="G161" s="24"/>
      <c r="H161" s="26"/>
      <c r="I161" s="143"/>
      <c r="J161" s="144"/>
      <c r="K161" s="144" t="str">
        <f t="shared" si="18"/>
        <v/>
      </c>
      <c r="L161" s="17"/>
      <c r="M161" s="145"/>
      <c r="N161" s="145"/>
      <c r="O161" s="146"/>
      <c r="P161" s="146"/>
      <c r="Q161" s="145"/>
      <c r="R161" s="147"/>
    </row>
    <row r="162" ht="21.75" customHeight="1">
      <c r="A162" s="155"/>
      <c r="B162" s="64"/>
      <c r="C162" s="23"/>
      <c r="D162" s="23"/>
      <c r="E162" s="24"/>
      <c r="F162" s="25"/>
      <c r="G162" s="24"/>
      <c r="H162" s="26"/>
      <c r="I162" s="143"/>
      <c r="J162" s="144"/>
      <c r="K162" s="144" t="str">
        <f t="shared" si="18"/>
        <v/>
      </c>
      <c r="L162" s="17"/>
      <c r="M162" s="145"/>
      <c r="N162" s="145"/>
      <c r="O162" s="146"/>
      <c r="P162" s="146"/>
      <c r="Q162" s="145"/>
      <c r="R162" s="147"/>
    </row>
    <row r="163" ht="21.75" customHeight="1">
      <c r="A163" s="155"/>
      <c r="B163" s="64"/>
      <c r="C163" s="23"/>
      <c r="D163" s="23"/>
      <c r="E163" s="24"/>
      <c r="F163" s="25"/>
      <c r="G163" s="24"/>
      <c r="H163" s="26"/>
      <c r="I163" s="143"/>
      <c r="J163" s="144"/>
      <c r="K163" s="144" t="str">
        <f t="shared" si="18"/>
        <v/>
      </c>
      <c r="L163" s="17"/>
      <c r="M163" s="145"/>
      <c r="N163" s="145"/>
      <c r="O163" s="146"/>
      <c r="P163" s="146"/>
      <c r="Q163" s="145"/>
      <c r="R163" s="147"/>
    </row>
    <row r="164" ht="21.75" customHeight="1">
      <c r="A164" s="155"/>
      <c r="B164" s="64"/>
      <c r="C164" s="23"/>
      <c r="D164" s="23"/>
      <c r="E164" s="24"/>
      <c r="F164" s="25"/>
      <c r="G164" s="24"/>
      <c r="H164" s="26"/>
      <c r="I164" s="143"/>
      <c r="J164" s="144"/>
      <c r="K164" s="144" t="str">
        <f t="shared" si="18"/>
        <v/>
      </c>
      <c r="L164" s="17"/>
      <c r="M164" s="145"/>
      <c r="N164" s="145"/>
      <c r="O164" s="146"/>
      <c r="P164" s="146"/>
      <c r="Q164" s="145"/>
      <c r="R164" s="147"/>
    </row>
    <row r="165" ht="21.75" customHeight="1">
      <c r="A165" s="155"/>
      <c r="B165" s="64"/>
      <c r="C165" s="23"/>
      <c r="D165" s="23"/>
      <c r="E165" s="24"/>
      <c r="F165" s="25"/>
      <c r="G165" s="24"/>
      <c r="H165" s="26"/>
      <c r="I165" s="143"/>
      <c r="J165" s="144"/>
      <c r="K165" s="144" t="str">
        <f t="shared" si="18"/>
        <v/>
      </c>
      <c r="L165" s="17"/>
      <c r="M165" s="145"/>
      <c r="N165" s="145"/>
      <c r="O165" s="146"/>
      <c r="P165" s="146"/>
      <c r="Q165" s="145"/>
      <c r="R165" s="147"/>
    </row>
    <row r="166" ht="21.75" customHeight="1">
      <c r="A166" s="155"/>
      <c r="B166" s="64"/>
      <c r="C166" s="23"/>
      <c r="D166" s="23"/>
      <c r="E166" s="24"/>
      <c r="F166" s="25"/>
      <c r="G166" s="24"/>
      <c r="H166" s="26"/>
      <c r="I166" s="143"/>
      <c r="J166" s="144"/>
      <c r="K166" s="144" t="str">
        <f t="shared" si="18"/>
        <v/>
      </c>
      <c r="L166" s="17"/>
      <c r="M166" s="145"/>
      <c r="N166" s="145"/>
      <c r="O166" s="146"/>
      <c r="P166" s="146"/>
      <c r="Q166" s="145"/>
      <c r="R166" s="147"/>
    </row>
    <row r="167" ht="21.75" customHeight="1">
      <c r="A167" s="155"/>
      <c r="B167" s="64"/>
      <c r="C167" s="23"/>
      <c r="D167" s="23"/>
      <c r="E167" s="24"/>
      <c r="F167" s="25"/>
      <c r="G167" s="24"/>
      <c r="H167" s="26"/>
      <c r="I167" s="143"/>
      <c r="J167" s="144"/>
      <c r="K167" s="144" t="str">
        <f t="shared" si="18"/>
        <v/>
      </c>
      <c r="L167" s="17"/>
      <c r="M167" s="145"/>
      <c r="N167" s="145"/>
      <c r="O167" s="146"/>
      <c r="P167" s="146"/>
      <c r="Q167" s="145"/>
      <c r="R167" s="147"/>
    </row>
    <row r="168" ht="21.75" customHeight="1">
      <c r="A168" s="155"/>
      <c r="B168" s="64"/>
      <c r="C168" s="23"/>
      <c r="D168" s="23"/>
      <c r="E168" s="24"/>
      <c r="F168" s="25"/>
      <c r="G168" s="24"/>
      <c r="H168" s="26"/>
      <c r="I168" s="143"/>
      <c r="J168" s="144"/>
      <c r="K168" s="144" t="str">
        <f t="shared" si="18"/>
        <v/>
      </c>
      <c r="L168" s="17"/>
      <c r="M168" s="145"/>
      <c r="N168" s="145"/>
      <c r="O168" s="146"/>
      <c r="P168" s="146"/>
      <c r="Q168" s="145"/>
      <c r="R168" s="147"/>
    </row>
    <row r="169" ht="21.75" customHeight="1">
      <c r="A169" s="155"/>
      <c r="B169" s="64"/>
      <c r="C169" s="23"/>
      <c r="D169" s="23"/>
      <c r="E169" s="24"/>
      <c r="F169" s="25"/>
      <c r="G169" s="24"/>
      <c r="H169" s="26"/>
      <c r="I169" s="143"/>
      <c r="J169" s="144"/>
      <c r="K169" s="144" t="str">
        <f t="shared" si="18"/>
        <v/>
      </c>
      <c r="L169" s="17"/>
      <c r="M169" s="145"/>
      <c r="N169" s="145"/>
      <c r="O169" s="146"/>
      <c r="P169" s="146"/>
      <c r="Q169" s="145"/>
      <c r="R169" s="147"/>
    </row>
    <row r="170" ht="21.75" customHeight="1">
      <c r="A170" s="155"/>
      <c r="B170" s="64"/>
      <c r="C170" s="23"/>
      <c r="D170" s="23"/>
      <c r="E170" s="24"/>
      <c r="F170" s="25"/>
      <c r="G170" s="24"/>
      <c r="H170" s="26"/>
      <c r="I170" s="143"/>
      <c r="J170" s="144"/>
      <c r="K170" s="144" t="str">
        <f t="shared" si="18"/>
        <v/>
      </c>
      <c r="L170" s="17"/>
      <c r="M170" s="145"/>
      <c r="N170" s="145"/>
      <c r="O170" s="146"/>
      <c r="P170" s="146"/>
      <c r="Q170" s="145"/>
      <c r="R170" s="147"/>
    </row>
    <row r="171" ht="21.75" customHeight="1">
      <c r="A171" s="155"/>
      <c r="B171" s="64"/>
      <c r="C171" s="23"/>
      <c r="D171" s="23"/>
      <c r="E171" s="24"/>
      <c r="F171" s="25"/>
      <c r="G171" s="24"/>
      <c r="H171" s="26"/>
      <c r="I171" s="143"/>
      <c r="J171" s="144"/>
      <c r="K171" s="144" t="str">
        <f t="shared" si="18"/>
        <v/>
      </c>
      <c r="L171" s="17"/>
      <c r="M171" s="145"/>
      <c r="N171" s="145"/>
      <c r="O171" s="146"/>
      <c r="P171" s="146"/>
      <c r="Q171" s="145"/>
      <c r="R171" s="147"/>
    </row>
    <row r="172" ht="21.75" customHeight="1">
      <c r="A172" s="155"/>
      <c r="B172" s="64"/>
      <c r="C172" s="23"/>
      <c r="D172" s="23"/>
      <c r="E172" s="24"/>
      <c r="F172" s="25"/>
      <c r="G172" s="24"/>
      <c r="H172" s="26"/>
      <c r="I172" s="143"/>
      <c r="J172" s="144"/>
      <c r="K172" s="144" t="str">
        <f t="shared" si="18"/>
        <v/>
      </c>
      <c r="L172" s="17"/>
      <c r="M172" s="145"/>
      <c r="N172" s="145"/>
      <c r="O172" s="146"/>
      <c r="P172" s="146"/>
      <c r="Q172" s="145"/>
      <c r="R172" s="147"/>
    </row>
    <row r="173" ht="21.75" customHeight="1">
      <c r="A173" s="155"/>
      <c r="B173" s="64"/>
      <c r="C173" s="23"/>
      <c r="D173" s="23"/>
      <c r="E173" s="24"/>
      <c r="F173" s="25"/>
      <c r="G173" s="24"/>
      <c r="H173" s="26"/>
      <c r="I173" s="143"/>
      <c r="J173" s="144"/>
      <c r="K173" s="144" t="str">
        <f t="shared" si="18"/>
        <v/>
      </c>
      <c r="L173" s="17"/>
      <c r="M173" s="145"/>
      <c r="N173" s="145"/>
      <c r="O173" s="146"/>
      <c r="P173" s="146"/>
      <c r="Q173" s="145"/>
      <c r="R173" s="147"/>
    </row>
    <row r="174" ht="21.75" customHeight="1">
      <c r="A174" s="155"/>
      <c r="B174" s="64"/>
      <c r="C174" s="23"/>
      <c r="D174" s="23"/>
      <c r="E174" s="24"/>
      <c r="F174" s="25"/>
      <c r="G174" s="24"/>
      <c r="H174" s="26"/>
      <c r="I174" s="143"/>
      <c r="J174" s="144"/>
      <c r="K174" s="144" t="str">
        <f t="shared" si="18"/>
        <v/>
      </c>
      <c r="L174" s="17"/>
      <c r="M174" s="145"/>
      <c r="N174" s="145"/>
      <c r="O174" s="146"/>
      <c r="P174" s="146"/>
      <c r="Q174" s="145"/>
      <c r="R174" s="147"/>
    </row>
    <row r="175" ht="21.75" customHeight="1">
      <c r="A175" s="155"/>
      <c r="B175" s="64"/>
      <c r="C175" s="23"/>
      <c r="D175" s="23"/>
      <c r="E175" s="24"/>
      <c r="F175" s="25"/>
      <c r="G175" s="24"/>
      <c r="H175" s="26"/>
      <c r="I175" s="143"/>
      <c r="J175" s="144"/>
      <c r="K175" s="144" t="str">
        <f t="shared" si="18"/>
        <v/>
      </c>
      <c r="L175" s="17"/>
      <c r="M175" s="145"/>
      <c r="N175" s="145"/>
      <c r="O175" s="146"/>
      <c r="P175" s="146"/>
      <c r="Q175" s="145"/>
      <c r="R175" s="147"/>
    </row>
    <row r="176" ht="21.75" customHeight="1">
      <c r="A176" s="155"/>
      <c r="B176" s="64"/>
      <c r="C176" s="23"/>
      <c r="D176" s="23"/>
      <c r="E176" s="24"/>
      <c r="F176" s="25"/>
      <c r="G176" s="24"/>
      <c r="H176" s="26"/>
      <c r="I176" s="143"/>
      <c r="J176" s="144"/>
      <c r="K176" s="144" t="str">
        <f t="shared" si="18"/>
        <v/>
      </c>
      <c r="L176" s="17"/>
      <c r="M176" s="145"/>
      <c r="N176" s="145"/>
      <c r="O176" s="146"/>
      <c r="P176" s="146"/>
      <c r="Q176" s="145"/>
      <c r="R176" s="147"/>
    </row>
    <row r="177" ht="21.75" customHeight="1">
      <c r="A177" s="155"/>
      <c r="B177" s="64"/>
      <c r="C177" s="23"/>
      <c r="D177" s="23"/>
      <c r="E177" s="24"/>
      <c r="F177" s="25"/>
      <c r="G177" s="24"/>
      <c r="H177" s="26"/>
      <c r="I177" s="143"/>
      <c r="J177" s="144"/>
      <c r="K177" s="144" t="str">
        <f t="shared" si="18"/>
        <v/>
      </c>
      <c r="L177" s="17"/>
      <c r="M177" s="145"/>
      <c r="N177" s="145"/>
      <c r="O177" s="146"/>
      <c r="P177" s="146"/>
      <c r="Q177" s="145"/>
      <c r="R177" s="147"/>
    </row>
    <row r="178" ht="21.75" customHeight="1">
      <c r="A178" s="155"/>
      <c r="B178" s="64"/>
      <c r="C178" s="23"/>
      <c r="D178" s="23"/>
      <c r="E178" s="24"/>
      <c r="F178" s="25"/>
      <c r="G178" s="24"/>
      <c r="H178" s="26"/>
      <c r="I178" s="143"/>
      <c r="J178" s="144"/>
      <c r="K178" s="144" t="str">
        <f t="shared" si="18"/>
        <v/>
      </c>
      <c r="L178" s="17"/>
      <c r="M178" s="145"/>
      <c r="N178" s="145"/>
      <c r="O178" s="146"/>
      <c r="P178" s="146"/>
      <c r="Q178" s="145"/>
      <c r="R178" s="147"/>
    </row>
    <row r="179" ht="21.75" customHeight="1">
      <c r="A179" s="155"/>
      <c r="B179" s="64"/>
      <c r="C179" s="23"/>
      <c r="D179" s="23"/>
      <c r="E179" s="24"/>
      <c r="F179" s="25"/>
      <c r="G179" s="24"/>
      <c r="H179" s="26"/>
      <c r="I179" s="143"/>
      <c r="J179" s="144"/>
      <c r="K179" s="144" t="str">
        <f t="shared" si="18"/>
        <v/>
      </c>
      <c r="L179" s="17"/>
      <c r="M179" s="145"/>
      <c r="N179" s="145"/>
      <c r="O179" s="146"/>
      <c r="P179" s="146"/>
      <c r="Q179" s="145"/>
      <c r="R179" s="147"/>
    </row>
    <row r="180" ht="21.75" customHeight="1">
      <c r="A180" s="155"/>
      <c r="B180" s="64"/>
      <c r="C180" s="23"/>
      <c r="D180" s="23"/>
      <c r="E180" s="24"/>
      <c r="F180" s="25"/>
      <c r="G180" s="24"/>
      <c r="H180" s="26"/>
      <c r="I180" s="143"/>
      <c r="J180" s="144"/>
      <c r="K180" s="144" t="str">
        <f t="shared" si="18"/>
        <v/>
      </c>
      <c r="L180" s="17"/>
      <c r="M180" s="145"/>
      <c r="N180" s="145"/>
      <c r="O180" s="146"/>
      <c r="P180" s="146"/>
      <c r="Q180" s="145"/>
      <c r="R180" s="147"/>
    </row>
    <row r="181" ht="21.75" customHeight="1">
      <c r="A181" s="155"/>
      <c r="B181" s="64"/>
      <c r="C181" s="23"/>
      <c r="D181" s="23"/>
      <c r="E181" s="24"/>
      <c r="F181" s="25"/>
      <c r="G181" s="24"/>
      <c r="H181" s="26"/>
      <c r="I181" s="143"/>
      <c r="J181" s="144"/>
      <c r="K181" s="144" t="str">
        <f t="shared" si="18"/>
        <v/>
      </c>
      <c r="L181" s="17"/>
      <c r="M181" s="145"/>
      <c r="N181" s="145"/>
      <c r="O181" s="146"/>
      <c r="P181" s="146"/>
      <c r="Q181" s="145"/>
      <c r="R181" s="147"/>
    </row>
    <row r="182" ht="21.75" customHeight="1">
      <c r="A182" s="155"/>
      <c r="B182" s="64"/>
      <c r="C182" s="23"/>
      <c r="D182" s="23"/>
      <c r="E182" s="24"/>
      <c r="F182" s="25"/>
      <c r="G182" s="24"/>
      <c r="H182" s="26"/>
      <c r="I182" s="143"/>
      <c r="J182" s="144"/>
      <c r="K182" s="144" t="str">
        <f t="shared" si="18"/>
        <v/>
      </c>
      <c r="L182" s="17"/>
      <c r="M182" s="145"/>
      <c r="N182" s="145"/>
      <c r="O182" s="146"/>
      <c r="P182" s="146"/>
      <c r="Q182" s="145"/>
      <c r="R182" s="147"/>
    </row>
    <row r="183" ht="21.75" customHeight="1">
      <c r="A183" s="155"/>
      <c r="B183" s="64"/>
      <c r="C183" s="23"/>
      <c r="D183" s="23"/>
      <c r="E183" s="24"/>
      <c r="F183" s="25"/>
      <c r="G183" s="24"/>
      <c r="H183" s="26"/>
      <c r="I183" s="143"/>
      <c r="J183" s="144"/>
      <c r="K183" s="144" t="str">
        <f t="shared" si="18"/>
        <v/>
      </c>
      <c r="L183" s="17"/>
      <c r="M183" s="145"/>
      <c r="N183" s="145"/>
      <c r="O183" s="146"/>
      <c r="P183" s="146"/>
      <c r="Q183" s="145"/>
      <c r="R183" s="147"/>
    </row>
    <row r="184" ht="21.75" customHeight="1">
      <c r="A184" s="155"/>
      <c r="B184" s="64"/>
      <c r="C184" s="23"/>
      <c r="D184" s="23"/>
      <c r="E184" s="24"/>
      <c r="F184" s="25"/>
      <c r="G184" s="24"/>
      <c r="H184" s="26"/>
      <c r="I184" s="143"/>
      <c r="J184" s="144"/>
      <c r="K184" s="144" t="str">
        <f t="shared" si="18"/>
        <v/>
      </c>
      <c r="L184" s="17"/>
      <c r="M184" s="145"/>
      <c r="N184" s="145"/>
      <c r="O184" s="146"/>
      <c r="P184" s="146"/>
      <c r="Q184" s="145"/>
      <c r="R184" s="147"/>
    </row>
    <row r="185" ht="21.75" customHeight="1">
      <c r="A185" s="155"/>
      <c r="B185" s="64"/>
      <c r="C185" s="23"/>
      <c r="D185" s="23"/>
      <c r="E185" s="24"/>
      <c r="F185" s="25"/>
      <c r="G185" s="24"/>
      <c r="H185" s="26"/>
      <c r="I185" s="143"/>
      <c r="J185" s="144"/>
      <c r="K185" s="144" t="str">
        <f t="shared" si="18"/>
        <v/>
      </c>
      <c r="L185" s="17"/>
      <c r="M185" s="145"/>
      <c r="N185" s="145"/>
      <c r="O185" s="146"/>
      <c r="P185" s="146"/>
      <c r="Q185" s="145"/>
      <c r="R185" s="147"/>
    </row>
    <row r="186" ht="21.75" customHeight="1">
      <c r="A186" s="155"/>
      <c r="B186" s="64"/>
      <c r="C186" s="23"/>
      <c r="D186" s="23"/>
      <c r="E186" s="24"/>
      <c r="F186" s="25"/>
      <c r="G186" s="24"/>
      <c r="H186" s="26"/>
      <c r="I186" s="143"/>
      <c r="J186" s="144"/>
      <c r="K186" s="144" t="str">
        <f t="shared" si="18"/>
        <v/>
      </c>
      <c r="L186" s="17"/>
      <c r="M186" s="145"/>
      <c r="N186" s="145"/>
      <c r="O186" s="146"/>
      <c r="P186" s="146"/>
      <c r="Q186" s="145"/>
      <c r="R186" s="147"/>
    </row>
    <row r="187" ht="21.75" customHeight="1">
      <c r="A187" s="155"/>
      <c r="B187" s="64"/>
      <c r="C187" s="23"/>
      <c r="D187" s="23"/>
      <c r="E187" s="24"/>
      <c r="F187" s="25"/>
      <c r="G187" s="24"/>
      <c r="H187" s="26"/>
      <c r="I187" s="143"/>
      <c r="J187" s="144"/>
      <c r="K187" s="144" t="str">
        <f t="shared" si="18"/>
        <v/>
      </c>
      <c r="L187" s="17"/>
      <c r="M187" s="145"/>
      <c r="N187" s="145"/>
      <c r="O187" s="146"/>
      <c r="P187" s="146"/>
      <c r="Q187" s="145"/>
      <c r="R187" s="147"/>
    </row>
    <row r="188" ht="21.75" customHeight="1">
      <c r="A188" s="155"/>
      <c r="B188" s="64"/>
      <c r="C188" s="23"/>
      <c r="D188" s="23"/>
      <c r="E188" s="24"/>
      <c r="F188" s="25"/>
      <c r="G188" s="24"/>
      <c r="H188" s="26"/>
      <c r="I188" s="143"/>
      <c r="J188" s="144"/>
      <c r="K188" s="144" t="str">
        <f t="shared" si="18"/>
        <v/>
      </c>
      <c r="L188" s="17"/>
      <c r="M188" s="145"/>
      <c r="N188" s="145"/>
      <c r="O188" s="146"/>
      <c r="P188" s="146"/>
      <c r="Q188" s="145"/>
      <c r="R188" s="147"/>
    </row>
    <row r="189" ht="21.75" customHeight="1">
      <c r="A189" s="155"/>
      <c r="B189" s="64"/>
      <c r="C189" s="23"/>
      <c r="D189" s="23"/>
      <c r="E189" s="24"/>
      <c r="F189" s="25"/>
      <c r="G189" s="24"/>
      <c r="H189" s="26"/>
      <c r="I189" s="143"/>
      <c r="J189" s="144"/>
      <c r="K189" s="144" t="str">
        <f t="shared" si="18"/>
        <v/>
      </c>
      <c r="L189" s="17"/>
      <c r="M189" s="145"/>
      <c r="N189" s="145"/>
      <c r="O189" s="146"/>
      <c r="P189" s="146"/>
      <c r="Q189" s="145"/>
      <c r="R189" s="147"/>
    </row>
    <row r="190" ht="21.75" customHeight="1">
      <c r="A190" s="155"/>
      <c r="B190" s="64"/>
      <c r="C190" s="23"/>
      <c r="D190" s="23"/>
      <c r="E190" s="24"/>
      <c r="F190" s="25"/>
      <c r="G190" s="24"/>
      <c r="H190" s="26"/>
      <c r="I190" s="143"/>
      <c r="J190" s="144"/>
      <c r="K190" s="144" t="str">
        <f t="shared" si="18"/>
        <v/>
      </c>
      <c r="L190" s="17"/>
      <c r="M190" s="145"/>
      <c r="N190" s="145"/>
      <c r="O190" s="146"/>
      <c r="P190" s="146"/>
      <c r="Q190" s="145"/>
      <c r="R190" s="147"/>
    </row>
    <row r="191" ht="21.75" customHeight="1">
      <c r="A191" s="155"/>
      <c r="B191" s="64"/>
      <c r="C191" s="23"/>
      <c r="D191" s="23"/>
      <c r="E191" s="24"/>
      <c r="F191" s="25"/>
      <c r="G191" s="24"/>
      <c r="H191" s="26"/>
      <c r="I191" s="143"/>
      <c r="J191" s="144"/>
      <c r="K191" s="144" t="str">
        <f t="shared" si="18"/>
        <v/>
      </c>
      <c r="L191" s="17"/>
      <c r="M191" s="145"/>
      <c r="N191" s="145"/>
      <c r="O191" s="146"/>
      <c r="P191" s="146"/>
      <c r="Q191" s="145"/>
      <c r="R191" s="147"/>
    </row>
    <row r="192" ht="21.75" customHeight="1">
      <c r="A192" s="155"/>
      <c r="B192" s="64"/>
      <c r="C192" s="23"/>
      <c r="D192" s="23"/>
      <c r="E192" s="24"/>
      <c r="F192" s="25"/>
      <c r="G192" s="24"/>
      <c r="H192" s="26"/>
      <c r="I192" s="143"/>
      <c r="J192" s="144"/>
      <c r="K192" s="144" t="str">
        <f t="shared" si="18"/>
        <v/>
      </c>
      <c r="L192" s="17"/>
      <c r="M192" s="145"/>
      <c r="N192" s="145"/>
      <c r="O192" s="146"/>
      <c r="P192" s="146"/>
      <c r="Q192" s="145"/>
      <c r="R192" s="147"/>
    </row>
    <row r="193" ht="21.75" customHeight="1">
      <c r="A193" s="155"/>
      <c r="B193" s="64"/>
      <c r="C193" s="23"/>
      <c r="D193" s="23"/>
      <c r="E193" s="24"/>
      <c r="F193" s="25"/>
      <c r="G193" s="24"/>
      <c r="H193" s="26"/>
      <c r="I193" s="143"/>
      <c r="J193" s="144"/>
      <c r="K193" s="144" t="str">
        <f t="shared" si="18"/>
        <v/>
      </c>
      <c r="L193" s="17"/>
      <c r="M193" s="145"/>
      <c r="N193" s="145"/>
      <c r="O193" s="146"/>
      <c r="P193" s="146"/>
      <c r="Q193" s="145"/>
      <c r="R193" s="147"/>
    </row>
    <row r="194" ht="21.75" customHeight="1">
      <c r="A194" s="155"/>
      <c r="B194" s="64"/>
      <c r="C194" s="23"/>
      <c r="D194" s="23"/>
      <c r="E194" s="24"/>
      <c r="F194" s="25"/>
      <c r="G194" s="24"/>
      <c r="H194" s="26"/>
      <c r="I194" s="143"/>
      <c r="J194" s="144"/>
      <c r="K194" s="144" t="str">
        <f t="shared" si="18"/>
        <v/>
      </c>
      <c r="L194" s="17"/>
      <c r="M194" s="145"/>
      <c r="N194" s="145"/>
      <c r="O194" s="146"/>
      <c r="P194" s="146"/>
      <c r="Q194" s="145"/>
      <c r="R194" s="147"/>
    </row>
    <row r="195" ht="21.75" customHeight="1">
      <c r="A195" s="155"/>
      <c r="B195" s="64"/>
      <c r="C195" s="23"/>
      <c r="D195" s="23"/>
      <c r="E195" s="24"/>
      <c r="F195" s="25"/>
      <c r="G195" s="24"/>
      <c r="H195" s="26"/>
      <c r="I195" s="143"/>
      <c r="J195" s="144"/>
      <c r="K195" s="144" t="str">
        <f t="shared" si="18"/>
        <v/>
      </c>
      <c r="L195" s="17"/>
      <c r="M195" s="145"/>
      <c r="N195" s="145"/>
      <c r="O195" s="146"/>
      <c r="P195" s="146"/>
      <c r="Q195" s="145"/>
      <c r="R195" s="147"/>
    </row>
    <row r="196" ht="21.75" customHeight="1">
      <c r="A196" s="155"/>
      <c r="B196" s="64"/>
      <c r="C196" s="23"/>
      <c r="D196" s="23"/>
      <c r="E196" s="24"/>
      <c r="F196" s="25"/>
      <c r="G196" s="24"/>
      <c r="H196" s="26"/>
      <c r="I196" s="143"/>
      <c r="J196" s="144"/>
      <c r="K196" s="144" t="str">
        <f t="shared" si="18"/>
        <v/>
      </c>
      <c r="L196" s="17"/>
      <c r="M196" s="145"/>
      <c r="N196" s="145"/>
      <c r="O196" s="146"/>
      <c r="P196" s="146"/>
      <c r="Q196" s="145"/>
      <c r="R196" s="147"/>
    </row>
    <row r="197" ht="21.75" customHeight="1">
      <c r="A197" s="155"/>
      <c r="B197" s="64"/>
      <c r="C197" s="23"/>
      <c r="D197" s="23"/>
      <c r="E197" s="24"/>
      <c r="F197" s="25"/>
      <c r="G197" s="24"/>
      <c r="H197" s="26"/>
      <c r="I197" s="143"/>
      <c r="J197" s="144"/>
      <c r="K197" s="144" t="str">
        <f t="shared" si="18"/>
        <v/>
      </c>
      <c r="L197" s="17"/>
      <c r="M197" s="145"/>
      <c r="N197" s="145"/>
      <c r="O197" s="146"/>
      <c r="P197" s="146"/>
      <c r="Q197" s="145"/>
      <c r="R197" s="147"/>
    </row>
    <row r="198" ht="21.75" customHeight="1">
      <c r="A198" s="155"/>
      <c r="B198" s="64"/>
      <c r="C198" s="23"/>
      <c r="D198" s="23"/>
      <c r="E198" s="24"/>
      <c r="F198" s="25"/>
      <c r="G198" s="24"/>
      <c r="H198" s="26"/>
      <c r="I198" s="143"/>
      <c r="J198" s="144"/>
      <c r="K198" s="144" t="str">
        <f t="shared" si="18"/>
        <v/>
      </c>
      <c r="L198" s="17"/>
      <c r="M198" s="145"/>
      <c r="N198" s="145"/>
      <c r="O198" s="146"/>
      <c r="P198" s="146"/>
      <c r="Q198" s="145"/>
      <c r="R198" s="147"/>
    </row>
    <row r="199" ht="21.75" customHeight="1">
      <c r="A199" s="155"/>
      <c r="B199" s="64"/>
      <c r="C199" s="23"/>
      <c r="D199" s="23"/>
      <c r="E199" s="24"/>
      <c r="F199" s="25"/>
      <c r="G199" s="24"/>
      <c r="H199" s="26"/>
      <c r="I199" s="143"/>
      <c r="J199" s="144"/>
      <c r="K199" s="144" t="str">
        <f t="shared" si="18"/>
        <v/>
      </c>
      <c r="L199" s="17"/>
      <c r="M199" s="145"/>
      <c r="N199" s="145"/>
      <c r="O199" s="146"/>
      <c r="P199" s="146"/>
      <c r="Q199" s="145"/>
      <c r="R199" s="147"/>
    </row>
    <row r="200" ht="21.75" customHeight="1">
      <c r="A200" s="155"/>
      <c r="B200" s="64"/>
      <c r="C200" s="23"/>
      <c r="D200" s="23"/>
      <c r="E200" s="24"/>
      <c r="F200" s="25"/>
      <c r="G200" s="24"/>
      <c r="H200" s="26"/>
      <c r="I200" s="143"/>
      <c r="J200" s="144"/>
      <c r="K200" s="144" t="str">
        <f t="shared" si="18"/>
        <v/>
      </c>
      <c r="L200" s="17"/>
      <c r="M200" s="145"/>
      <c r="N200" s="145"/>
      <c r="O200" s="146"/>
      <c r="P200" s="146"/>
      <c r="Q200" s="145"/>
      <c r="R200" s="147"/>
    </row>
    <row r="201" ht="21.75" customHeight="1">
      <c r="A201" s="155"/>
      <c r="B201" s="64"/>
      <c r="C201" s="23"/>
      <c r="D201" s="23"/>
      <c r="E201" s="24"/>
      <c r="F201" s="25"/>
      <c r="G201" s="24"/>
      <c r="H201" s="26"/>
      <c r="I201" s="143"/>
      <c r="J201" s="144"/>
      <c r="K201" s="144" t="str">
        <f t="shared" si="18"/>
        <v/>
      </c>
      <c r="L201" s="17"/>
      <c r="M201" s="145"/>
      <c r="N201" s="145"/>
      <c r="O201" s="146"/>
      <c r="P201" s="146"/>
      <c r="Q201" s="145"/>
      <c r="R201" s="147"/>
    </row>
    <row r="202" ht="21.75" customHeight="1">
      <c r="A202" s="155"/>
      <c r="B202" s="64"/>
      <c r="C202" s="23"/>
      <c r="D202" s="23"/>
      <c r="E202" s="24"/>
      <c r="F202" s="25"/>
      <c r="G202" s="24"/>
      <c r="H202" s="26"/>
      <c r="I202" s="143"/>
      <c r="J202" s="144"/>
      <c r="K202" s="144" t="str">
        <f t="shared" si="18"/>
        <v/>
      </c>
      <c r="L202" s="17"/>
      <c r="M202" s="145"/>
      <c r="N202" s="145"/>
      <c r="O202" s="146"/>
      <c r="P202" s="146"/>
      <c r="Q202" s="145"/>
      <c r="R202" s="147"/>
    </row>
    <row r="203" ht="21.75" customHeight="1">
      <c r="A203" s="155"/>
      <c r="B203" s="64"/>
      <c r="C203" s="23"/>
      <c r="D203" s="23"/>
      <c r="E203" s="24"/>
      <c r="F203" s="25"/>
      <c r="G203" s="24"/>
      <c r="H203" s="26"/>
      <c r="I203" s="143"/>
      <c r="J203" s="144"/>
      <c r="K203" s="144" t="str">
        <f t="shared" si="18"/>
        <v/>
      </c>
      <c r="L203" s="17"/>
      <c r="M203" s="145"/>
      <c r="N203" s="145"/>
      <c r="O203" s="146"/>
      <c r="P203" s="146"/>
      <c r="Q203" s="145"/>
      <c r="R203" s="147"/>
    </row>
    <row r="204" ht="21.75" customHeight="1">
      <c r="A204" s="155"/>
      <c r="B204" s="64"/>
      <c r="C204" s="23"/>
      <c r="D204" s="23"/>
      <c r="E204" s="24"/>
      <c r="F204" s="25"/>
      <c r="G204" s="24"/>
      <c r="H204" s="26"/>
      <c r="I204" s="143"/>
      <c r="J204" s="144"/>
      <c r="K204" s="144" t="str">
        <f t="shared" si="18"/>
        <v/>
      </c>
      <c r="L204" s="17"/>
      <c r="M204" s="145"/>
      <c r="N204" s="145"/>
      <c r="O204" s="146"/>
      <c r="P204" s="146"/>
      <c r="Q204" s="145"/>
      <c r="R204" s="147"/>
    </row>
    <row r="205" ht="21.75" customHeight="1">
      <c r="A205" s="155"/>
      <c r="B205" s="64"/>
      <c r="C205" s="23"/>
      <c r="D205" s="23"/>
      <c r="E205" s="24"/>
      <c r="F205" s="25"/>
      <c r="G205" s="24"/>
      <c r="H205" s="26"/>
      <c r="I205" s="143"/>
      <c r="J205" s="144"/>
      <c r="K205" s="144" t="str">
        <f t="shared" si="18"/>
        <v/>
      </c>
      <c r="L205" s="17"/>
      <c r="M205" s="145"/>
      <c r="N205" s="145"/>
      <c r="O205" s="146"/>
      <c r="P205" s="146"/>
      <c r="Q205" s="145"/>
      <c r="R205" s="147"/>
    </row>
    <row r="206" ht="21.75" customHeight="1">
      <c r="A206" s="155"/>
      <c r="B206" s="64"/>
      <c r="C206" s="23"/>
      <c r="D206" s="23"/>
      <c r="E206" s="24"/>
      <c r="F206" s="25"/>
      <c r="G206" s="24"/>
      <c r="H206" s="26"/>
      <c r="I206" s="143"/>
      <c r="J206" s="144"/>
      <c r="K206" s="144" t="str">
        <f t="shared" si="18"/>
        <v/>
      </c>
      <c r="L206" s="17"/>
      <c r="M206" s="145"/>
      <c r="N206" s="145"/>
      <c r="O206" s="146"/>
      <c r="P206" s="146"/>
      <c r="Q206" s="145"/>
      <c r="R206" s="147"/>
    </row>
    <row r="207" ht="21.75" customHeight="1">
      <c r="A207" s="155"/>
      <c r="B207" s="64"/>
      <c r="C207" s="23"/>
      <c r="D207" s="23"/>
      <c r="E207" s="24"/>
      <c r="F207" s="25"/>
      <c r="G207" s="24"/>
      <c r="H207" s="26"/>
      <c r="I207" s="143"/>
      <c r="J207" s="144"/>
      <c r="K207" s="144" t="str">
        <f t="shared" si="18"/>
        <v/>
      </c>
      <c r="L207" s="17"/>
      <c r="M207" s="145"/>
      <c r="N207" s="145"/>
      <c r="O207" s="146"/>
      <c r="P207" s="146"/>
      <c r="Q207" s="145"/>
      <c r="R207" s="147"/>
    </row>
    <row r="208" ht="21.75" customHeight="1">
      <c r="A208" s="155"/>
      <c r="B208" s="64"/>
      <c r="C208" s="23"/>
      <c r="D208" s="23"/>
      <c r="E208" s="24"/>
      <c r="F208" s="25"/>
      <c r="G208" s="24"/>
      <c r="H208" s="26"/>
      <c r="I208" s="143"/>
      <c r="J208" s="144"/>
      <c r="K208" s="144" t="str">
        <f t="shared" si="18"/>
        <v/>
      </c>
      <c r="L208" s="17"/>
      <c r="M208" s="145"/>
      <c r="N208" s="145"/>
      <c r="O208" s="146"/>
      <c r="P208" s="146"/>
      <c r="Q208" s="145"/>
      <c r="R208" s="147"/>
    </row>
    <row r="209" ht="21.75" customHeight="1">
      <c r="A209" s="155"/>
      <c r="B209" s="64"/>
      <c r="C209" s="23"/>
      <c r="D209" s="23"/>
      <c r="E209" s="24"/>
      <c r="F209" s="25"/>
      <c r="G209" s="24"/>
      <c r="H209" s="26"/>
      <c r="I209" s="143"/>
      <c r="J209" s="144"/>
      <c r="K209" s="144" t="str">
        <f t="shared" si="18"/>
        <v/>
      </c>
      <c r="L209" s="17"/>
      <c r="M209" s="145"/>
      <c r="N209" s="145"/>
      <c r="O209" s="146"/>
      <c r="P209" s="146"/>
      <c r="Q209" s="145"/>
      <c r="R209" s="147"/>
    </row>
    <row r="210" ht="21.75" customHeight="1">
      <c r="A210" s="155"/>
      <c r="B210" s="64"/>
      <c r="C210" s="23"/>
      <c r="D210" s="23"/>
      <c r="E210" s="24"/>
      <c r="F210" s="25"/>
      <c r="G210" s="24"/>
      <c r="H210" s="26"/>
      <c r="I210" s="143"/>
      <c r="J210" s="144"/>
      <c r="K210" s="144" t="str">
        <f t="shared" si="18"/>
        <v/>
      </c>
      <c r="L210" s="17"/>
      <c r="M210" s="145"/>
      <c r="N210" s="145"/>
      <c r="O210" s="146"/>
      <c r="P210" s="146"/>
      <c r="Q210" s="145"/>
      <c r="R210" s="147"/>
    </row>
    <row r="211" ht="21.75" customHeight="1">
      <c r="A211" s="155"/>
      <c r="B211" s="64"/>
      <c r="C211" s="23"/>
      <c r="D211" s="23"/>
      <c r="E211" s="24"/>
      <c r="F211" s="25"/>
      <c r="G211" s="24"/>
      <c r="H211" s="26"/>
      <c r="I211" s="143"/>
      <c r="J211" s="144"/>
      <c r="K211" s="144" t="str">
        <f t="shared" si="18"/>
        <v/>
      </c>
      <c r="L211" s="17"/>
      <c r="M211" s="145"/>
      <c r="N211" s="145"/>
      <c r="O211" s="146"/>
      <c r="P211" s="146"/>
      <c r="Q211" s="145"/>
      <c r="R211" s="147"/>
    </row>
    <row r="212" ht="21.75" customHeight="1">
      <c r="A212" s="155"/>
      <c r="B212" s="64"/>
      <c r="C212" s="23"/>
      <c r="D212" s="23"/>
      <c r="E212" s="24"/>
      <c r="F212" s="25"/>
      <c r="G212" s="24"/>
      <c r="H212" s="26"/>
      <c r="I212" s="143"/>
      <c r="J212" s="144"/>
      <c r="K212" s="144" t="str">
        <f t="shared" si="18"/>
        <v/>
      </c>
      <c r="L212" s="17"/>
      <c r="M212" s="145"/>
      <c r="N212" s="145"/>
      <c r="O212" s="146"/>
      <c r="P212" s="146"/>
      <c r="Q212" s="145"/>
      <c r="R212" s="147"/>
    </row>
    <row r="213" ht="21.75" customHeight="1">
      <c r="A213" s="155"/>
      <c r="B213" s="64"/>
      <c r="C213" s="23"/>
      <c r="D213" s="23"/>
      <c r="E213" s="24"/>
      <c r="F213" s="25"/>
      <c r="G213" s="24"/>
      <c r="H213" s="26"/>
      <c r="I213" s="143"/>
      <c r="J213" s="144"/>
      <c r="K213" s="144" t="str">
        <f t="shared" si="18"/>
        <v/>
      </c>
      <c r="L213" s="17"/>
      <c r="M213" s="145"/>
      <c r="N213" s="145"/>
      <c r="O213" s="146"/>
      <c r="P213" s="146"/>
      <c r="Q213" s="145"/>
      <c r="R213" s="147"/>
    </row>
    <row r="214" ht="21.75" customHeight="1">
      <c r="A214" s="155"/>
      <c r="B214" s="64"/>
      <c r="C214" s="23"/>
      <c r="D214" s="23"/>
      <c r="E214" s="24"/>
      <c r="F214" s="25"/>
      <c r="G214" s="24"/>
      <c r="H214" s="26"/>
      <c r="I214" s="143"/>
      <c r="J214" s="144"/>
      <c r="K214" s="144" t="str">
        <f t="shared" si="18"/>
        <v/>
      </c>
      <c r="L214" s="17"/>
      <c r="M214" s="145"/>
      <c r="N214" s="145"/>
      <c r="O214" s="146"/>
      <c r="P214" s="146"/>
      <c r="Q214" s="145"/>
      <c r="R214" s="147"/>
    </row>
    <row r="215" ht="21.75" customHeight="1">
      <c r="A215" s="155"/>
      <c r="B215" s="64"/>
      <c r="C215" s="23"/>
      <c r="D215" s="23"/>
      <c r="E215" s="24"/>
      <c r="F215" s="25"/>
      <c r="G215" s="24"/>
      <c r="H215" s="26"/>
      <c r="I215" s="143"/>
      <c r="J215" s="144"/>
      <c r="K215" s="144" t="str">
        <f t="shared" si="18"/>
        <v/>
      </c>
      <c r="L215" s="17"/>
      <c r="M215" s="145"/>
      <c r="N215" s="145"/>
      <c r="O215" s="146"/>
      <c r="P215" s="146"/>
      <c r="Q215" s="145"/>
      <c r="R215" s="147"/>
    </row>
    <row r="216" ht="21.75" customHeight="1">
      <c r="A216" s="155"/>
      <c r="B216" s="64"/>
      <c r="C216" s="23"/>
      <c r="D216" s="23"/>
      <c r="E216" s="24"/>
      <c r="F216" s="25"/>
      <c r="G216" s="24"/>
      <c r="H216" s="26"/>
      <c r="I216" s="143"/>
      <c r="J216" s="144"/>
      <c r="K216" s="144" t="str">
        <f t="shared" si="18"/>
        <v/>
      </c>
      <c r="L216" s="17"/>
      <c r="M216" s="145"/>
      <c r="N216" s="145"/>
      <c r="O216" s="146"/>
      <c r="P216" s="146"/>
      <c r="Q216" s="145"/>
      <c r="R216" s="147"/>
    </row>
    <row r="217" ht="21.75" customHeight="1">
      <c r="A217" s="155"/>
      <c r="B217" s="64"/>
      <c r="C217" s="23"/>
      <c r="D217" s="23"/>
      <c r="E217" s="24"/>
      <c r="F217" s="25"/>
      <c r="G217" s="24"/>
      <c r="H217" s="26"/>
      <c r="I217" s="143"/>
      <c r="J217" s="144"/>
      <c r="K217" s="144" t="str">
        <f t="shared" si="18"/>
        <v/>
      </c>
      <c r="L217" s="17"/>
      <c r="M217" s="145"/>
      <c r="N217" s="145"/>
      <c r="O217" s="146"/>
      <c r="P217" s="146"/>
      <c r="Q217" s="145"/>
      <c r="R217" s="147"/>
    </row>
    <row r="218" ht="21.75" customHeight="1">
      <c r="A218" s="155"/>
      <c r="B218" s="64"/>
      <c r="C218" s="23"/>
      <c r="D218" s="23"/>
      <c r="E218" s="24"/>
      <c r="F218" s="25"/>
      <c r="G218" s="24"/>
      <c r="H218" s="26"/>
      <c r="I218" s="143"/>
      <c r="J218" s="144"/>
      <c r="K218" s="144" t="str">
        <f t="shared" si="18"/>
        <v/>
      </c>
      <c r="L218" s="17"/>
      <c r="M218" s="145"/>
      <c r="N218" s="145"/>
      <c r="O218" s="146"/>
      <c r="P218" s="146"/>
      <c r="Q218" s="145"/>
      <c r="R218" s="147"/>
    </row>
    <row r="219" ht="21.75" customHeight="1">
      <c r="A219" s="155"/>
      <c r="B219" s="64"/>
      <c r="C219" s="23"/>
      <c r="D219" s="23"/>
      <c r="E219" s="24"/>
      <c r="F219" s="25"/>
      <c r="G219" s="24"/>
      <c r="H219" s="26"/>
      <c r="I219" s="143"/>
      <c r="J219" s="144"/>
      <c r="K219" s="144" t="str">
        <f t="shared" si="18"/>
        <v/>
      </c>
      <c r="L219" s="17"/>
      <c r="M219" s="145"/>
      <c r="N219" s="145"/>
      <c r="O219" s="146"/>
      <c r="P219" s="146"/>
      <c r="Q219" s="145"/>
      <c r="R219" s="147"/>
    </row>
    <row r="220" ht="21.75" customHeight="1">
      <c r="A220" s="155"/>
      <c r="B220" s="64"/>
      <c r="C220" s="23"/>
      <c r="D220" s="23"/>
      <c r="E220" s="24"/>
      <c r="F220" s="25"/>
      <c r="G220" s="24"/>
      <c r="H220" s="26"/>
      <c r="I220" s="143"/>
      <c r="J220" s="144"/>
      <c r="K220" s="144" t="str">
        <f t="shared" si="18"/>
        <v/>
      </c>
      <c r="L220" s="17"/>
      <c r="M220" s="145"/>
      <c r="N220" s="145"/>
      <c r="O220" s="146"/>
      <c r="P220" s="146"/>
      <c r="Q220" s="145"/>
      <c r="R220" s="147"/>
    </row>
    <row r="221" ht="21.75" customHeight="1">
      <c r="A221" s="155"/>
      <c r="B221" s="64"/>
      <c r="C221" s="23"/>
      <c r="D221" s="23"/>
      <c r="E221" s="24"/>
      <c r="F221" s="25"/>
      <c r="G221" s="24"/>
      <c r="H221" s="26"/>
      <c r="I221" s="143"/>
      <c r="J221" s="144"/>
      <c r="K221" s="144" t="str">
        <f t="shared" si="18"/>
        <v/>
      </c>
      <c r="L221" s="17"/>
      <c r="M221" s="145"/>
      <c r="N221" s="145"/>
      <c r="O221" s="146"/>
      <c r="P221" s="146"/>
      <c r="Q221" s="145"/>
      <c r="R221" s="147"/>
    </row>
    <row r="222" ht="21.75" customHeight="1">
      <c r="A222" s="155"/>
      <c r="B222" s="64"/>
      <c r="C222" s="23"/>
      <c r="D222" s="23"/>
      <c r="E222" s="24"/>
      <c r="F222" s="25"/>
      <c r="G222" s="24"/>
      <c r="H222" s="26"/>
      <c r="I222" s="143"/>
      <c r="J222" s="144"/>
      <c r="K222" s="144" t="str">
        <f t="shared" si="18"/>
        <v/>
      </c>
      <c r="L222" s="17"/>
      <c r="M222" s="145"/>
      <c r="N222" s="145"/>
      <c r="O222" s="146"/>
      <c r="P222" s="146"/>
      <c r="Q222" s="145"/>
      <c r="R222" s="147"/>
    </row>
    <row r="223" ht="21.75" customHeight="1">
      <c r="A223" s="155"/>
      <c r="B223" s="64"/>
      <c r="C223" s="23"/>
      <c r="D223" s="23"/>
      <c r="E223" s="24"/>
      <c r="F223" s="25"/>
      <c r="G223" s="24"/>
      <c r="H223" s="26"/>
      <c r="I223" s="143"/>
      <c r="J223" s="144"/>
      <c r="K223" s="144" t="str">
        <f t="shared" si="18"/>
        <v/>
      </c>
      <c r="L223" s="17"/>
      <c r="M223" s="145"/>
      <c r="N223" s="145"/>
      <c r="O223" s="146"/>
      <c r="P223" s="146"/>
      <c r="Q223" s="145"/>
      <c r="R223" s="147"/>
    </row>
    <row r="224" ht="21.75" customHeight="1">
      <c r="A224" s="155"/>
      <c r="B224" s="64"/>
      <c r="C224" s="23"/>
      <c r="D224" s="23"/>
      <c r="E224" s="24"/>
      <c r="F224" s="25"/>
      <c r="G224" s="24"/>
      <c r="H224" s="26"/>
      <c r="I224" s="143"/>
      <c r="J224" s="144"/>
      <c r="K224" s="144" t="str">
        <f t="shared" si="18"/>
        <v/>
      </c>
      <c r="L224" s="17"/>
      <c r="M224" s="145"/>
      <c r="N224" s="145"/>
      <c r="O224" s="146"/>
      <c r="P224" s="146"/>
      <c r="Q224" s="145"/>
      <c r="R224" s="147"/>
    </row>
    <row r="225" ht="21.75" customHeight="1">
      <c r="A225" s="155"/>
      <c r="B225" s="64"/>
      <c r="C225" s="23"/>
      <c r="D225" s="23"/>
      <c r="E225" s="24"/>
      <c r="F225" s="25"/>
      <c r="G225" s="24"/>
      <c r="H225" s="26"/>
      <c r="I225" s="143"/>
      <c r="J225" s="144"/>
      <c r="K225" s="144" t="str">
        <f t="shared" si="18"/>
        <v/>
      </c>
      <c r="L225" s="17"/>
      <c r="M225" s="145"/>
      <c r="N225" s="144"/>
      <c r="O225" s="156"/>
      <c r="P225" s="156"/>
      <c r="Q225" s="144"/>
      <c r="R225" s="147"/>
    </row>
    <row r="226" ht="21.75" customHeight="1">
      <c r="A226" s="155"/>
      <c r="B226" s="64"/>
      <c r="C226" s="23"/>
      <c r="D226" s="23"/>
      <c r="E226" s="24"/>
      <c r="F226" s="25"/>
      <c r="G226" s="24"/>
      <c r="H226" s="26"/>
      <c r="I226" s="143"/>
      <c r="J226" s="144"/>
      <c r="K226" s="144" t="str">
        <f t="shared" si="18"/>
        <v/>
      </c>
      <c r="L226" s="17"/>
      <c r="M226" s="145"/>
      <c r="N226" s="144"/>
      <c r="O226" s="156"/>
      <c r="P226" s="156"/>
      <c r="Q226" s="144"/>
      <c r="R226" s="147"/>
    </row>
    <row r="227" ht="21.75" customHeight="1">
      <c r="A227" s="155"/>
      <c r="B227" s="64"/>
      <c r="C227" s="23"/>
      <c r="D227" s="23"/>
      <c r="E227" s="24"/>
      <c r="F227" s="25"/>
      <c r="G227" s="24"/>
      <c r="H227" s="26"/>
      <c r="I227" s="143"/>
      <c r="J227" s="144"/>
      <c r="K227" s="144" t="str">
        <f t="shared" si="18"/>
        <v/>
      </c>
      <c r="L227" s="17"/>
      <c r="M227" s="145"/>
      <c r="N227" s="144"/>
      <c r="O227" s="156"/>
      <c r="P227" s="156"/>
      <c r="Q227" s="144"/>
      <c r="R227" s="147"/>
    </row>
    <row r="228" ht="21.75" customHeight="1">
      <c r="A228" s="155"/>
      <c r="B228" s="64"/>
      <c r="C228" s="23"/>
      <c r="D228" s="23"/>
      <c r="E228" s="24"/>
      <c r="F228" s="25"/>
      <c r="G228" s="24"/>
      <c r="H228" s="26"/>
      <c r="I228" s="143"/>
      <c r="J228" s="144"/>
      <c r="K228" s="144" t="str">
        <f t="shared" si="18"/>
        <v/>
      </c>
      <c r="L228" s="17"/>
      <c r="M228" s="145"/>
      <c r="N228" s="144"/>
      <c r="O228" s="156"/>
      <c r="P228" s="156"/>
      <c r="Q228" s="144"/>
      <c r="R228" s="147"/>
    </row>
    <row r="229" ht="21.75" customHeight="1">
      <c r="A229" s="155"/>
      <c r="B229" s="64"/>
      <c r="C229" s="23"/>
      <c r="D229" s="23"/>
      <c r="E229" s="24"/>
      <c r="F229" s="25"/>
      <c r="G229" s="24"/>
      <c r="H229" s="26"/>
      <c r="I229" s="143"/>
      <c r="J229" s="144"/>
      <c r="K229" s="144" t="str">
        <f t="shared" si="18"/>
        <v/>
      </c>
      <c r="L229" s="17"/>
      <c r="M229" s="145"/>
      <c r="N229" s="144"/>
      <c r="O229" s="156"/>
      <c r="P229" s="156"/>
      <c r="Q229" s="144"/>
      <c r="R229" s="147"/>
    </row>
    <row r="230" ht="21.75" customHeight="1">
      <c r="A230" s="155"/>
      <c r="B230" s="64"/>
      <c r="C230" s="23"/>
      <c r="D230" s="23"/>
      <c r="E230" s="24"/>
      <c r="F230" s="25"/>
      <c r="G230" s="24"/>
      <c r="H230" s="26"/>
      <c r="I230" s="143"/>
      <c r="J230" s="144"/>
      <c r="K230" s="144" t="str">
        <f t="shared" si="18"/>
        <v/>
      </c>
      <c r="L230" s="17"/>
      <c r="M230" s="145"/>
      <c r="N230" s="144"/>
      <c r="O230" s="156"/>
      <c r="P230" s="156"/>
      <c r="Q230" s="144"/>
      <c r="R230" s="147"/>
    </row>
    <row r="231" ht="21.75" customHeight="1">
      <c r="A231" s="155"/>
      <c r="B231" s="64"/>
      <c r="C231" s="23"/>
      <c r="D231" s="23"/>
      <c r="E231" s="24"/>
      <c r="F231" s="25"/>
      <c r="G231" s="24"/>
      <c r="H231" s="26"/>
      <c r="I231" s="143"/>
      <c r="J231" s="144"/>
      <c r="K231" s="144" t="str">
        <f t="shared" si="18"/>
        <v/>
      </c>
      <c r="L231" s="17"/>
      <c r="M231" s="145"/>
      <c r="N231" s="144"/>
      <c r="O231" s="156"/>
      <c r="P231" s="156"/>
      <c r="Q231" s="144"/>
      <c r="R231" s="147"/>
    </row>
    <row r="232" ht="21.75" customHeight="1">
      <c r="A232" s="155"/>
      <c r="B232" s="64"/>
      <c r="C232" s="23"/>
      <c r="D232" s="23"/>
      <c r="E232" s="24"/>
      <c r="F232" s="25"/>
      <c r="G232" s="24"/>
      <c r="H232" s="26"/>
      <c r="I232" s="143"/>
      <c r="J232" s="144"/>
      <c r="K232" s="144" t="str">
        <f t="shared" si="18"/>
        <v/>
      </c>
      <c r="L232" s="17"/>
      <c r="M232" s="145"/>
      <c r="N232" s="144"/>
      <c r="O232" s="156"/>
      <c r="P232" s="156"/>
      <c r="Q232" s="144"/>
      <c r="R232" s="147"/>
    </row>
    <row r="233" ht="21.75" customHeight="1">
      <c r="A233" s="155"/>
      <c r="B233" s="64"/>
      <c r="C233" s="23"/>
      <c r="D233" s="23"/>
      <c r="E233" s="24"/>
      <c r="F233" s="25"/>
      <c r="G233" s="24"/>
      <c r="H233" s="26"/>
      <c r="I233" s="143"/>
      <c r="J233" s="144"/>
      <c r="K233" s="144" t="str">
        <f t="shared" si="18"/>
        <v/>
      </c>
      <c r="L233" s="17"/>
      <c r="M233" s="145"/>
      <c r="N233" s="144"/>
      <c r="O233" s="156"/>
      <c r="P233" s="156"/>
      <c r="Q233" s="144"/>
      <c r="R233" s="147"/>
    </row>
    <row r="234" ht="21.75" customHeight="1">
      <c r="A234" s="155"/>
      <c r="B234" s="64"/>
      <c r="C234" s="23"/>
      <c r="D234" s="23"/>
      <c r="E234" s="24"/>
      <c r="F234" s="25"/>
      <c r="G234" s="24"/>
      <c r="H234" s="26"/>
      <c r="I234" s="143"/>
      <c r="J234" s="144"/>
      <c r="K234" s="144" t="str">
        <f t="shared" si="18"/>
        <v/>
      </c>
      <c r="L234" s="17"/>
      <c r="M234" s="145"/>
      <c r="N234" s="144"/>
      <c r="O234" s="156"/>
      <c r="P234" s="156"/>
      <c r="Q234" s="144"/>
      <c r="R234" s="147"/>
    </row>
    <row r="235" ht="21.75" customHeight="1">
      <c r="A235" s="155"/>
      <c r="B235" s="64"/>
      <c r="C235" s="23"/>
      <c r="D235" s="23"/>
      <c r="E235" s="24"/>
      <c r="F235" s="25"/>
      <c r="G235" s="24"/>
      <c r="H235" s="26"/>
      <c r="I235" s="143"/>
      <c r="J235" s="144"/>
      <c r="K235" s="144" t="str">
        <f t="shared" si="18"/>
        <v/>
      </c>
      <c r="L235" s="17"/>
      <c r="M235" s="145"/>
      <c r="N235" s="144"/>
      <c r="O235" s="156"/>
      <c r="P235" s="156"/>
      <c r="Q235" s="144"/>
      <c r="R235" s="147"/>
    </row>
    <row r="236" ht="21.75" customHeight="1">
      <c r="A236" s="155"/>
      <c r="B236" s="64"/>
      <c r="C236" s="23"/>
      <c r="D236" s="23"/>
      <c r="E236" s="24"/>
      <c r="F236" s="25"/>
      <c r="G236" s="24"/>
      <c r="H236" s="26"/>
      <c r="I236" s="143"/>
      <c r="J236" s="144"/>
      <c r="K236" s="144" t="str">
        <f t="shared" si="18"/>
        <v/>
      </c>
      <c r="L236" s="17"/>
      <c r="M236" s="145"/>
      <c r="N236" s="144"/>
      <c r="O236" s="156"/>
      <c r="P236" s="156"/>
      <c r="Q236" s="144"/>
      <c r="R236" s="147"/>
    </row>
    <row r="237" ht="21.75" customHeight="1">
      <c r="A237" s="155"/>
      <c r="B237" s="64"/>
      <c r="C237" s="23"/>
      <c r="D237" s="23"/>
      <c r="E237" s="24"/>
      <c r="F237" s="25"/>
      <c r="G237" s="24"/>
      <c r="H237" s="26"/>
      <c r="I237" s="143"/>
      <c r="J237" s="144"/>
      <c r="K237" s="144" t="str">
        <f t="shared" si="18"/>
        <v/>
      </c>
      <c r="L237" s="17"/>
      <c r="M237" s="145"/>
      <c r="N237" s="144"/>
      <c r="O237" s="156"/>
      <c r="P237" s="156"/>
      <c r="Q237" s="144"/>
      <c r="R237" s="147"/>
    </row>
    <row r="238" ht="21.75" customHeight="1">
      <c r="A238" s="155"/>
      <c r="B238" s="64"/>
      <c r="C238" s="23"/>
      <c r="D238" s="23"/>
      <c r="E238" s="24"/>
      <c r="F238" s="25"/>
      <c r="G238" s="24"/>
      <c r="H238" s="26"/>
      <c r="I238" s="143"/>
      <c r="J238" s="144"/>
      <c r="K238" s="144" t="str">
        <f t="shared" si="18"/>
        <v/>
      </c>
      <c r="L238" s="17"/>
      <c r="M238" s="145"/>
      <c r="N238" s="144"/>
      <c r="O238" s="156"/>
      <c r="P238" s="156"/>
      <c r="Q238" s="144"/>
      <c r="R238" s="147"/>
    </row>
    <row r="239" ht="21.75" customHeight="1">
      <c r="A239" s="155"/>
      <c r="B239" s="64"/>
      <c r="C239" s="23"/>
      <c r="D239" s="23"/>
      <c r="E239" s="24"/>
      <c r="F239" s="25"/>
      <c r="G239" s="24"/>
      <c r="H239" s="26"/>
      <c r="I239" s="143"/>
      <c r="J239" s="144"/>
      <c r="K239" s="144" t="str">
        <f t="shared" si="18"/>
        <v/>
      </c>
      <c r="L239" s="17"/>
      <c r="M239" s="145"/>
      <c r="N239" s="144"/>
      <c r="O239" s="156"/>
      <c r="P239" s="156"/>
      <c r="Q239" s="144"/>
      <c r="R239" s="147"/>
    </row>
    <row r="240" ht="21.75" customHeight="1">
      <c r="A240" s="155"/>
      <c r="B240" s="64"/>
      <c r="C240" s="23"/>
      <c r="D240" s="23"/>
      <c r="E240" s="24"/>
      <c r="F240" s="25"/>
      <c r="G240" s="24"/>
      <c r="H240" s="26"/>
      <c r="I240" s="143"/>
      <c r="J240" s="144"/>
      <c r="K240" s="144" t="str">
        <f t="shared" si="18"/>
        <v/>
      </c>
      <c r="L240" s="17"/>
      <c r="M240" s="145"/>
      <c r="N240" s="144"/>
      <c r="O240" s="156"/>
      <c r="P240" s="156"/>
      <c r="Q240" s="144"/>
      <c r="R240" s="147"/>
    </row>
    <row r="241" ht="21.75" customHeight="1">
      <c r="A241" s="155"/>
      <c r="B241" s="64"/>
      <c r="C241" s="23"/>
      <c r="D241" s="23"/>
      <c r="E241" s="24"/>
      <c r="F241" s="25"/>
      <c r="G241" s="24"/>
      <c r="H241" s="26"/>
      <c r="I241" s="143"/>
      <c r="J241" s="144"/>
      <c r="K241" s="144" t="str">
        <f t="shared" si="18"/>
        <v/>
      </c>
      <c r="L241" s="17"/>
      <c r="M241" s="145"/>
      <c r="N241" s="144"/>
      <c r="O241" s="156"/>
      <c r="P241" s="156"/>
      <c r="Q241" s="144"/>
      <c r="R241" s="147"/>
    </row>
    <row r="242" ht="21.75" customHeight="1">
      <c r="A242" s="155"/>
      <c r="B242" s="64"/>
      <c r="C242" s="23"/>
      <c r="D242" s="23"/>
      <c r="E242" s="24"/>
      <c r="F242" s="25"/>
      <c r="G242" s="24"/>
      <c r="H242" s="26"/>
      <c r="I242" s="143"/>
      <c r="J242" s="144"/>
      <c r="K242" s="144" t="str">
        <f t="shared" si="18"/>
        <v/>
      </c>
      <c r="L242" s="17"/>
      <c r="M242" s="145"/>
      <c r="N242" s="144"/>
      <c r="O242" s="156"/>
      <c r="P242" s="156"/>
      <c r="Q242" s="144"/>
      <c r="R242" s="147"/>
    </row>
    <row r="243" ht="21.75" customHeight="1">
      <c r="A243" s="155"/>
      <c r="B243" s="64"/>
      <c r="C243" s="23"/>
      <c r="D243" s="23"/>
      <c r="E243" s="24"/>
      <c r="F243" s="25"/>
      <c r="G243" s="24"/>
      <c r="H243" s="26"/>
      <c r="I243" s="143"/>
      <c r="J243" s="144"/>
      <c r="K243" s="144" t="str">
        <f t="shared" si="18"/>
        <v/>
      </c>
      <c r="L243" s="17"/>
      <c r="M243" s="145"/>
      <c r="N243" s="144"/>
      <c r="O243" s="156"/>
      <c r="P243" s="156"/>
      <c r="Q243" s="144"/>
      <c r="R243" s="147"/>
    </row>
    <row r="244" ht="21.75" customHeight="1">
      <c r="A244" s="155"/>
      <c r="B244" s="64"/>
      <c r="C244" s="23"/>
      <c r="D244" s="23"/>
      <c r="E244" s="24"/>
      <c r="F244" s="25"/>
      <c r="G244" s="24"/>
      <c r="H244" s="26"/>
      <c r="I244" s="143"/>
      <c r="J244" s="144"/>
      <c r="K244" s="144" t="str">
        <f t="shared" si="18"/>
        <v/>
      </c>
      <c r="L244" s="17"/>
      <c r="M244" s="145"/>
      <c r="N244" s="144"/>
      <c r="O244" s="156"/>
      <c r="P244" s="156"/>
      <c r="Q244" s="144"/>
      <c r="R244" s="147"/>
    </row>
    <row r="245" ht="21.75" customHeight="1">
      <c r="A245" s="155"/>
      <c r="B245" s="64"/>
      <c r="C245" s="23"/>
      <c r="D245" s="23"/>
      <c r="E245" s="24"/>
      <c r="F245" s="25"/>
      <c r="G245" s="24"/>
      <c r="H245" s="26"/>
      <c r="I245" s="143"/>
      <c r="J245" s="144"/>
      <c r="K245" s="144" t="str">
        <f t="shared" si="18"/>
        <v/>
      </c>
      <c r="L245" s="17"/>
      <c r="M245" s="145"/>
      <c r="N245" s="144"/>
      <c r="O245" s="156"/>
      <c r="P245" s="156"/>
      <c r="Q245" s="144"/>
      <c r="R245" s="147"/>
    </row>
    <row r="246" ht="21.75" customHeight="1">
      <c r="A246" s="155"/>
      <c r="B246" s="64"/>
      <c r="C246" s="23"/>
      <c r="D246" s="23"/>
      <c r="E246" s="24"/>
      <c r="F246" s="25"/>
      <c r="G246" s="24"/>
      <c r="H246" s="26"/>
      <c r="I246" s="143"/>
      <c r="J246" s="144"/>
      <c r="K246" s="144" t="str">
        <f t="shared" si="18"/>
        <v/>
      </c>
      <c r="L246" s="17"/>
      <c r="M246" s="145"/>
      <c r="N246" s="144"/>
      <c r="O246" s="156"/>
      <c r="P246" s="156"/>
      <c r="Q246" s="144"/>
      <c r="R246" s="147"/>
    </row>
    <row r="247" ht="21.75" customHeight="1">
      <c r="A247" s="155"/>
      <c r="B247" s="64"/>
      <c r="C247" s="23"/>
      <c r="D247" s="23"/>
      <c r="E247" s="24"/>
      <c r="F247" s="25"/>
      <c r="G247" s="24"/>
      <c r="H247" s="26"/>
      <c r="I247" s="143"/>
      <c r="J247" s="144"/>
      <c r="K247" s="144" t="str">
        <f t="shared" si="18"/>
        <v/>
      </c>
      <c r="L247" s="17"/>
      <c r="M247" s="145"/>
      <c r="N247" s="144"/>
      <c r="O247" s="156"/>
      <c r="P247" s="156"/>
      <c r="Q247" s="144"/>
      <c r="R247" s="147"/>
    </row>
    <row r="248" ht="21.75" customHeight="1">
      <c r="A248" s="155"/>
      <c r="B248" s="64"/>
      <c r="C248" s="23"/>
      <c r="D248" s="23"/>
      <c r="E248" s="24"/>
      <c r="F248" s="25"/>
      <c r="G248" s="24"/>
      <c r="H248" s="26"/>
      <c r="I248" s="143"/>
      <c r="J248" s="144"/>
      <c r="K248" s="144" t="str">
        <f t="shared" si="18"/>
        <v/>
      </c>
      <c r="L248" s="17"/>
      <c r="M248" s="145"/>
      <c r="N248" s="144"/>
      <c r="O248" s="156"/>
      <c r="P248" s="156"/>
      <c r="Q248" s="144"/>
      <c r="R248" s="147"/>
    </row>
    <row r="249" ht="21.75" customHeight="1">
      <c r="A249" s="155"/>
      <c r="B249" s="64"/>
      <c r="C249" s="23"/>
      <c r="D249" s="23"/>
      <c r="E249" s="24"/>
      <c r="F249" s="25"/>
      <c r="G249" s="24"/>
      <c r="H249" s="26"/>
      <c r="I249" s="143"/>
      <c r="J249" s="144"/>
      <c r="K249" s="144" t="str">
        <f t="shared" si="18"/>
        <v/>
      </c>
      <c r="L249" s="17"/>
      <c r="M249" s="145"/>
      <c r="N249" s="144"/>
      <c r="O249" s="156"/>
      <c r="P249" s="156"/>
      <c r="Q249" s="144"/>
      <c r="R249" s="147"/>
    </row>
    <row r="250" ht="21.75" customHeight="1">
      <c r="A250" s="155"/>
      <c r="B250" s="64"/>
      <c r="C250" s="23"/>
      <c r="D250" s="23"/>
      <c r="E250" s="24"/>
      <c r="F250" s="25"/>
      <c r="G250" s="24"/>
      <c r="H250" s="26"/>
      <c r="I250" s="143"/>
      <c r="J250" s="144"/>
      <c r="K250" s="144" t="str">
        <f t="shared" si="18"/>
        <v/>
      </c>
      <c r="L250" s="17"/>
      <c r="M250" s="145"/>
      <c r="N250" s="144"/>
      <c r="O250" s="156"/>
      <c r="P250" s="156"/>
      <c r="Q250" s="144"/>
      <c r="R250" s="147"/>
    </row>
    <row r="251" ht="21.75" customHeight="1">
      <c r="A251" s="155"/>
      <c r="B251" s="64"/>
      <c r="C251" s="23"/>
      <c r="D251" s="23"/>
      <c r="E251" s="24"/>
      <c r="F251" s="25"/>
      <c r="G251" s="24"/>
      <c r="H251" s="26"/>
      <c r="I251" s="143"/>
      <c r="J251" s="144"/>
      <c r="K251" s="144" t="str">
        <f t="shared" si="18"/>
        <v/>
      </c>
      <c r="L251" s="17"/>
      <c r="M251" s="145"/>
      <c r="N251" s="144"/>
      <c r="O251" s="156"/>
      <c r="P251" s="156"/>
      <c r="Q251" s="144"/>
      <c r="R251" s="147"/>
    </row>
    <row r="252" ht="21.75" customHeight="1">
      <c r="A252" s="155"/>
      <c r="B252" s="64"/>
      <c r="C252" s="23"/>
      <c r="D252" s="23"/>
      <c r="E252" s="24"/>
      <c r="F252" s="25"/>
      <c r="G252" s="24"/>
      <c r="H252" s="26"/>
      <c r="I252" s="143"/>
      <c r="J252" s="144"/>
      <c r="K252" s="144" t="str">
        <f t="shared" si="18"/>
        <v/>
      </c>
      <c r="L252" s="17"/>
      <c r="M252" s="145"/>
      <c r="N252" s="144"/>
      <c r="O252" s="156"/>
      <c r="P252" s="156"/>
      <c r="Q252" s="144"/>
      <c r="R252" s="147"/>
    </row>
    <row r="253" ht="21.75" customHeight="1">
      <c r="A253" s="155"/>
      <c r="B253" s="64"/>
      <c r="C253" s="23"/>
      <c r="D253" s="23"/>
      <c r="E253" s="24"/>
      <c r="F253" s="25"/>
      <c r="G253" s="24"/>
      <c r="H253" s="26"/>
      <c r="I253" s="143"/>
      <c r="J253" s="144"/>
      <c r="K253" s="144" t="str">
        <f t="shared" si="18"/>
        <v/>
      </c>
      <c r="L253" s="17"/>
      <c r="M253" s="145"/>
      <c r="N253" s="144"/>
      <c r="O253" s="156"/>
      <c r="P253" s="156"/>
      <c r="Q253" s="144"/>
      <c r="R253" s="147"/>
    </row>
    <row r="254" ht="21.75" customHeight="1">
      <c r="A254" s="155"/>
      <c r="B254" s="64"/>
      <c r="C254" s="23"/>
      <c r="D254" s="23"/>
      <c r="E254" s="24"/>
      <c r="F254" s="25"/>
      <c r="G254" s="24"/>
      <c r="H254" s="26"/>
      <c r="I254" s="143"/>
      <c r="J254" s="144"/>
      <c r="K254" s="144" t="str">
        <f t="shared" si="18"/>
        <v/>
      </c>
      <c r="L254" s="17"/>
      <c r="M254" s="145"/>
      <c r="N254" s="144"/>
      <c r="O254" s="156"/>
      <c r="P254" s="156"/>
      <c r="Q254" s="144"/>
      <c r="R254" s="147"/>
    </row>
    <row r="255" ht="21.75" customHeight="1">
      <c r="A255" s="155"/>
      <c r="B255" s="64"/>
      <c r="C255" s="23"/>
      <c r="D255" s="23"/>
      <c r="E255" s="24"/>
      <c r="F255" s="25"/>
      <c r="G255" s="24"/>
      <c r="H255" s="26"/>
      <c r="I255" s="143"/>
      <c r="J255" s="144"/>
      <c r="K255" s="144" t="str">
        <f t="shared" si="18"/>
        <v/>
      </c>
      <c r="L255" s="17"/>
      <c r="M255" s="145"/>
      <c r="N255" s="144"/>
      <c r="O255" s="156"/>
      <c r="P255" s="156"/>
      <c r="Q255" s="144"/>
      <c r="R255" s="147"/>
    </row>
    <row r="256" ht="21.75" customHeight="1">
      <c r="A256" s="155"/>
      <c r="B256" s="64"/>
      <c r="C256" s="23"/>
      <c r="D256" s="23"/>
      <c r="E256" s="24"/>
      <c r="F256" s="25"/>
      <c r="G256" s="24"/>
      <c r="H256" s="26"/>
      <c r="I256" s="143"/>
      <c r="J256" s="144"/>
      <c r="K256" s="144" t="str">
        <f t="shared" si="18"/>
        <v/>
      </c>
      <c r="L256" s="17"/>
      <c r="M256" s="145"/>
      <c r="N256" s="144"/>
      <c r="O256" s="156"/>
      <c r="P256" s="156"/>
      <c r="Q256" s="144"/>
      <c r="R256" s="147"/>
    </row>
    <row r="257" ht="21.75" customHeight="1">
      <c r="A257" s="155"/>
      <c r="B257" s="64"/>
      <c r="C257" s="23"/>
      <c r="D257" s="23"/>
      <c r="E257" s="24"/>
      <c r="F257" s="25"/>
      <c r="G257" s="24"/>
      <c r="H257" s="26"/>
      <c r="I257" s="143"/>
      <c r="J257" s="144"/>
      <c r="K257" s="144" t="str">
        <f t="shared" si="18"/>
        <v/>
      </c>
      <c r="L257" s="17"/>
      <c r="M257" s="145"/>
      <c r="N257" s="144"/>
      <c r="O257" s="156"/>
      <c r="P257" s="156"/>
      <c r="Q257" s="144"/>
      <c r="R257" s="147"/>
    </row>
    <row r="258" ht="21.75" customHeight="1">
      <c r="A258" s="155"/>
      <c r="B258" s="64"/>
      <c r="C258" s="23"/>
      <c r="D258" s="23"/>
      <c r="E258" s="24"/>
      <c r="F258" s="25"/>
      <c r="G258" s="24"/>
      <c r="H258" s="26"/>
      <c r="I258" s="143"/>
      <c r="J258" s="144"/>
      <c r="K258" s="144" t="str">
        <f t="shared" si="18"/>
        <v/>
      </c>
      <c r="L258" s="17"/>
      <c r="M258" s="145"/>
      <c r="N258" s="144"/>
      <c r="O258" s="156"/>
      <c r="P258" s="156"/>
      <c r="Q258" s="144"/>
      <c r="R258" s="147"/>
    </row>
    <row r="259" ht="21.75" customHeight="1">
      <c r="A259" s="155"/>
      <c r="B259" s="64"/>
      <c r="C259" s="23"/>
      <c r="D259" s="23"/>
      <c r="E259" s="24"/>
      <c r="F259" s="25"/>
      <c r="G259" s="24"/>
      <c r="H259" s="26"/>
      <c r="I259" s="143"/>
      <c r="J259" s="144"/>
      <c r="K259" s="144" t="str">
        <f t="shared" si="18"/>
        <v/>
      </c>
      <c r="L259" s="17"/>
      <c r="M259" s="145"/>
      <c r="N259" s="144"/>
      <c r="O259" s="156"/>
      <c r="P259" s="156"/>
      <c r="Q259" s="144"/>
      <c r="R259" s="147"/>
    </row>
    <row r="260" ht="21.75" customHeight="1">
      <c r="A260" s="155"/>
      <c r="B260" s="64"/>
      <c r="C260" s="23"/>
      <c r="D260" s="23"/>
      <c r="E260" s="24"/>
      <c r="F260" s="25"/>
      <c r="G260" s="24"/>
      <c r="H260" s="26"/>
      <c r="I260" s="143"/>
      <c r="J260" s="144"/>
      <c r="K260" s="144" t="str">
        <f t="shared" si="18"/>
        <v/>
      </c>
      <c r="L260" s="17"/>
      <c r="M260" s="145"/>
      <c r="N260" s="144"/>
      <c r="O260" s="156"/>
      <c r="P260" s="156"/>
      <c r="Q260" s="144"/>
      <c r="R260" s="147"/>
    </row>
    <row r="261" ht="21.75" customHeight="1">
      <c r="A261" s="155"/>
      <c r="B261" s="64"/>
      <c r="C261" s="23"/>
      <c r="D261" s="23"/>
      <c r="E261" s="24"/>
      <c r="F261" s="25"/>
      <c r="G261" s="24"/>
      <c r="H261" s="26"/>
      <c r="I261" s="143"/>
      <c r="J261" s="144"/>
      <c r="K261" s="144" t="str">
        <f t="shared" si="18"/>
        <v/>
      </c>
      <c r="L261" s="17"/>
      <c r="M261" s="145"/>
      <c r="N261" s="144"/>
      <c r="O261" s="156"/>
      <c r="P261" s="156"/>
      <c r="Q261" s="144"/>
      <c r="R261" s="147"/>
    </row>
    <row r="262" ht="21.75" customHeight="1">
      <c r="A262" s="155"/>
      <c r="B262" s="64"/>
      <c r="C262" s="23"/>
      <c r="D262" s="23"/>
      <c r="E262" s="24"/>
      <c r="F262" s="25"/>
      <c r="G262" s="24"/>
      <c r="H262" s="26"/>
      <c r="I262" s="143"/>
      <c r="J262" s="144"/>
      <c r="K262" s="144" t="str">
        <f t="shared" si="18"/>
        <v/>
      </c>
      <c r="L262" s="17"/>
      <c r="M262" s="145"/>
      <c r="N262" s="144"/>
      <c r="O262" s="156"/>
      <c r="P262" s="156"/>
      <c r="Q262" s="144"/>
      <c r="R262" s="147"/>
    </row>
    <row r="263" ht="21.75" customHeight="1">
      <c r="A263" s="155"/>
      <c r="B263" s="64"/>
      <c r="C263" s="23"/>
      <c r="D263" s="23"/>
      <c r="E263" s="24"/>
      <c r="F263" s="25"/>
      <c r="G263" s="24"/>
      <c r="H263" s="26"/>
      <c r="I263" s="143"/>
      <c r="J263" s="144"/>
      <c r="K263" s="144" t="str">
        <f t="shared" si="18"/>
        <v/>
      </c>
      <c r="L263" s="17"/>
      <c r="M263" s="145"/>
      <c r="N263" s="144"/>
      <c r="O263" s="156"/>
      <c r="P263" s="156"/>
      <c r="Q263" s="144"/>
      <c r="R263" s="147"/>
    </row>
    <row r="264" ht="21.75" customHeight="1">
      <c r="A264" s="155"/>
      <c r="B264" s="64"/>
      <c r="C264" s="23"/>
      <c r="D264" s="23"/>
      <c r="E264" s="24"/>
      <c r="F264" s="25"/>
      <c r="G264" s="24"/>
      <c r="H264" s="26"/>
      <c r="I264" s="143"/>
      <c r="J264" s="144"/>
      <c r="K264" s="144" t="str">
        <f t="shared" si="18"/>
        <v/>
      </c>
      <c r="L264" s="17"/>
      <c r="M264" s="145"/>
      <c r="N264" s="144"/>
      <c r="O264" s="156"/>
      <c r="P264" s="156"/>
      <c r="Q264" s="144"/>
      <c r="R264" s="147"/>
    </row>
    <row r="265" ht="21.75" customHeight="1">
      <c r="A265" s="155"/>
      <c r="B265" s="64"/>
      <c r="C265" s="23"/>
      <c r="D265" s="23"/>
      <c r="E265" s="24"/>
      <c r="F265" s="25"/>
      <c r="G265" s="24"/>
      <c r="H265" s="26"/>
      <c r="I265" s="143"/>
      <c r="J265" s="144"/>
      <c r="K265" s="144" t="str">
        <f t="shared" si="18"/>
        <v/>
      </c>
      <c r="L265" s="17"/>
      <c r="M265" s="145"/>
      <c r="N265" s="144"/>
      <c r="O265" s="156"/>
      <c r="P265" s="156"/>
      <c r="Q265" s="144"/>
      <c r="R265" s="147"/>
    </row>
    <row r="266" ht="21.75" customHeight="1">
      <c r="A266" s="155"/>
      <c r="B266" s="64"/>
      <c r="C266" s="23"/>
      <c r="D266" s="23"/>
      <c r="E266" s="24"/>
      <c r="F266" s="25"/>
      <c r="G266" s="24"/>
      <c r="H266" s="26"/>
      <c r="I266" s="143"/>
      <c r="J266" s="144"/>
      <c r="K266" s="144" t="str">
        <f t="shared" si="18"/>
        <v/>
      </c>
      <c r="L266" s="17"/>
      <c r="M266" s="145"/>
      <c r="N266" s="144"/>
      <c r="O266" s="156"/>
      <c r="P266" s="156"/>
      <c r="Q266" s="144"/>
      <c r="R266" s="147"/>
    </row>
    <row r="267" ht="21.75" customHeight="1">
      <c r="A267" s="155"/>
      <c r="B267" s="64"/>
      <c r="C267" s="23"/>
      <c r="D267" s="23"/>
      <c r="E267" s="24"/>
      <c r="F267" s="25"/>
      <c r="G267" s="24"/>
      <c r="H267" s="26"/>
      <c r="I267" s="143"/>
      <c r="J267" s="144"/>
      <c r="K267" s="144" t="str">
        <f t="shared" si="18"/>
        <v/>
      </c>
      <c r="L267" s="17"/>
      <c r="M267" s="145"/>
      <c r="N267" s="144"/>
      <c r="O267" s="156"/>
      <c r="P267" s="156"/>
      <c r="Q267" s="144"/>
      <c r="R267" s="147"/>
    </row>
    <row r="268" ht="21.75" customHeight="1">
      <c r="A268" s="155"/>
      <c r="B268" s="64"/>
      <c r="C268" s="23"/>
      <c r="D268" s="23"/>
      <c r="E268" s="24"/>
      <c r="F268" s="25"/>
      <c r="G268" s="24"/>
      <c r="H268" s="26"/>
      <c r="I268" s="143"/>
      <c r="J268" s="144"/>
      <c r="K268" s="144" t="str">
        <f t="shared" si="18"/>
        <v/>
      </c>
      <c r="L268" s="17"/>
      <c r="M268" s="145"/>
      <c r="N268" s="144"/>
      <c r="O268" s="156"/>
      <c r="P268" s="156"/>
      <c r="Q268" s="144"/>
      <c r="R268" s="147"/>
    </row>
    <row r="269" ht="21.75" customHeight="1">
      <c r="A269" s="155"/>
      <c r="B269" s="64"/>
      <c r="C269" s="23"/>
      <c r="D269" s="23"/>
      <c r="E269" s="24"/>
      <c r="F269" s="25"/>
      <c r="G269" s="24"/>
      <c r="H269" s="26"/>
      <c r="I269" s="143"/>
      <c r="J269" s="144"/>
      <c r="K269" s="144" t="str">
        <f t="shared" si="18"/>
        <v/>
      </c>
      <c r="L269" s="17"/>
      <c r="M269" s="145"/>
      <c r="N269" s="144"/>
      <c r="O269" s="156"/>
      <c r="P269" s="156"/>
      <c r="Q269" s="144"/>
      <c r="R269" s="147"/>
    </row>
    <row r="270" ht="21.75" customHeight="1">
      <c r="A270" s="155"/>
      <c r="B270" s="64"/>
      <c r="C270" s="23"/>
      <c r="D270" s="23"/>
      <c r="E270" s="24"/>
      <c r="F270" s="25"/>
      <c r="G270" s="24"/>
      <c r="H270" s="26"/>
      <c r="I270" s="143"/>
      <c r="J270" s="144"/>
      <c r="K270" s="144" t="str">
        <f t="shared" si="18"/>
        <v/>
      </c>
      <c r="L270" s="17"/>
      <c r="M270" s="145"/>
      <c r="N270" s="144"/>
      <c r="O270" s="156"/>
      <c r="P270" s="156"/>
      <c r="Q270" s="144"/>
      <c r="R270" s="147"/>
    </row>
    <row r="271" ht="21.75" customHeight="1">
      <c r="A271" s="155"/>
      <c r="B271" s="64"/>
      <c r="C271" s="23"/>
      <c r="D271" s="23"/>
      <c r="E271" s="24"/>
      <c r="F271" s="25"/>
      <c r="G271" s="24"/>
      <c r="H271" s="26"/>
      <c r="I271" s="143"/>
      <c r="J271" s="144"/>
      <c r="K271" s="144" t="str">
        <f t="shared" si="18"/>
        <v/>
      </c>
      <c r="L271" s="17"/>
      <c r="M271" s="145"/>
      <c r="N271" s="144"/>
      <c r="O271" s="156"/>
      <c r="P271" s="156"/>
      <c r="Q271" s="144"/>
      <c r="R271" s="147"/>
    </row>
    <row r="272" ht="21.75" customHeight="1">
      <c r="A272" s="155"/>
      <c r="B272" s="64"/>
      <c r="C272" s="23"/>
      <c r="D272" s="23"/>
      <c r="E272" s="24"/>
      <c r="F272" s="25"/>
      <c r="G272" s="24"/>
      <c r="H272" s="26"/>
      <c r="I272" s="143"/>
      <c r="J272" s="144"/>
      <c r="K272" s="144" t="str">
        <f t="shared" si="18"/>
        <v/>
      </c>
      <c r="L272" s="17"/>
      <c r="M272" s="145"/>
      <c r="N272" s="144"/>
      <c r="O272" s="156"/>
      <c r="P272" s="156"/>
      <c r="Q272" s="144"/>
      <c r="R272" s="147"/>
    </row>
    <row r="273" ht="21.75" customHeight="1">
      <c r="A273" s="155"/>
      <c r="B273" s="64"/>
      <c r="C273" s="23"/>
      <c r="D273" s="23"/>
      <c r="E273" s="24"/>
      <c r="F273" s="25"/>
      <c r="G273" s="24"/>
      <c r="H273" s="26"/>
      <c r="I273" s="143"/>
      <c r="J273" s="144"/>
      <c r="K273" s="144" t="str">
        <f t="shared" si="18"/>
        <v/>
      </c>
      <c r="L273" s="17"/>
      <c r="M273" s="145"/>
      <c r="N273" s="144"/>
      <c r="O273" s="156"/>
      <c r="P273" s="156"/>
      <c r="Q273" s="144"/>
      <c r="R273" s="147"/>
    </row>
    <row r="274" ht="21.75" customHeight="1">
      <c r="A274" s="155"/>
      <c r="B274" s="64"/>
      <c r="C274" s="23"/>
      <c r="D274" s="23"/>
      <c r="E274" s="24"/>
      <c r="F274" s="25"/>
      <c r="G274" s="24"/>
      <c r="H274" s="26"/>
      <c r="I274" s="143"/>
      <c r="J274" s="144"/>
      <c r="K274" s="144" t="str">
        <f t="shared" si="18"/>
        <v/>
      </c>
      <c r="L274" s="17"/>
      <c r="M274" s="145"/>
      <c r="N274" s="144"/>
      <c r="O274" s="156"/>
      <c r="P274" s="156"/>
      <c r="Q274" s="144"/>
      <c r="R274" s="147"/>
    </row>
    <row r="275" ht="21.75" customHeight="1">
      <c r="A275" s="155"/>
      <c r="B275" s="64"/>
      <c r="C275" s="23"/>
      <c r="D275" s="23"/>
      <c r="E275" s="24"/>
      <c r="F275" s="25"/>
      <c r="G275" s="24"/>
      <c r="H275" s="26"/>
      <c r="I275" s="143"/>
      <c r="J275" s="144"/>
      <c r="K275" s="144" t="str">
        <f t="shared" si="18"/>
        <v/>
      </c>
      <c r="L275" s="17"/>
      <c r="M275" s="145"/>
      <c r="N275" s="144"/>
      <c r="O275" s="156"/>
      <c r="P275" s="156"/>
      <c r="Q275" s="144"/>
      <c r="R275" s="147"/>
    </row>
    <row r="276" ht="21.75" customHeight="1">
      <c r="A276" s="155"/>
      <c r="B276" s="64"/>
      <c r="C276" s="23"/>
      <c r="D276" s="23"/>
      <c r="E276" s="24"/>
      <c r="F276" s="25"/>
      <c r="G276" s="24"/>
      <c r="H276" s="26"/>
      <c r="I276" s="143"/>
      <c r="J276" s="144"/>
      <c r="K276" s="144" t="str">
        <f t="shared" si="18"/>
        <v/>
      </c>
      <c r="L276" s="17"/>
      <c r="M276" s="145"/>
      <c r="N276" s="144"/>
      <c r="O276" s="156"/>
      <c r="P276" s="156"/>
      <c r="Q276" s="144"/>
      <c r="R276" s="147"/>
    </row>
    <row r="277" ht="21.75" customHeight="1">
      <c r="A277" s="155"/>
      <c r="B277" s="64"/>
      <c r="C277" s="23"/>
      <c r="D277" s="23"/>
      <c r="E277" s="24"/>
      <c r="F277" s="25"/>
      <c r="G277" s="24"/>
      <c r="H277" s="26"/>
      <c r="I277" s="143"/>
      <c r="J277" s="144"/>
      <c r="K277" s="144" t="str">
        <f t="shared" si="18"/>
        <v/>
      </c>
      <c r="L277" s="17"/>
      <c r="M277" s="145"/>
      <c r="N277" s="144"/>
      <c r="O277" s="156"/>
      <c r="P277" s="156"/>
      <c r="Q277" s="144"/>
      <c r="R277" s="147"/>
    </row>
    <row r="278" ht="21.75" customHeight="1">
      <c r="A278" s="155"/>
      <c r="B278" s="64"/>
      <c r="C278" s="23"/>
      <c r="D278" s="23"/>
      <c r="E278" s="24"/>
      <c r="F278" s="25"/>
      <c r="G278" s="24"/>
      <c r="H278" s="26"/>
      <c r="I278" s="143"/>
      <c r="J278" s="144"/>
      <c r="K278" s="144" t="str">
        <f t="shared" si="18"/>
        <v/>
      </c>
      <c r="L278" s="17"/>
      <c r="M278" s="145"/>
      <c r="N278" s="144"/>
      <c r="O278" s="156"/>
      <c r="P278" s="156"/>
      <c r="Q278" s="144"/>
      <c r="R278" s="147"/>
    </row>
    <row r="279" ht="21.75" customHeight="1">
      <c r="A279" s="155"/>
      <c r="B279" s="64"/>
      <c r="C279" s="23"/>
      <c r="D279" s="23"/>
      <c r="E279" s="24"/>
      <c r="F279" s="25"/>
      <c r="G279" s="24"/>
      <c r="H279" s="26"/>
      <c r="I279" s="143"/>
      <c r="J279" s="144"/>
      <c r="K279" s="144" t="str">
        <f t="shared" si="18"/>
        <v/>
      </c>
      <c r="L279" s="17"/>
      <c r="M279" s="145"/>
      <c r="N279" s="144"/>
      <c r="O279" s="156"/>
      <c r="P279" s="156"/>
      <c r="Q279" s="144"/>
      <c r="R279" s="147"/>
    </row>
    <row r="280" ht="21.75" customHeight="1">
      <c r="A280" s="155"/>
      <c r="B280" s="64"/>
      <c r="C280" s="23"/>
      <c r="D280" s="23"/>
      <c r="E280" s="24"/>
      <c r="F280" s="25"/>
      <c r="G280" s="24"/>
      <c r="H280" s="26"/>
      <c r="I280" s="143"/>
      <c r="J280" s="144"/>
      <c r="K280" s="144" t="str">
        <f t="shared" si="18"/>
        <v/>
      </c>
      <c r="L280" s="17"/>
      <c r="M280" s="145"/>
      <c r="N280" s="144"/>
      <c r="O280" s="156"/>
      <c r="P280" s="156"/>
      <c r="Q280" s="144"/>
      <c r="R280" s="147"/>
    </row>
    <row r="281" ht="21.75" customHeight="1">
      <c r="A281" s="155"/>
      <c r="B281" s="64"/>
      <c r="C281" s="23"/>
      <c r="D281" s="23"/>
      <c r="E281" s="24"/>
      <c r="F281" s="25"/>
      <c r="G281" s="24"/>
      <c r="H281" s="26"/>
      <c r="I281" s="143"/>
      <c r="J281" s="144"/>
      <c r="K281" s="144" t="str">
        <f t="shared" si="18"/>
        <v/>
      </c>
      <c r="L281" s="17"/>
      <c r="M281" s="145"/>
      <c r="N281" s="144"/>
      <c r="O281" s="156"/>
      <c r="P281" s="156"/>
      <c r="Q281" s="144"/>
      <c r="R281" s="147"/>
    </row>
    <row r="282" ht="21.75" customHeight="1">
      <c r="A282" s="155"/>
      <c r="B282" s="64"/>
      <c r="C282" s="23"/>
      <c r="D282" s="23"/>
      <c r="E282" s="24"/>
      <c r="F282" s="25"/>
      <c r="G282" s="24"/>
      <c r="H282" s="26"/>
      <c r="I282" s="143"/>
      <c r="J282" s="144"/>
      <c r="K282" s="144" t="str">
        <f t="shared" si="18"/>
        <v/>
      </c>
      <c r="L282" s="17"/>
      <c r="M282" s="145"/>
      <c r="N282" s="144"/>
      <c r="O282" s="156"/>
      <c r="P282" s="156"/>
      <c r="Q282" s="144"/>
      <c r="R282" s="147"/>
    </row>
    <row r="283" ht="21.75" customHeight="1">
      <c r="A283" s="155"/>
      <c r="B283" s="64"/>
      <c r="C283" s="23"/>
      <c r="D283" s="23"/>
      <c r="E283" s="24"/>
      <c r="F283" s="25"/>
      <c r="G283" s="24"/>
      <c r="H283" s="26"/>
      <c r="I283" s="143"/>
      <c r="J283" s="144"/>
      <c r="K283" s="144" t="str">
        <f t="shared" si="18"/>
        <v/>
      </c>
      <c r="L283" s="17"/>
      <c r="M283" s="145"/>
      <c r="N283" s="144"/>
      <c r="O283" s="156"/>
      <c r="P283" s="156"/>
      <c r="Q283" s="144"/>
      <c r="R283" s="147"/>
    </row>
    <row r="284" ht="21.75" customHeight="1">
      <c r="A284" s="155"/>
      <c r="B284" s="64"/>
      <c r="C284" s="23"/>
      <c r="D284" s="23"/>
      <c r="E284" s="24"/>
      <c r="F284" s="25"/>
      <c r="G284" s="24"/>
      <c r="H284" s="26"/>
      <c r="I284" s="143"/>
      <c r="J284" s="144"/>
      <c r="K284" s="144" t="str">
        <f t="shared" si="18"/>
        <v/>
      </c>
      <c r="L284" s="17"/>
      <c r="M284" s="145"/>
      <c r="N284" s="144"/>
      <c r="O284" s="156"/>
      <c r="P284" s="156"/>
      <c r="Q284" s="144"/>
      <c r="R284" s="147"/>
    </row>
    <row r="285" ht="21.75" customHeight="1">
      <c r="A285" s="155"/>
      <c r="B285" s="64"/>
      <c r="C285" s="23"/>
      <c r="D285" s="23"/>
      <c r="E285" s="24"/>
      <c r="F285" s="25"/>
      <c r="G285" s="24"/>
      <c r="H285" s="26"/>
      <c r="I285" s="143"/>
      <c r="J285" s="144"/>
      <c r="K285" s="144" t="str">
        <f t="shared" si="18"/>
        <v/>
      </c>
      <c r="L285" s="17"/>
      <c r="M285" s="145"/>
      <c r="N285" s="144"/>
      <c r="O285" s="156"/>
      <c r="P285" s="156"/>
      <c r="Q285" s="144"/>
      <c r="R285" s="147"/>
    </row>
    <row r="286" ht="21.75" customHeight="1">
      <c r="A286" s="155"/>
      <c r="B286" s="64"/>
      <c r="C286" s="23"/>
      <c r="D286" s="23"/>
      <c r="E286" s="24"/>
      <c r="F286" s="25"/>
      <c r="G286" s="24"/>
      <c r="H286" s="26"/>
      <c r="I286" s="143"/>
      <c r="J286" s="144"/>
      <c r="K286" s="144" t="str">
        <f t="shared" si="18"/>
        <v/>
      </c>
      <c r="L286" s="17"/>
      <c r="M286" s="145"/>
      <c r="N286" s="144"/>
      <c r="O286" s="156"/>
      <c r="P286" s="156"/>
      <c r="Q286" s="144"/>
      <c r="R286" s="147"/>
    </row>
    <row r="287" ht="21.75" customHeight="1">
      <c r="A287" s="155"/>
      <c r="B287" s="64"/>
      <c r="C287" s="23"/>
      <c r="D287" s="23"/>
      <c r="E287" s="24"/>
      <c r="F287" s="25"/>
      <c r="G287" s="24"/>
      <c r="H287" s="26"/>
      <c r="I287" s="143"/>
      <c r="J287" s="144"/>
      <c r="K287" s="144" t="str">
        <f t="shared" si="18"/>
        <v/>
      </c>
      <c r="L287" s="17"/>
      <c r="M287" s="145"/>
      <c r="N287" s="144"/>
      <c r="O287" s="156"/>
      <c r="P287" s="156"/>
      <c r="Q287" s="144"/>
      <c r="R287" s="147"/>
    </row>
    <row r="288" ht="21.75" customHeight="1">
      <c r="A288" s="155"/>
      <c r="B288" s="64"/>
      <c r="C288" s="23"/>
      <c r="D288" s="23"/>
      <c r="E288" s="24"/>
      <c r="F288" s="25"/>
      <c r="G288" s="24"/>
      <c r="H288" s="26"/>
      <c r="I288" s="143"/>
      <c r="J288" s="144"/>
      <c r="K288" s="144" t="str">
        <f t="shared" si="18"/>
        <v/>
      </c>
      <c r="L288" s="17"/>
      <c r="M288" s="145"/>
      <c r="N288" s="144"/>
      <c r="O288" s="156"/>
      <c r="P288" s="156"/>
      <c r="Q288" s="144"/>
      <c r="R288" s="147"/>
    </row>
    <row r="289" ht="21.75" customHeight="1">
      <c r="A289" s="155"/>
      <c r="B289" s="64"/>
      <c r="C289" s="23"/>
      <c r="D289" s="23"/>
      <c r="E289" s="24"/>
      <c r="F289" s="25"/>
      <c r="G289" s="24"/>
      <c r="H289" s="26"/>
      <c r="I289" s="143"/>
      <c r="J289" s="144"/>
      <c r="K289" s="144" t="str">
        <f t="shared" si="18"/>
        <v/>
      </c>
      <c r="L289" s="17"/>
      <c r="M289" s="145"/>
      <c r="N289" s="144"/>
      <c r="O289" s="156"/>
      <c r="P289" s="156"/>
      <c r="Q289" s="144"/>
      <c r="R289" s="147"/>
    </row>
    <row r="290" ht="21.75" customHeight="1">
      <c r="A290" s="155"/>
      <c r="B290" s="64"/>
      <c r="C290" s="23"/>
      <c r="D290" s="23"/>
      <c r="E290" s="24"/>
      <c r="F290" s="25"/>
      <c r="G290" s="24"/>
      <c r="H290" s="26"/>
      <c r="I290" s="143"/>
      <c r="J290" s="144"/>
      <c r="K290" s="144" t="str">
        <f t="shared" si="18"/>
        <v/>
      </c>
      <c r="L290" s="17"/>
      <c r="M290" s="145"/>
      <c r="N290" s="144"/>
      <c r="O290" s="156"/>
      <c r="P290" s="156"/>
      <c r="Q290" s="144"/>
      <c r="R290" s="147"/>
    </row>
    <row r="291" ht="21.75" customHeight="1">
      <c r="A291" s="155"/>
      <c r="B291" s="64"/>
      <c r="C291" s="23"/>
      <c r="D291" s="23"/>
      <c r="E291" s="24"/>
      <c r="F291" s="25"/>
      <c r="G291" s="24"/>
      <c r="H291" s="26"/>
      <c r="I291" s="143"/>
      <c r="J291" s="144"/>
      <c r="K291" s="144" t="str">
        <f t="shared" si="18"/>
        <v/>
      </c>
      <c r="L291" s="17"/>
      <c r="M291" s="145"/>
      <c r="N291" s="144"/>
      <c r="O291" s="156"/>
      <c r="P291" s="156"/>
      <c r="Q291" s="144"/>
      <c r="R291" s="147"/>
    </row>
    <row r="292" ht="21.75" customHeight="1">
      <c r="A292" s="155"/>
      <c r="B292" s="64"/>
      <c r="C292" s="23"/>
      <c r="D292" s="23"/>
      <c r="E292" s="24"/>
      <c r="F292" s="25"/>
      <c r="G292" s="24"/>
      <c r="H292" s="26"/>
      <c r="I292" s="143"/>
      <c r="J292" s="144"/>
      <c r="K292" s="144" t="str">
        <f t="shared" si="18"/>
        <v/>
      </c>
      <c r="L292" s="17"/>
      <c r="M292" s="145"/>
      <c r="N292" s="144"/>
      <c r="O292" s="156"/>
      <c r="P292" s="156"/>
      <c r="Q292" s="144"/>
      <c r="R292" s="147"/>
    </row>
    <row r="293" ht="21.75" customHeight="1">
      <c r="A293" s="155"/>
      <c r="B293" s="64"/>
      <c r="C293" s="23"/>
      <c r="D293" s="23"/>
      <c r="E293" s="24"/>
      <c r="F293" s="25"/>
      <c r="G293" s="24"/>
      <c r="H293" s="26"/>
      <c r="I293" s="143"/>
      <c r="J293" s="144"/>
      <c r="K293" s="144" t="str">
        <f t="shared" si="18"/>
        <v/>
      </c>
      <c r="L293" s="17"/>
      <c r="M293" s="145"/>
      <c r="N293" s="144"/>
      <c r="O293" s="156"/>
      <c r="P293" s="156"/>
      <c r="Q293" s="144"/>
      <c r="R293" s="147"/>
    </row>
    <row r="294" ht="21.75" customHeight="1">
      <c r="A294" s="155"/>
      <c r="B294" s="64"/>
      <c r="C294" s="23"/>
      <c r="D294" s="23"/>
      <c r="E294" s="24"/>
      <c r="F294" s="25"/>
      <c r="G294" s="24"/>
      <c r="H294" s="26"/>
      <c r="I294" s="143"/>
      <c r="J294" s="144"/>
      <c r="K294" s="144" t="str">
        <f t="shared" si="18"/>
        <v/>
      </c>
      <c r="L294" s="17"/>
      <c r="M294" s="145"/>
      <c r="N294" s="144"/>
      <c r="O294" s="156"/>
      <c r="P294" s="156"/>
      <c r="Q294" s="144"/>
      <c r="R294" s="147"/>
    </row>
    <row r="295" ht="21.75" customHeight="1">
      <c r="A295" s="155"/>
      <c r="B295" s="64"/>
      <c r="C295" s="23"/>
      <c r="D295" s="23"/>
      <c r="E295" s="24"/>
      <c r="F295" s="25"/>
      <c r="G295" s="24"/>
      <c r="H295" s="26"/>
      <c r="I295" s="143"/>
      <c r="J295" s="144"/>
      <c r="K295" s="144" t="str">
        <f t="shared" si="18"/>
        <v/>
      </c>
      <c r="L295" s="17"/>
      <c r="M295" s="145"/>
      <c r="N295" s="144"/>
      <c r="O295" s="156"/>
      <c r="P295" s="156"/>
      <c r="Q295" s="144"/>
      <c r="R295" s="147"/>
    </row>
    <row r="296" ht="21.75" customHeight="1">
      <c r="A296" s="155"/>
      <c r="B296" s="64"/>
      <c r="C296" s="23"/>
      <c r="D296" s="23"/>
      <c r="E296" s="24"/>
      <c r="F296" s="25"/>
      <c r="G296" s="24"/>
      <c r="H296" s="26"/>
      <c r="I296" s="143"/>
      <c r="J296" s="144"/>
      <c r="K296" s="144" t="str">
        <f t="shared" si="18"/>
        <v/>
      </c>
      <c r="L296" s="17"/>
      <c r="M296" s="145"/>
      <c r="N296" s="144"/>
      <c r="O296" s="156"/>
      <c r="P296" s="156"/>
      <c r="Q296" s="144"/>
      <c r="R296" s="147"/>
    </row>
    <row r="297" ht="21.75" customHeight="1">
      <c r="A297" s="155"/>
      <c r="B297" s="64"/>
      <c r="C297" s="23"/>
      <c r="D297" s="23"/>
      <c r="E297" s="24"/>
      <c r="F297" s="25"/>
      <c r="G297" s="24"/>
      <c r="H297" s="26"/>
      <c r="I297" s="143"/>
      <c r="J297" s="144"/>
      <c r="K297" s="144" t="str">
        <f t="shared" si="18"/>
        <v/>
      </c>
      <c r="L297" s="17"/>
      <c r="M297" s="145"/>
      <c r="N297" s="144"/>
      <c r="O297" s="156"/>
      <c r="P297" s="156"/>
      <c r="Q297" s="144"/>
      <c r="R297" s="147"/>
    </row>
    <row r="298" ht="21.75" customHeight="1">
      <c r="A298" s="155"/>
      <c r="B298" s="64"/>
      <c r="C298" s="23"/>
      <c r="D298" s="23"/>
      <c r="E298" s="24"/>
      <c r="F298" s="25"/>
      <c r="G298" s="24"/>
      <c r="H298" s="26"/>
      <c r="I298" s="143"/>
      <c r="J298" s="144"/>
      <c r="K298" s="144" t="str">
        <f t="shared" si="18"/>
        <v/>
      </c>
      <c r="L298" s="17"/>
      <c r="M298" s="145"/>
      <c r="N298" s="144"/>
      <c r="O298" s="156"/>
      <c r="P298" s="156"/>
      <c r="Q298" s="144"/>
      <c r="R298" s="147"/>
    </row>
    <row r="299" ht="21.75" customHeight="1">
      <c r="A299" s="155"/>
      <c r="B299" s="64"/>
      <c r="C299" s="23"/>
      <c r="D299" s="23"/>
      <c r="E299" s="24"/>
      <c r="F299" s="25"/>
      <c r="G299" s="24"/>
      <c r="H299" s="26"/>
      <c r="I299" s="143"/>
      <c r="J299" s="144"/>
      <c r="K299" s="144" t="str">
        <f t="shared" si="18"/>
        <v/>
      </c>
      <c r="L299" s="17"/>
      <c r="M299" s="145"/>
      <c r="N299" s="144"/>
      <c r="O299" s="156"/>
      <c r="P299" s="156"/>
      <c r="Q299" s="144"/>
      <c r="R299" s="147"/>
    </row>
    <row r="300" ht="21.75" customHeight="1">
      <c r="A300" s="155"/>
      <c r="B300" s="64"/>
      <c r="C300" s="23"/>
      <c r="D300" s="23"/>
      <c r="E300" s="24"/>
      <c r="F300" s="25"/>
      <c r="G300" s="24"/>
      <c r="H300" s="26"/>
      <c r="I300" s="143"/>
      <c r="J300" s="144"/>
      <c r="K300" s="144" t="str">
        <f t="shared" si="18"/>
        <v/>
      </c>
      <c r="L300" s="17"/>
      <c r="M300" s="145"/>
      <c r="N300" s="144"/>
      <c r="O300" s="156"/>
      <c r="P300" s="156"/>
      <c r="Q300" s="144"/>
      <c r="R300" s="147"/>
    </row>
    <row r="301" ht="21.75" customHeight="1">
      <c r="A301" s="155"/>
      <c r="B301" s="64"/>
      <c r="C301" s="23"/>
      <c r="D301" s="23"/>
      <c r="E301" s="24"/>
      <c r="F301" s="25"/>
      <c r="G301" s="24"/>
      <c r="H301" s="26"/>
      <c r="I301" s="143"/>
      <c r="J301" s="144"/>
      <c r="K301" s="144" t="str">
        <f t="shared" si="18"/>
        <v/>
      </c>
      <c r="L301" s="17"/>
      <c r="M301" s="145"/>
      <c r="N301" s="144"/>
      <c r="O301" s="156"/>
      <c r="P301" s="156"/>
      <c r="Q301" s="144"/>
      <c r="R301" s="147"/>
    </row>
    <row r="302" ht="21.75" customHeight="1">
      <c r="A302" s="155"/>
      <c r="B302" s="64"/>
      <c r="C302" s="23"/>
      <c r="D302" s="23"/>
      <c r="E302" s="24"/>
      <c r="F302" s="25"/>
      <c r="G302" s="24"/>
      <c r="H302" s="26"/>
      <c r="I302" s="143"/>
      <c r="J302" s="144"/>
      <c r="K302" s="144" t="str">
        <f t="shared" si="18"/>
        <v/>
      </c>
      <c r="L302" s="17"/>
      <c r="M302" s="145"/>
      <c r="N302" s="144"/>
      <c r="O302" s="156"/>
      <c r="P302" s="156"/>
      <c r="Q302" s="144"/>
      <c r="R302" s="147"/>
    </row>
    <row r="303" ht="21.75" customHeight="1">
      <c r="A303" s="155"/>
      <c r="B303" s="64"/>
      <c r="C303" s="23"/>
      <c r="D303" s="23"/>
      <c r="E303" s="24"/>
      <c r="F303" s="25"/>
      <c r="G303" s="24"/>
      <c r="H303" s="26"/>
      <c r="I303" s="143"/>
      <c r="J303" s="144"/>
      <c r="K303" s="144" t="str">
        <f t="shared" si="18"/>
        <v/>
      </c>
      <c r="L303" s="17"/>
      <c r="M303" s="145"/>
      <c r="N303" s="144"/>
      <c r="O303" s="156"/>
      <c r="P303" s="156"/>
      <c r="Q303" s="144"/>
      <c r="R303" s="147"/>
    </row>
    <row r="304" ht="21.75" customHeight="1">
      <c r="A304" s="155"/>
      <c r="B304" s="64"/>
      <c r="C304" s="23"/>
      <c r="D304" s="23"/>
      <c r="E304" s="24"/>
      <c r="F304" s="25"/>
      <c r="G304" s="24"/>
      <c r="H304" s="26"/>
      <c r="I304" s="143"/>
      <c r="J304" s="144"/>
      <c r="K304" s="144" t="str">
        <f t="shared" si="18"/>
        <v/>
      </c>
      <c r="L304" s="17"/>
      <c r="M304" s="145"/>
      <c r="N304" s="144"/>
      <c r="O304" s="156"/>
      <c r="P304" s="156"/>
      <c r="Q304" s="144"/>
      <c r="R304" s="147"/>
    </row>
    <row r="305" ht="21.75" customHeight="1">
      <c r="A305" s="155"/>
      <c r="B305" s="64"/>
      <c r="C305" s="23"/>
      <c r="D305" s="23"/>
      <c r="E305" s="24"/>
      <c r="F305" s="25"/>
      <c r="G305" s="24"/>
      <c r="H305" s="26"/>
      <c r="I305" s="143"/>
      <c r="J305" s="144"/>
      <c r="K305" s="144" t="str">
        <f t="shared" si="18"/>
        <v/>
      </c>
      <c r="L305" s="17"/>
      <c r="M305" s="145"/>
      <c r="N305" s="144"/>
      <c r="O305" s="156"/>
      <c r="P305" s="156"/>
      <c r="Q305" s="144"/>
      <c r="R305" s="147"/>
    </row>
    <row r="306" ht="21.75" customHeight="1">
      <c r="A306" s="155"/>
      <c r="B306" s="64"/>
      <c r="C306" s="23"/>
      <c r="D306" s="23"/>
      <c r="E306" s="24"/>
      <c r="F306" s="25"/>
      <c r="G306" s="24"/>
      <c r="H306" s="26"/>
      <c r="I306" s="143"/>
      <c r="J306" s="144"/>
      <c r="K306" s="144" t="str">
        <f t="shared" si="18"/>
        <v/>
      </c>
      <c r="L306" s="17"/>
      <c r="M306" s="145"/>
      <c r="N306" s="144"/>
      <c r="O306" s="156"/>
      <c r="P306" s="156"/>
      <c r="Q306" s="144"/>
      <c r="R306" s="147"/>
    </row>
    <row r="307" ht="21.75" customHeight="1">
      <c r="A307" s="155"/>
      <c r="B307" s="64"/>
      <c r="C307" s="23"/>
      <c r="D307" s="23"/>
      <c r="E307" s="24"/>
      <c r="F307" s="25"/>
      <c r="G307" s="24"/>
      <c r="H307" s="26"/>
      <c r="I307" s="143"/>
      <c r="J307" s="144"/>
      <c r="K307" s="144" t="str">
        <f t="shared" si="18"/>
        <v/>
      </c>
      <c r="L307" s="17"/>
      <c r="M307" s="145"/>
      <c r="N307" s="144"/>
      <c r="O307" s="156"/>
      <c r="P307" s="156"/>
      <c r="Q307" s="144"/>
      <c r="R307" s="147"/>
    </row>
    <row r="308" ht="21.75" customHeight="1">
      <c r="A308" s="155"/>
      <c r="B308" s="64"/>
      <c r="C308" s="23"/>
      <c r="D308" s="23"/>
      <c r="E308" s="24"/>
      <c r="F308" s="25"/>
      <c r="G308" s="24"/>
      <c r="H308" s="26"/>
      <c r="I308" s="143"/>
      <c r="J308" s="144"/>
      <c r="K308" s="144" t="str">
        <f t="shared" si="18"/>
        <v/>
      </c>
      <c r="L308" s="17"/>
      <c r="M308" s="145"/>
      <c r="N308" s="144"/>
      <c r="O308" s="156"/>
      <c r="P308" s="156"/>
      <c r="Q308" s="144"/>
      <c r="R308" s="147"/>
    </row>
    <row r="309" ht="21.75" customHeight="1">
      <c r="A309" s="155"/>
      <c r="B309" s="64"/>
      <c r="C309" s="23"/>
      <c r="D309" s="23"/>
      <c r="E309" s="24"/>
      <c r="F309" s="25"/>
      <c r="G309" s="24"/>
      <c r="H309" s="26"/>
      <c r="I309" s="143"/>
      <c r="J309" s="144"/>
      <c r="K309" s="144" t="str">
        <f t="shared" si="18"/>
        <v/>
      </c>
      <c r="L309" s="17"/>
      <c r="M309" s="145"/>
      <c r="N309" s="144"/>
      <c r="O309" s="156"/>
      <c r="P309" s="156"/>
      <c r="Q309" s="144"/>
      <c r="R309" s="147"/>
    </row>
    <row r="310" ht="21.75" customHeight="1">
      <c r="A310" s="155"/>
      <c r="B310" s="64"/>
      <c r="C310" s="23"/>
      <c r="D310" s="23"/>
      <c r="E310" s="24"/>
      <c r="F310" s="25"/>
      <c r="G310" s="24"/>
      <c r="H310" s="26"/>
      <c r="I310" s="143"/>
      <c r="J310" s="144"/>
      <c r="K310" s="144" t="str">
        <f t="shared" si="18"/>
        <v/>
      </c>
      <c r="L310" s="17"/>
      <c r="M310" s="145"/>
      <c r="N310" s="144"/>
      <c r="O310" s="156"/>
      <c r="P310" s="156"/>
      <c r="Q310" s="144"/>
      <c r="R310" s="147"/>
    </row>
    <row r="311" ht="21.75" customHeight="1">
      <c r="A311" s="155"/>
      <c r="B311" s="64"/>
      <c r="C311" s="23"/>
      <c r="D311" s="23"/>
      <c r="E311" s="24"/>
      <c r="F311" s="25"/>
      <c r="G311" s="24"/>
      <c r="H311" s="26"/>
      <c r="I311" s="143"/>
      <c r="J311" s="144"/>
      <c r="K311" s="144" t="str">
        <f t="shared" si="18"/>
        <v/>
      </c>
      <c r="L311" s="17"/>
      <c r="M311" s="145"/>
      <c r="N311" s="144"/>
      <c r="O311" s="156"/>
      <c r="P311" s="156"/>
      <c r="Q311" s="144"/>
      <c r="R311" s="147"/>
    </row>
    <row r="312" ht="21.75" customHeight="1">
      <c r="A312" s="155"/>
      <c r="B312" s="64"/>
      <c r="C312" s="23"/>
      <c r="D312" s="23"/>
      <c r="E312" s="24"/>
      <c r="F312" s="25"/>
      <c r="G312" s="24"/>
      <c r="H312" s="26"/>
      <c r="I312" s="143"/>
      <c r="J312" s="144"/>
      <c r="K312" s="144" t="str">
        <f t="shared" si="18"/>
        <v/>
      </c>
      <c r="L312" s="17"/>
      <c r="M312" s="145"/>
      <c r="N312" s="144"/>
      <c r="O312" s="156"/>
      <c r="P312" s="156"/>
      <c r="Q312" s="144"/>
      <c r="R312" s="147"/>
    </row>
    <row r="313" ht="21.75" customHeight="1">
      <c r="A313" s="155"/>
      <c r="B313" s="64"/>
      <c r="C313" s="23"/>
      <c r="D313" s="23"/>
      <c r="E313" s="24"/>
      <c r="F313" s="25"/>
      <c r="G313" s="24"/>
      <c r="H313" s="26"/>
      <c r="I313" s="143"/>
      <c r="J313" s="144"/>
      <c r="K313" s="144" t="str">
        <f t="shared" si="18"/>
        <v/>
      </c>
      <c r="L313" s="17"/>
      <c r="M313" s="145"/>
      <c r="N313" s="144"/>
      <c r="O313" s="156"/>
      <c r="P313" s="156"/>
      <c r="Q313" s="144"/>
      <c r="R313" s="147"/>
    </row>
    <row r="314" ht="21.75" customHeight="1">
      <c r="A314" s="155"/>
      <c r="B314" s="64"/>
      <c r="C314" s="23"/>
      <c r="D314" s="23"/>
      <c r="E314" s="24"/>
      <c r="F314" s="25"/>
      <c r="G314" s="24"/>
      <c r="H314" s="26"/>
      <c r="I314" s="143"/>
      <c r="J314" s="144"/>
      <c r="K314" s="144" t="str">
        <f t="shared" si="18"/>
        <v/>
      </c>
      <c r="L314" s="17"/>
      <c r="M314" s="145"/>
      <c r="N314" s="144"/>
      <c r="O314" s="156"/>
      <c r="P314" s="156"/>
      <c r="Q314" s="144"/>
      <c r="R314" s="147"/>
    </row>
    <row r="315" ht="21.75" customHeight="1">
      <c r="A315" s="155"/>
      <c r="B315" s="64"/>
      <c r="C315" s="23"/>
      <c r="D315" s="23"/>
      <c r="E315" s="24"/>
      <c r="F315" s="25"/>
      <c r="G315" s="24"/>
      <c r="H315" s="26"/>
      <c r="I315" s="143"/>
      <c r="J315" s="144"/>
      <c r="K315" s="144" t="str">
        <f t="shared" si="18"/>
        <v/>
      </c>
      <c r="L315" s="17"/>
      <c r="M315" s="145"/>
      <c r="N315" s="144"/>
      <c r="O315" s="156"/>
      <c r="P315" s="156"/>
      <c r="Q315" s="144"/>
      <c r="R315" s="147"/>
    </row>
    <row r="316" ht="21.75" customHeight="1">
      <c r="A316" s="155"/>
      <c r="B316" s="64"/>
      <c r="C316" s="23"/>
      <c r="D316" s="23"/>
      <c r="E316" s="24"/>
      <c r="F316" s="25"/>
      <c r="G316" s="24"/>
      <c r="H316" s="26"/>
      <c r="I316" s="143"/>
      <c r="J316" s="144"/>
      <c r="K316" s="144" t="str">
        <f t="shared" si="18"/>
        <v/>
      </c>
      <c r="L316" s="17"/>
      <c r="M316" s="145"/>
      <c r="N316" s="144"/>
      <c r="O316" s="156"/>
      <c r="P316" s="156"/>
      <c r="Q316" s="144"/>
      <c r="R316" s="147"/>
    </row>
    <row r="317" ht="21.75" customHeight="1">
      <c r="A317" s="155"/>
      <c r="B317" s="64"/>
      <c r="C317" s="23"/>
      <c r="D317" s="23"/>
      <c r="E317" s="24"/>
      <c r="F317" s="25"/>
      <c r="G317" s="24"/>
      <c r="H317" s="26"/>
      <c r="I317" s="143"/>
      <c r="J317" s="144"/>
      <c r="K317" s="144" t="str">
        <f t="shared" si="18"/>
        <v/>
      </c>
      <c r="L317" s="17"/>
      <c r="M317" s="145"/>
      <c r="N317" s="144"/>
      <c r="O317" s="156"/>
      <c r="P317" s="156"/>
      <c r="Q317" s="144"/>
      <c r="R317" s="147"/>
    </row>
    <row r="318" ht="21.75" customHeight="1">
      <c r="A318" s="155"/>
      <c r="B318" s="64"/>
      <c r="C318" s="23"/>
      <c r="D318" s="23"/>
      <c r="E318" s="24"/>
      <c r="F318" s="25"/>
      <c r="G318" s="24"/>
      <c r="H318" s="26"/>
      <c r="I318" s="143"/>
      <c r="J318" s="144"/>
      <c r="K318" s="144" t="str">
        <f t="shared" si="18"/>
        <v/>
      </c>
      <c r="L318" s="17"/>
      <c r="M318" s="145"/>
      <c r="N318" s="144"/>
      <c r="O318" s="156"/>
      <c r="P318" s="156"/>
      <c r="Q318" s="144"/>
      <c r="R318" s="147"/>
    </row>
    <row r="319" ht="21.75" customHeight="1">
      <c r="A319" s="155"/>
      <c r="B319" s="64"/>
      <c r="C319" s="23"/>
      <c r="D319" s="23"/>
      <c r="E319" s="24"/>
      <c r="F319" s="25"/>
      <c r="G319" s="24"/>
      <c r="H319" s="26"/>
      <c r="I319" s="143"/>
      <c r="J319" s="144"/>
      <c r="K319" s="144" t="str">
        <f t="shared" si="18"/>
        <v/>
      </c>
      <c r="L319" s="17"/>
      <c r="M319" s="145"/>
      <c r="N319" s="144"/>
      <c r="O319" s="156"/>
      <c r="P319" s="156"/>
      <c r="Q319" s="144"/>
      <c r="R319" s="147"/>
    </row>
    <row r="320" ht="21.75" customHeight="1">
      <c r="A320" s="155"/>
      <c r="B320" s="64"/>
      <c r="C320" s="23"/>
      <c r="D320" s="23"/>
      <c r="E320" s="24"/>
      <c r="F320" s="25"/>
      <c r="G320" s="24"/>
      <c r="H320" s="26"/>
      <c r="I320" s="143"/>
      <c r="J320" s="144"/>
      <c r="K320" s="144" t="str">
        <f t="shared" si="18"/>
        <v/>
      </c>
      <c r="L320" s="17"/>
      <c r="M320" s="145"/>
      <c r="N320" s="144"/>
      <c r="O320" s="156"/>
      <c r="P320" s="156"/>
      <c r="Q320" s="144"/>
      <c r="R320" s="147"/>
    </row>
    <row r="321" ht="21.75" customHeight="1">
      <c r="A321" s="155"/>
      <c r="B321" s="64"/>
      <c r="C321" s="23"/>
      <c r="D321" s="23"/>
      <c r="E321" s="24"/>
      <c r="F321" s="25"/>
      <c r="G321" s="24"/>
      <c r="H321" s="26"/>
      <c r="I321" s="143"/>
      <c r="J321" s="144"/>
      <c r="K321" s="144" t="str">
        <f t="shared" si="18"/>
        <v/>
      </c>
      <c r="L321" s="17"/>
      <c r="M321" s="145"/>
      <c r="N321" s="144"/>
      <c r="O321" s="156"/>
      <c r="P321" s="156"/>
      <c r="Q321" s="144"/>
      <c r="R321" s="147"/>
    </row>
    <row r="322" ht="21.75" customHeight="1">
      <c r="A322" s="155"/>
      <c r="B322" s="64"/>
      <c r="C322" s="23"/>
      <c r="D322" s="23"/>
      <c r="E322" s="24"/>
      <c r="F322" s="25"/>
      <c r="G322" s="24"/>
      <c r="H322" s="26"/>
      <c r="I322" s="143"/>
      <c r="J322" s="144"/>
      <c r="K322" s="144" t="str">
        <f t="shared" si="18"/>
        <v/>
      </c>
      <c r="L322" s="17"/>
      <c r="M322" s="145"/>
      <c r="N322" s="144"/>
      <c r="O322" s="156"/>
      <c r="P322" s="156"/>
      <c r="Q322" s="144"/>
      <c r="R322" s="147"/>
    </row>
    <row r="323" ht="21.75" customHeight="1">
      <c r="A323" s="155"/>
      <c r="B323" s="64"/>
      <c r="C323" s="23"/>
      <c r="D323" s="23"/>
      <c r="E323" s="24"/>
      <c r="F323" s="25"/>
      <c r="G323" s="24"/>
      <c r="H323" s="26"/>
      <c r="I323" s="143"/>
      <c r="J323" s="144"/>
      <c r="K323" s="144" t="str">
        <f t="shared" si="18"/>
        <v/>
      </c>
      <c r="L323" s="17"/>
      <c r="M323" s="145"/>
      <c r="N323" s="144"/>
      <c r="O323" s="156"/>
      <c r="P323" s="156"/>
      <c r="Q323" s="144"/>
      <c r="R323" s="147"/>
    </row>
    <row r="324" ht="21.75" customHeight="1">
      <c r="A324" s="155"/>
      <c r="B324" s="64"/>
      <c r="C324" s="23"/>
      <c r="D324" s="23"/>
      <c r="E324" s="24"/>
      <c r="F324" s="25"/>
      <c r="G324" s="24"/>
      <c r="H324" s="26"/>
      <c r="I324" s="143"/>
      <c r="J324" s="144"/>
      <c r="K324" s="144" t="str">
        <f t="shared" si="18"/>
        <v/>
      </c>
      <c r="L324" s="17"/>
      <c r="M324" s="145"/>
      <c r="N324" s="144"/>
      <c r="O324" s="156"/>
      <c r="P324" s="156"/>
      <c r="Q324" s="144"/>
      <c r="R324" s="147"/>
    </row>
    <row r="325" ht="21.75" customHeight="1">
      <c r="A325" s="155"/>
      <c r="B325" s="64"/>
      <c r="C325" s="23"/>
      <c r="D325" s="23"/>
      <c r="E325" s="24"/>
      <c r="F325" s="25"/>
      <c r="G325" s="24"/>
      <c r="H325" s="26"/>
      <c r="I325" s="143"/>
      <c r="J325" s="144"/>
      <c r="K325" s="144" t="str">
        <f t="shared" si="18"/>
        <v/>
      </c>
      <c r="L325" s="17"/>
      <c r="M325" s="145"/>
      <c r="N325" s="144"/>
      <c r="O325" s="156"/>
      <c r="P325" s="156"/>
      <c r="Q325" s="144"/>
      <c r="R325" s="147"/>
    </row>
    <row r="326" ht="21.75" customHeight="1">
      <c r="A326" s="155"/>
      <c r="B326" s="64"/>
      <c r="C326" s="23"/>
      <c r="D326" s="23"/>
      <c r="E326" s="24"/>
      <c r="F326" s="25"/>
      <c r="G326" s="24"/>
      <c r="H326" s="26"/>
      <c r="I326" s="143"/>
      <c r="J326" s="144"/>
      <c r="K326" s="144" t="str">
        <f t="shared" si="18"/>
        <v/>
      </c>
      <c r="L326" s="17"/>
      <c r="M326" s="145"/>
      <c r="N326" s="144"/>
      <c r="O326" s="156"/>
      <c r="P326" s="156"/>
      <c r="Q326" s="144"/>
      <c r="R326" s="147"/>
    </row>
    <row r="327" ht="21.75" customHeight="1">
      <c r="A327" s="155"/>
      <c r="B327" s="64"/>
      <c r="C327" s="23"/>
      <c r="D327" s="23"/>
      <c r="E327" s="24"/>
      <c r="F327" s="25"/>
      <c r="G327" s="24"/>
      <c r="H327" s="26"/>
      <c r="I327" s="143"/>
      <c r="J327" s="144"/>
      <c r="K327" s="144" t="str">
        <f t="shared" si="18"/>
        <v/>
      </c>
      <c r="L327" s="17"/>
      <c r="M327" s="145"/>
      <c r="N327" s="144"/>
      <c r="O327" s="156"/>
      <c r="P327" s="156"/>
      <c r="Q327" s="144"/>
      <c r="R327" s="147"/>
    </row>
    <row r="328" ht="21.75" customHeight="1">
      <c r="A328" s="155"/>
      <c r="B328" s="64"/>
      <c r="C328" s="23"/>
      <c r="D328" s="23"/>
      <c r="E328" s="24"/>
      <c r="F328" s="25"/>
      <c r="G328" s="24"/>
      <c r="H328" s="26"/>
      <c r="I328" s="143"/>
      <c r="J328" s="144"/>
      <c r="K328" s="144" t="str">
        <f t="shared" si="18"/>
        <v/>
      </c>
      <c r="L328" s="17"/>
      <c r="M328" s="145"/>
      <c r="N328" s="144"/>
      <c r="O328" s="156"/>
      <c r="P328" s="156"/>
      <c r="Q328" s="144"/>
      <c r="R328" s="147"/>
    </row>
    <row r="329" ht="21.75" customHeight="1">
      <c r="A329" s="155"/>
      <c r="B329" s="64"/>
      <c r="C329" s="23"/>
      <c r="D329" s="23"/>
      <c r="E329" s="24"/>
      <c r="F329" s="25"/>
      <c r="G329" s="24"/>
      <c r="H329" s="26"/>
      <c r="I329" s="143"/>
      <c r="J329" s="144"/>
      <c r="K329" s="144" t="str">
        <f t="shared" si="18"/>
        <v/>
      </c>
      <c r="L329" s="17"/>
      <c r="M329" s="145"/>
      <c r="N329" s="144"/>
      <c r="O329" s="156"/>
      <c r="P329" s="156"/>
      <c r="Q329" s="144"/>
      <c r="R329" s="147"/>
    </row>
    <row r="330" ht="21.75" customHeight="1">
      <c r="A330" s="155"/>
      <c r="B330" s="64"/>
      <c r="C330" s="23"/>
      <c r="D330" s="23"/>
      <c r="E330" s="24"/>
      <c r="F330" s="25"/>
      <c r="G330" s="24"/>
      <c r="H330" s="26"/>
      <c r="I330" s="143"/>
      <c r="J330" s="144"/>
      <c r="K330" s="144" t="str">
        <f t="shared" si="18"/>
        <v/>
      </c>
      <c r="L330" s="17"/>
      <c r="M330" s="145"/>
      <c r="N330" s="144"/>
      <c r="O330" s="156"/>
      <c r="P330" s="156"/>
      <c r="Q330" s="144"/>
      <c r="R330" s="147"/>
    </row>
    <row r="331" ht="21.75" customHeight="1">
      <c r="A331" s="155"/>
      <c r="B331" s="64"/>
      <c r="C331" s="23"/>
      <c r="D331" s="23"/>
      <c r="E331" s="24"/>
      <c r="F331" s="25"/>
      <c r="G331" s="24"/>
      <c r="H331" s="26"/>
      <c r="I331" s="143"/>
      <c r="J331" s="144"/>
      <c r="K331" s="144" t="str">
        <f t="shared" si="18"/>
        <v/>
      </c>
      <c r="L331" s="17"/>
      <c r="M331" s="145"/>
      <c r="N331" s="144"/>
      <c r="O331" s="156"/>
      <c r="P331" s="156"/>
      <c r="Q331" s="144"/>
      <c r="R331" s="147"/>
    </row>
    <row r="332" ht="21.75" customHeight="1">
      <c r="A332" s="155"/>
      <c r="B332" s="64"/>
      <c r="C332" s="23"/>
      <c r="D332" s="23"/>
      <c r="E332" s="24"/>
      <c r="F332" s="25"/>
      <c r="G332" s="24"/>
      <c r="H332" s="26"/>
      <c r="I332" s="143"/>
      <c r="J332" s="144"/>
      <c r="K332" s="144" t="str">
        <f t="shared" si="18"/>
        <v/>
      </c>
      <c r="L332" s="17"/>
      <c r="M332" s="145"/>
      <c r="N332" s="144"/>
      <c r="O332" s="156"/>
      <c r="P332" s="156"/>
      <c r="Q332" s="144"/>
      <c r="R332" s="147"/>
    </row>
    <row r="333" ht="21.75" customHeight="1">
      <c r="A333" s="155"/>
      <c r="B333" s="64"/>
      <c r="C333" s="23"/>
      <c r="D333" s="23"/>
      <c r="E333" s="24"/>
      <c r="F333" s="25"/>
      <c r="G333" s="24"/>
      <c r="H333" s="26"/>
      <c r="I333" s="143"/>
      <c r="J333" s="144"/>
      <c r="K333" s="144" t="str">
        <f t="shared" si="18"/>
        <v/>
      </c>
      <c r="L333" s="17"/>
      <c r="M333" s="145"/>
      <c r="N333" s="144"/>
      <c r="O333" s="156"/>
      <c r="P333" s="156"/>
      <c r="Q333" s="144"/>
      <c r="R333" s="147"/>
    </row>
    <row r="334" ht="21.75" customHeight="1">
      <c r="A334" s="155"/>
      <c r="B334" s="64"/>
      <c r="C334" s="23"/>
      <c r="D334" s="23"/>
      <c r="E334" s="24"/>
      <c r="F334" s="25"/>
      <c r="G334" s="24"/>
      <c r="H334" s="26"/>
      <c r="I334" s="143"/>
      <c r="J334" s="144"/>
      <c r="K334" s="144" t="str">
        <f t="shared" si="18"/>
        <v/>
      </c>
      <c r="L334" s="17"/>
      <c r="M334" s="145"/>
      <c r="N334" s="144"/>
      <c r="O334" s="156"/>
      <c r="P334" s="156"/>
      <c r="Q334" s="144"/>
      <c r="R334" s="147"/>
    </row>
    <row r="335" ht="21.75" customHeight="1">
      <c r="A335" s="155"/>
      <c r="B335" s="64"/>
      <c r="C335" s="23"/>
      <c r="D335" s="23"/>
      <c r="E335" s="24"/>
      <c r="F335" s="25"/>
      <c r="G335" s="24"/>
      <c r="H335" s="26"/>
      <c r="I335" s="143"/>
      <c r="J335" s="144"/>
      <c r="K335" s="144" t="str">
        <f t="shared" si="18"/>
        <v/>
      </c>
      <c r="L335" s="17"/>
      <c r="M335" s="145"/>
      <c r="N335" s="144"/>
      <c r="O335" s="156"/>
      <c r="P335" s="156"/>
      <c r="Q335" s="144"/>
      <c r="R335" s="147"/>
    </row>
    <row r="336" ht="21.75" customHeight="1">
      <c r="A336" s="155"/>
      <c r="B336" s="64"/>
      <c r="C336" s="23"/>
      <c r="D336" s="23"/>
      <c r="E336" s="24"/>
      <c r="F336" s="25"/>
      <c r="G336" s="24"/>
      <c r="H336" s="26"/>
      <c r="I336" s="143"/>
      <c r="J336" s="144"/>
      <c r="K336" s="144" t="str">
        <f t="shared" si="18"/>
        <v/>
      </c>
      <c r="L336" s="17"/>
      <c r="M336" s="145"/>
      <c r="N336" s="144"/>
      <c r="O336" s="156"/>
      <c r="P336" s="156"/>
      <c r="Q336" s="144"/>
      <c r="R336" s="147"/>
    </row>
    <row r="337" ht="21.75" customHeight="1">
      <c r="A337" s="155"/>
      <c r="B337" s="64"/>
      <c r="C337" s="23"/>
      <c r="D337" s="23"/>
      <c r="E337" s="24"/>
      <c r="F337" s="25"/>
      <c r="G337" s="24"/>
      <c r="H337" s="26"/>
      <c r="I337" s="143"/>
      <c r="J337" s="144"/>
      <c r="K337" s="144" t="str">
        <f t="shared" si="18"/>
        <v/>
      </c>
      <c r="L337" s="17"/>
      <c r="M337" s="145"/>
      <c r="N337" s="144"/>
      <c r="O337" s="156"/>
      <c r="P337" s="156"/>
      <c r="Q337" s="144"/>
      <c r="R337" s="147"/>
    </row>
    <row r="338" ht="21.75" customHeight="1">
      <c r="A338" s="155"/>
      <c r="B338" s="64"/>
      <c r="C338" s="23"/>
      <c r="D338" s="23"/>
      <c r="E338" s="24"/>
      <c r="F338" s="25"/>
      <c r="G338" s="24"/>
      <c r="H338" s="26"/>
      <c r="I338" s="143"/>
      <c r="J338" s="144"/>
      <c r="K338" s="144" t="str">
        <f t="shared" si="18"/>
        <v/>
      </c>
      <c r="L338" s="17"/>
      <c r="M338" s="145"/>
      <c r="N338" s="144"/>
      <c r="O338" s="156"/>
      <c r="P338" s="156"/>
      <c r="Q338" s="144"/>
      <c r="R338" s="147"/>
    </row>
    <row r="339" ht="21.75" customHeight="1">
      <c r="A339" s="155"/>
      <c r="B339" s="64"/>
      <c r="C339" s="23"/>
      <c r="D339" s="23"/>
      <c r="E339" s="24"/>
      <c r="F339" s="25"/>
      <c r="G339" s="24"/>
      <c r="H339" s="26"/>
      <c r="I339" s="143"/>
      <c r="J339" s="144"/>
      <c r="K339" s="144" t="str">
        <f t="shared" si="18"/>
        <v/>
      </c>
      <c r="L339" s="17"/>
      <c r="M339" s="145"/>
      <c r="N339" s="144"/>
      <c r="O339" s="156"/>
      <c r="P339" s="156"/>
      <c r="Q339" s="144"/>
      <c r="R339" s="147"/>
    </row>
    <row r="340" ht="21.75" customHeight="1">
      <c r="A340" s="155"/>
      <c r="B340" s="64"/>
      <c r="C340" s="23"/>
      <c r="D340" s="23"/>
      <c r="E340" s="24"/>
      <c r="F340" s="25"/>
      <c r="G340" s="24"/>
      <c r="H340" s="26"/>
      <c r="I340" s="143"/>
      <c r="J340" s="144"/>
      <c r="K340" s="144" t="str">
        <f t="shared" si="18"/>
        <v/>
      </c>
      <c r="L340" s="17"/>
      <c r="M340" s="145"/>
      <c r="N340" s="144"/>
      <c r="O340" s="156"/>
      <c r="P340" s="156"/>
      <c r="Q340" s="144"/>
      <c r="R340" s="147"/>
    </row>
    <row r="341" ht="21.75" customHeight="1">
      <c r="A341" s="155"/>
      <c r="B341" s="64"/>
      <c r="C341" s="23"/>
      <c r="D341" s="23"/>
      <c r="E341" s="24"/>
      <c r="F341" s="25"/>
      <c r="G341" s="24"/>
      <c r="H341" s="26"/>
      <c r="I341" s="143"/>
      <c r="J341" s="144"/>
      <c r="K341" s="144" t="str">
        <f t="shared" si="18"/>
        <v/>
      </c>
      <c r="L341" s="17"/>
      <c r="M341" s="145"/>
      <c r="N341" s="144"/>
      <c r="O341" s="156"/>
      <c r="P341" s="156"/>
      <c r="Q341" s="144"/>
      <c r="R341" s="147"/>
    </row>
    <row r="342" ht="21.75" customHeight="1">
      <c r="A342" s="155"/>
      <c r="B342" s="64"/>
      <c r="C342" s="23"/>
      <c r="D342" s="23"/>
      <c r="E342" s="24"/>
      <c r="F342" s="25"/>
      <c r="G342" s="24"/>
      <c r="H342" s="26"/>
      <c r="I342" s="143"/>
      <c r="J342" s="144"/>
      <c r="K342" s="144" t="str">
        <f t="shared" si="18"/>
        <v/>
      </c>
      <c r="L342" s="17"/>
      <c r="M342" s="145"/>
      <c r="N342" s="144"/>
      <c r="O342" s="156"/>
      <c r="P342" s="156"/>
      <c r="Q342" s="144"/>
      <c r="R342" s="147"/>
    </row>
    <row r="343" ht="21.75" customHeight="1">
      <c r="A343" s="155"/>
      <c r="B343" s="64"/>
      <c r="C343" s="23"/>
      <c r="D343" s="23"/>
      <c r="E343" s="24"/>
      <c r="F343" s="25"/>
      <c r="G343" s="24"/>
      <c r="H343" s="26"/>
      <c r="I343" s="143"/>
      <c r="J343" s="144"/>
      <c r="K343" s="144" t="str">
        <f t="shared" si="18"/>
        <v/>
      </c>
      <c r="L343" s="17"/>
      <c r="M343" s="145"/>
      <c r="N343" s="144"/>
      <c r="O343" s="156"/>
      <c r="P343" s="156"/>
      <c r="Q343" s="144"/>
      <c r="R343" s="147"/>
    </row>
    <row r="344" ht="21.75" customHeight="1">
      <c r="A344" s="155"/>
      <c r="B344" s="64"/>
      <c r="C344" s="23"/>
      <c r="D344" s="23"/>
      <c r="E344" s="24"/>
      <c r="F344" s="25"/>
      <c r="G344" s="24"/>
      <c r="H344" s="26"/>
      <c r="I344" s="143"/>
      <c r="J344" s="144"/>
      <c r="K344" s="144" t="str">
        <f t="shared" si="18"/>
        <v/>
      </c>
      <c r="L344" s="17"/>
      <c r="M344" s="145"/>
      <c r="N344" s="144"/>
      <c r="O344" s="156"/>
      <c r="P344" s="156"/>
      <c r="Q344" s="144"/>
      <c r="R344" s="147"/>
    </row>
    <row r="345" ht="21.75" customHeight="1">
      <c r="A345" s="155"/>
      <c r="B345" s="64"/>
      <c r="C345" s="23"/>
      <c r="D345" s="23"/>
      <c r="E345" s="24"/>
      <c r="F345" s="25"/>
      <c r="G345" s="24"/>
      <c r="H345" s="26"/>
      <c r="I345" s="143"/>
      <c r="J345" s="144"/>
      <c r="K345" s="144" t="str">
        <f t="shared" si="18"/>
        <v/>
      </c>
      <c r="L345" s="17"/>
      <c r="M345" s="145"/>
      <c r="N345" s="144"/>
      <c r="O345" s="156"/>
      <c r="P345" s="156"/>
      <c r="Q345" s="144"/>
      <c r="R345" s="147"/>
    </row>
    <row r="346" ht="21.75" customHeight="1">
      <c r="A346" s="155"/>
      <c r="B346" s="64"/>
      <c r="C346" s="23"/>
      <c r="D346" s="23"/>
      <c r="E346" s="24"/>
      <c r="F346" s="25"/>
      <c r="G346" s="24"/>
      <c r="H346" s="26"/>
      <c r="I346" s="143"/>
      <c r="J346" s="144"/>
      <c r="K346" s="144" t="str">
        <f t="shared" si="18"/>
        <v/>
      </c>
      <c r="L346" s="17"/>
      <c r="M346" s="145"/>
      <c r="N346" s="144"/>
      <c r="O346" s="156"/>
      <c r="P346" s="156"/>
      <c r="Q346" s="144"/>
      <c r="R346" s="147"/>
    </row>
    <row r="347" ht="21.75" customHeight="1">
      <c r="A347" s="155"/>
      <c r="B347" s="64"/>
      <c r="C347" s="23"/>
      <c r="D347" s="23"/>
      <c r="E347" s="24"/>
      <c r="F347" s="25"/>
      <c r="G347" s="24"/>
      <c r="H347" s="26"/>
      <c r="I347" s="143"/>
      <c r="J347" s="144"/>
      <c r="K347" s="144" t="str">
        <f t="shared" si="18"/>
        <v/>
      </c>
      <c r="L347" s="17"/>
      <c r="M347" s="145"/>
      <c r="N347" s="144"/>
      <c r="O347" s="156"/>
      <c r="P347" s="156"/>
      <c r="Q347" s="144"/>
      <c r="R347" s="147"/>
    </row>
    <row r="348" ht="21.75" customHeight="1">
      <c r="A348" s="155"/>
      <c r="B348" s="64"/>
      <c r="C348" s="23"/>
      <c r="D348" s="23"/>
      <c r="E348" s="24"/>
      <c r="F348" s="25"/>
      <c r="G348" s="24"/>
      <c r="H348" s="26"/>
      <c r="I348" s="143"/>
      <c r="J348" s="144"/>
      <c r="K348" s="144" t="str">
        <f t="shared" si="18"/>
        <v/>
      </c>
      <c r="L348" s="17"/>
      <c r="M348" s="145"/>
      <c r="N348" s="144"/>
      <c r="O348" s="156"/>
      <c r="P348" s="156"/>
      <c r="Q348" s="144"/>
      <c r="R348" s="147"/>
    </row>
    <row r="349" ht="21.75" customHeight="1">
      <c r="A349" s="155"/>
      <c r="B349" s="64"/>
      <c r="C349" s="23"/>
      <c r="D349" s="23"/>
      <c r="E349" s="24"/>
      <c r="F349" s="25"/>
      <c r="G349" s="24"/>
      <c r="H349" s="26"/>
      <c r="I349" s="143"/>
      <c r="J349" s="144"/>
      <c r="K349" s="144" t="str">
        <f t="shared" si="18"/>
        <v/>
      </c>
      <c r="L349" s="17"/>
      <c r="M349" s="145"/>
      <c r="N349" s="144"/>
      <c r="O349" s="156"/>
      <c r="P349" s="156"/>
      <c r="Q349" s="144"/>
      <c r="R349" s="147"/>
    </row>
    <row r="350" ht="21.75" customHeight="1">
      <c r="A350" s="155"/>
      <c r="B350" s="64"/>
      <c r="C350" s="23"/>
      <c r="D350" s="23"/>
      <c r="E350" s="24"/>
      <c r="F350" s="25"/>
      <c r="G350" s="24"/>
      <c r="H350" s="26"/>
      <c r="I350" s="143"/>
      <c r="J350" s="144"/>
      <c r="K350" s="144" t="str">
        <f t="shared" si="18"/>
        <v/>
      </c>
      <c r="L350" s="17"/>
      <c r="M350" s="145"/>
      <c r="N350" s="144"/>
      <c r="O350" s="156"/>
      <c r="P350" s="156"/>
      <c r="Q350" s="144"/>
      <c r="R350" s="147"/>
    </row>
    <row r="351" ht="21.75" customHeight="1">
      <c r="A351" s="155"/>
      <c r="B351" s="64"/>
      <c r="C351" s="23"/>
      <c r="D351" s="23"/>
      <c r="E351" s="24"/>
      <c r="F351" s="25"/>
      <c r="G351" s="24"/>
      <c r="H351" s="26"/>
      <c r="I351" s="143"/>
      <c r="J351" s="144"/>
      <c r="K351" s="144" t="str">
        <f t="shared" si="18"/>
        <v/>
      </c>
      <c r="L351" s="17"/>
      <c r="M351" s="145"/>
      <c r="N351" s="144"/>
      <c r="O351" s="156"/>
      <c r="P351" s="156"/>
      <c r="Q351" s="144"/>
      <c r="R351" s="147"/>
    </row>
    <row r="352" ht="21.75" customHeight="1">
      <c r="A352" s="155"/>
      <c r="B352" s="64"/>
      <c r="C352" s="23"/>
      <c r="D352" s="23"/>
      <c r="E352" s="24"/>
      <c r="F352" s="25"/>
      <c r="G352" s="24"/>
      <c r="H352" s="26"/>
      <c r="I352" s="143"/>
      <c r="J352" s="144"/>
      <c r="K352" s="144" t="str">
        <f t="shared" si="18"/>
        <v/>
      </c>
      <c r="L352" s="17"/>
      <c r="M352" s="145"/>
      <c r="N352" s="144"/>
      <c r="O352" s="156"/>
      <c r="P352" s="156"/>
      <c r="Q352" s="144"/>
      <c r="R352" s="147"/>
    </row>
    <row r="353" ht="21.75" customHeight="1">
      <c r="A353" s="155"/>
      <c r="B353" s="64"/>
      <c r="C353" s="23"/>
      <c r="D353" s="23"/>
      <c r="E353" s="24"/>
      <c r="F353" s="25"/>
      <c r="G353" s="24"/>
      <c r="H353" s="26"/>
      <c r="I353" s="143"/>
      <c r="J353" s="144"/>
      <c r="K353" s="144" t="str">
        <f t="shared" si="18"/>
        <v/>
      </c>
      <c r="L353" s="17"/>
      <c r="M353" s="145"/>
      <c r="N353" s="144"/>
      <c r="O353" s="156"/>
      <c r="P353" s="156"/>
      <c r="Q353" s="144"/>
      <c r="R353" s="147"/>
    </row>
    <row r="354" ht="21.75" customHeight="1">
      <c r="A354" s="155"/>
      <c r="B354" s="64"/>
      <c r="C354" s="23"/>
      <c r="D354" s="23"/>
      <c r="E354" s="24"/>
      <c r="F354" s="25"/>
      <c r="G354" s="24"/>
      <c r="H354" s="26"/>
      <c r="I354" s="143"/>
      <c r="J354" s="144"/>
      <c r="K354" s="144" t="str">
        <f t="shared" si="18"/>
        <v/>
      </c>
      <c r="L354" s="17"/>
      <c r="M354" s="145"/>
      <c r="N354" s="144"/>
      <c r="O354" s="156"/>
      <c r="P354" s="156"/>
      <c r="Q354" s="144"/>
      <c r="R354" s="147"/>
    </row>
    <row r="355" ht="21.75" customHeight="1">
      <c r="A355" s="155"/>
      <c r="B355" s="64"/>
      <c r="C355" s="23"/>
      <c r="D355" s="23"/>
      <c r="E355" s="24"/>
      <c r="F355" s="25"/>
      <c r="G355" s="24"/>
      <c r="H355" s="26"/>
      <c r="I355" s="143"/>
      <c r="J355" s="144"/>
      <c r="K355" s="144" t="str">
        <f t="shared" si="18"/>
        <v/>
      </c>
      <c r="L355" s="17"/>
      <c r="M355" s="145"/>
      <c r="N355" s="144"/>
      <c r="O355" s="156"/>
      <c r="P355" s="156"/>
      <c r="Q355" s="144"/>
      <c r="R355" s="147"/>
    </row>
    <row r="356" ht="21.75" customHeight="1">
      <c r="A356" s="155"/>
      <c r="B356" s="64"/>
      <c r="C356" s="23"/>
      <c r="D356" s="23"/>
      <c r="E356" s="24"/>
      <c r="F356" s="25"/>
      <c r="G356" s="24"/>
      <c r="H356" s="26"/>
      <c r="I356" s="143"/>
      <c r="J356" s="144"/>
      <c r="K356" s="144" t="str">
        <f t="shared" si="18"/>
        <v/>
      </c>
      <c r="L356" s="17"/>
      <c r="M356" s="145"/>
      <c r="N356" s="144"/>
      <c r="O356" s="156"/>
      <c r="P356" s="156"/>
      <c r="Q356" s="144"/>
      <c r="R356" s="147"/>
    </row>
    <row r="357" ht="21.75" customHeight="1">
      <c r="A357" s="155"/>
      <c r="B357" s="64"/>
      <c r="C357" s="23"/>
      <c r="D357" s="23"/>
      <c r="E357" s="24"/>
      <c r="F357" s="25"/>
      <c r="G357" s="24"/>
      <c r="H357" s="26"/>
      <c r="I357" s="143"/>
      <c r="J357" s="144"/>
      <c r="K357" s="144" t="str">
        <f t="shared" si="18"/>
        <v/>
      </c>
      <c r="L357" s="17"/>
      <c r="M357" s="145"/>
      <c r="N357" s="144"/>
      <c r="O357" s="156"/>
      <c r="P357" s="156"/>
      <c r="Q357" s="144"/>
      <c r="R357" s="147"/>
    </row>
    <row r="358" ht="21.75" customHeight="1">
      <c r="A358" s="155"/>
      <c r="B358" s="64"/>
      <c r="C358" s="23"/>
      <c r="D358" s="23"/>
      <c r="E358" s="24"/>
      <c r="F358" s="25"/>
      <c r="G358" s="24"/>
      <c r="H358" s="26"/>
      <c r="I358" s="143"/>
      <c r="J358" s="144"/>
      <c r="K358" s="144" t="str">
        <f t="shared" si="18"/>
        <v/>
      </c>
      <c r="L358" s="17"/>
      <c r="M358" s="145"/>
      <c r="N358" s="144"/>
      <c r="O358" s="156"/>
      <c r="P358" s="156"/>
      <c r="Q358" s="144"/>
      <c r="R358" s="147"/>
    </row>
    <row r="359" ht="21.75" customHeight="1">
      <c r="A359" s="155"/>
      <c r="B359" s="64"/>
      <c r="C359" s="23"/>
      <c r="D359" s="23"/>
      <c r="E359" s="24"/>
      <c r="F359" s="25"/>
      <c r="G359" s="24"/>
      <c r="H359" s="26"/>
      <c r="I359" s="143"/>
      <c r="J359" s="144"/>
      <c r="K359" s="144" t="str">
        <f t="shared" si="18"/>
        <v/>
      </c>
      <c r="L359" s="17"/>
      <c r="M359" s="145"/>
      <c r="N359" s="144"/>
      <c r="O359" s="156"/>
      <c r="P359" s="156"/>
      <c r="Q359" s="144"/>
      <c r="R359" s="147"/>
    </row>
    <row r="360" ht="21.75" customHeight="1">
      <c r="A360" s="155"/>
      <c r="B360" s="64"/>
      <c r="C360" s="23"/>
      <c r="D360" s="23"/>
      <c r="E360" s="24"/>
      <c r="F360" s="25"/>
      <c r="G360" s="24"/>
      <c r="H360" s="26"/>
      <c r="I360" s="143"/>
      <c r="J360" s="144"/>
      <c r="K360" s="144" t="str">
        <f t="shared" si="18"/>
        <v/>
      </c>
      <c r="L360" s="17"/>
      <c r="M360" s="145"/>
      <c r="N360" s="144"/>
      <c r="O360" s="156"/>
      <c r="P360" s="156"/>
      <c r="Q360" s="144"/>
      <c r="R360" s="147"/>
    </row>
    <row r="361" ht="21.75" customHeight="1">
      <c r="A361" s="155"/>
      <c r="B361" s="64"/>
      <c r="C361" s="23"/>
      <c r="D361" s="23"/>
      <c r="E361" s="24"/>
      <c r="F361" s="25"/>
      <c r="G361" s="24"/>
      <c r="H361" s="26"/>
      <c r="I361" s="143"/>
      <c r="J361" s="144"/>
      <c r="K361" s="144" t="str">
        <f t="shared" si="18"/>
        <v/>
      </c>
      <c r="L361" s="17"/>
      <c r="M361" s="145"/>
      <c r="N361" s="144"/>
      <c r="O361" s="156"/>
      <c r="P361" s="156"/>
      <c r="Q361" s="144"/>
      <c r="R361" s="147"/>
    </row>
    <row r="362" ht="21.75" customHeight="1">
      <c r="A362" s="155"/>
      <c r="B362" s="64"/>
      <c r="C362" s="23"/>
      <c r="D362" s="23"/>
      <c r="E362" s="24"/>
      <c r="F362" s="25"/>
      <c r="G362" s="24"/>
      <c r="H362" s="26"/>
      <c r="I362" s="143"/>
      <c r="J362" s="144"/>
      <c r="K362" s="144" t="str">
        <f t="shared" si="18"/>
        <v/>
      </c>
      <c r="L362" s="17"/>
      <c r="M362" s="145"/>
      <c r="N362" s="144"/>
      <c r="O362" s="156"/>
      <c r="P362" s="156"/>
      <c r="Q362" s="144"/>
      <c r="R362" s="147"/>
    </row>
    <row r="363" ht="21.75" customHeight="1">
      <c r="A363" s="155"/>
      <c r="B363" s="64"/>
      <c r="C363" s="23"/>
      <c r="D363" s="23"/>
      <c r="E363" s="24"/>
      <c r="F363" s="25"/>
      <c r="G363" s="24"/>
      <c r="H363" s="26"/>
      <c r="I363" s="143"/>
      <c r="J363" s="144"/>
      <c r="K363" s="144" t="str">
        <f t="shared" si="18"/>
        <v/>
      </c>
      <c r="L363" s="17"/>
      <c r="M363" s="145"/>
      <c r="N363" s="144"/>
      <c r="O363" s="156"/>
      <c r="P363" s="156"/>
      <c r="Q363" s="144"/>
      <c r="R363" s="147"/>
    </row>
    <row r="364" ht="21.75" customHeight="1">
      <c r="A364" s="155"/>
      <c r="B364" s="64"/>
      <c r="C364" s="23"/>
      <c r="D364" s="23"/>
      <c r="E364" s="24"/>
      <c r="F364" s="25"/>
      <c r="G364" s="24"/>
      <c r="H364" s="26"/>
      <c r="I364" s="143"/>
      <c r="J364" s="144"/>
      <c r="K364" s="144" t="str">
        <f t="shared" si="18"/>
        <v/>
      </c>
      <c r="L364" s="17"/>
      <c r="M364" s="145"/>
      <c r="N364" s="144"/>
      <c r="O364" s="156"/>
      <c r="P364" s="156"/>
      <c r="Q364" s="144"/>
      <c r="R364" s="147"/>
    </row>
    <row r="365" ht="21.75" customHeight="1">
      <c r="A365" s="155"/>
      <c r="B365" s="64"/>
      <c r="C365" s="23"/>
      <c r="D365" s="23"/>
      <c r="E365" s="24"/>
      <c r="F365" s="25"/>
      <c r="G365" s="24"/>
      <c r="H365" s="26"/>
      <c r="I365" s="143"/>
      <c r="J365" s="144"/>
      <c r="K365" s="144" t="str">
        <f t="shared" si="18"/>
        <v/>
      </c>
      <c r="L365" s="17"/>
      <c r="M365" s="145"/>
      <c r="N365" s="144"/>
      <c r="O365" s="156"/>
      <c r="P365" s="156"/>
      <c r="Q365" s="144"/>
      <c r="R365" s="147"/>
    </row>
    <row r="366" ht="21.75" customHeight="1">
      <c r="A366" s="155"/>
      <c r="B366" s="64"/>
      <c r="C366" s="23"/>
      <c r="D366" s="23"/>
      <c r="E366" s="24"/>
      <c r="F366" s="25"/>
      <c r="G366" s="24"/>
      <c r="H366" s="26"/>
      <c r="I366" s="143"/>
      <c r="J366" s="144"/>
      <c r="K366" s="144" t="str">
        <f t="shared" si="18"/>
        <v/>
      </c>
      <c r="L366" s="17"/>
      <c r="M366" s="145"/>
      <c r="N366" s="144"/>
      <c r="O366" s="156"/>
      <c r="P366" s="156"/>
      <c r="Q366" s="144"/>
      <c r="R366" s="147"/>
    </row>
    <row r="367" ht="21.75" customHeight="1">
      <c r="A367" s="155"/>
      <c r="B367" s="64"/>
      <c r="C367" s="23"/>
      <c r="D367" s="23"/>
      <c r="E367" s="24"/>
      <c r="F367" s="25"/>
      <c r="G367" s="24"/>
      <c r="H367" s="26"/>
      <c r="I367" s="143"/>
      <c r="J367" s="144"/>
      <c r="K367" s="144" t="str">
        <f t="shared" si="18"/>
        <v/>
      </c>
      <c r="L367" s="17"/>
      <c r="M367" s="145"/>
      <c r="N367" s="144"/>
      <c r="O367" s="156"/>
      <c r="P367" s="156"/>
      <c r="Q367" s="144"/>
      <c r="R367" s="147"/>
    </row>
    <row r="368" ht="21.75" customHeight="1">
      <c r="A368" s="155"/>
      <c r="B368" s="64"/>
      <c r="C368" s="23"/>
      <c r="D368" s="23"/>
      <c r="E368" s="24"/>
      <c r="F368" s="25"/>
      <c r="G368" s="24"/>
      <c r="H368" s="26"/>
      <c r="I368" s="143"/>
      <c r="J368" s="144"/>
      <c r="K368" s="144" t="str">
        <f t="shared" si="18"/>
        <v/>
      </c>
      <c r="L368" s="17"/>
      <c r="M368" s="145"/>
      <c r="N368" s="144"/>
      <c r="O368" s="156"/>
      <c r="P368" s="156"/>
      <c r="Q368" s="144"/>
      <c r="R368" s="147"/>
    </row>
    <row r="369" ht="21.75" customHeight="1">
      <c r="A369" s="155"/>
      <c r="B369" s="64"/>
      <c r="C369" s="23"/>
      <c r="D369" s="23"/>
      <c r="E369" s="24"/>
      <c r="F369" s="25"/>
      <c r="G369" s="24"/>
      <c r="H369" s="26"/>
      <c r="I369" s="143"/>
      <c r="J369" s="144"/>
      <c r="K369" s="144" t="str">
        <f t="shared" si="18"/>
        <v/>
      </c>
      <c r="L369" s="17"/>
      <c r="M369" s="145"/>
      <c r="N369" s="144"/>
      <c r="O369" s="156"/>
      <c r="P369" s="156"/>
      <c r="Q369" s="144"/>
      <c r="R369" s="147"/>
    </row>
    <row r="370" ht="21.75" customHeight="1">
      <c r="A370" s="155"/>
      <c r="B370" s="64"/>
      <c r="C370" s="23"/>
      <c r="D370" s="23"/>
      <c r="E370" s="24"/>
      <c r="F370" s="25"/>
      <c r="G370" s="24"/>
      <c r="H370" s="26"/>
      <c r="I370" s="143"/>
      <c r="J370" s="144"/>
      <c r="K370" s="144" t="str">
        <f t="shared" si="18"/>
        <v/>
      </c>
      <c r="L370" s="17"/>
      <c r="M370" s="145"/>
      <c r="N370" s="144"/>
      <c r="O370" s="156"/>
      <c r="P370" s="156"/>
      <c r="Q370" s="144"/>
      <c r="R370" s="147"/>
    </row>
    <row r="371" ht="21.75" customHeight="1">
      <c r="A371" s="155"/>
      <c r="B371" s="64"/>
      <c r="C371" s="23"/>
      <c r="D371" s="23"/>
      <c r="E371" s="24"/>
      <c r="F371" s="25"/>
      <c r="G371" s="24"/>
      <c r="H371" s="26"/>
      <c r="I371" s="143"/>
      <c r="J371" s="144"/>
      <c r="K371" s="144" t="str">
        <f t="shared" si="18"/>
        <v/>
      </c>
      <c r="L371" s="17"/>
      <c r="M371" s="145"/>
      <c r="N371" s="144"/>
      <c r="O371" s="156"/>
      <c r="P371" s="156"/>
      <c r="Q371" s="144"/>
      <c r="R371" s="147"/>
    </row>
    <row r="372" ht="21.75" customHeight="1">
      <c r="A372" s="155"/>
      <c r="B372" s="64"/>
      <c r="C372" s="23"/>
      <c r="D372" s="23"/>
      <c r="E372" s="24"/>
      <c r="F372" s="25"/>
      <c r="G372" s="24"/>
      <c r="H372" s="26"/>
      <c r="I372" s="143"/>
      <c r="J372" s="144"/>
      <c r="K372" s="144" t="str">
        <f t="shared" si="18"/>
        <v/>
      </c>
      <c r="L372" s="17"/>
      <c r="M372" s="145"/>
      <c r="N372" s="144"/>
      <c r="O372" s="156"/>
      <c r="P372" s="156"/>
      <c r="Q372" s="144"/>
      <c r="R372" s="147"/>
    </row>
    <row r="373" ht="21.75" customHeight="1">
      <c r="A373" s="155"/>
      <c r="B373" s="64"/>
      <c r="C373" s="23"/>
      <c r="D373" s="23"/>
      <c r="E373" s="24"/>
      <c r="F373" s="25"/>
      <c r="G373" s="24"/>
      <c r="H373" s="26"/>
      <c r="I373" s="143"/>
      <c r="J373" s="144"/>
      <c r="K373" s="144" t="str">
        <f t="shared" si="18"/>
        <v/>
      </c>
      <c r="L373" s="17"/>
      <c r="M373" s="145"/>
      <c r="N373" s="144"/>
      <c r="O373" s="156"/>
      <c r="P373" s="156"/>
      <c r="Q373" s="144"/>
      <c r="R373" s="147"/>
    </row>
    <row r="374" ht="21.75" customHeight="1">
      <c r="A374" s="155"/>
      <c r="B374" s="64"/>
      <c r="C374" s="23"/>
      <c r="D374" s="23"/>
      <c r="E374" s="24"/>
      <c r="F374" s="25"/>
      <c r="G374" s="24"/>
      <c r="H374" s="26"/>
      <c r="I374" s="143"/>
      <c r="J374" s="144"/>
      <c r="K374" s="144" t="str">
        <f t="shared" si="18"/>
        <v/>
      </c>
      <c r="L374" s="17"/>
      <c r="M374" s="145"/>
      <c r="N374" s="144"/>
      <c r="O374" s="156"/>
      <c r="P374" s="156"/>
      <c r="Q374" s="144"/>
      <c r="R374" s="147"/>
    </row>
    <row r="375" ht="21.75" customHeight="1">
      <c r="A375" s="155"/>
      <c r="B375" s="64"/>
      <c r="C375" s="23"/>
      <c r="D375" s="23"/>
      <c r="E375" s="24"/>
      <c r="F375" s="25"/>
      <c r="G375" s="24"/>
      <c r="H375" s="26"/>
      <c r="I375" s="143"/>
      <c r="J375" s="144"/>
      <c r="K375" s="144" t="str">
        <f t="shared" si="18"/>
        <v/>
      </c>
      <c r="L375" s="17"/>
      <c r="M375" s="145"/>
      <c r="N375" s="144"/>
      <c r="O375" s="156"/>
      <c r="P375" s="156"/>
      <c r="Q375" s="144"/>
      <c r="R375" s="147"/>
    </row>
    <row r="376" ht="21.75" customHeight="1">
      <c r="A376" s="155"/>
      <c r="B376" s="64"/>
      <c r="C376" s="23"/>
      <c r="D376" s="23"/>
      <c r="E376" s="24"/>
      <c r="F376" s="25"/>
      <c r="G376" s="24"/>
      <c r="H376" s="26"/>
      <c r="I376" s="143"/>
      <c r="J376" s="144"/>
      <c r="K376" s="144" t="str">
        <f t="shared" si="18"/>
        <v/>
      </c>
      <c r="L376" s="17"/>
      <c r="M376" s="145"/>
      <c r="N376" s="144"/>
      <c r="O376" s="156"/>
      <c r="P376" s="156"/>
      <c r="Q376" s="144"/>
      <c r="R376" s="147"/>
    </row>
    <row r="377" ht="21.75" customHeight="1">
      <c r="A377" s="155"/>
      <c r="B377" s="64"/>
      <c r="C377" s="23"/>
      <c r="D377" s="23"/>
      <c r="E377" s="24"/>
      <c r="F377" s="25"/>
      <c r="G377" s="24"/>
      <c r="H377" s="26"/>
      <c r="I377" s="143"/>
      <c r="J377" s="144"/>
      <c r="K377" s="144" t="str">
        <f t="shared" si="18"/>
        <v/>
      </c>
      <c r="L377" s="17"/>
      <c r="M377" s="145"/>
      <c r="N377" s="144"/>
      <c r="O377" s="156"/>
      <c r="P377" s="156"/>
      <c r="Q377" s="144"/>
      <c r="R377" s="147"/>
    </row>
    <row r="378" ht="21.75" customHeight="1">
      <c r="A378" s="155"/>
      <c r="B378" s="64"/>
      <c r="C378" s="23"/>
      <c r="D378" s="23"/>
      <c r="E378" s="24"/>
      <c r="F378" s="25"/>
      <c r="G378" s="24"/>
      <c r="H378" s="26"/>
      <c r="I378" s="143"/>
      <c r="J378" s="144"/>
      <c r="K378" s="144" t="str">
        <f t="shared" si="18"/>
        <v/>
      </c>
      <c r="L378" s="17"/>
      <c r="M378" s="145"/>
      <c r="N378" s="144"/>
      <c r="O378" s="156"/>
      <c r="P378" s="156"/>
      <c r="Q378" s="144"/>
      <c r="R378" s="147"/>
    </row>
    <row r="379" ht="21.75" customHeight="1">
      <c r="A379" s="155"/>
      <c r="B379" s="64"/>
      <c r="C379" s="23"/>
      <c r="D379" s="23"/>
      <c r="E379" s="24"/>
      <c r="F379" s="25"/>
      <c r="G379" s="24"/>
      <c r="H379" s="26"/>
      <c r="I379" s="143"/>
      <c r="J379" s="144"/>
      <c r="K379" s="144" t="str">
        <f t="shared" si="18"/>
        <v/>
      </c>
      <c r="L379" s="17"/>
      <c r="M379" s="145"/>
      <c r="N379" s="144"/>
      <c r="O379" s="156"/>
      <c r="P379" s="156"/>
      <c r="Q379" s="144"/>
      <c r="R379" s="147"/>
    </row>
    <row r="380" ht="21.75" customHeight="1">
      <c r="A380" s="155"/>
      <c r="B380" s="64"/>
      <c r="C380" s="23"/>
      <c r="D380" s="23"/>
      <c r="E380" s="24"/>
      <c r="F380" s="25"/>
      <c r="G380" s="24"/>
      <c r="H380" s="26"/>
      <c r="I380" s="143"/>
      <c r="J380" s="144"/>
      <c r="K380" s="144" t="str">
        <f t="shared" si="18"/>
        <v/>
      </c>
      <c r="L380" s="17"/>
      <c r="M380" s="145"/>
      <c r="N380" s="144"/>
      <c r="O380" s="156"/>
      <c r="P380" s="156"/>
      <c r="Q380" s="144"/>
      <c r="R380" s="147"/>
    </row>
    <row r="381" ht="21.75" customHeight="1">
      <c r="A381" s="155"/>
      <c r="B381" s="64"/>
      <c r="C381" s="23"/>
      <c r="D381" s="23"/>
      <c r="E381" s="24"/>
      <c r="F381" s="25"/>
      <c r="G381" s="24"/>
      <c r="H381" s="26"/>
      <c r="I381" s="143"/>
      <c r="J381" s="144"/>
      <c r="K381" s="144" t="str">
        <f t="shared" si="18"/>
        <v/>
      </c>
      <c r="L381" s="17"/>
      <c r="M381" s="145"/>
      <c r="N381" s="144"/>
      <c r="O381" s="156"/>
      <c r="P381" s="156"/>
      <c r="Q381" s="144"/>
      <c r="R381" s="147"/>
    </row>
    <row r="382" ht="21.75" customHeight="1">
      <c r="A382" s="155"/>
      <c r="B382" s="64"/>
      <c r="C382" s="23"/>
      <c r="D382" s="23"/>
      <c r="E382" s="24"/>
      <c r="F382" s="25"/>
      <c r="G382" s="24"/>
      <c r="H382" s="26"/>
      <c r="I382" s="143"/>
      <c r="J382" s="144"/>
      <c r="K382" s="144" t="str">
        <f t="shared" si="18"/>
        <v/>
      </c>
      <c r="L382" s="17"/>
      <c r="M382" s="145"/>
      <c r="N382" s="144"/>
      <c r="O382" s="156"/>
      <c r="P382" s="156"/>
      <c r="Q382" s="144"/>
      <c r="R382" s="147"/>
    </row>
    <row r="383" ht="21.75" customHeight="1">
      <c r="A383" s="155"/>
      <c r="B383" s="64"/>
      <c r="C383" s="23"/>
      <c r="D383" s="23"/>
      <c r="E383" s="24"/>
      <c r="F383" s="25"/>
      <c r="G383" s="24"/>
      <c r="H383" s="26"/>
      <c r="I383" s="143"/>
      <c r="J383" s="144"/>
      <c r="K383" s="144" t="str">
        <f t="shared" si="18"/>
        <v/>
      </c>
      <c r="L383" s="17"/>
      <c r="M383" s="145"/>
      <c r="N383" s="144"/>
      <c r="O383" s="156"/>
      <c r="P383" s="156"/>
      <c r="Q383" s="144"/>
      <c r="R383" s="147"/>
    </row>
    <row r="384" ht="21.75" customHeight="1">
      <c r="A384" s="155"/>
      <c r="B384" s="64"/>
      <c r="C384" s="23"/>
      <c r="D384" s="23"/>
      <c r="E384" s="24"/>
      <c r="F384" s="25"/>
      <c r="G384" s="24"/>
      <c r="H384" s="26"/>
      <c r="I384" s="143"/>
      <c r="J384" s="144"/>
      <c r="K384" s="144" t="str">
        <f t="shared" si="18"/>
        <v/>
      </c>
      <c r="L384" s="17"/>
      <c r="M384" s="145"/>
      <c r="N384" s="144"/>
      <c r="O384" s="156"/>
      <c r="P384" s="156"/>
      <c r="Q384" s="144"/>
      <c r="R384" s="147"/>
    </row>
    <row r="385" ht="21.75" customHeight="1">
      <c r="A385" s="155"/>
      <c r="B385" s="64"/>
      <c r="C385" s="23"/>
      <c r="D385" s="23"/>
      <c r="E385" s="24"/>
      <c r="F385" s="25"/>
      <c r="G385" s="24"/>
      <c r="H385" s="26"/>
      <c r="I385" s="143"/>
      <c r="J385" s="144"/>
      <c r="K385" s="144" t="str">
        <f t="shared" si="18"/>
        <v/>
      </c>
      <c r="L385" s="17"/>
      <c r="M385" s="145"/>
      <c r="N385" s="144"/>
      <c r="O385" s="156"/>
      <c r="P385" s="156"/>
      <c r="Q385" s="144"/>
      <c r="R385" s="147"/>
    </row>
    <row r="386" ht="21.75" customHeight="1">
      <c r="A386" s="155"/>
      <c r="B386" s="64"/>
      <c r="C386" s="23"/>
      <c r="D386" s="23"/>
      <c r="E386" s="24"/>
      <c r="F386" s="25"/>
      <c r="G386" s="24"/>
      <c r="H386" s="26"/>
      <c r="I386" s="143"/>
      <c r="J386" s="144"/>
      <c r="K386" s="144" t="str">
        <f t="shared" si="18"/>
        <v/>
      </c>
      <c r="L386" s="17"/>
      <c r="M386" s="145"/>
      <c r="N386" s="144"/>
      <c r="O386" s="156"/>
      <c r="P386" s="156"/>
      <c r="Q386" s="144"/>
      <c r="R386" s="147"/>
    </row>
    <row r="387" ht="21.75" customHeight="1">
      <c r="A387" s="155"/>
      <c r="B387" s="64"/>
      <c r="C387" s="23"/>
      <c r="D387" s="23"/>
      <c r="E387" s="24"/>
      <c r="F387" s="25"/>
      <c r="G387" s="24"/>
      <c r="H387" s="26"/>
      <c r="I387" s="143"/>
      <c r="J387" s="144"/>
      <c r="K387" s="144" t="str">
        <f t="shared" si="18"/>
        <v/>
      </c>
      <c r="L387" s="17"/>
      <c r="M387" s="145"/>
      <c r="N387" s="144"/>
      <c r="O387" s="156"/>
      <c r="P387" s="156"/>
      <c r="Q387" s="144"/>
      <c r="R387" s="147"/>
    </row>
    <row r="388" ht="21.75" customHeight="1">
      <c r="A388" s="155"/>
      <c r="B388" s="64"/>
      <c r="C388" s="23"/>
      <c r="D388" s="23"/>
      <c r="E388" s="24"/>
      <c r="F388" s="25"/>
      <c r="G388" s="24"/>
      <c r="H388" s="26"/>
      <c r="I388" s="143"/>
      <c r="J388" s="144"/>
      <c r="K388" s="144" t="str">
        <f t="shared" si="18"/>
        <v/>
      </c>
      <c r="L388" s="17"/>
      <c r="M388" s="145"/>
      <c r="N388" s="144"/>
      <c r="O388" s="156"/>
      <c r="P388" s="156"/>
      <c r="Q388" s="144"/>
      <c r="R388" s="147"/>
    </row>
    <row r="389" ht="21.75" customHeight="1">
      <c r="A389" s="155"/>
      <c r="B389" s="64"/>
      <c r="C389" s="23"/>
      <c r="D389" s="23"/>
      <c r="E389" s="24"/>
      <c r="F389" s="25"/>
      <c r="G389" s="24"/>
      <c r="H389" s="26"/>
      <c r="I389" s="143"/>
      <c r="J389" s="144"/>
      <c r="K389" s="144" t="str">
        <f t="shared" si="18"/>
        <v/>
      </c>
      <c r="L389" s="17"/>
      <c r="M389" s="145"/>
      <c r="N389" s="144"/>
      <c r="O389" s="156"/>
      <c r="P389" s="156"/>
      <c r="Q389" s="144"/>
      <c r="R389" s="147"/>
    </row>
    <row r="390" ht="21.75" customHeight="1">
      <c r="A390" s="155"/>
      <c r="B390" s="64"/>
      <c r="C390" s="23"/>
      <c r="D390" s="23"/>
      <c r="E390" s="24"/>
      <c r="F390" s="25"/>
      <c r="G390" s="24"/>
      <c r="H390" s="26"/>
      <c r="I390" s="143"/>
      <c r="J390" s="144"/>
      <c r="K390" s="144" t="str">
        <f t="shared" si="18"/>
        <v/>
      </c>
      <c r="L390" s="17"/>
      <c r="M390" s="145"/>
      <c r="N390" s="144"/>
      <c r="O390" s="156"/>
      <c r="P390" s="156"/>
      <c r="Q390" s="144"/>
      <c r="R390" s="147"/>
    </row>
    <row r="391" ht="21.75" customHeight="1">
      <c r="A391" s="155"/>
      <c r="B391" s="64"/>
      <c r="C391" s="23"/>
      <c r="D391" s="23"/>
      <c r="E391" s="24"/>
      <c r="F391" s="25"/>
      <c r="G391" s="24"/>
      <c r="H391" s="26"/>
      <c r="I391" s="143"/>
      <c r="J391" s="144"/>
      <c r="K391" s="144" t="str">
        <f t="shared" si="18"/>
        <v/>
      </c>
      <c r="L391" s="17"/>
      <c r="M391" s="145"/>
      <c r="N391" s="144"/>
      <c r="O391" s="156"/>
      <c r="P391" s="156"/>
      <c r="Q391" s="144"/>
      <c r="R391" s="147"/>
    </row>
    <row r="392" ht="21.75" customHeight="1">
      <c r="A392" s="155"/>
      <c r="B392" s="64"/>
      <c r="C392" s="23"/>
      <c r="D392" s="23"/>
      <c r="E392" s="24"/>
      <c r="F392" s="25"/>
      <c r="G392" s="24"/>
      <c r="H392" s="26"/>
      <c r="I392" s="143"/>
      <c r="J392" s="144"/>
      <c r="K392" s="144" t="str">
        <f t="shared" si="18"/>
        <v/>
      </c>
      <c r="L392" s="17"/>
      <c r="M392" s="145"/>
      <c r="N392" s="144"/>
      <c r="O392" s="156"/>
      <c r="P392" s="156"/>
      <c r="Q392" s="144"/>
      <c r="R392" s="147"/>
    </row>
    <row r="393" ht="21.75" customHeight="1">
      <c r="A393" s="155"/>
      <c r="B393" s="64"/>
      <c r="C393" s="23"/>
      <c r="D393" s="23"/>
      <c r="E393" s="24"/>
      <c r="F393" s="25"/>
      <c r="G393" s="24"/>
      <c r="H393" s="26"/>
      <c r="I393" s="143"/>
      <c r="J393" s="144"/>
      <c r="K393" s="144" t="str">
        <f t="shared" si="18"/>
        <v/>
      </c>
      <c r="L393" s="17"/>
      <c r="M393" s="145"/>
      <c r="N393" s="144"/>
      <c r="O393" s="156"/>
      <c r="P393" s="156"/>
      <c r="Q393" s="144"/>
      <c r="R393" s="147"/>
    </row>
    <row r="394" ht="21.75" customHeight="1">
      <c r="A394" s="155"/>
      <c r="B394" s="64"/>
      <c r="C394" s="23"/>
      <c r="D394" s="23"/>
      <c r="E394" s="24"/>
      <c r="F394" s="25"/>
      <c r="G394" s="24"/>
      <c r="H394" s="26"/>
      <c r="I394" s="143"/>
      <c r="J394" s="144"/>
      <c r="K394" s="144" t="str">
        <f t="shared" si="18"/>
        <v/>
      </c>
      <c r="L394" s="17"/>
      <c r="M394" s="145"/>
      <c r="N394" s="144"/>
      <c r="O394" s="156"/>
      <c r="P394" s="156"/>
      <c r="Q394" s="144"/>
      <c r="R394" s="147"/>
    </row>
    <row r="395" ht="21.75" customHeight="1">
      <c r="A395" s="155"/>
      <c r="B395" s="64"/>
      <c r="C395" s="23"/>
      <c r="D395" s="23"/>
      <c r="E395" s="24"/>
      <c r="F395" s="25"/>
      <c r="G395" s="24"/>
      <c r="H395" s="26"/>
      <c r="I395" s="143"/>
      <c r="J395" s="144"/>
      <c r="K395" s="144" t="str">
        <f t="shared" si="18"/>
        <v/>
      </c>
      <c r="L395" s="17"/>
      <c r="M395" s="145"/>
      <c r="N395" s="144"/>
      <c r="O395" s="156"/>
      <c r="P395" s="156"/>
      <c r="Q395" s="144"/>
      <c r="R395" s="147"/>
    </row>
    <row r="396" ht="21.75" customHeight="1">
      <c r="A396" s="155"/>
      <c r="B396" s="64"/>
      <c r="C396" s="23"/>
      <c r="D396" s="23"/>
      <c r="E396" s="24"/>
      <c r="F396" s="25"/>
      <c r="G396" s="24"/>
      <c r="H396" s="26"/>
      <c r="I396" s="143"/>
      <c r="J396" s="144"/>
      <c r="K396" s="144" t="str">
        <f t="shared" si="18"/>
        <v/>
      </c>
      <c r="L396" s="17"/>
      <c r="M396" s="145"/>
      <c r="N396" s="144"/>
      <c r="O396" s="156"/>
      <c r="P396" s="156"/>
      <c r="Q396" s="144"/>
      <c r="R396" s="147"/>
    </row>
    <row r="397" ht="21.75" customHeight="1">
      <c r="A397" s="155"/>
      <c r="B397" s="64"/>
      <c r="C397" s="23"/>
      <c r="D397" s="23"/>
      <c r="E397" s="24"/>
      <c r="F397" s="25"/>
      <c r="G397" s="24"/>
      <c r="H397" s="26"/>
      <c r="I397" s="143"/>
      <c r="J397" s="144"/>
      <c r="K397" s="144" t="str">
        <f t="shared" si="18"/>
        <v/>
      </c>
      <c r="L397" s="17"/>
      <c r="M397" s="145"/>
      <c r="N397" s="144"/>
      <c r="O397" s="156"/>
      <c r="P397" s="156"/>
      <c r="Q397" s="144"/>
      <c r="R397" s="147"/>
    </row>
    <row r="398" ht="21.75" customHeight="1">
      <c r="A398" s="155"/>
      <c r="B398" s="64"/>
      <c r="C398" s="23"/>
      <c r="D398" s="23"/>
      <c r="E398" s="24"/>
      <c r="F398" s="25"/>
      <c r="G398" s="24"/>
      <c r="H398" s="26"/>
      <c r="I398" s="143"/>
      <c r="J398" s="144"/>
      <c r="K398" s="144" t="str">
        <f t="shared" si="18"/>
        <v/>
      </c>
      <c r="L398" s="17"/>
      <c r="M398" s="145"/>
      <c r="N398" s="144"/>
      <c r="O398" s="156"/>
      <c r="P398" s="156"/>
      <c r="Q398" s="144"/>
      <c r="R398" s="147"/>
    </row>
    <row r="399" ht="21.75" customHeight="1">
      <c r="A399" s="155"/>
      <c r="B399" s="64"/>
      <c r="C399" s="23"/>
      <c r="D399" s="23"/>
      <c r="E399" s="24"/>
      <c r="F399" s="25"/>
      <c r="G399" s="24"/>
      <c r="H399" s="26"/>
      <c r="I399" s="143"/>
      <c r="J399" s="144"/>
      <c r="K399" s="144" t="str">
        <f t="shared" si="18"/>
        <v/>
      </c>
      <c r="L399" s="17"/>
      <c r="M399" s="145"/>
      <c r="N399" s="144"/>
      <c r="O399" s="156"/>
      <c r="P399" s="156"/>
      <c r="Q399" s="144"/>
      <c r="R399" s="147"/>
    </row>
    <row r="400" ht="21.75" customHeight="1">
      <c r="A400" s="155"/>
      <c r="B400" s="64"/>
      <c r="C400" s="23"/>
      <c r="D400" s="23"/>
      <c r="E400" s="24"/>
      <c r="F400" s="25"/>
      <c r="G400" s="24"/>
      <c r="H400" s="26"/>
      <c r="I400" s="143"/>
      <c r="J400" s="144"/>
      <c r="K400" s="144" t="str">
        <f t="shared" si="18"/>
        <v/>
      </c>
      <c r="L400" s="17"/>
      <c r="M400" s="145"/>
      <c r="N400" s="144"/>
      <c r="O400" s="156"/>
      <c r="P400" s="156"/>
      <c r="Q400" s="144"/>
      <c r="R400" s="147"/>
    </row>
    <row r="401" ht="21.75" customHeight="1">
      <c r="A401" s="155"/>
      <c r="B401" s="64"/>
      <c r="C401" s="23"/>
      <c r="D401" s="23"/>
      <c r="E401" s="24"/>
      <c r="F401" s="25"/>
      <c r="G401" s="24"/>
      <c r="H401" s="26"/>
      <c r="I401" s="143"/>
      <c r="J401" s="144"/>
      <c r="K401" s="144" t="str">
        <f t="shared" si="18"/>
        <v/>
      </c>
      <c r="L401" s="17"/>
      <c r="M401" s="145"/>
      <c r="N401" s="144"/>
      <c r="O401" s="156"/>
      <c r="P401" s="156"/>
      <c r="Q401" s="144"/>
      <c r="R401" s="147"/>
    </row>
    <row r="402" ht="21.75" customHeight="1">
      <c r="A402" s="155"/>
      <c r="B402" s="64"/>
      <c r="C402" s="23"/>
      <c r="D402" s="23"/>
      <c r="E402" s="24"/>
      <c r="F402" s="25"/>
      <c r="G402" s="24"/>
      <c r="H402" s="26"/>
      <c r="I402" s="143"/>
      <c r="J402" s="144"/>
      <c r="K402" s="144" t="str">
        <f t="shared" si="18"/>
        <v/>
      </c>
      <c r="L402" s="17"/>
      <c r="M402" s="145"/>
      <c r="N402" s="144"/>
      <c r="O402" s="156"/>
      <c r="P402" s="156"/>
      <c r="Q402" s="144"/>
      <c r="R402" s="147"/>
    </row>
    <row r="403" ht="21.75" customHeight="1">
      <c r="A403" s="155"/>
      <c r="B403" s="64"/>
      <c r="C403" s="23"/>
      <c r="D403" s="23"/>
      <c r="E403" s="24"/>
      <c r="F403" s="25"/>
      <c r="G403" s="24"/>
      <c r="H403" s="26"/>
      <c r="I403" s="143"/>
      <c r="J403" s="144"/>
      <c r="K403" s="144" t="str">
        <f t="shared" si="18"/>
        <v/>
      </c>
      <c r="L403" s="17"/>
      <c r="M403" s="145"/>
      <c r="N403" s="144"/>
      <c r="O403" s="156"/>
      <c r="P403" s="156"/>
      <c r="Q403" s="144"/>
      <c r="R403" s="147"/>
    </row>
    <row r="404" ht="21.75" customHeight="1">
      <c r="A404" s="155"/>
      <c r="B404" s="64"/>
      <c r="C404" s="23"/>
      <c r="D404" s="23"/>
      <c r="E404" s="24"/>
      <c r="F404" s="25"/>
      <c r="G404" s="24"/>
      <c r="H404" s="26"/>
      <c r="I404" s="143"/>
      <c r="J404" s="144"/>
      <c r="K404" s="144" t="str">
        <f t="shared" si="18"/>
        <v/>
      </c>
      <c r="L404" s="17"/>
      <c r="M404" s="145"/>
      <c r="N404" s="144"/>
      <c r="O404" s="156"/>
      <c r="P404" s="156"/>
      <c r="Q404" s="144"/>
      <c r="R404" s="147"/>
    </row>
    <row r="405" ht="21.75" customHeight="1">
      <c r="A405" s="155"/>
      <c r="B405" s="64"/>
      <c r="C405" s="23"/>
      <c r="D405" s="23"/>
      <c r="E405" s="24"/>
      <c r="F405" s="25"/>
      <c r="G405" s="24"/>
      <c r="H405" s="26"/>
      <c r="I405" s="143"/>
      <c r="J405" s="144"/>
      <c r="K405" s="144" t="str">
        <f t="shared" si="18"/>
        <v/>
      </c>
      <c r="L405" s="17"/>
      <c r="M405" s="145"/>
      <c r="N405" s="144"/>
      <c r="O405" s="156"/>
      <c r="P405" s="156"/>
      <c r="Q405" s="144"/>
      <c r="R405" s="147"/>
    </row>
    <row r="406" ht="21.75" customHeight="1">
      <c r="A406" s="155"/>
      <c r="B406" s="64"/>
      <c r="C406" s="23"/>
      <c r="D406" s="23"/>
      <c r="E406" s="24"/>
      <c r="F406" s="25"/>
      <c r="G406" s="24"/>
      <c r="H406" s="26"/>
      <c r="I406" s="143"/>
      <c r="J406" s="144"/>
      <c r="K406" s="144" t="str">
        <f t="shared" si="18"/>
        <v/>
      </c>
      <c r="L406" s="17"/>
      <c r="M406" s="145"/>
      <c r="N406" s="144"/>
      <c r="O406" s="156"/>
      <c r="P406" s="156"/>
      <c r="Q406" s="144"/>
      <c r="R406" s="147"/>
    </row>
    <row r="407" ht="21.75" customHeight="1">
      <c r="A407" s="155"/>
      <c r="B407" s="64"/>
      <c r="C407" s="23"/>
      <c r="D407" s="23"/>
      <c r="E407" s="24"/>
      <c r="F407" s="25"/>
      <c r="G407" s="24"/>
      <c r="H407" s="26"/>
      <c r="I407" s="143"/>
      <c r="J407" s="144"/>
      <c r="K407" s="144" t="str">
        <f t="shared" si="18"/>
        <v/>
      </c>
      <c r="L407" s="17"/>
      <c r="M407" s="145"/>
      <c r="N407" s="144"/>
      <c r="O407" s="156"/>
      <c r="P407" s="156"/>
      <c r="Q407" s="144"/>
      <c r="R407" s="147"/>
    </row>
    <row r="408" ht="21.75" customHeight="1">
      <c r="A408" s="155"/>
      <c r="B408" s="64"/>
      <c r="C408" s="23"/>
      <c r="D408" s="23"/>
      <c r="E408" s="24"/>
      <c r="F408" s="25"/>
      <c r="G408" s="24"/>
      <c r="H408" s="26"/>
      <c r="I408" s="143"/>
      <c r="J408" s="144"/>
      <c r="K408" s="144" t="str">
        <f t="shared" si="18"/>
        <v/>
      </c>
      <c r="L408" s="17"/>
      <c r="M408" s="145"/>
      <c r="N408" s="144"/>
      <c r="O408" s="156"/>
      <c r="P408" s="156"/>
      <c r="Q408" s="144"/>
      <c r="R408" s="147"/>
    </row>
    <row r="409" ht="21.75" customHeight="1">
      <c r="A409" s="155"/>
      <c r="B409" s="64"/>
      <c r="C409" s="23"/>
      <c r="D409" s="23"/>
      <c r="E409" s="24"/>
      <c r="F409" s="25"/>
      <c r="G409" s="24"/>
      <c r="H409" s="26"/>
      <c r="I409" s="143"/>
      <c r="J409" s="144"/>
      <c r="K409" s="144" t="str">
        <f t="shared" si="18"/>
        <v/>
      </c>
      <c r="L409" s="17"/>
      <c r="M409" s="145"/>
      <c r="N409" s="144"/>
      <c r="O409" s="156"/>
      <c r="P409" s="156"/>
      <c r="Q409" s="144"/>
      <c r="R409" s="147"/>
    </row>
    <row r="410" ht="21.75" customHeight="1">
      <c r="A410" s="155"/>
      <c r="B410" s="64"/>
      <c r="C410" s="23"/>
      <c r="D410" s="23"/>
      <c r="E410" s="24"/>
      <c r="F410" s="25"/>
      <c r="G410" s="24"/>
      <c r="H410" s="26"/>
      <c r="I410" s="143"/>
      <c r="J410" s="144"/>
      <c r="K410" s="144" t="str">
        <f t="shared" si="18"/>
        <v/>
      </c>
      <c r="L410" s="17"/>
      <c r="M410" s="145"/>
      <c r="N410" s="144"/>
      <c r="O410" s="156"/>
      <c r="P410" s="156"/>
      <c r="Q410" s="144"/>
      <c r="R410" s="147"/>
    </row>
    <row r="411" ht="21.75" customHeight="1">
      <c r="A411" s="155"/>
      <c r="B411" s="64"/>
      <c r="C411" s="23"/>
      <c r="D411" s="23"/>
      <c r="E411" s="24"/>
      <c r="F411" s="25"/>
      <c r="G411" s="24"/>
      <c r="H411" s="26"/>
      <c r="I411" s="143"/>
      <c r="J411" s="144"/>
      <c r="K411" s="144" t="str">
        <f t="shared" si="18"/>
        <v/>
      </c>
      <c r="L411" s="17"/>
      <c r="M411" s="145"/>
      <c r="N411" s="144"/>
      <c r="O411" s="156"/>
      <c r="P411" s="156"/>
      <c r="Q411" s="144"/>
      <c r="R411" s="147"/>
    </row>
    <row r="412" ht="21.75" customHeight="1">
      <c r="A412" s="155"/>
      <c r="B412" s="64"/>
      <c r="C412" s="23"/>
      <c r="D412" s="23"/>
      <c r="E412" s="24"/>
      <c r="F412" s="25"/>
      <c r="G412" s="24"/>
      <c r="H412" s="26"/>
      <c r="I412" s="143"/>
      <c r="J412" s="144"/>
      <c r="K412" s="144" t="str">
        <f t="shared" si="18"/>
        <v/>
      </c>
      <c r="L412" s="17"/>
      <c r="M412" s="145"/>
      <c r="N412" s="144"/>
      <c r="O412" s="156"/>
      <c r="P412" s="156"/>
      <c r="Q412" s="144"/>
      <c r="R412" s="147"/>
    </row>
    <row r="413" ht="21.75" customHeight="1">
      <c r="A413" s="155"/>
      <c r="B413" s="64"/>
      <c r="C413" s="23"/>
      <c r="D413" s="23"/>
      <c r="E413" s="24"/>
      <c r="F413" s="25"/>
      <c r="G413" s="24"/>
      <c r="H413" s="26"/>
      <c r="I413" s="143"/>
      <c r="J413" s="144"/>
      <c r="K413" s="144" t="str">
        <f t="shared" si="18"/>
        <v/>
      </c>
      <c r="L413" s="17"/>
      <c r="M413" s="145"/>
      <c r="N413" s="144"/>
      <c r="O413" s="156"/>
      <c r="P413" s="156"/>
      <c r="Q413" s="144"/>
      <c r="R413" s="147"/>
    </row>
    <row r="414" ht="21.75" customHeight="1">
      <c r="A414" s="155"/>
      <c r="B414" s="64"/>
      <c r="C414" s="23"/>
      <c r="D414" s="23"/>
      <c r="E414" s="24"/>
      <c r="F414" s="25"/>
      <c r="G414" s="24"/>
      <c r="H414" s="26"/>
      <c r="I414" s="143"/>
      <c r="J414" s="144"/>
      <c r="K414" s="144" t="str">
        <f t="shared" si="18"/>
        <v/>
      </c>
      <c r="L414" s="17"/>
      <c r="M414" s="145"/>
      <c r="N414" s="144"/>
      <c r="O414" s="156"/>
      <c r="P414" s="156"/>
      <c r="Q414" s="144"/>
      <c r="R414" s="147"/>
    </row>
    <row r="415" ht="21.75" customHeight="1">
      <c r="A415" s="155"/>
      <c r="B415" s="64"/>
      <c r="C415" s="23"/>
      <c r="D415" s="23"/>
      <c r="E415" s="24"/>
      <c r="F415" s="25"/>
      <c r="G415" s="24"/>
      <c r="H415" s="26"/>
      <c r="I415" s="143"/>
      <c r="J415" s="144"/>
      <c r="K415" s="144" t="str">
        <f t="shared" si="18"/>
        <v/>
      </c>
      <c r="L415" s="17"/>
      <c r="M415" s="145"/>
      <c r="N415" s="144"/>
      <c r="O415" s="156"/>
      <c r="P415" s="156"/>
      <c r="Q415" s="144"/>
      <c r="R415" s="147"/>
    </row>
    <row r="416" ht="21.75" customHeight="1">
      <c r="A416" s="155"/>
      <c r="B416" s="64"/>
      <c r="C416" s="23"/>
      <c r="D416" s="23"/>
      <c r="E416" s="24"/>
      <c r="F416" s="25"/>
      <c r="G416" s="24"/>
      <c r="H416" s="26"/>
      <c r="I416" s="143"/>
      <c r="J416" s="144"/>
      <c r="K416" s="144" t="str">
        <f t="shared" si="18"/>
        <v/>
      </c>
      <c r="L416" s="17"/>
      <c r="M416" s="145"/>
      <c r="N416" s="144"/>
      <c r="O416" s="156"/>
      <c r="P416" s="156"/>
      <c r="Q416" s="144"/>
      <c r="R416" s="147"/>
    </row>
    <row r="417" ht="21.75" customHeight="1">
      <c r="A417" s="155"/>
      <c r="B417" s="64"/>
      <c r="C417" s="23"/>
      <c r="D417" s="23"/>
      <c r="E417" s="24"/>
      <c r="F417" s="25"/>
      <c r="G417" s="24"/>
      <c r="H417" s="26"/>
      <c r="I417" s="143"/>
      <c r="J417" s="144"/>
      <c r="K417" s="144" t="str">
        <f t="shared" si="18"/>
        <v/>
      </c>
      <c r="L417" s="17"/>
      <c r="M417" s="145"/>
      <c r="N417" s="144"/>
      <c r="O417" s="156"/>
      <c r="P417" s="156"/>
      <c r="Q417" s="144"/>
      <c r="R417" s="147"/>
    </row>
    <row r="418" ht="21.75" customHeight="1">
      <c r="A418" s="155"/>
      <c r="B418" s="64"/>
      <c r="C418" s="23"/>
      <c r="D418" s="23"/>
      <c r="E418" s="24"/>
      <c r="F418" s="25"/>
      <c r="G418" s="24"/>
      <c r="H418" s="26"/>
      <c r="I418" s="143"/>
      <c r="J418" s="144"/>
      <c r="K418" s="144" t="str">
        <f t="shared" si="18"/>
        <v/>
      </c>
      <c r="L418" s="17"/>
      <c r="M418" s="145"/>
      <c r="N418" s="144"/>
      <c r="O418" s="156"/>
      <c r="P418" s="156"/>
      <c r="Q418" s="144"/>
      <c r="R418" s="147"/>
    </row>
    <row r="419" ht="21.75" customHeight="1">
      <c r="A419" s="155"/>
      <c r="B419" s="64"/>
      <c r="C419" s="23"/>
      <c r="D419" s="23"/>
      <c r="E419" s="24"/>
      <c r="F419" s="25"/>
      <c r="G419" s="24"/>
      <c r="H419" s="26"/>
      <c r="I419" s="143"/>
      <c r="J419" s="144"/>
      <c r="K419" s="144" t="str">
        <f t="shared" si="18"/>
        <v/>
      </c>
      <c r="L419" s="17"/>
      <c r="M419" s="145"/>
      <c r="N419" s="144"/>
      <c r="O419" s="156"/>
      <c r="P419" s="156"/>
      <c r="Q419" s="144"/>
      <c r="R419" s="147"/>
    </row>
    <row r="420" ht="21.75" customHeight="1">
      <c r="A420" s="155"/>
      <c r="B420" s="64"/>
      <c r="C420" s="23"/>
      <c r="D420" s="23"/>
      <c r="E420" s="24"/>
      <c r="F420" s="25"/>
      <c r="G420" s="24"/>
      <c r="H420" s="26"/>
      <c r="I420" s="143"/>
      <c r="J420" s="144"/>
      <c r="K420" s="144" t="str">
        <f t="shared" si="18"/>
        <v/>
      </c>
      <c r="L420" s="17"/>
      <c r="M420" s="145"/>
      <c r="N420" s="144"/>
      <c r="O420" s="156"/>
      <c r="P420" s="156"/>
      <c r="Q420" s="144"/>
      <c r="R420" s="147"/>
    </row>
    <row r="421" ht="21.75" customHeight="1">
      <c r="A421" s="155"/>
      <c r="B421" s="64"/>
      <c r="C421" s="23"/>
      <c r="D421" s="23"/>
      <c r="E421" s="24"/>
      <c r="F421" s="25"/>
      <c r="G421" s="24"/>
      <c r="H421" s="26"/>
      <c r="I421" s="143"/>
      <c r="J421" s="144"/>
      <c r="K421" s="144" t="str">
        <f t="shared" si="18"/>
        <v/>
      </c>
      <c r="L421" s="17"/>
      <c r="M421" s="145"/>
      <c r="N421" s="144"/>
      <c r="O421" s="156"/>
      <c r="P421" s="156"/>
      <c r="Q421" s="144"/>
      <c r="R421" s="147"/>
    </row>
    <row r="422" ht="21.75" customHeight="1">
      <c r="A422" s="155"/>
      <c r="B422" s="64"/>
      <c r="C422" s="23"/>
      <c r="D422" s="23"/>
      <c r="E422" s="24"/>
      <c r="F422" s="25"/>
      <c r="G422" s="24"/>
      <c r="H422" s="26"/>
      <c r="I422" s="143"/>
      <c r="J422" s="144"/>
      <c r="K422" s="144" t="str">
        <f t="shared" si="18"/>
        <v/>
      </c>
      <c r="L422" s="17"/>
      <c r="M422" s="145"/>
      <c r="N422" s="144"/>
      <c r="O422" s="156"/>
      <c r="P422" s="156"/>
      <c r="Q422" s="144"/>
      <c r="R422" s="147"/>
    </row>
    <row r="423" ht="21.75" customHeight="1">
      <c r="A423" s="155"/>
      <c r="B423" s="64"/>
      <c r="C423" s="23"/>
      <c r="D423" s="23"/>
      <c r="E423" s="24"/>
      <c r="F423" s="25"/>
      <c r="G423" s="24"/>
      <c r="H423" s="26"/>
      <c r="I423" s="143"/>
      <c r="J423" s="144"/>
      <c r="K423" s="144" t="str">
        <f t="shared" si="18"/>
        <v/>
      </c>
      <c r="L423" s="17"/>
      <c r="M423" s="145"/>
      <c r="N423" s="144"/>
      <c r="O423" s="156"/>
      <c r="P423" s="156"/>
      <c r="Q423" s="144"/>
      <c r="R423" s="147"/>
    </row>
    <row r="424" ht="21.75" customHeight="1">
      <c r="A424" s="155"/>
      <c r="B424" s="64"/>
      <c r="C424" s="23"/>
      <c r="D424" s="23"/>
      <c r="E424" s="24"/>
      <c r="F424" s="25"/>
      <c r="G424" s="24"/>
      <c r="H424" s="26"/>
      <c r="I424" s="143"/>
      <c r="J424" s="144"/>
      <c r="K424" s="144" t="str">
        <f t="shared" si="18"/>
        <v/>
      </c>
      <c r="L424" s="17"/>
      <c r="M424" s="145"/>
      <c r="N424" s="144"/>
      <c r="O424" s="156"/>
      <c r="P424" s="156"/>
      <c r="Q424" s="144"/>
      <c r="R424" s="147"/>
    </row>
    <row r="425" ht="21.75" customHeight="1">
      <c r="A425" s="155"/>
      <c r="B425" s="64"/>
      <c r="C425" s="23"/>
      <c r="D425" s="23"/>
      <c r="E425" s="24"/>
      <c r="F425" s="25"/>
      <c r="G425" s="24"/>
      <c r="H425" s="26"/>
      <c r="I425" s="143"/>
      <c r="J425" s="144"/>
      <c r="K425" s="144" t="str">
        <f t="shared" si="18"/>
        <v/>
      </c>
      <c r="L425" s="17"/>
      <c r="M425" s="145"/>
      <c r="N425" s="144"/>
      <c r="O425" s="156"/>
      <c r="P425" s="156"/>
      <c r="Q425" s="144"/>
      <c r="R425" s="147"/>
    </row>
    <row r="426" ht="21.75" customHeight="1">
      <c r="A426" s="155"/>
      <c r="B426" s="64"/>
      <c r="C426" s="23"/>
      <c r="D426" s="23"/>
      <c r="E426" s="24"/>
      <c r="F426" s="25"/>
      <c r="G426" s="24"/>
      <c r="H426" s="26"/>
      <c r="I426" s="143"/>
      <c r="J426" s="144"/>
      <c r="K426" s="144" t="str">
        <f t="shared" si="18"/>
        <v/>
      </c>
      <c r="L426" s="17"/>
      <c r="M426" s="145"/>
      <c r="N426" s="144"/>
      <c r="O426" s="156"/>
      <c r="P426" s="156"/>
      <c r="Q426" s="144"/>
      <c r="R426" s="147"/>
    </row>
    <row r="427" ht="21.75" customHeight="1">
      <c r="A427" s="155"/>
      <c r="B427" s="64"/>
      <c r="C427" s="23"/>
      <c r="D427" s="23"/>
      <c r="E427" s="24"/>
      <c r="F427" s="25"/>
      <c r="G427" s="24"/>
      <c r="H427" s="26"/>
      <c r="I427" s="143"/>
      <c r="J427" s="144"/>
      <c r="K427" s="144" t="str">
        <f t="shared" si="18"/>
        <v/>
      </c>
      <c r="L427" s="17"/>
      <c r="M427" s="145"/>
      <c r="N427" s="144"/>
      <c r="O427" s="156"/>
      <c r="P427" s="156"/>
      <c r="Q427" s="144"/>
      <c r="R427" s="147"/>
    </row>
    <row r="428" ht="21.75" customHeight="1">
      <c r="A428" s="155"/>
      <c r="B428" s="64"/>
      <c r="C428" s="23"/>
      <c r="D428" s="23"/>
      <c r="E428" s="24"/>
      <c r="F428" s="25"/>
      <c r="G428" s="24"/>
      <c r="H428" s="26"/>
      <c r="I428" s="143"/>
      <c r="J428" s="144"/>
      <c r="K428" s="144" t="str">
        <f t="shared" si="18"/>
        <v/>
      </c>
      <c r="L428" s="17"/>
      <c r="M428" s="145"/>
      <c r="N428" s="144"/>
      <c r="O428" s="156"/>
      <c r="P428" s="156"/>
      <c r="Q428" s="144"/>
      <c r="R428" s="147"/>
    </row>
    <row r="429" ht="21.75" customHeight="1">
      <c r="A429" s="155"/>
      <c r="B429" s="64"/>
      <c r="C429" s="23"/>
      <c r="D429" s="23"/>
      <c r="E429" s="24"/>
      <c r="F429" s="25"/>
      <c r="G429" s="24"/>
      <c r="H429" s="26"/>
      <c r="I429" s="143"/>
      <c r="J429" s="144"/>
      <c r="K429" s="144" t="str">
        <f t="shared" si="18"/>
        <v/>
      </c>
      <c r="L429" s="17"/>
      <c r="M429" s="145"/>
      <c r="N429" s="144"/>
      <c r="O429" s="156"/>
      <c r="P429" s="156"/>
      <c r="Q429" s="144"/>
      <c r="R429" s="147"/>
    </row>
    <row r="430" ht="21.75" customHeight="1">
      <c r="A430" s="155"/>
      <c r="B430" s="64"/>
      <c r="C430" s="23"/>
      <c r="D430" s="23"/>
      <c r="E430" s="24"/>
      <c r="F430" s="25"/>
      <c r="G430" s="24"/>
      <c r="H430" s="26"/>
      <c r="I430" s="143"/>
      <c r="J430" s="144"/>
      <c r="K430" s="144" t="str">
        <f t="shared" si="18"/>
        <v/>
      </c>
      <c r="L430" s="17"/>
      <c r="M430" s="145"/>
      <c r="N430" s="144"/>
      <c r="O430" s="156"/>
      <c r="P430" s="156"/>
      <c r="Q430" s="144"/>
      <c r="R430" s="147"/>
    </row>
    <row r="431" ht="21.75" customHeight="1">
      <c r="A431" s="155"/>
      <c r="B431" s="64"/>
      <c r="C431" s="23"/>
      <c r="D431" s="23"/>
      <c r="E431" s="24"/>
      <c r="F431" s="25"/>
      <c r="G431" s="24"/>
      <c r="H431" s="26"/>
      <c r="I431" s="143"/>
      <c r="J431" s="144"/>
      <c r="K431" s="144" t="str">
        <f t="shared" si="18"/>
        <v/>
      </c>
      <c r="L431" s="17"/>
      <c r="M431" s="145"/>
      <c r="N431" s="144"/>
      <c r="O431" s="156"/>
      <c r="P431" s="156"/>
      <c r="Q431" s="144"/>
      <c r="R431" s="147"/>
    </row>
    <row r="432" ht="21.75" customHeight="1">
      <c r="A432" s="155"/>
      <c r="B432" s="64"/>
      <c r="C432" s="23"/>
      <c r="D432" s="23"/>
      <c r="E432" s="24"/>
      <c r="F432" s="25"/>
      <c r="G432" s="24"/>
      <c r="H432" s="26"/>
      <c r="I432" s="143"/>
      <c r="J432" s="144"/>
      <c r="K432" s="144" t="str">
        <f t="shared" si="18"/>
        <v/>
      </c>
      <c r="L432" s="17"/>
      <c r="M432" s="145"/>
      <c r="N432" s="144"/>
      <c r="O432" s="156"/>
      <c r="P432" s="156"/>
      <c r="Q432" s="144"/>
      <c r="R432" s="147"/>
    </row>
    <row r="433" ht="21.75" customHeight="1">
      <c r="A433" s="155"/>
      <c r="B433" s="64"/>
      <c r="C433" s="23"/>
      <c r="D433" s="23"/>
      <c r="E433" s="24"/>
      <c r="F433" s="25"/>
      <c r="G433" s="24"/>
      <c r="H433" s="26"/>
      <c r="I433" s="143"/>
      <c r="J433" s="144"/>
      <c r="K433" s="144" t="str">
        <f t="shared" si="18"/>
        <v/>
      </c>
      <c r="L433" s="17"/>
      <c r="M433" s="145"/>
      <c r="N433" s="144"/>
      <c r="O433" s="156"/>
      <c r="P433" s="156"/>
      <c r="Q433" s="144"/>
      <c r="R433" s="147"/>
    </row>
    <row r="434" ht="21.75" customHeight="1">
      <c r="A434" s="155"/>
      <c r="B434" s="64"/>
      <c r="C434" s="23"/>
      <c r="D434" s="23"/>
      <c r="E434" s="24"/>
      <c r="F434" s="25"/>
      <c r="G434" s="24"/>
      <c r="H434" s="26"/>
      <c r="I434" s="143"/>
      <c r="J434" s="144"/>
      <c r="K434" s="144" t="str">
        <f t="shared" si="18"/>
        <v/>
      </c>
      <c r="L434" s="17"/>
      <c r="M434" s="145"/>
      <c r="N434" s="144"/>
      <c r="O434" s="156"/>
      <c r="P434" s="156"/>
      <c r="Q434" s="144"/>
      <c r="R434" s="147"/>
    </row>
    <row r="435" ht="21.75" customHeight="1">
      <c r="A435" s="155"/>
      <c r="B435" s="64"/>
      <c r="C435" s="23"/>
      <c r="D435" s="23"/>
      <c r="E435" s="24"/>
      <c r="F435" s="25"/>
      <c r="G435" s="24"/>
      <c r="H435" s="26"/>
      <c r="I435" s="143"/>
      <c r="J435" s="144"/>
      <c r="K435" s="144" t="str">
        <f t="shared" si="18"/>
        <v/>
      </c>
      <c r="L435" s="17"/>
      <c r="M435" s="145"/>
      <c r="N435" s="144"/>
      <c r="O435" s="156"/>
      <c r="P435" s="156"/>
      <c r="Q435" s="144"/>
      <c r="R435" s="147"/>
    </row>
    <row r="436" ht="21.75" customHeight="1">
      <c r="A436" s="155"/>
      <c r="B436" s="64"/>
      <c r="C436" s="23"/>
      <c r="D436" s="23"/>
      <c r="E436" s="24"/>
      <c r="F436" s="25"/>
      <c r="G436" s="24"/>
      <c r="H436" s="26"/>
      <c r="I436" s="143"/>
      <c r="J436" s="144"/>
      <c r="K436" s="144" t="str">
        <f t="shared" si="18"/>
        <v/>
      </c>
      <c r="L436" s="17"/>
      <c r="M436" s="145"/>
      <c r="N436" s="144"/>
      <c r="O436" s="156"/>
      <c r="P436" s="156"/>
      <c r="Q436" s="144"/>
      <c r="R436" s="147"/>
    </row>
    <row r="437" ht="21.75" customHeight="1">
      <c r="A437" s="155"/>
      <c r="B437" s="64"/>
      <c r="C437" s="23"/>
      <c r="D437" s="23"/>
      <c r="E437" s="24"/>
      <c r="F437" s="25"/>
      <c r="G437" s="24"/>
      <c r="H437" s="26"/>
      <c r="I437" s="143"/>
      <c r="J437" s="144"/>
      <c r="K437" s="144" t="str">
        <f t="shared" si="18"/>
        <v/>
      </c>
      <c r="L437" s="17"/>
      <c r="M437" s="145"/>
      <c r="N437" s="144"/>
      <c r="O437" s="156"/>
      <c r="P437" s="156"/>
      <c r="Q437" s="144"/>
      <c r="R437" s="147"/>
    </row>
    <row r="438" ht="21.75" customHeight="1">
      <c r="A438" s="155"/>
      <c r="B438" s="64"/>
      <c r="C438" s="23"/>
      <c r="D438" s="23"/>
      <c r="E438" s="24"/>
      <c r="F438" s="25"/>
      <c r="G438" s="24"/>
      <c r="H438" s="26"/>
      <c r="I438" s="143"/>
      <c r="J438" s="144"/>
      <c r="K438" s="144" t="str">
        <f t="shared" si="18"/>
        <v/>
      </c>
      <c r="L438" s="17"/>
      <c r="M438" s="145"/>
      <c r="N438" s="144"/>
      <c r="O438" s="156"/>
      <c r="P438" s="156"/>
      <c r="Q438" s="144"/>
      <c r="R438" s="147"/>
    </row>
    <row r="439" ht="21.75" customHeight="1">
      <c r="A439" s="155"/>
      <c r="B439" s="64"/>
      <c r="C439" s="23"/>
      <c r="D439" s="23"/>
      <c r="E439" s="24"/>
      <c r="F439" s="25"/>
      <c r="G439" s="24"/>
      <c r="H439" s="26"/>
      <c r="I439" s="143"/>
      <c r="J439" s="144"/>
      <c r="K439" s="144" t="str">
        <f t="shared" si="18"/>
        <v/>
      </c>
      <c r="L439" s="17"/>
      <c r="M439" s="145"/>
      <c r="N439" s="144"/>
      <c r="O439" s="156"/>
      <c r="P439" s="156"/>
      <c r="Q439" s="144"/>
      <c r="R439" s="147"/>
    </row>
    <row r="440" ht="21.75" customHeight="1">
      <c r="A440" s="155"/>
      <c r="B440" s="64"/>
      <c r="C440" s="23"/>
      <c r="D440" s="23"/>
      <c r="E440" s="24"/>
      <c r="F440" s="25"/>
      <c r="G440" s="24"/>
      <c r="H440" s="26"/>
      <c r="I440" s="143"/>
      <c r="J440" s="144"/>
      <c r="K440" s="144" t="str">
        <f t="shared" si="18"/>
        <v/>
      </c>
      <c r="L440" s="17"/>
      <c r="M440" s="145"/>
      <c r="N440" s="144"/>
      <c r="O440" s="156"/>
      <c r="P440" s="156"/>
      <c r="Q440" s="144"/>
      <c r="R440" s="147"/>
    </row>
    <row r="441" ht="21.75" customHeight="1">
      <c r="A441" s="155"/>
      <c r="B441" s="64"/>
      <c r="C441" s="23"/>
      <c r="D441" s="23"/>
      <c r="E441" s="24"/>
      <c r="F441" s="25"/>
      <c r="G441" s="24"/>
      <c r="H441" s="26"/>
      <c r="I441" s="143"/>
      <c r="J441" s="144"/>
      <c r="K441" s="144" t="str">
        <f t="shared" si="18"/>
        <v/>
      </c>
      <c r="L441" s="17"/>
      <c r="M441" s="145"/>
      <c r="N441" s="144"/>
      <c r="O441" s="156"/>
      <c r="P441" s="156"/>
      <c r="Q441" s="144"/>
      <c r="R441" s="147"/>
    </row>
    <row r="442" ht="21.75" customHeight="1">
      <c r="A442" s="155"/>
      <c r="B442" s="64"/>
      <c r="C442" s="23"/>
      <c r="D442" s="23"/>
      <c r="E442" s="24"/>
      <c r="F442" s="25"/>
      <c r="G442" s="24"/>
      <c r="H442" s="26"/>
      <c r="I442" s="143"/>
      <c r="J442" s="144"/>
      <c r="K442" s="144" t="str">
        <f t="shared" si="18"/>
        <v/>
      </c>
      <c r="L442" s="17"/>
      <c r="M442" s="145"/>
      <c r="N442" s="144"/>
      <c r="O442" s="156"/>
      <c r="P442" s="156"/>
      <c r="Q442" s="144"/>
      <c r="R442" s="147"/>
    </row>
    <row r="443" ht="21.75" customHeight="1">
      <c r="A443" s="155"/>
      <c r="B443" s="64"/>
      <c r="C443" s="23"/>
      <c r="D443" s="23"/>
      <c r="E443" s="24"/>
      <c r="F443" s="25"/>
      <c r="G443" s="24"/>
      <c r="H443" s="26"/>
      <c r="I443" s="143"/>
      <c r="J443" s="144"/>
      <c r="K443" s="144" t="str">
        <f t="shared" si="18"/>
        <v/>
      </c>
      <c r="L443" s="17"/>
      <c r="M443" s="145"/>
      <c r="N443" s="144"/>
      <c r="O443" s="156"/>
      <c r="P443" s="156"/>
      <c r="Q443" s="144"/>
      <c r="R443" s="147"/>
    </row>
    <row r="444" ht="21.75" customHeight="1">
      <c r="A444" s="155"/>
      <c r="B444" s="64"/>
      <c r="C444" s="23"/>
      <c r="D444" s="23"/>
      <c r="E444" s="24"/>
      <c r="F444" s="25"/>
      <c r="G444" s="24"/>
      <c r="H444" s="26"/>
      <c r="I444" s="143"/>
      <c r="J444" s="144"/>
      <c r="K444" s="144" t="str">
        <f t="shared" si="18"/>
        <v/>
      </c>
      <c r="L444" s="17"/>
      <c r="M444" s="145"/>
      <c r="N444" s="144"/>
      <c r="O444" s="156"/>
      <c r="P444" s="156"/>
      <c r="Q444" s="144"/>
      <c r="R444" s="147"/>
    </row>
    <row r="445" ht="21.75" customHeight="1">
      <c r="A445" s="155"/>
      <c r="B445" s="64"/>
      <c r="C445" s="23"/>
      <c r="D445" s="23"/>
      <c r="E445" s="24"/>
      <c r="F445" s="25"/>
      <c r="G445" s="24"/>
      <c r="H445" s="26"/>
      <c r="I445" s="143"/>
      <c r="J445" s="144"/>
      <c r="K445" s="144" t="str">
        <f t="shared" si="18"/>
        <v/>
      </c>
      <c r="L445" s="17"/>
      <c r="M445" s="145"/>
      <c r="N445" s="144"/>
      <c r="O445" s="156"/>
      <c r="P445" s="156"/>
      <c r="Q445" s="144"/>
      <c r="R445" s="147"/>
    </row>
    <row r="446" ht="21.75" customHeight="1">
      <c r="A446" s="155"/>
      <c r="B446" s="64"/>
      <c r="C446" s="23"/>
      <c r="D446" s="23"/>
      <c r="E446" s="24"/>
      <c r="F446" s="25"/>
      <c r="G446" s="24"/>
      <c r="H446" s="26"/>
      <c r="I446" s="143"/>
      <c r="J446" s="144"/>
      <c r="K446" s="144" t="str">
        <f t="shared" si="18"/>
        <v/>
      </c>
      <c r="L446" s="17"/>
      <c r="M446" s="145"/>
      <c r="N446" s="144"/>
      <c r="O446" s="156"/>
      <c r="P446" s="156"/>
      <c r="Q446" s="144"/>
      <c r="R446" s="147"/>
    </row>
    <row r="447" ht="21.75" customHeight="1">
      <c r="A447" s="155"/>
      <c r="B447" s="64"/>
      <c r="C447" s="23"/>
      <c r="D447" s="23"/>
      <c r="E447" s="24"/>
      <c r="F447" s="25"/>
      <c r="G447" s="24"/>
      <c r="H447" s="26"/>
      <c r="I447" s="143"/>
      <c r="J447" s="144"/>
      <c r="K447" s="144" t="str">
        <f t="shared" si="18"/>
        <v/>
      </c>
      <c r="L447" s="17"/>
      <c r="M447" s="145"/>
      <c r="N447" s="144"/>
      <c r="O447" s="156"/>
      <c r="P447" s="156"/>
      <c r="Q447" s="144"/>
      <c r="R447" s="147"/>
    </row>
    <row r="448" ht="21.75" customHeight="1">
      <c r="A448" s="155"/>
      <c r="B448" s="64"/>
      <c r="C448" s="23"/>
      <c r="D448" s="23"/>
      <c r="E448" s="24"/>
      <c r="F448" s="25"/>
      <c r="G448" s="24"/>
      <c r="H448" s="26"/>
      <c r="I448" s="143"/>
      <c r="J448" s="144"/>
      <c r="K448" s="144" t="str">
        <f t="shared" si="18"/>
        <v/>
      </c>
      <c r="L448" s="17"/>
      <c r="M448" s="145"/>
      <c r="N448" s="144"/>
      <c r="O448" s="156"/>
      <c r="P448" s="156"/>
      <c r="Q448" s="144"/>
      <c r="R448" s="147"/>
    </row>
    <row r="449" ht="21.75" customHeight="1">
      <c r="A449" s="155"/>
      <c r="B449" s="64"/>
      <c r="C449" s="23"/>
      <c r="D449" s="23"/>
      <c r="E449" s="24"/>
      <c r="F449" s="25"/>
      <c r="G449" s="24"/>
      <c r="H449" s="26"/>
      <c r="I449" s="143"/>
      <c r="J449" s="144"/>
      <c r="K449" s="144" t="str">
        <f t="shared" si="18"/>
        <v/>
      </c>
      <c r="L449" s="17"/>
      <c r="M449" s="145"/>
      <c r="N449" s="144"/>
      <c r="O449" s="156"/>
      <c r="P449" s="156"/>
      <c r="Q449" s="144"/>
      <c r="R449" s="147"/>
    </row>
    <row r="450" ht="21.75" customHeight="1">
      <c r="A450" s="155"/>
      <c r="B450" s="64"/>
      <c r="C450" s="23"/>
      <c r="D450" s="23"/>
      <c r="E450" s="24"/>
      <c r="F450" s="25"/>
      <c r="G450" s="24"/>
      <c r="H450" s="26"/>
      <c r="I450" s="143"/>
      <c r="J450" s="144"/>
      <c r="K450" s="144" t="str">
        <f t="shared" si="18"/>
        <v/>
      </c>
      <c r="L450" s="17"/>
      <c r="M450" s="145"/>
      <c r="N450" s="144"/>
      <c r="O450" s="156"/>
      <c r="P450" s="156"/>
      <c r="Q450" s="144"/>
      <c r="R450" s="147"/>
    </row>
    <row r="451" ht="21.75" customHeight="1">
      <c r="A451" s="155"/>
      <c r="B451" s="64"/>
      <c r="C451" s="23"/>
      <c r="D451" s="23"/>
      <c r="E451" s="24"/>
      <c r="F451" s="25"/>
      <c r="G451" s="24"/>
      <c r="H451" s="26"/>
      <c r="I451" s="143"/>
      <c r="J451" s="144"/>
      <c r="K451" s="144" t="str">
        <f t="shared" si="18"/>
        <v/>
      </c>
      <c r="L451" s="17"/>
      <c r="M451" s="145"/>
      <c r="N451" s="144"/>
      <c r="O451" s="156"/>
      <c r="P451" s="156"/>
      <c r="Q451" s="144"/>
      <c r="R451" s="147"/>
    </row>
    <row r="452" ht="21.75" customHeight="1">
      <c r="A452" s="155"/>
      <c r="B452" s="64"/>
      <c r="C452" s="23"/>
      <c r="D452" s="23"/>
      <c r="E452" s="24"/>
      <c r="F452" s="25"/>
      <c r="G452" s="24"/>
      <c r="H452" s="26"/>
      <c r="I452" s="143"/>
      <c r="J452" s="144"/>
      <c r="K452" s="144" t="str">
        <f t="shared" si="18"/>
        <v/>
      </c>
      <c r="L452" s="17"/>
      <c r="M452" s="145"/>
      <c r="N452" s="144"/>
      <c r="O452" s="156"/>
      <c r="P452" s="156"/>
      <c r="Q452" s="144"/>
      <c r="R452" s="147"/>
    </row>
    <row r="453" ht="21.75" customHeight="1">
      <c r="A453" s="155"/>
      <c r="B453" s="64"/>
      <c r="C453" s="23"/>
      <c r="D453" s="23"/>
      <c r="E453" s="24"/>
      <c r="F453" s="25"/>
      <c r="G453" s="24"/>
      <c r="H453" s="26"/>
      <c r="I453" s="143"/>
      <c r="J453" s="144"/>
      <c r="K453" s="144" t="str">
        <f t="shared" si="18"/>
        <v/>
      </c>
      <c r="L453" s="17"/>
      <c r="M453" s="145"/>
      <c r="N453" s="144"/>
      <c r="O453" s="156"/>
      <c r="P453" s="156"/>
      <c r="Q453" s="144"/>
      <c r="R453" s="147"/>
    </row>
    <row r="454" ht="21.75" customHeight="1">
      <c r="A454" s="155"/>
      <c r="B454" s="64"/>
      <c r="C454" s="23"/>
      <c r="D454" s="23"/>
      <c r="E454" s="24"/>
      <c r="F454" s="25"/>
      <c r="G454" s="24"/>
      <c r="H454" s="26"/>
      <c r="I454" s="143"/>
      <c r="J454" s="144"/>
      <c r="K454" s="144" t="str">
        <f t="shared" si="18"/>
        <v/>
      </c>
      <c r="L454" s="17"/>
      <c r="M454" s="145"/>
      <c r="N454" s="144"/>
      <c r="O454" s="156"/>
      <c r="P454" s="156"/>
      <c r="Q454" s="144"/>
      <c r="R454" s="147"/>
    </row>
    <row r="455" ht="21.75" customHeight="1">
      <c r="A455" s="155"/>
      <c r="B455" s="64"/>
      <c r="C455" s="23"/>
      <c r="D455" s="23"/>
      <c r="E455" s="24"/>
      <c r="F455" s="25"/>
      <c r="G455" s="24"/>
      <c r="H455" s="26"/>
      <c r="I455" s="143"/>
      <c r="J455" s="144"/>
      <c r="K455" s="144" t="str">
        <f t="shared" si="18"/>
        <v/>
      </c>
      <c r="L455" s="17"/>
      <c r="M455" s="145"/>
      <c r="N455" s="144"/>
      <c r="O455" s="156"/>
      <c r="P455" s="156"/>
      <c r="Q455" s="144"/>
      <c r="R455" s="147"/>
    </row>
    <row r="456" ht="21.75" customHeight="1">
      <c r="A456" s="155"/>
      <c r="B456" s="64"/>
      <c r="C456" s="23"/>
      <c r="D456" s="23"/>
      <c r="E456" s="24"/>
      <c r="F456" s="25"/>
      <c r="G456" s="24"/>
      <c r="H456" s="26"/>
      <c r="I456" s="143"/>
      <c r="J456" s="144"/>
      <c r="K456" s="144" t="str">
        <f t="shared" si="18"/>
        <v/>
      </c>
      <c r="L456" s="17"/>
      <c r="M456" s="145"/>
      <c r="N456" s="144"/>
      <c r="O456" s="156"/>
      <c r="P456" s="156"/>
      <c r="Q456" s="144"/>
      <c r="R456" s="147"/>
    </row>
    <row r="457" ht="21.75" customHeight="1">
      <c r="A457" s="155"/>
      <c r="B457" s="64"/>
      <c r="C457" s="23"/>
      <c r="D457" s="23"/>
      <c r="E457" s="24"/>
      <c r="F457" s="25"/>
      <c r="G457" s="24"/>
      <c r="H457" s="26"/>
      <c r="I457" s="143"/>
      <c r="J457" s="144"/>
      <c r="K457" s="144" t="str">
        <f t="shared" si="18"/>
        <v/>
      </c>
      <c r="L457" s="17"/>
      <c r="M457" s="145"/>
      <c r="N457" s="144"/>
      <c r="O457" s="156"/>
      <c r="P457" s="156"/>
      <c r="Q457" s="144"/>
      <c r="R457" s="147"/>
    </row>
    <row r="458" ht="21.75" customHeight="1">
      <c r="A458" s="155"/>
      <c r="B458" s="64"/>
      <c r="C458" s="23"/>
      <c r="D458" s="23"/>
      <c r="E458" s="24"/>
      <c r="F458" s="25"/>
      <c r="G458" s="24"/>
      <c r="H458" s="26"/>
      <c r="I458" s="143"/>
      <c r="J458" s="144"/>
      <c r="K458" s="144" t="str">
        <f t="shared" si="18"/>
        <v/>
      </c>
      <c r="L458" s="17"/>
      <c r="M458" s="145"/>
      <c r="N458" s="144"/>
      <c r="O458" s="156"/>
      <c r="P458" s="156"/>
      <c r="Q458" s="144"/>
      <c r="R458" s="147"/>
    </row>
    <row r="459" ht="21.75" customHeight="1">
      <c r="A459" s="155"/>
      <c r="B459" s="64"/>
      <c r="C459" s="23"/>
      <c r="D459" s="23"/>
      <c r="E459" s="24"/>
      <c r="F459" s="25"/>
      <c r="G459" s="24"/>
      <c r="H459" s="26"/>
      <c r="I459" s="143"/>
      <c r="J459" s="144"/>
      <c r="K459" s="144" t="str">
        <f t="shared" si="18"/>
        <v/>
      </c>
      <c r="L459" s="17"/>
      <c r="M459" s="145"/>
      <c r="N459" s="144"/>
      <c r="O459" s="156"/>
      <c r="P459" s="156"/>
      <c r="Q459" s="144"/>
      <c r="R459" s="147"/>
    </row>
    <row r="460" ht="21.75" customHeight="1">
      <c r="A460" s="155"/>
      <c r="B460" s="64"/>
      <c r="C460" s="23"/>
      <c r="D460" s="23"/>
      <c r="E460" s="24"/>
      <c r="F460" s="25"/>
      <c r="G460" s="24"/>
      <c r="H460" s="26"/>
      <c r="I460" s="143"/>
      <c r="J460" s="144"/>
      <c r="K460" s="144" t="str">
        <f t="shared" si="18"/>
        <v/>
      </c>
      <c r="L460" s="17"/>
      <c r="M460" s="145"/>
      <c r="N460" s="144"/>
      <c r="O460" s="156"/>
      <c r="P460" s="156"/>
      <c r="Q460" s="144"/>
      <c r="R460" s="147"/>
    </row>
    <row r="461" ht="21.75" customHeight="1">
      <c r="A461" s="155"/>
      <c r="B461" s="64"/>
      <c r="C461" s="23"/>
      <c r="D461" s="23"/>
      <c r="E461" s="24"/>
      <c r="F461" s="25"/>
      <c r="G461" s="24"/>
      <c r="H461" s="26"/>
      <c r="I461" s="143"/>
      <c r="J461" s="144"/>
      <c r="K461" s="144" t="str">
        <f t="shared" si="18"/>
        <v/>
      </c>
      <c r="L461" s="17"/>
      <c r="M461" s="145"/>
      <c r="N461" s="144"/>
      <c r="O461" s="156"/>
      <c r="P461" s="156"/>
      <c r="Q461" s="144"/>
      <c r="R461" s="147"/>
    </row>
    <row r="462" ht="21.75" customHeight="1">
      <c r="A462" s="155"/>
      <c r="B462" s="64"/>
      <c r="C462" s="23"/>
      <c r="D462" s="23"/>
      <c r="E462" s="24"/>
      <c r="F462" s="25"/>
      <c r="G462" s="24"/>
      <c r="H462" s="26"/>
      <c r="I462" s="143"/>
      <c r="J462" s="144"/>
      <c r="K462" s="144" t="str">
        <f t="shared" si="18"/>
        <v/>
      </c>
      <c r="L462" s="17"/>
      <c r="M462" s="145"/>
      <c r="N462" s="144"/>
      <c r="O462" s="156"/>
      <c r="P462" s="156"/>
      <c r="Q462" s="144"/>
      <c r="R462" s="147"/>
    </row>
    <row r="463" ht="21.75" customHeight="1">
      <c r="A463" s="155"/>
      <c r="B463" s="64"/>
      <c r="C463" s="23"/>
      <c r="D463" s="23"/>
      <c r="E463" s="24"/>
      <c r="F463" s="25"/>
      <c r="G463" s="24"/>
      <c r="H463" s="26"/>
      <c r="I463" s="143"/>
      <c r="J463" s="144"/>
      <c r="K463" s="144" t="str">
        <f t="shared" si="18"/>
        <v/>
      </c>
      <c r="L463" s="17"/>
      <c r="M463" s="145"/>
      <c r="N463" s="144"/>
      <c r="O463" s="156"/>
      <c r="P463" s="156"/>
      <c r="Q463" s="144"/>
      <c r="R463" s="147"/>
    </row>
    <row r="464" ht="21.75" customHeight="1">
      <c r="A464" s="155"/>
      <c r="B464" s="64"/>
      <c r="C464" s="23"/>
      <c r="D464" s="23"/>
      <c r="E464" s="24"/>
      <c r="F464" s="25"/>
      <c r="G464" s="24"/>
      <c r="H464" s="26"/>
      <c r="I464" s="143"/>
      <c r="J464" s="144"/>
      <c r="K464" s="144" t="str">
        <f t="shared" si="18"/>
        <v/>
      </c>
      <c r="L464" s="17"/>
      <c r="M464" s="145"/>
      <c r="N464" s="144"/>
      <c r="O464" s="156"/>
      <c r="P464" s="156"/>
      <c r="Q464" s="144"/>
      <c r="R464" s="147"/>
    </row>
    <row r="465" ht="21.75" customHeight="1">
      <c r="A465" s="155"/>
      <c r="B465" s="64"/>
      <c r="C465" s="23"/>
      <c r="D465" s="23"/>
      <c r="E465" s="24"/>
      <c r="F465" s="25"/>
      <c r="G465" s="24"/>
      <c r="H465" s="26"/>
      <c r="I465" s="143"/>
      <c r="J465" s="144"/>
      <c r="K465" s="144" t="str">
        <f t="shared" si="18"/>
        <v/>
      </c>
      <c r="L465" s="17"/>
      <c r="M465" s="145"/>
      <c r="N465" s="144"/>
      <c r="O465" s="156"/>
      <c r="P465" s="156"/>
      <c r="Q465" s="144"/>
      <c r="R465" s="147"/>
    </row>
    <row r="466" ht="21.75" customHeight="1">
      <c r="A466" s="155"/>
      <c r="B466" s="64"/>
      <c r="C466" s="23"/>
      <c r="D466" s="23"/>
      <c r="E466" s="24"/>
      <c r="F466" s="25"/>
      <c r="G466" s="24"/>
      <c r="H466" s="26"/>
      <c r="I466" s="143"/>
      <c r="J466" s="144"/>
      <c r="K466" s="144" t="str">
        <f t="shared" si="18"/>
        <v/>
      </c>
      <c r="L466" s="17"/>
      <c r="M466" s="145"/>
      <c r="N466" s="144"/>
      <c r="O466" s="156"/>
      <c r="P466" s="156"/>
      <c r="Q466" s="144"/>
      <c r="R466" s="147"/>
    </row>
    <row r="467" ht="21.75" customHeight="1">
      <c r="A467" s="155"/>
      <c r="B467" s="64"/>
      <c r="C467" s="23"/>
      <c r="D467" s="23"/>
      <c r="E467" s="24"/>
      <c r="F467" s="25"/>
      <c r="G467" s="24"/>
      <c r="H467" s="26"/>
      <c r="I467" s="143"/>
      <c r="J467" s="144"/>
      <c r="K467" s="144" t="str">
        <f t="shared" si="18"/>
        <v/>
      </c>
      <c r="L467" s="17"/>
      <c r="M467" s="145"/>
      <c r="N467" s="144"/>
      <c r="O467" s="156"/>
      <c r="P467" s="156"/>
      <c r="Q467" s="144"/>
      <c r="R467" s="147"/>
    </row>
    <row r="468" ht="21.75" customHeight="1">
      <c r="A468" s="155"/>
      <c r="B468" s="64"/>
      <c r="C468" s="23"/>
      <c r="D468" s="23"/>
      <c r="E468" s="24"/>
      <c r="F468" s="25"/>
      <c r="G468" s="24"/>
      <c r="H468" s="26"/>
      <c r="I468" s="143"/>
      <c r="J468" s="144"/>
      <c r="K468" s="144" t="str">
        <f t="shared" si="18"/>
        <v/>
      </c>
      <c r="L468" s="17"/>
      <c r="M468" s="145"/>
      <c r="N468" s="144"/>
      <c r="O468" s="156"/>
      <c r="P468" s="156"/>
      <c r="Q468" s="144"/>
      <c r="R468" s="147"/>
    </row>
    <row r="469" ht="21.75" customHeight="1">
      <c r="A469" s="155"/>
      <c r="B469" s="64"/>
      <c r="C469" s="23"/>
      <c r="D469" s="23"/>
      <c r="E469" s="24"/>
      <c r="F469" s="25"/>
      <c r="G469" s="24"/>
      <c r="H469" s="26"/>
      <c r="I469" s="143"/>
      <c r="J469" s="144"/>
      <c r="K469" s="144" t="str">
        <f t="shared" si="18"/>
        <v/>
      </c>
      <c r="L469" s="17"/>
      <c r="M469" s="145"/>
      <c r="N469" s="144"/>
      <c r="O469" s="156"/>
      <c r="P469" s="156"/>
      <c r="Q469" s="144"/>
      <c r="R469" s="147"/>
    </row>
    <row r="470" ht="21.75" customHeight="1">
      <c r="A470" s="155"/>
      <c r="B470" s="64"/>
      <c r="C470" s="23"/>
      <c r="D470" s="23"/>
      <c r="E470" s="24"/>
      <c r="F470" s="25"/>
      <c r="G470" s="24"/>
      <c r="H470" s="26"/>
      <c r="I470" s="143"/>
      <c r="J470" s="144"/>
      <c r="K470" s="144" t="str">
        <f t="shared" si="18"/>
        <v/>
      </c>
      <c r="L470" s="17"/>
      <c r="M470" s="145"/>
      <c r="N470" s="144"/>
      <c r="O470" s="156"/>
      <c r="P470" s="156"/>
      <c r="Q470" s="144"/>
      <c r="R470" s="147"/>
    </row>
    <row r="471" ht="21.75" customHeight="1">
      <c r="A471" s="155"/>
      <c r="B471" s="64"/>
      <c r="C471" s="23"/>
      <c r="D471" s="23"/>
      <c r="E471" s="24"/>
      <c r="F471" s="25"/>
      <c r="G471" s="24"/>
      <c r="H471" s="26"/>
      <c r="I471" s="143"/>
      <c r="J471" s="144"/>
      <c r="K471" s="144" t="str">
        <f t="shared" si="18"/>
        <v/>
      </c>
      <c r="L471" s="17"/>
      <c r="M471" s="145"/>
      <c r="N471" s="144"/>
      <c r="O471" s="156"/>
      <c r="P471" s="156"/>
      <c r="Q471" s="144"/>
      <c r="R471" s="147"/>
    </row>
    <row r="472" ht="21.75" customHeight="1">
      <c r="A472" s="155"/>
      <c r="B472" s="64"/>
      <c r="C472" s="23"/>
      <c r="D472" s="23"/>
      <c r="E472" s="24"/>
      <c r="F472" s="25"/>
      <c r="G472" s="24"/>
      <c r="H472" s="26"/>
      <c r="I472" s="143"/>
      <c r="J472" s="144"/>
      <c r="K472" s="144" t="str">
        <f t="shared" si="18"/>
        <v/>
      </c>
      <c r="L472" s="17"/>
      <c r="M472" s="145"/>
      <c r="N472" s="144"/>
      <c r="O472" s="156"/>
      <c r="P472" s="156"/>
      <c r="Q472" s="144"/>
      <c r="R472" s="147"/>
    </row>
    <row r="473" ht="21.75" customHeight="1">
      <c r="A473" s="155"/>
      <c r="B473" s="64"/>
      <c r="C473" s="23"/>
      <c r="D473" s="23"/>
      <c r="E473" s="24"/>
      <c r="F473" s="25"/>
      <c r="G473" s="24"/>
      <c r="H473" s="26"/>
      <c r="I473" s="143"/>
      <c r="J473" s="144"/>
      <c r="K473" s="144" t="str">
        <f t="shared" si="18"/>
        <v/>
      </c>
      <c r="L473" s="17"/>
      <c r="M473" s="145"/>
      <c r="N473" s="144"/>
      <c r="O473" s="156"/>
      <c r="P473" s="156"/>
      <c r="Q473" s="144"/>
      <c r="R473" s="147"/>
    </row>
    <row r="474" ht="21.75" customHeight="1">
      <c r="A474" s="155"/>
      <c r="B474" s="64"/>
      <c r="C474" s="23"/>
      <c r="D474" s="23"/>
      <c r="E474" s="24"/>
      <c r="F474" s="25"/>
      <c r="G474" s="24"/>
      <c r="H474" s="26"/>
      <c r="I474" s="143"/>
      <c r="J474" s="144"/>
      <c r="K474" s="144" t="str">
        <f t="shared" si="18"/>
        <v/>
      </c>
      <c r="L474" s="17"/>
      <c r="M474" s="145"/>
      <c r="N474" s="144"/>
      <c r="O474" s="156"/>
      <c r="P474" s="156"/>
      <c r="Q474" s="144"/>
      <c r="R474" s="147"/>
    </row>
    <row r="475" ht="21.75" customHeight="1">
      <c r="A475" s="155"/>
      <c r="B475" s="64"/>
      <c r="C475" s="23"/>
      <c r="D475" s="23"/>
      <c r="E475" s="24"/>
      <c r="F475" s="25"/>
      <c r="G475" s="24"/>
      <c r="H475" s="26"/>
      <c r="I475" s="143"/>
      <c r="J475" s="144"/>
      <c r="K475" s="144" t="str">
        <f t="shared" si="18"/>
        <v/>
      </c>
      <c r="L475" s="17"/>
      <c r="M475" s="145"/>
      <c r="N475" s="144"/>
      <c r="O475" s="156"/>
      <c r="P475" s="156"/>
      <c r="Q475" s="144"/>
      <c r="R475" s="147"/>
    </row>
    <row r="476" ht="21.75" customHeight="1">
      <c r="A476" s="155"/>
      <c r="B476" s="64"/>
      <c r="C476" s="23"/>
      <c r="D476" s="23"/>
      <c r="E476" s="24"/>
      <c r="F476" s="25"/>
      <c r="G476" s="24"/>
      <c r="H476" s="26"/>
      <c r="I476" s="143"/>
      <c r="J476" s="144"/>
      <c r="K476" s="144" t="str">
        <f t="shared" si="18"/>
        <v/>
      </c>
      <c r="L476" s="17"/>
      <c r="M476" s="145"/>
      <c r="N476" s="144"/>
      <c r="O476" s="156"/>
      <c r="P476" s="156"/>
      <c r="Q476" s="144"/>
      <c r="R476" s="147"/>
    </row>
    <row r="477" ht="21.75" customHeight="1">
      <c r="A477" s="155"/>
      <c r="B477" s="64"/>
      <c r="C477" s="23"/>
      <c r="D477" s="23"/>
      <c r="E477" s="24"/>
      <c r="F477" s="25"/>
      <c r="G477" s="24"/>
      <c r="H477" s="26"/>
      <c r="I477" s="143"/>
      <c r="J477" s="144"/>
      <c r="K477" s="144" t="str">
        <f t="shared" si="18"/>
        <v/>
      </c>
      <c r="L477" s="17"/>
      <c r="M477" s="145"/>
      <c r="N477" s="144"/>
      <c r="O477" s="156"/>
      <c r="P477" s="156"/>
      <c r="Q477" s="144"/>
      <c r="R477" s="147"/>
    </row>
    <row r="478" ht="21.75" customHeight="1">
      <c r="A478" s="155"/>
      <c r="B478" s="64"/>
      <c r="C478" s="23"/>
      <c r="D478" s="23"/>
      <c r="E478" s="24"/>
      <c r="F478" s="25"/>
      <c r="G478" s="24"/>
      <c r="H478" s="26"/>
      <c r="I478" s="143"/>
      <c r="J478" s="144"/>
      <c r="K478" s="144" t="str">
        <f t="shared" si="18"/>
        <v/>
      </c>
      <c r="L478" s="17"/>
      <c r="M478" s="145"/>
      <c r="N478" s="144"/>
      <c r="O478" s="156"/>
      <c r="P478" s="156"/>
      <c r="Q478" s="144"/>
      <c r="R478" s="147"/>
    </row>
    <row r="479" ht="21.75" customHeight="1">
      <c r="A479" s="155"/>
      <c r="B479" s="64"/>
      <c r="C479" s="23"/>
      <c r="D479" s="23"/>
      <c r="E479" s="24"/>
      <c r="F479" s="25"/>
      <c r="G479" s="24"/>
      <c r="H479" s="26"/>
      <c r="I479" s="143"/>
      <c r="J479" s="144"/>
      <c r="K479" s="144" t="str">
        <f t="shared" si="18"/>
        <v/>
      </c>
      <c r="L479" s="17"/>
      <c r="M479" s="145"/>
      <c r="N479" s="144"/>
      <c r="O479" s="156"/>
      <c r="P479" s="156"/>
      <c r="Q479" s="144"/>
      <c r="R479" s="147"/>
    </row>
    <row r="480" ht="21.75" customHeight="1">
      <c r="A480" s="155"/>
      <c r="B480" s="64"/>
      <c r="C480" s="23"/>
      <c r="D480" s="23"/>
      <c r="E480" s="24"/>
      <c r="F480" s="25"/>
      <c r="G480" s="24"/>
      <c r="H480" s="26"/>
      <c r="I480" s="143"/>
      <c r="J480" s="144"/>
      <c r="K480" s="144" t="str">
        <f t="shared" si="18"/>
        <v/>
      </c>
      <c r="L480" s="17"/>
      <c r="M480" s="145"/>
      <c r="N480" s="144"/>
      <c r="O480" s="156"/>
      <c r="P480" s="156"/>
      <c r="Q480" s="144"/>
      <c r="R480" s="147"/>
    </row>
    <row r="481" ht="21.75" customHeight="1">
      <c r="A481" s="155"/>
      <c r="B481" s="64"/>
      <c r="C481" s="23"/>
      <c r="D481" s="23"/>
      <c r="E481" s="24"/>
      <c r="F481" s="25"/>
      <c r="G481" s="24"/>
      <c r="H481" s="26"/>
      <c r="I481" s="143"/>
      <c r="J481" s="144"/>
      <c r="K481" s="144" t="str">
        <f t="shared" si="18"/>
        <v/>
      </c>
      <c r="L481" s="17"/>
      <c r="M481" s="145"/>
      <c r="N481" s="144"/>
      <c r="O481" s="156"/>
      <c r="P481" s="156"/>
      <c r="Q481" s="144"/>
      <c r="R481" s="147"/>
    </row>
    <row r="482" ht="21.75" customHeight="1">
      <c r="A482" s="155"/>
      <c r="B482" s="64"/>
      <c r="C482" s="23"/>
      <c r="D482" s="23"/>
      <c r="E482" s="24"/>
      <c r="F482" s="25"/>
      <c r="G482" s="24"/>
      <c r="H482" s="26"/>
      <c r="I482" s="143"/>
      <c r="J482" s="144"/>
      <c r="K482" s="144" t="str">
        <f t="shared" si="18"/>
        <v/>
      </c>
      <c r="L482" s="17"/>
      <c r="M482" s="145"/>
      <c r="N482" s="144"/>
      <c r="O482" s="156"/>
      <c r="P482" s="156"/>
      <c r="Q482" s="144"/>
      <c r="R482" s="147"/>
    </row>
    <row r="483" ht="21.75" customHeight="1">
      <c r="A483" s="155"/>
      <c r="B483" s="64"/>
      <c r="C483" s="23"/>
      <c r="D483" s="23"/>
      <c r="E483" s="24"/>
      <c r="F483" s="25"/>
      <c r="G483" s="24"/>
      <c r="H483" s="26"/>
      <c r="I483" s="143"/>
      <c r="J483" s="144"/>
      <c r="K483" s="144" t="str">
        <f t="shared" si="18"/>
        <v/>
      </c>
      <c r="L483" s="17"/>
      <c r="M483" s="145"/>
      <c r="N483" s="144"/>
      <c r="O483" s="156"/>
      <c r="P483" s="156"/>
      <c r="Q483" s="144"/>
      <c r="R483" s="147"/>
    </row>
    <row r="484" ht="21.75" customHeight="1">
      <c r="A484" s="155"/>
      <c r="B484" s="64"/>
      <c r="C484" s="23"/>
      <c r="D484" s="23"/>
      <c r="E484" s="24"/>
      <c r="F484" s="25"/>
      <c r="G484" s="24"/>
      <c r="H484" s="26"/>
      <c r="I484" s="143"/>
      <c r="J484" s="144"/>
      <c r="K484" s="144" t="str">
        <f t="shared" si="18"/>
        <v/>
      </c>
      <c r="L484" s="17"/>
      <c r="M484" s="145"/>
      <c r="N484" s="144"/>
      <c r="O484" s="156"/>
      <c r="P484" s="156"/>
      <c r="Q484" s="144"/>
      <c r="R484" s="147"/>
    </row>
    <row r="485" ht="21.75" customHeight="1">
      <c r="A485" s="155"/>
      <c r="B485" s="64"/>
      <c r="C485" s="23"/>
      <c r="D485" s="23"/>
      <c r="E485" s="24"/>
      <c r="F485" s="25"/>
      <c r="G485" s="24"/>
      <c r="H485" s="26"/>
      <c r="I485" s="143"/>
      <c r="J485" s="144"/>
      <c r="K485" s="144" t="str">
        <f t="shared" si="18"/>
        <v/>
      </c>
      <c r="L485" s="17"/>
      <c r="M485" s="145"/>
      <c r="N485" s="144"/>
      <c r="O485" s="156"/>
      <c r="P485" s="156"/>
      <c r="Q485" s="144"/>
      <c r="R485" s="147"/>
    </row>
    <row r="486" ht="21.75" customHeight="1">
      <c r="A486" s="155"/>
      <c r="B486" s="64"/>
      <c r="C486" s="23"/>
      <c r="D486" s="23"/>
      <c r="E486" s="24"/>
      <c r="F486" s="25"/>
      <c r="G486" s="24"/>
      <c r="H486" s="26"/>
      <c r="I486" s="143"/>
      <c r="J486" s="144"/>
      <c r="K486" s="144" t="str">
        <f t="shared" si="18"/>
        <v/>
      </c>
      <c r="L486" s="17"/>
      <c r="M486" s="145"/>
      <c r="N486" s="144"/>
      <c r="O486" s="156"/>
      <c r="P486" s="156"/>
      <c r="Q486" s="144"/>
      <c r="R486" s="147"/>
    </row>
    <row r="487" ht="21.75" customHeight="1">
      <c r="A487" s="155"/>
      <c r="B487" s="64"/>
      <c r="C487" s="23"/>
      <c r="D487" s="23"/>
      <c r="E487" s="24"/>
      <c r="F487" s="25"/>
      <c r="G487" s="24"/>
      <c r="H487" s="26"/>
      <c r="I487" s="143"/>
      <c r="J487" s="144"/>
      <c r="K487" s="144" t="str">
        <f t="shared" si="18"/>
        <v/>
      </c>
      <c r="L487" s="17"/>
      <c r="M487" s="145"/>
      <c r="N487" s="144"/>
      <c r="O487" s="156"/>
      <c r="P487" s="156"/>
      <c r="Q487" s="144"/>
      <c r="R487" s="147"/>
    </row>
    <row r="488" ht="21.75" customHeight="1">
      <c r="A488" s="155"/>
      <c r="B488" s="64"/>
      <c r="C488" s="23"/>
      <c r="D488" s="23"/>
      <c r="E488" s="24"/>
      <c r="F488" s="25"/>
      <c r="G488" s="24"/>
      <c r="H488" s="26"/>
      <c r="I488" s="143"/>
      <c r="J488" s="144"/>
      <c r="K488" s="144" t="str">
        <f t="shared" si="18"/>
        <v/>
      </c>
      <c r="L488" s="17"/>
      <c r="M488" s="145"/>
      <c r="N488" s="144"/>
      <c r="O488" s="156"/>
      <c r="P488" s="156"/>
      <c r="Q488" s="144"/>
      <c r="R488" s="147"/>
    </row>
    <row r="489" ht="21.75" customHeight="1">
      <c r="A489" s="155"/>
      <c r="B489" s="64"/>
      <c r="C489" s="23"/>
      <c r="D489" s="23"/>
      <c r="E489" s="24"/>
      <c r="F489" s="25"/>
      <c r="G489" s="24"/>
      <c r="H489" s="26"/>
      <c r="I489" s="143"/>
      <c r="J489" s="144"/>
      <c r="K489" s="144" t="str">
        <f t="shared" si="18"/>
        <v/>
      </c>
      <c r="L489" s="17"/>
      <c r="M489" s="145"/>
      <c r="N489" s="144"/>
      <c r="O489" s="156"/>
      <c r="P489" s="156"/>
      <c r="Q489" s="144"/>
      <c r="R489" s="147"/>
    </row>
    <row r="490" ht="21.75" customHeight="1">
      <c r="A490" s="155"/>
      <c r="B490" s="64"/>
      <c r="C490" s="23"/>
      <c r="D490" s="23"/>
      <c r="E490" s="24"/>
      <c r="F490" s="25"/>
      <c r="G490" s="24"/>
      <c r="H490" s="26"/>
      <c r="I490" s="143"/>
      <c r="J490" s="144"/>
      <c r="K490" s="144" t="str">
        <f t="shared" si="18"/>
        <v/>
      </c>
      <c r="L490" s="17"/>
      <c r="M490" s="145"/>
      <c r="N490" s="144"/>
      <c r="O490" s="156"/>
      <c r="P490" s="156"/>
      <c r="Q490" s="144"/>
      <c r="R490" s="147"/>
    </row>
    <row r="491" ht="21.75" customHeight="1">
      <c r="A491" s="155"/>
      <c r="B491" s="64"/>
      <c r="C491" s="23"/>
      <c r="D491" s="23"/>
      <c r="E491" s="24"/>
      <c r="F491" s="25"/>
      <c r="G491" s="24"/>
      <c r="H491" s="26"/>
      <c r="I491" s="143"/>
      <c r="J491" s="144"/>
      <c r="K491" s="144" t="str">
        <f t="shared" si="18"/>
        <v/>
      </c>
      <c r="L491" s="17"/>
      <c r="M491" s="145"/>
      <c r="N491" s="144"/>
      <c r="O491" s="156"/>
      <c r="P491" s="156"/>
      <c r="Q491" s="144"/>
      <c r="R491" s="147"/>
    </row>
    <row r="492" ht="21.75" customHeight="1">
      <c r="A492" s="155"/>
      <c r="B492" s="64"/>
      <c r="C492" s="23"/>
      <c r="D492" s="23"/>
      <c r="E492" s="24"/>
      <c r="F492" s="25"/>
      <c r="G492" s="24"/>
      <c r="H492" s="26"/>
      <c r="I492" s="143"/>
      <c r="J492" s="144"/>
      <c r="K492" s="144" t="str">
        <f t="shared" si="18"/>
        <v/>
      </c>
      <c r="L492" s="17"/>
      <c r="M492" s="145"/>
      <c r="N492" s="144"/>
      <c r="O492" s="156"/>
      <c r="P492" s="156"/>
      <c r="Q492" s="144"/>
      <c r="R492" s="147"/>
    </row>
    <row r="493" ht="21.75" customHeight="1">
      <c r="A493" s="155"/>
      <c r="B493" s="64"/>
      <c r="C493" s="23"/>
      <c r="D493" s="23"/>
      <c r="E493" s="24"/>
      <c r="F493" s="25"/>
      <c r="G493" s="24"/>
      <c r="H493" s="26"/>
      <c r="I493" s="143"/>
      <c r="J493" s="144"/>
      <c r="K493" s="144" t="str">
        <f t="shared" si="18"/>
        <v/>
      </c>
      <c r="L493" s="17"/>
      <c r="M493" s="145"/>
      <c r="N493" s="144"/>
      <c r="O493" s="156"/>
      <c r="P493" s="156"/>
      <c r="Q493" s="144"/>
      <c r="R493" s="147"/>
    </row>
    <row r="494" ht="21.75" customHeight="1">
      <c r="A494" s="155"/>
      <c r="B494" s="64"/>
      <c r="C494" s="23"/>
      <c r="D494" s="23"/>
      <c r="E494" s="24"/>
      <c r="F494" s="25"/>
      <c r="G494" s="24"/>
      <c r="H494" s="26"/>
      <c r="I494" s="143"/>
      <c r="J494" s="144"/>
      <c r="K494" s="144" t="str">
        <f t="shared" si="18"/>
        <v/>
      </c>
      <c r="L494" s="17"/>
      <c r="M494" s="145"/>
      <c r="N494" s="144"/>
      <c r="O494" s="156"/>
      <c r="P494" s="156"/>
      <c r="Q494" s="144"/>
      <c r="R494" s="147"/>
    </row>
    <row r="495" ht="21.75" customHeight="1">
      <c r="A495" s="155"/>
      <c r="B495" s="64"/>
      <c r="C495" s="23"/>
      <c r="D495" s="23"/>
      <c r="E495" s="24"/>
      <c r="F495" s="25"/>
      <c r="G495" s="24"/>
      <c r="H495" s="26"/>
      <c r="I495" s="143"/>
      <c r="J495" s="144"/>
      <c r="K495" s="144" t="str">
        <f t="shared" si="18"/>
        <v/>
      </c>
      <c r="L495" s="17"/>
      <c r="M495" s="145"/>
      <c r="N495" s="144"/>
      <c r="O495" s="156"/>
      <c r="P495" s="156"/>
      <c r="Q495" s="144"/>
      <c r="R495" s="147"/>
    </row>
    <row r="496" ht="21.75" customHeight="1">
      <c r="A496" s="155"/>
      <c r="B496" s="64"/>
      <c r="C496" s="23"/>
      <c r="D496" s="23"/>
      <c r="E496" s="24"/>
      <c r="F496" s="25"/>
      <c r="G496" s="24"/>
      <c r="H496" s="26"/>
      <c r="I496" s="143"/>
      <c r="J496" s="144"/>
      <c r="K496" s="144" t="str">
        <f t="shared" si="18"/>
        <v/>
      </c>
      <c r="L496" s="17"/>
      <c r="M496" s="145"/>
      <c r="N496" s="144"/>
      <c r="O496" s="156"/>
      <c r="P496" s="156"/>
      <c r="Q496" s="144"/>
      <c r="R496" s="147"/>
    </row>
    <row r="497" ht="21.75" customHeight="1">
      <c r="A497" s="155"/>
      <c r="B497" s="64"/>
      <c r="C497" s="23"/>
      <c r="D497" s="23"/>
      <c r="E497" s="24"/>
      <c r="F497" s="25"/>
      <c r="G497" s="24"/>
      <c r="H497" s="26"/>
      <c r="I497" s="143"/>
      <c r="J497" s="144"/>
      <c r="K497" s="144" t="str">
        <f t="shared" si="18"/>
        <v/>
      </c>
      <c r="L497" s="17"/>
      <c r="M497" s="145"/>
      <c r="N497" s="144"/>
      <c r="O497" s="156"/>
      <c r="P497" s="156"/>
      <c r="Q497" s="144"/>
      <c r="R497" s="147"/>
    </row>
    <row r="498" ht="21.75" customHeight="1">
      <c r="A498" s="155"/>
      <c r="B498" s="64"/>
      <c r="C498" s="23"/>
      <c r="D498" s="23"/>
      <c r="E498" s="24"/>
      <c r="F498" s="25"/>
      <c r="G498" s="24"/>
      <c r="H498" s="26"/>
      <c r="I498" s="143"/>
      <c r="J498" s="144"/>
      <c r="K498" s="144" t="str">
        <f t="shared" si="18"/>
        <v/>
      </c>
      <c r="L498" s="17"/>
      <c r="M498" s="145"/>
      <c r="N498" s="144"/>
      <c r="O498" s="156"/>
      <c r="P498" s="156"/>
      <c r="Q498" s="144"/>
      <c r="R498" s="147"/>
    </row>
    <row r="499" ht="21.75" customHeight="1">
      <c r="A499" s="155"/>
      <c r="B499" s="64"/>
      <c r="C499" s="23"/>
      <c r="D499" s="23"/>
      <c r="E499" s="24"/>
      <c r="F499" s="25"/>
      <c r="G499" s="24"/>
      <c r="H499" s="26"/>
      <c r="I499" s="143"/>
      <c r="J499" s="144"/>
      <c r="K499" s="144" t="str">
        <f t="shared" si="18"/>
        <v/>
      </c>
      <c r="L499" s="17"/>
      <c r="M499" s="145"/>
      <c r="N499" s="144"/>
      <c r="O499" s="156"/>
      <c r="P499" s="156"/>
      <c r="Q499" s="144"/>
      <c r="R499" s="147"/>
    </row>
    <row r="500" ht="21.75" customHeight="1">
      <c r="A500" s="155"/>
      <c r="B500" s="64"/>
      <c r="C500" s="23"/>
      <c r="D500" s="23"/>
      <c r="E500" s="24"/>
      <c r="F500" s="25"/>
      <c r="G500" s="24"/>
      <c r="H500" s="26"/>
      <c r="I500" s="143"/>
      <c r="J500" s="144"/>
      <c r="K500" s="144" t="str">
        <f t="shared" si="18"/>
        <v/>
      </c>
      <c r="L500" s="17"/>
      <c r="M500" s="145"/>
      <c r="N500" s="144"/>
      <c r="O500" s="156"/>
      <c r="P500" s="156"/>
      <c r="Q500" s="144"/>
      <c r="R500" s="147"/>
    </row>
    <row r="501" ht="21.75" customHeight="1">
      <c r="A501" s="155"/>
      <c r="B501" s="64"/>
      <c r="C501" s="23"/>
      <c r="D501" s="23"/>
      <c r="E501" s="24"/>
      <c r="F501" s="25"/>
      <c r="G501" s="24"/>
      <c r="H501" s="26"/>
      <c r="I501" s="143"/>
      <c r="J501" s="144"/>
      <c r="K501" s="144" t="str">
        <f t="shared" si="18"/>
        <v/>
      </c>
      <c r="L501" s="17"/>
      <c r="M501" s="145"/>
      <c r="N501" s="144"/>
      <c r="O501" s="156"/>
      <c r="P501" s="156"/>
      <c r="Q501" s="144"/>
      <c r="R501" s="147"/>
    </row>
    <row r="502" ht="21.75" customHeight="1">
      <c r="A502" s="155"/>
      <c r="B502" s="64"/>
      <c r="C502" s="23"/>
      <c r="D502" s="23"/>
      <c r="E502" s="24"/>
      <c r="F502" s="25"/>
      <c r="G502" s="24"/>
      <c r="H502" s="26"/>
      <c r="I502" s="143"/>
      <c r="J502" s="144"/>
      <c r="K502" s="144" t="str">
        <f t="shared" si="18"/>
        <v/>
      </c>
      <c r="L502" s="17"/>
      <c r="M502" s="145"/>
      <c r="N502" s="144"/>
      <c r="O502" s="156"/>
      <c r="P502" s="156"/>
      <c r="Q502" s="144"/>
      <c r="R502" s="147"/>
    </row>
    <row r="503" ht="21.75" customHeight="1">
      <c r="A503" s="155"/>
      <c r="B503" s="64"/>
      <c r="C503" s="23"/>
      <c r="D503" s="23"/>
      <c r="E503" s="24"/>
      <c r="F503" s="25"/>
      <c r="G503" s="24"/>
      <c r="H503" s="26"/>
      <c r="I503" s="143"/>
      <c r="J503" s="144"/>
      <c r="K503" s="144" t="str">
        <f t="shared" si="18"/>
        <v/>
      </c>
      <c r="L503" s="17"/>
      <c r="M503" s="145"/>
      <c r="N503" s="144"/>
      <c r="O503" s="156"/>
      <c r="P503" s="156"/>
      <c r="Q503" s="144"/>
      <c r="R503" s="147"/>
    </row>
    <row r="504" ht="21.75" customHeight="1">
      <c r="A504" s="155"/>
      <c r="B504" s="64"/>
      <c r="C504" s="23"/>
      <c r="D504" s="23"/>
      <c r="E504" s="24"/>
      <c r="F504" s="25"/>
      <c r="G504" s="24"/>
      <c r="H504" s="26"/>
      <c r="I504" s="143"/>
      <c r="J504" s="144"/>
      <c r="K504" s="144" t="str">
        <f t="shared" si="18"/>
        <v/>
      </c>
      <c r="L504" s="17"/>
      <c r="M504" s="145"/>
      <c r="N504" s="144"/>
      <c r="O504" s="156"/>
      <c r="P504" s="156"/>
      <c r="Q504" s="144"/>
      <c r="R504" s="147"/>
    </row>
    <row r="505" ht="21.75" customHeight="1">
      <c r="A505" s="155"/>
      <c r="B505" s="64"/>
      <c r="C505" s="23"/>
      <c r="D505" s="23"/>
      <c r="E505" s="24"/>
      <c r="F505" s="25"/>
      <c r="G505" s="24"/>
      <c r="H505" s="26"/>
      <c r="I505" s="143"/>
      <c r="J505" s="144"/>
      <c r="K505" s="144" t="str">
        <f t="shared" si="18"/>
        <v/>
      </c>
      <c r="L505" s="17"/>
      <c r="M505" s="145"/>
      <c r="N505" s="144"/>
      <c r="O505" s="156"/>
      <c r="P505" s="156"/>
      <c r="Q505" s="144"/>
      <c r="R505" s="147"/>
    </row>
    <row r="506" ht="21.75" customHeight="1">
      <c r="A506" s="155"/>
      <c r="B506" s="64"/>
      <c r="C506" s="23"/>
      <c r="D506" s="23"/>
      <c r="E506" s="24"/>
      <c r="F506" s="25"/>
      <c r="G506" s="24"/>
      <c r="H506" s="26"/>
      <c r="I506" s="143"/>
      <c r="J506" s="144"/>
      <c r="K506" s="144" t="str">
        <f t="shared" si="18"/>
        <v/>
      </c>
      <c r="L506" s="17"/>
      <c r="M506" s="145"/>
      <c r="N506" s="144"/>
      <c r="O506" s="156"/>
      <c r="P506" s="156"/>
      <c r="Q506" s="144"/>
      <c r="R506" s="147"/>
    </row>
    <row r="507" ht="21.75" customHeight="1">
      <c r="A507" s="155"/>
      <c r="B507" s="64"/>
      <c r="C507" s="23"/>
      <c r="D507" s="23"/>
      <c r="E507" s="24"/>
      <c r="F507" s="25"/>
      <c r="G507" s="24"/>
      <c r="H507" s="26"/>
      <c r="I507" s="143"/>
      <c r="J507" s="144"/>
      <c r="K507" s="144" t="str">
        <f t="shared" si="18"/>
        <v/>
      </c>
      <c r="L507" s="17"/>
      <c r="M507" s="145"/>
      <c r="N507" s="144"/>
      <c r="O507" s="156"/>
      <c r="P507" s="156"/>
      <c r="Q507" s="144"/>
      <c r="R507" s="147"/>
    </row>
    <row r="508" ht="21.75" customHeight="1">
      <c r="A508" s="155"/>
      <c r="B508" s="64"/>
      <c r="C508" s="23"/>
      <c r="D508" s="23"/>
      <c r="E508" s="24"/>
      <c r="F508" s="25"/>
      <c r="G508" s="24"/>
      <c r="H508" s="26"/>
      <c r="I508" s="143"/>
      <c r="J508" s="144"/>
      <c r="K508" s="144" t="str">
        <f t="shared" si="18"/>
        <v/>
      </c>
      <c r="L508" s="17"/>
      <c r="M508" s="145"/>
      <c r="N508" s="144"/>
      <c r="O508" s="156"/>
      <c r="P508" s="156"/>
      <c r="Q508" s="144"/>
      <c r="R508" s="147"/>
    </row>
    <row r="509" ht="21.75" customHeight="1">
      <c r="A509" s="155"/>
      <c r="B509" s="64"/>
      <c r="C509" s="23"/>
      <c r="D509" s="23"/>
      <c r="E509" s="24"/>
      <c r="F509" s="25"/>
      <c r="G509" s="24"/>
      <c r="H509" s="26"/>
      <c r="I509" s="143"/>
      <c r="J509" s="144"/>
      <c r="K509" s="144" t="str">
        <f t="shared" si="18"/>
        <v/>
      </c>
      <c r="L509" s="17"/>
      <c r="M509" s="145"/>
      <c r="N509" s="144"/>
      <c r="O509" s="156"/>
      <c r="P509" s="156"/>
      <c r="Q509" s="144"/>
      <c r="R509" s="147"/>
    </row>
    <row r="510" ht="21.75" customHeight="1">
      <c r="A510" s="155"/>
      <c r="B510" s="64"/>
      <c r="C510" s="23"/>
      <c r="D510" s="23"/>
      <c r="E510" s="24"/>
      <c r="F510" s="25"/>
      <c r="G510" s="24"/>
      <c r="H510" s="26"/>
      <c r="I510" s="143"/>
      <c r="J510" s="144"/>
      <c r="K510" s="144" t="str">
        <f t="shared" si="18"/>
        <v/>
      </c>
      <c r="L510" s="17"/>
      <c r="M510" s="145"/>
      <c r="N510" s="144"/>
      <c r="O510" s="156"/>
      <c r="P510" s="156"/>
      <c r="Q510" s="144"/>
      <c r="R510" s="147"/>
    </row>
    <row r="511" ht="21.75" customHeight="1">
      <c r="A511" s="155"/>
      <c r="B511" s="64"/>
      <c r="C511" s="23"/>
      <c r="D511" s="23"/>
      <c r="E511" s="24"/>
      <c r="F511" s="25"/>
      <c r="G511" s="24"/>
      <c r="H511" s="26"/>
      <c r="I511" s="143"/>
      <c r="J511" s="144"/>
      <c r="K511" s="144" t="str">
        <f t="shared" si="18"/>
        <v/>
      </c>
      <c r="L511" s="17"/>
      <c r="M511" s="145"/>
      <c r="N511" s="144"/>
      <c r="O511" s="156"/>
      <c r="P511" s="156"/>
      <c r="Q511" s="144"/>
      <c r="R511" s="147"/>
    </row>
    <row r="512" ht="21.75" customHeight="1">
      <c r="A512" s="155"/>
      <c r="B512" s="64"/>
      <c r="C512" s="23"/>
      <c r="D512" s="23"/>
      <c r="E512" s="24"/>
      <c r="F512" s="25"/>
      <c r="G512" s="24"/>
      <c r="H512" s="26"/>
      <c r="I512" s="143"/>
      <c r="J512" s="144"/>
      <c r="K512" s="144" t="str">
        <f t="shared" si="18"/>
        <v/>
      </c>
      <c r="L512" s="17"/>
      <c r="M512" s="145"/>
      <c r="N512" s="144"/>
      <c r="O512" s="156"/>
      <c r="P512" s="156"/>
      <c r="Q512" s="144"/>
      <c r="R512" s="147"/>
    </row>
    <row r="513" ht="21.75" customHeight="1">
      <c r="A513" s="155"/>
      <c r="B513" s="64"/>
      <c r="C513" s="23"/>
      <c r="D513" s="23"/>
      <c r="E513" s="24"/>
      <c r="F513" s="25"/>
      <c r="G513" s="24"/>
      <c r="H513" s="26"/>
      <c r="I513" s="143"/>
      <c r="J513" s="144"/>
      <c r="K513" s="144" t="str">
        <f t="shared" si="18"/>
        <v/>
      </c>
      <c r="L513" s="17"/>
      <c r="M513" s="145"/>
      <c r="N513" s="144"/>
      <c r="O513" s="156"/>
      <c r="P513" s="156"/>
      <c r="Q513" s="144"/>
      <c r="R513" s="147"/>
    </row>
    <row r="514" ht="21.75" customHeight="1">
      <c r="A514" s="155"/>
      <c r="B514" s="64"/>
      <c r="C514" s="23"/>
      <c r="D514" s="23"/>
      <c r="E514" s="24"/>
      <c r="F514" s="25"/>
      <c r="G514" s="24"/>
      <c r="H514" s="26"/>
      <c r="I514" s="143"/>
      <c r="J514" s="144"/>
      <c r="K514" s="144" t="str">
        <f t="shared" si="18"/>
        <v/>
      </c>
      <c r="L514" s="17"/>
      <c r="M514" s="145"/>
      <c r="N514" s="144"/>
      <c r="O514" s="156"/>
      <c r="P514" s="156"/>
      <c r="Q514" s="144"/>
      <c r="R514" s="147"/>
    </row>
    <row r="515" ht="21.75" customHeight="1">
      <c r="A515" s="155"/>
      <c r="B515" s="64"/>
      <c r="C515" s="23"/>
      <c r="D515" s="23"/>
      <c r="E515" s="24"/>
      <c r="F515" s="25"/>
      <c r="G515" s="24"/>
      <c r="H515" s="26"/>
      <c r="I515" s="143"/>
      <c r="J515" s="144"/>
      <c r="K515" s="144" t="str">
        <f t="shared" si="18"/>
        <v/>
      </c>
      <c r="L515" s="17"/>
      <c r="M515" s="145"/>
      <c r="N515" s="144"/>
      <c r="O515" s="156"/>
      <c r="P515" s="156"/>
      <c r="Q515" s="144"/>
      <c r="R515" s="147"/>
    </row>
    <row r="516" ht="21.75" customHeight="1">
      <c r="A516" s="155"/>
      <c r="B516" s="64"/>
      <c r="C516" s="23"/>
      <c r="D516" s="23"/>
      <c r="E516" s="24"/>
      <c r="F516" s="25"/>
      <c r="G516" s="24"/>
      <c r="H516" s="26"/>
      <c r="I516" s="143"/>
      <c r="J516" s="144"/>
      <c r="K516" s="144" t="str">
        <f t="shared" si="18"/>
        <v/>
      </c>
      <c r="L516" s="17"/>
      <c r="M516" s="145"/>
      <c r="N516" s="144"/>
      <c r="O516" s="156"/>
      <c r="P516" s="156"/>
      <c r="Q516" s="144"/>
      <c r="R516" s="147"/>
    </row>
    <row r="517" ht="21.75" customHeight="1">
      <c r="A517" s="155"/>
      <c r="B517" s="64"/>
      <c r="C517" s="23"/>
      <c r="D517" s="23"/>
      <c r="E517" s="24"/>
      <c r="F517" s="25"/>
      <c r="G517" s="24"/>
      <c r="H517" s="26"/>
      <c r="I517" s="143"/>
      <c r="J517" s="144"/>
      <c r="K517" s="144" t="str">
        <f t="shared" si="18"/>
        <v/>
      </c>
      <c r="L517" s="17"/>
      <c r="M517" s="145"/>
      <c r="N517" s="144"/>
      <c r="O517" s="156"/>
      <c r="P517" s="156"/>
      <c r="Q517" s="144"/>
      <c r="R517" s="147"/>
    </row>
    <row r="518" ht="21.75" customHeight="1">
      <c r="A518" s="155"/>
      <c r="B518" s="64"/>
      <c r="C518" s="23"/>
      <c r="D518" s="23"/>
      <c r="E518" s="24"/>
      <c r="F518" s="25"/>
      <c r="G518" s="24"/>
      <c r="H518" s="26"/>
      <c r="I518" s="143"/>
      <c r="J518" s="144"/>
      <c r="K518" s="144" t="str">
        <f t="shared" si="18"/>
        <v/>
      </c>
      <c r="L518" s="17"/>
      <c r="M518" s="145"/>
      <c r="N518" s="144"/>
      <c r="O518" s="156"/>
      <c r="P518" s="156"/>
      <c r="Q518" s="144"/>
      <c r="R518" s="147"/>
    </row>
    <row r="519" ht="21.75" customHeight="1">
      <c r="A519" s="155"/>
      <c r="B519" s="64"/>
      <c r="C519" s="23"/>
      <c r="D519" s="23"/>
      <c r="E519" s="24"/>
      <c r="F519" s="25"/>
      <c r="G519" s="24"/>
      <c r="H519" s="26"/>
      <c r="I519" s="143"/>
      <c r="J519" s="144"/>
      <c r="K519" s="144" t="str">
        <f t="shared" si="18"/>
        <v/>
      </c>
      <c r="L519" s="17"/>
      <c r="M519" s="145"/>
      <c r="N519" s="144"/>
      <c r="O519" s="156"/>
      <c r="P519" s="156"/>
      <c r="Q519" s="144"/>
      <c r="R519" s="147"/>
    </row>
    <row r="520" ht="21.75" customHeight="1">
      <c r="A520" s="155"/>
      <c r="B520" s="64"/>
      <c r="C520" s="23"/>
      <c r="D520" s="23"/>
      <c r="E520" s="24"/>
      <c r="F520" s="25"/>
      <c r="G520" s="24"/>
      <c r="H520" s="26"/>
      <c r="I520" s="143"/>
      <c r="J520" s="144"/>
      <c r="K520" s="144" t="str">
        <f t="shared" si="18"/>
        <v/>
      </c>
      <c r="L520" s="17"/>
      <c r="M520" s="145"/>
      <c r="N520" s="144"/>
      <c r="O520" s="156"/>
      <c r="P520" s="156"/>
      <c r="Q520" s="144"/>
      <c r="R520" s="147"/>
    </row>
    <row r="521" ht="21.75" customHeight="1">
      <c r="A521" s="155"/>
      <c r="B521" s="64"/>
      <c r="C521" s="23"/>
      <c r="D521" s="23"/>
      <c r="E521" s="24"/>
      <c r="F521" s="25"/>
      <c r="G521" s="24"/>
      <c r="H521" s="26"/>
      <c r="I521" s="143"/>
      <c r="J521" s="144"/>
      <c r="K521" s="144" t="str">
        <f t="shared" si="18"/>
        <v/>
      </c>
      <c r="L521" s="17"/>
      <c r="M521" s="145"/>
      <c r="N521" s="144"/>
      <c r="O521" s="156"/>
      <c r="P521" s="156"/>
      <c r="Q521" s="144"/>
      <c r="R521" s="147"/>
    </row>
    <row r="522" ht="21.75" customHeight="1">
      <c r="A522" s="155"/>
      <c r="B522" s="64"/>
      <c r="C522" s="23"/>
      <c r="D522" s="23"/>
      <c r="E522" s="24"/>
      <c r="F522" s="25"/>
      <c r="G522" s="24"/>
      <c r="H522" s="26"/>
      <c r="I522" s="143"/>
      <c r="J522" s="144"/>
      <c r="K522" s="144" t="str">
        <f t="shared" si="18"/>
        <v/>
      </c>
      <c r="L522" s="17"/>
      <c r="M522" s="145"/>
      <c r="N522" s="144"/>
      <c r="O522" s="156"/>
      <c r="P522" s="156"/>
      <c r="Q522" s="144"/>
      <c r="R522" s="147"/>
    </row>
    <row r="523" ht="21.75" customHeight="1">
      <c r="A523" s="155"/>
      <c r="B523" s="64"/>
      <c r="C523" s="23"/>
      <c r="D523" s="23"/>
      <c r="E523" s="24"/>
      <c r="F523" s="25"/>
      <c r="G523" s="24"/>
      <c r="H523" s="26"/>
      <c r="I523" s="143"/>
      <c r="J523" s="144"/>
      <c r="K523" s="144" t="str">
        <f t="shared" si="18"/>
        <v/>
      </c>
      <c r="L523" s="17"/>
      <c r="M523" s="145"/>
      <c r="N523" s="144"/>
      <c r="O523" s="156"/>
      <c r="P523" s="156"/>
      <c r="Q523" s="144"/>
      <c r="R523" s="147"/>
    </row>
    <row r="524" ht="21.75" customHeight="1">
      <c r="A524" s="155"/>
      <c r="B524" s="64"/>
      <c r="C524" s="23"/>
      <c r="D524" s="23"/>
      <c r="E524" s="24"/>
      <c r="F524" s="25"/>
      <c r="G524" s="24"/>
      <c r="H524" s="26"/>
      <c r="I524" s="143"/>
      <c r="J524" s="144"/>
      <c r="K524" s="144" t="str">
        <f t="shared" si="18"/>
        <v/>
      </c>
      <c r="L524" s="17"/>
      <c r="M524" s="145"/>
      <c r="N524" s="144"/>
      <c r="O524" s="156"/>
      <c r="P524" s="156"/>
      <c r="Q524" s="144"/>
      <c r="R524" s="147"/>
    </row>
    <row r="525" ht="21.75" customHeight="1">
      <c r="A525" s="155"/>
      <c r="B525" s="64"/>
      <c r="C525" s="23"/>
      <c r="D525" s="23"/>
      <c r="E525" s="24"/>
      <c r="F525" s="25"/>
      <c r="G525" s="24"/>
      <c r="H525" s="26"/>
      <c r="I525" s="143"/>
      <c r="J525" s="144"/>
      <c r="K525" s="144" t="str">
        <f t="shared" si="18"/>
        <v/>
      </c>
      <c r="L525" s="17"/>
      <c r="M525" s="145"/>
      <c r="N525" s="144"/>
      <c r="O525" s="156"/>
      <c r="P525" s="156"/>
      <c r="Q525" s="144"/>
      <c r="R525" s="147"/>
    </row>
    <row r="526" ht="21.75" customHeight="1">
      <c r="A526" s="155"/>
      <c r="B526" s="64"/>
      <c r="C526" s="23"/>
      <c r="D526" s="23"/>
      <c r="E526" s="24"/>
      <c r="F526" s="25"/>
      <c r="G526" s="24"/>
      <c r="H526" s="26"/>
      <c r="I526" s="143"/>
      <c r="J526" s="144"/>
      <c r="K526" s="144" t="str">
        <f t="shared" si="18"/>
        <v/>
      </c>
      <c r="L526" s="17"/>
      <c r="M526" s="145"/>
      <c r="N526" s="144"/>
      <c r="O526" s="156"/>
      <c r="P526" s="156"/>
      <c r="Q526" s="144"/>
      <c r="R526" s="147"/>
    </row>
    <row r="527" ht="21.75" customHeight="1">
      <c r="A527" s="155"/>
      <c r="B527" s="64"/>
      <c r="C527" s="23"/>
      <c r="D527" s="23"/>
      <c r="E527" s="24"/>
      <c r="F527" s="25"/>
      <c r="G527" s="24"/>
      <c r="H527" s="26"/>
      <c r="I527" s="143"/>
      <c r="J527" s="144"/>
      <c r="K527" s="144" t="str">
        <f t="shared" si="18"/>
        <v/>
      </c>
      <c r="L527" s="17"/>
      <c r="M527" s="145"/>
      <c r="N527" s="144"/>
      <c r="O527" s="156"/>
      <c r="P527" s="156"/>
      <c r="Q527" s="144"/>
      <c r="R527" s="147"/>
    </row>
    <row r="528" ht="21.75" customHeight="1">
      <c r="A528" s="155"/>
      <c r="B528" s="64"/>
      <c r="C528" s="23"/>
      <c r="D528" s="23"/>
      <c r="E528" s="24"/>
      <c r="F528" s="25"/>
      <c r="G528" s="24"/>
      <c r="H528" s="26"/>
      <c r="I528" s="143"/>
      <c r="J528" s="144"/>
      <c r="K528" s="144" t="str">
        <f t="shared" si="18"/>
        <v/>
      </c>
      <c r="L528" s="17"/>
      <c r="M528" s="145"/>
      <c r="N528" s="144"/>
      <c r="O528" s="156"/>
      <c r="P528" s="156"/>
      <c r="Q528" s="144"/>
      <c r="R528" s="147"/>
    </row>
    <row r="529" ht="21.75" customHeight="1">
      <c r="A529" s="155"/>
      <c r="B529" s="64"/>
      <c r="C529" s="23"/>
      <c r="D529" s="23"/>
      <c r="E529" s="24"/>
      <c r="F529" s="25"/>
      <c r="G529" s="24"/>
      <c r="H529" s="26"/>
      <c r="I529" s="143"/>
      <c r="J529" s="144"/>
      <c r="K529" s="144" t="str">
        <f t="shared" si="18"/>
        <v/>
      </c>
      <c r="L529" s="17"/>
      <c r="M529" s="145"/>
      <c r="N529" s="144"/>
      <c r="O529" s="156"/>
      <c r="P529" s="156"/>
      <c r="Q529" s="144"/>
      <c r="R529" s="147"/>
    </row>
    <row r="530" ht="21.75" customHeight="1">
      <c r="A530" s="155"/>
      <c r="B530" s="64"/>
      <c r="C530" s="23"/>
      <c r="D530" s="23"/>
      <c r="E530" s="24"/>
      <c r="F530" s="25"/>
      <c r="G530" s="24"/>
      <c r="H530" s="26"/>
      <c r="I530" s="143"/>
      <c r="J530" s="144"/>
      <c r="K530" s="144" t="str">
        <f t="shared" si="18"/>
        <v/>
      </c>
      <c r="L530" s="17"/>
      <c r="M530" s="145"/>
      <c r="N530" s="144"/>
      <c r="O530" s="156"/>
      <c r="P530" s="156"/>
      <c r="Q530" s="144"/>
      <c r="R530" s="147"/>
    </row>
    <row r="531" ht="21.75" customHeight="1">
      <c r="A531" s="155"/>
      <c r="B531" s="64"/>
      <c r="C531" s="23"/>
      <c r="D531" s="23"/>
      <c r="E531" s="24"/>
      <c r="F531" s="25"/>
      <c r="G531" s="24"/>
      <c r="H531" s="26"/>
      <c r="I531" s="143"/>
      <c r="J531" s="144"/>
      <c r="K531" s="144" t="str">
        <f t="shared" si="18"/>
        <v/>
      </c>
      <c r="L531" s="17"/>
      <c r="M531" s="145"/>
      <c r="N531" s="144"/>
      <c r="O531" s="156"/>
      <c r="P531" s="156"/>
      <c r="Q531" s="144"/>
      <c r="R531" s="147"/>
    </row>
    <row r="532" ht="21.75" customHeight="1">
      <c r="A532" s="155"/>
      <c r="B532" s="64"/>
      <c r="C532" s="23"/>
      <c r="D532" s="23"/>
      <c r="E532" s="24"/>
      <c r="F532" s="25"/>
      <c r="G532" s="24"/>
      <c r="H532" s="26"/>
      <c r="I532" s="143"/>
      <c r="J532" s="144"/>
      <c r="K532" s="144" t="str">
        <f t="shared" si="18"/>
        <v/>
      </c>
      <c r="L532" s="17"/>
      <c r="M532" s="145"/>
      <c r="N532" s="144"/>
      <c r="O532" s="156"/>
      <c r="P532" s="156"/>
      <c r="Q532" s="144"/>
      <c r="R532" s="147"/>
    </row>
    <row r="533" ht="21.75" customHeight="1">
      <c r="A533" s="155"/>
      <c r="B533" s="64"/>
      <c r="C533" s="23"/>
      <c r="D533" s="23"/>
      <c r="E533" s="24"/>
      <c r="F533" s="25"/>
      <c r="G533" s="24"/>
      <c r="H533" s="26"/>
      <c r="I533" s="143"/>
      <c r="J533" s="144"/>
      <c r="K533" s="144" t="str">
        <f t="shared" si="18"/>
        <v/>
      </c>
      <c r="L533" s="17"/>
      <c r="M533" s="145"/>
      <c r="N533" s="144"/>
      <c r="O533" s="156"/>
      <c r="P533" s="156"/>
      <c r="Q533" s="144"/>
      <c r="R533" s="147"/>
    </row>
    <row r="534" ht="21.75" customHeight="1">
      <c r="A534" s="155"/>
      <c r="B534" s="64"/>
      <c r="C534" s="23"/>
      <c r="D534" s="23"/>
      <c r="E534" s="24"/>
      <c r="F534" s="25"/>
      <c r="G534" s="24"/>
      <c r="H534" s="26"/>
      <c r="I534" s="143"/>
      <c r="J534" s="144"/>
      <c r="K534" s="144" t="str">
        <f t="shared" si="18"/>
        <v/>
      </c>
      <c r="L534" s="17"/>
      <c r="M534" s="145"/>
      <c r="N534" s="144"/>
      <c r="O534" s="156"/>
      <c r="P534" s="156"/>
      <c r="Q534" s="144"/>
      <c r="R534" s="147"/>
    </row>
    <row r="535" ht="21.75" customHeight="1">
      <c r="A535" s="155"/>
      <c r="B535" s="64"/>
      <c r="C535" s="23"/>
      <c r="D535" s="23"/>
      <c r="E535" s="24"/>
      <c r="F535" s="25"/>
      <c r="G535" s="24"/>
      <c r="H535" s="26"/>
      <c r="I535" s="143"/>
      <c r="J535" s="144"/>
      <c r="K535" s="144" t="str">
        <f t="shared" si="18"/>
        <v/>
      </c>
      <c r="L535" s="17"/>
      <c r="M535" s="145"/>
      <c r="N535" s="144"/>
      <c r="O535" s="156"/>
      <c r="P535" s="156"/>
      <c r="Q535" s="144"/>
      <c r="R535" s="147"/>
    </row>
    <row r="536" ht="21.75" customHeight="1">
      <c r="A536" s="155"/>
      <c r="B536" s="64"/>
      <c r="C536" s="23"/>
      <c r="D536" s="23"/>
      <c r="E536" s="24"/>
      <c r="F536" s="25"/>
      <c r="G536" s="24"/>
      <c r="H536" s="26"/>
      <c r="I536" s="143"/>
      <c r="J536" s="144"/>
      <c r="K536" s="144" t="str">
        <f t="shared" si="18"/>
        <v/>
      </c>
      <c r="L536" s="17"/>
      <c r="M536" s="145"/>
      <c r="N536" s="144"/>
      <c r="O536" s="156"/>
      <c r="P536" s="156"/>
      <c r="Q536" s="144"/>
      <c r="R536" s="147"/>
    </row>
    <row r="537" ht="21.75" customHeight="1">
      <c r="A537" s="155"/>
      <c r="B537" s="64"/>
      <c r="C537" s="23"/>
      <c r="D537" s="23"/>
      <c r="E537" s="24"/>
      <c r="F537" s="25"/>
      <c r="G537" s="24"/>
      <c r="H537" s="26"/>
      <c r="I537" s="143"/>
      <c r="J537" s="144"/>
      <c r="K537" s="144" t="str">
        <f t="shared" si="18"/>
        <v/>
      </c>
      <c r="L537" s="17"/>
      <c r="M537" s="145"/>
      <c r="N537" s="144"/>
      <c r="O537" s="156"/>
      <c r="P537" s="156"/>
      <c r="Q537" s="144"/>
      <c r="R537" s="147"/>
    </row>
    <row r="538" ht="21.75" customHeight="1">
      <c r="A538" s="155"/>
      <c r="B538" s="64"/>
      <c r="C538" s="23"/>
      <c r="D538" s="23"/>
      <c r="E538" s="24"/>
      <c r="F538" s="25"/>
      <c r="G538" s="24"/>
      <c r="H538" s="26"/>
      <c r="I538" s="143"/>
      <c r="J538" s="144"/>
      <c r="K538" s="144" t="str">
        <f t="shared" si="18"/>
        <v/>
      </c>
      <c r="L538" s="17"/>
      <c r="M538" s="145"/>
      <c r="N538" s="144"/>
      <c r="O538" s="156"/>
      <c r="P538" s="156"/>
      <c r="Q538" s="144"/>
      <c r="R538" s="147"/>
    </row>
    <row r="539" ht="21.75" customHeight="1">
      <c r="A539" s="155"/>
      <c r="B539" s="64"/>
      <c r="C539" s="23"/>
      <c r="D539" s="23"/>
      <c r="E539" s="24"/>
      <c r="F539" s="25"/>
      <c r="G539" s="24"/>
      <c r="H539" s="26"/>
      <c r="I539" s="143"/>
      <c r="J539" s="144"/>
      <c r="K539" s="144" t="str">
        <f t="shared" si="18"/>
        <v/>
      </c>
      <c r="L539" s="17"/>
      <c r="M539" s="145"/>
      <c r="N539" s="144"/>
      <c r="O539" s="156"/>
      <c r="P539" s="156"/>
      <c r="Q539" s="144"/>
      <c r="R539" s="147"/>
    </row>
    <row r="540" ht="21.75" customHeight="1">
      <c r="A540" s="155"/>
      <c r="B540" s="64"/>
      <c r="C540" s="23"/>
      <c r="D540" s="23"/>
      <c r="E540" s="24"/>
      <c r="F540" s="25"/>
      <c r="G540" s="24"/>
      <c r="H540" s="26"/>
      <c r="I540" s="143"/>
      <c r="J540" s="144"/>
      <c r="K540" s="144" t="str">
        <f t="shared" si="18"/>
        <v/>
      </c>
      <c r="L540" s="17"/>
      <c r="M540" s="145"/>
      <c r="N540" s="144"/>
      <c r="O540" s="156"/>
      <c r="P540" s="156"/>
      <c r="Q540" s="144"/>
      <c r="R540" s="147"/>
    </row>
    <row r="541" ht="21.75" customHeight="1">
      <c r="A541" s="155"/>
      <c r="B541" s="64"/>
      <c r="C541" s="23"/>
      <c r="D541" s="23"/>
      <c r="E541" s="24"/>
      <c r="F541" s="25"/>
      <c r="G541" s="24"/>
      <c r="H541" s="26"/>
      <c r="I541" s="143"/>
      <c r="J541" s="144"/>
      <c r="K541" s="144" t="str">
        <f t="shared" si="18"/>
        <v/>
      </c>
      <c r="L541" s="17"/>
      <c r="M541" s="145"/>
      <c r="N541" s="144"/>
      <c r="O541" s="156"/>
      <c r="P541" s="156"/>
      <c r="Q541" s="144"/>
      <c r="R541" s="147"/>
    </row>
    <row r="542" ht="21.75" customHeight="1">
      <c r="A542" s="155"/>
      <c r="B542" s="64"/>
      <c r="C542" s="23"/>
      <c r="D542" s="23"/>
      <c r="E542" s="24"/>
      <c r="F542" s="25"/>
      <c r="G542" s="24"/>
      <c r="H542" s="26"/>
      <c r="I542" s="143"/>
      <c r="J542" s="144"/>
      <c r="K542" s="144" t="str">
        <f t="shared" si="18"/>
        <v/>
      </c>
      <c r="L542" s="17"/>
      <c r="M542" s="145"/>
      <c r="N542" s="144"/>
      <c r="O542" s="156"/>
      <c r="P542" s="156"/>
      <c r="Q542" s="144"/>
      <c r="R542" s="147"/>
    </row>
    <row r="543" ht="21.75" customHeight="1">
      <c r="A543" s="155"/>
      <c r="B543" s="64"/>
      <c r="C543" s="23"/>
      <c r="D543" s="23"/>
      <c r="E543" s="24"/>
      <c r="F543" s="25"/>
      <c r="G543" s="24"/>
      <c r="H543" s="26"/>
      <c r="I543" s="143"/>
      <c r="J543" s="144"/>
      <c r="K543" s="144" t="str">
        <f t="shared" si="18"/>
        <v/>
      </c>
      <c r="L543" s="17"/>
      <c r="M543" s="145"/>
      <c r="N543" s="144"/>
      <c r="O543" s="156"/>
      <c r="P543" s="156"/>
      <c r="Q543" s="144"/>
      <c r="R543" s="147"/>
    </row>
    <row r="544" ht="21.75" customHeight="1">
      <c r="A544" s="155"/>
      <c r="B544" s="64"/>
      <c r="C544" s="23"/>
      <c r="D544" s="23"/>
      <c r="E544" s="24"/>
      <c r="F544" s="25"/>
      <c r="G544" s="24"/>
      <c r="H544" s="26"/>
      <c r="I544" s="143"/>
      <c r="J544" s="144"/>
      <c r="K544" s="144" t="str">
        <f t="shared" si="18"/>
        <v/>
      </c>
      <c r="L544" s="17"/>
      <c r="M544" s="145"/>
      <c r="N544" s="144"/>
      <c r="O544" s="156"/>
      <c r="P544" s="156"/>
      <c r="Q544" s="144"/>
      <c r="R544" s="147"/>
    </row>
    <row r="545" ht="21.75" customHeight="1">
      <c r="A545" s="155"/>
      <c r="B545" s="64"/>
      <c r="C545" s="23"/>
      <c r="D545" s="23"/>
      <c r="E545" s="24"/>
      <c r="F545" s="25"/>
      <c r="G545" s="24"/>
      <c r="H545" s="26"/>
      <c r="I545" s="143"/>
      <c r="J545" s="144"/>
      <c r="K545" s="144" t="str">
        <f t="shared" si="18"/>
        <v/>
      </c>
      <c r="L545" s="17"/>
      <c r="M545" s="145"/>
      <c r="N545" s="144"/>
      <c r="O545" s="156"/>
      <c r="P545" s="156"/>
      <c r="Q545" s="144"/>
      <c r="R545" s="147"/>
    </row>
    <row r="546" ht="21.75" customHeight="1">
      <c r="A546" s="155"/>
      <c r="B546" s="64"/>
      <c r="C546" s="23"/>
      <c r="D546" s="23"/>
      <c r="E546" s="24"/>
      <c r="F546" s="25"/>
      <c r="G546" s="24"/>
      <c r="H546" s="26"/>
      <c r="I546" s="143"/>
      <c r="J546" s="144"/>
      <c r="K546" s="144" t="str">
        <f t="shared" si="18"/>
        <v/>
      </c>
      <c r="L546" s="17"/>
      <c r="M546" s="145"/>
      <c r="N546" s="144"/>
      <c r="O546" s="156"/>
      <c r="P546" s="156"/>
      <c r="Q546" s="144"/>
      <c r="R546" s="147"/>
    </row>
    <row r="547" ht="21.75" customHeight="1">
      <c r="A547" s="155"/>
      <c r="B547" s="64"/>
      <c r="C547" s="23"/>
      <c r="D547" s="23"/>
      <c r="E547" s="24"/>
      <c r="F547" s="25"/>
      <c r="G547" s="24"/>
      <c r="H547" s="26"/>
      <c r="I547" s="143"/>
      <c r="J547" s="144"/>
      <c r="K547" s="144" t="str">
        <f t="shared" si="18"/>
        <v/>
      </c>
      <c r="L547" s="17"/>
      <c r="M547" s="145"/>
      <c r="N547" s="144"/>
      <c r="O547" s="156"/>
      <c r="P547" s="156"/>
      <c r="Q547" s="144"/>
      <c r="R547" s="147"/>
    </row>
    <row r="548" ht="21.75" customHeight="1">
      <c r="A548" s="155"/>
      <c r="B548" s="64"/>
      <c r="C548" s="23"/>
      <c r="D548" s="23"/>
      <c r="E548" s="24"/>
      <c r="F548" s="25"/>
      <c r="G548" s="24"/>
      <c r="H548" s="26"/>
      <c r="I548" s="143"/>
      <c r="J548" s="144"/>
      <c r="K548" s="144" t="str">
        <f t="shared" si="18"/>
        <v/>
      </c>
      <c r="L548" s="17"/>
      <c r="M548" s="145"/>
      <c r="N548" s="144"/>
      <c r="O548" s="156"/>
      <c r="P548" s="156"/>
      <c r="Q548" s="144"/>
      <c r="R548" s="147"/>
    </row>
    <row r="549" ht="21.75" customHeight="1">
      <c r="A549" s="155"/>
      <c r="B549" s="64"/>
      <c r="C549" s="23"/>
      <c r="D549" s="23"/>
      <c r="E549" s="24"/>
      <c r="F549" s="25"/>
      <c r="G549" s="24"/>
      <c r="H549" s="26"/>
      <c r="I549" s="143"/>
      <c r="J549" s="144"/>
      <c r="K549" s="144" t="str">
        <f t="shared" si="18"/>
        <v/>
      </c>
      <c r="L549" s="17"/>
      <c r="M549" s="145"/>
      <c r="N549" s="144"/>
      <c r="O549" s="156"/>
      <c r="P549" s="156"/>
      <c r="Q549" s="144"/>
      <c r="R549" s="147"/>
    </row>
    <row r="550" ht="21.75" customHeight="1">
      <c r="A550" s="155"/>
      <c r="B550" s="64"/>
      <c r="C550" s="23"/>
      <c r="D550" s="23"/>
      <c r="E550" s="24"/>
      <c r="F550" s="25"/>
      <c r="G550" s="24"/>
      <c r="H550" s="26"/>
      <c r="I550" s="143"/>
      <c r="J550" s="144"/>
      <c r="K550" s="144" t="str">
        <f t="shared" si="18"/>
        <v/>
      </c>
      <c r="L550" s="17"/>
      <c r="M550" s="145"/>
      <c r="N550" s="144"/>
      <c r="O550" s="156"/>
      <c r="P550" s="156"/>
      <c r="Q550" s="144"/>
      <c r="R550" s="147"/>
    </row>
    <row r="551" ht="21.75" customHeight="1">
      <c r="A551" s="155"/>
      <c r="B551" s="64"/>
      <c r="C551" s="23"/>
      <c r="D551" s="23"/>
      <c r="E551" s="24"/>
      <c r="F551" s="25"/>
      <c r="G551" s="24"/>
      <c r="H551" s="26"/>
      <c r="I551" s="143"/>
      <c r="J551" s="144"/>
      <c r="K551" s="144" t="str">
        <f t="shared" si="18"/>
        <v/>
      </c>
      <c r="L551" s="17"/>
      <c r="M551" s="145"/>
      <c r="N551" s="144"/>
      <c r="O551" s="156"/>
      <c r="P551" s="156"/>
      <c r="Q551" s="144"/>
      <c r="R551" s="147"/>
    </row>
    <row r="552" ht="21.75" customHeight="1">
      <c r="A552" s="155"/>
      <c r="B552" s="64"/>
      <c r="C552" s="23"/>
      <c r="D552" s="23"/>
      <c r="E552" s="24"/>
      <c r="F552" s="25"/>
      <c r="G552" s="24"/>
      <c r="H552" s="26"/>
      <c r="I552" s="143"/>
      <c r="J552" s="144"/>
      <c r="K552" s="144" t="str">
        <f t="shared" si="18"/>
        <v/>
      </c>
      <c r="L552" s="17"/>
      <c r="M552" s="145"/>
      <c r="N552" s="144"/>
      <c r="O552" s="156"/>
      <c r="P552" s="156"/>
      <c r="Q552" s="144"/>
      <c r="R552" s="147"/>
    </row>
    <row r="553" ht="21.75" customHeight="1">
      <c r="A553" s="155"/>
      <c r="B553" s="64"/>
      <c r="C553" s="23"/>
      <c r="D553" s="23"/>
      <c r="E553" s="24"/>
      <c r="F553" s="25"/>
      <c r="G553" s="24"/>
      <c r="H553" s="26"/>
      <c r="I553" s="143"/>
      <c r="J553" s="144"/>
      <c r="K553" s="144" t="str">
        <f t="shared" si="18"/>
        <v/>
      </c>
      <c r="L553" s="17"/>
      <c r="M553" s="145"/>
      <c r="N553" s="144"/>
      <c r="O553" s="156"/>
      <c r="P553" s="156"/>
      <c r="Q553" s="144"/>
      <c r="R553" s="147"/>
    </row>
    <row r="554" ht="21.75" customHeight="1">
      <c r="A554" s="155"/>
      <c r="B554" s="64"/>
      <c r="C554" s="23"/>
      <c r="D554" s="23"/>
      <c r="E554" s="24"/>
      <c r="F554" s="25"/>
      <c r="G554" s="24"/>
      <c r="H554" s="26"/>
      <c r="I554" s="143"/>
      <c r="J554" s="144"/>
      <c r="K554" s="144" t="str">
        <f t="shared" si="18"/>
        <v/>
      </c>
      <c r="L554" s="17"/>
      <c r="M554" s="145"/>
      <c r="N554" s="144"/>
      <c r="O554" s="156"/>
      <c r="P554" s="156"/>
      <c r="Q554" s="144"/>
      <c r="R554" s="147"/>
    </row>
    <row r="555" ht="21.75" customHeight="1">
      <c r="A555" s="155"/>
      <c r="B555" s="64"/>
      <c r="C555" s="23"/>
      <c r="D555" s="23"/>
      <c r="E555" s="24"/>
      <c r="F555" s="25"/>
      <c r="G555" s="24"/>
      <c r="H555" s="26"/>
      <c r="I555" s="143"/>
      <c r="J555" s="144"/>
      <c r="K555" s="144" t="str">
        <f t="shared" si="18"/>
        <v/>
      </c>
      <c r="L555" s="17"/>
      <c r="M555" s="145"/>
      <c r="N555" s="144"/>
      <c r="O555" s="156"/>
      <c r="P555" s="156"/>
      <c r="Q555" s="144"/>
      <c r="R555" s="147"/>
    </row>
    <row r="556" ht="21.75" customHeight="1">
      <c r="A556" s="155"/>
      <c r="B556" s="64"/>
      <c r="C556" s="23"/>
      <c r="D556" s="23"/>
      <c r="E556" s="24"/>
      <c r="F556" s="25"/>
      <c r="G556" s="24"/>
      <c r="H556" s="26"/>
      <c r="I556" s="143"/>
      <c r="J556" s="144"/>
      <c r="K556" s="144" t="str">
        <f t="shared" si="18"/>
        <v/>
      </c>
      <c r="L556" s="17"/>
      <c r="M556" s="145"/>
      <c r="N556" s="144"/>
      <c r="O556" s="156"/>
      <c r="P556" s="156"/>
      <c r="Q556" s="144"/>
      <c r="R556" s="147"/>
    </row>
    <row r="557" ht="21.75" customHeight="1">
      <c r="A557" s="155"/>
      <c r="B557" s="64"/>
      <c r="C557" s="23"/>
      <c r="D557" s="23"/>
      <c r="E557" s="24"/>
      <c r="F557" s="25"/>
      <c r="G557" s="24"/>
      <c r="H557" s="26"/>
      <c r="I557" s="143"/>
      <c r="J557" s="144"/>
      <c r="K557" s="144" t="str">
        <f t="shared" si="18"/>
        <v/>
      </c>
      <c r="L557" s="17"/>
      <c r="M557" s="145"/>
      <c r="N557" s="144"/>
      <c r="O557" s="156"/>
      <c r="P557" s="156"/>
      <c r="Q557" s="144"/>
      <c r="R557" s="147"/>
    </row>
    <row r="558" ht="21.75" customHeight="1">
      <c r="A558" s="155"/>
      <c r="B558" s="64"/>
      <c r="C558" s="23"/>
      <c r="D558" s="23"/>
      <c r="E558" s="24"/>
      <c r="F558" s="25"/>
      <c r="G558" s="24"/>
      <c r="H558" s="26"/>
      <c r="I558" s="143"/>
      <c r="J558" s="144"/>
      <c r="K558" s="144" t="str">
        <f t="shared" si="18"/>
        <v/>
      </c>
      <c r="L558" s="17"/>
      <c r="M558" s="145"/>
      <c r="N558" s="144"/>
      <c r="O558" s="156"/>
      <c r="P558" s="156"/>
      <c r="Q558" s="144"/>
      <c r="R558" s="147"/>
    </row>
    <row r="559" ht="21.75" customHeight="1">
      <c r="A559" s="155"/>
      <c r="B559" s="64"/>
      <c r="C559" s="23"/>
      <c r="D559" s="23"/>
      <c r="E559" s="24"/>
      <c r="F559" s="25"/>
      <c r="G559" s="24"/>
      <c r="H559" s="26"/>
      <c r="I559" s="143"/>
      <c r="J559" s="144"/>
      <c r="K559" s="144" t="str">
        <f t="shared" si="18"/>
        <v/>
      </c>
      <c r="L559" s="17"/>
      <c r="M559" s="145"/>
      <c r="N559" s="144"/>
      <c r="O559" s="156"/>
      <c r="P559" s="156"/>
      <c r="Q559" s="144"/>
      <c r="R559" s="147"/>
    </row>
    <row r="560" ht="21.75" customHeight="1">
      <c r="A560" s="155"/>
      <c r="B560" s="64"/>
      <c r="C560" s="23"/>
      <c r="D560" s="23"/>
      <c r="E560" s="24"/>
      <c r="F560" s="25"/>
      <c r="G560" s="24"/>
      <c r="H560" s="26"/>
      <c r="I560" s="143"/>
      <c r="J560" s="144"/>
      <c r="K560" s="144" t="str">
        <f t="shared" si="18"/>
        <v/>
      </c>
      <c r="L560" s="17"/>
      <c r="M560" s="145"/>
      <c r="N560" s="144"/>
      <c r="O560" s="156"/>
      <c r="P560" s="156"/>
      <c r="Q560" s="144"/>
      <c r="R560" s="147"/>
    </row>
    <row r="561" ht="21.75" customHeight="1">
      <c r="A561" s="155"/>
      <c r="B561" s="64"/>
      <c r="C561" s="23"/>
      <c r="D561" s="23"/>
      <c r="E561" s="24"/>
      <c r="F561" s="25"/>
      <c r="G561" s="24"/>
      <c r="H561" s="26"/>
      <c r="I561" s="143"/>
      <c r="J561" s="144"/>
      <c r="K561" s="144" t="str">
        <f t="shared" si="18"/>
        <v/>
      </c>
      <c r="L561" s="17"/>
      <c r="M561" s="145"/>
      <c r="N561" s="144"/>
      <c r="O561" s="156"/>
      <c r="P561" s="156"/>
      <c r="Q561" s="144"/>
      <c r="R561" s="147"/>
    </row>
    <row r="562" ht="21.75" customHeight="1">
      <c r="A562" s="155"/>
      <c r="B562" s="64"/>
      <c r="C562" s="23"/>
      <c r="D562" s="23"/>
      <c r="E562" s="24"/>
      <c r="F562" s="25"/>
      <c r="G562" s="24"/>
      <c r="H562" s="26"/>
      <c r="I562" s="143"/>
      <c r="J562" s="144"/>
      <c r="K562" s="144" t="str">
        <f t="shared" si="18"/>
        <v/>
      </c>
      <c r="L562" s="17"/>
      <c r="M562" s="145"/>
      <c r="N562" s="144"/>
      <c r="O562" s="156"/>
      <c r="P562" s="156"/>
      <c r="Q562" s="144"/>
      <c r="R562" s="147"/>
    </row>
    <row r="563" ht="21.75" customHeight="1">
      <c r="A563" s="155"/>
      <c r="B563" s="64"/>
      <c r="C563" s="23"/>
      <c r="D563" s="23"/>
      <c r="E563" s="24"/>
      <c r="F563" s="25"/>
      <c r="G563" s="24"/>
      <c r="H563" s="26"/>
      <c r="I563" s="143"/>
      <c r="J563" s="144"/>
      <c r="K563" s="144" t="str">
        <f t="shared" si="18"/>
        <v/>
      </c>
      <c r="L563" s="17"/>
      <c r="M563" s="145"/>
      <c r="N563" s="144"/>
      <c r="O563" s="156"/>
      <c r="P563" s="156"/>
      <c r="Q563" s="144"/>
      <c r="R563" s="147"/>
    </row>
    <row r="564" ht="21.75" customHeight="1">
      <c r="A564" s="155"/>
      <c r="B564" s="64"/>
      <c r="C564" s="23"/>
      <c r="D564" s="23"/>
      <c r="E564" s="24"/>
      <c r="F564" s="25"/>
      <c r="G564" s="24"/>
      <c r="H564" s="26"/>
      <c r="I564" s="143"/>
      <c r="J564" s="144"/>
      <c r="K564" s="144" t="str">
        <f t="shared" si="18"/>
        <v/>
      </c>
      <c r="L564" s="17"/>
      <c r="M564" s="145"/>
      <c r="N564" s="144"/>
      <c r="O564" s="156"/>
      <c r="P564" s="156"/>
      <c r="Q564" s="144"/>
      <c r="R564" s="147"/>
    </row>
    <row r="565" ht="21.75" customHeight="1">
      <c r="A565" s="155"/>
      <c r="B565" s="64"/>
      <c r="C565" s="23"/>
      <c r="D565" s="23"/>
      <c r="E565" s="24"/>
      <c r="F565" s="25"/>
      <c r="G565" s="24"/>
      <c r="H565" s="26"/>
      <c r="I565" s="143"/>
      <c r="J565" s="144"/>
      <c r="K565" s="144" t="str">
        <f t="shared" si="18"/>
        <v/>
      </c>
      <c r="L565" s="17"/>
      <c r="M565" s="145"/>
      <c r="N565" s="144"/>
      <c r="O565" s="156"/>
      <c r="P565" s="156"/>
      <c r="Q565" s="144"/>
      <c r="R565" s="147"/>
    </row>
    <row r="566" ht="21.75" customHeight="1">
      <c r="A566" s="155"/>
      <c r="B566" s="64"/>
      <c r="C566" s="23"/>
      <c r="D566" s="23"/>
      <c r="E566" s="24"/>
      <c r="F566" s="25"/>
      <c r="G566" s="24"/>
      <c r="H566" s="26"/>
      <c r="I566" s="143"/>
      <c r="J566" s="144"/>
      <c r="K566" s="144" t="str">
        <f t="shared" si="18"/>
        <v/>
      </c>
      <c r="L566" s="17"/>
      <c r="M566" s="145"/>
      <c r="N566" s="144"/>
      <c r="O566" s="156"/>
      <c r="P566" s="156"/>
      <c r="Q566" s="144"/>
      <c r="R566" s="147"/>
    </row>
    <row r="567" ht="21.75" customHeight="1">
      <c r="A567" s="155"/>
      <c r="B567" s="64"/>
      <c r="C567" s="23"/>
      <c r="D567" s="23"/>
      <c r="E567" s="24"/>
      <c r="F567" s="25"/>
      <c r="G567" s="24"/>
      <c r="H567" s="26"/>
      <c r="I567" s="143"/>
      <c r="J567" s="144"/>
      <c r="K567" s="144" t="str">
        <f t="shared" si="18"/>
        <v/>
      </c>
      <c r="L567" s="17"/>
      <c r="M567" s="145"/>
      <c r="N567" s="144"/>
      <c r="O567" s="156"/>
      <c r="P567" s="156"/>
      <c r="Q567" s="144"/>
      <c r="R567" s="147"/>
    </row>
    <row r="568" ht="21.75" customHeight="1">
      <c r="A568" s="155"/>
      <c r="B568" s="64"/>
      <c r="C568" s="23"/>
      <c r="D568" s="23"/>
      <c r="E568" s="24"/>
      <c r="F568" s="25"/>
      <c r="G568" s="24"/>
      <c r="H568" s="26"/>
      <c r="I568" s="143"/>
      <c r="J568" s="144"/>
      <c r="K568" s="144" t="str">
        <f t="shared" si="18"/>
        <v/>
      </c>
      <c r="L568" s="17"/>
      <c r="M568" s="145"/>
      <c r="N568" s="144"/>
      <c r="O568" s="156"/>
      <c r="P568" s="156"/>
      <c r="Q568" s="144"/>
      <c r="R568" s="147"/>
    </row>
    <row r="569" ht="21.75" customHeight="1">
      <c r="A569" s="155"/>
      <c r="B569" s="64"/>
      <c r="C569" s="23"/>
      <c r="D569" s="23"/>
      <c r="E569" s="24"/>
      <c r="F569" s="25"/>
      <c r="G569" s="24"/>
      <c r="H569" s="26"/>
      <c r="I569" s="143"/>
      <c r="J569" s="144"/>
      <c r="K569" s="144" t="str">
        <f t="shared" si="18"/>
        <v/>
      </c>
      <c r="L569" s="17"/>
      <c r="M569" s="145"/>
      <c r="N569" s="144"/>
      <c r="O569" s="156"/>
      <c r="P569" s="156"/>
      <c r="Q569" s="144"/>
      <c r="R569" s="147"/>
    </row>
    <row r="570" ht="21.75" customHeight="1">
      <c r="A570" s="155"/>
      <c r="B570" s="64"/>
      <c r="C570" s="23"/>
      <c r="D570" s="23"/>
      <c r="E570" s="24"/>
      <c r="F570" s="25"/>
      <c r="G570" s="24"/>
      <c r="H570" s="26"/>
      <c r="I570" s="143"/>
      <c r="J570" s="144"/>
      <c r="K570" s="144" t="str">
        <f t="shared" si="18"/>
        <v/>
      </c>
      <c r="L570" s="17"/>
      <c r="M570" s="145"/>
      <c r="N570" s="144"/>
      <c r="O570" s="156"/>
      <c r="P570" s="156"/>
      <c r="Q570" s="144"/>
      <c r="R570" s="147"/>
    </row>
    <row r="571" ht="21.75" customHeight="1">
      <c r="A571" s="155"/>
      <c r="B571" s="64"/>
      <c r="C571" s="23"/>
      <c r="D571" s="23"/>
      <c r="E571" s="24"/>
      <c r="F571" s="25"/>
      <c r="G571" s="24"/>
      <c r="H571" s="26"/>
      <c r="I571" s="143"/>
      <c r="J571" s="144"/>
      <c r="K571" s="144" t="str">
        <f t="shared" si="18"/>
        <v/>
      </c>
      <c r="L571" s="17"/>
      <c r="M571" s="145"/>
      <c r="N571" s="144"/>
      <c r="O571" s="156"/>
      <c r="P571" s="156"/>
      <c r="Q571" s="144"/>
      <c r="R571" s="147"/>
    </row>
    <row r="572" ht="21.75" customHeight="1">
      <c r="A572" s="155"/>
      <c r="B572" s="64"/>
      <c r="C572" s="23"/>
      <c r="D572" s="23"/>
      <c r="E572" s="24"/>
      <c r="F572" s="25"/>
      <c r="G572" s="24"/>
      <c r="H572" s="26"/>
      <c r="I572" s="143"/>
      <c r="J572" s="144"/>
      <c r="K572" s="144" t="str">
        <f t="shared" si="18"/>
        <v/>
      </c>
      <c r="L572" s="17"/>
      <c r="M572" s="145"/>
      <c r="N572" s="144"/>
      <c r="O572" s="156"/>
      <c r="P572" s="156"/>
      <c r="Q572" s="144"/>
      <c r="R572" s="147"/>
    </row>
    <row r="573" ht="21.75" customHeight="1">
      <c r="A573" s="155"/>
      <c r="B573" s="64"/>
      <c r="C573" s="23"/>
      <c r="D573" s="23"/>
      <c r="E573" s="24"/>
      <c r="F573" s="25"/>
      <c r="G573" s="24"/>
      <c r="H573" s="26"/>
      <c r="I573" s="143"/>
      <c r="J573" s="144"/>
      <c r="K573" s="144" t="str">
        <f t="shared" si="18"/>
        <v/>
      </c>
      <c r="L573" s="17"/>
      <c r="M573" s="145"/>
      <c r="N573" s="144"/>
      <c r="O573" s="156"/>
      <c r="P573" s="156"/>
      <c r="Q573" s="144"/>
      <c r="R573" s="147"/>
    </row>
    <row r="574" ht="21.75" customHeight="1">
      <c r="A574" s="155"/>
      <c r="B574" s="64"/>
      <c r="C574" s="23"/>
      <c r="D574" s="23"/>
      <c r="E574" s="24"/>
      <c r="F574" s="25"/>
      <c r="G574" s="24"/>
      <c r="H574" s="26"/>
      <c r="I574" s="143"/>
      <c r="J574" s="144"/>
      <c r="K574" s="144" t="str">
        <f t="shared" si="18"/>
        <v/>
      </c>
      <c r="L574" s="17"/>
      <c r="M574" s="145"/>
      <c r="N574" s="144"/>
      <c r="O574" s="156"/>
      <c r="P574" s="156"/>
      <c r="Q574" s="144"/>
      <c r="R574" s="147"/>
    </row>
    <row r="575" ht="21.75" customHeight="1">
      <c r="A575" s="155"/>
      <c r="B575" s="64"/>
      <c r="C575" s="23"/>
      <c r="D575" s="23"/>
      <c r="E575" s="24"/>
      <c r="F575" s="25"/>
      <c r="G575" s="24"/>
      <c r="H575" s="26"/>
      <c r="I575" s="143"/>
      <c r="J575" s="144"/>
      <c r="K575" s="144" t="str">
        <f t="shared" si="18"/>
        <v/>
      </c>
      <c r="L575" s="17"/>
      <c r="M575" s="145"/>
      <c r="N575" s="144"/>
      <c r="O575" s="156"/>
      <c r="P575" s="156"/>
      <c r="Q575" s="144"/>
      <c r="R575" s="147"/>
    </row>
    <row r="576" ht="21.75" customHeight="1">
      <c r="A576" s="155"/>
      <c r="B576" s="64"/>
      <c r="C576" s="23"/>
      <c r="D576" s="23"/>
      <c r="E576" s="24"/>
      <c r="F576" s="25"/>
      <c r="G576" s="24"/>
      <c r="H576" s="26"/>
      <c r="I576" s="143"/>
      <c r="J576" s="144"/>
      <c r="K576" s="144" t="str">
        <f t="shared" si="18"/>
        <v/>
      </c>
      <c r="L576" s="17"/>
      <c r="M576" s="145"/>
      <c r="N576" s="144"/>
      <c r="O576" s="156"/>
      <c r="P576" s="156"/>
      <c r="Q576" s="144"/>
      <c r="R576" s="147"/>
    </row>
    <row r="577" ht="21.75" customHeight="1">
      <c r="A577" s="155"/>
      <c r="B577" s="64"/>
      <c r="C577" s="23"/>
      <c r="D577" s="23"/>
      <c r="E577" s="24"/>
      <c r="F577" s="25"/>
      <c r="G577" s="24"/>
      <c r="H577" s="26"/>
      <c r="I577" s="143"/>
      <c r="J577" s="144"/>
      <c r="K577" s="144" t="str">
        <f t="shared" si="18"/>
        <v/>
      </c>
      <c r="L577" s="17"/>
      <c r="M577" s="145"/>
      <c r="N577" s="144"/>
      <c r="O577" s="156"/>
      <c r="P577" s="156"/>
      <c r="Q577" s="144"/>
      <c r="R577" s="147"/>
    </row>
    <row r="578" ht="21.75" customHeight="1">
      <c r="A578" s="155"/>
      <c r="B578" s="64"/>
      <c r="C578" s="23"/>
      <c r="D578" s="23"/>
      <c r="E578" s="24"/>
      <c r="F578" s="25"/>
      <c r="G578" s="24"/>
      <c r="H578" s="26"/>
      <c r="I578" s="143"/>
      <c r="J578" s="144"/>
      <c r="K578" s="144" t="str">
        <f t="shared" si="18"/>
        <v/>
      </c>
      <c r="L578" s="17"/>
      <c r="M578" s="145"/>
      <c r="N578" s="144"/>
      <c r="O578" s="156"/>
      <c r="P578" s="156"/>
      <c r="Q578" s="144"/>
      <c r="R578" s="147"/>
    </row>
    <row r="579" ht="21.75" customHeight="1">
      <c r="A579" s="155"/>
      <c r="B579" s="64"/>
      <c r="C579" s="23"/>
      <c r="D579" s="23"/>
      <c r="E579" s="24"/>
      <c r="F579" s="25"/>
      <c r="G579" s="24"/>
      <c r="H579" s="26"/>
      <c r="I579" s="143"/>
      <c r="J579" s="144"/>
      <c r="K579" s="144" t="str">
        <f t="shared" si="18"/>
        <v/>
      </c>
      <c r="L579" s="17"/>
      <c r="M579" s="145"/>
      <c r="N579" s="144"/>
      <c r="O579" s="156"/>
      <c r="P579" s="156"/>
      <c r="Q579" s="144"/>
      <c r="R579" s="147"/>
    </row>
    <row r="580" ht="21.75" customHeight="1">
      <c r="A580" s="155"/>
      <c r="B580" s="64"/>
      <c r="C580" s="23"/>
      <c r="D580" s="23"/>
      <c r="E580" s="24"/>
      <c r="F580" s="25"/>
      <c r="G580" s="24"/>
      <c r="H580" s="26"/>
      <c r="I580" s="143"/>
      <c r="J580" s="144"/>
      <c r="K580" s="144" t="str">
        <f t="shared" si="18"/>
        <v/>
      </c>
      <c r="L580" s="17"/>
      <c r="M580" s="145"/>
      <c r="N580" s="144"/>
      <c r="O580" s="156"/>
      <c r="P580" s="156"/>
      <c r="Q580" s="144"/>
      <c r="R580" s="147"/>
    </row>
    <row r="581" ht="21.75" customHeight="1">
      <c r="A581" s="155"/>
      <c r="B581" s="64"/>
      <c r="C581" s="23"/>
      <c r="D581" s="23"/>
      <c r="E581" s="24"/>
      <c r="F581" s="25"/>
      <c r="G581" s="24"/>
      <c r="H581" s="26"/>
      <c r="I581" s="143"/>
      <c r="J581" s="144"/>
      <c r="K581" s="144" t="str">
        <f t="shared" si="18"/>
        <v/>
      </c>
      <c r="L581" s="17"/>
      <c r="M581" s="145"/>
      <c r="N581" s="144"/>
      <c r="O581" s="156"/>
      <c r="P581" s="156"/>
      <c r="Q581" s="144"/>
      <c r="R581" s="147"/>
    </row>
    <row r="582" ht="21.75" customHeight="1">
      <c r="A582" s="155"/>
      <c r="B582" s="64"/>
      <c r="C582" s="23"/>
      <c r="D582" s="23"/>
      <c r="E582" s="24"/>
      <c r="F582" s="25"/>
      <c r="G582" s="24"/>
      <c r="H582" s="26"/>
      <c r="I582" s="143"/>
      <c r="J582" s="144"/>
      <c r="K582" s="144" t="str">
        <f t="shared" si="18"/>
        <v/>
      </c>
      <c r="L582" s="17"/>
      <c r="M582" s="145"/>
      <c r="N582" s="144"/>
      <c r="O582" s="156"/>
      <c r="P582" s="156"/>
      <c r="Q582" s="144"/>
      <c r="R582" s="147"/>
    </row>
    <row r="583" ht="21.75" customHeight="1">
      <c r="A583" s="155"/>
      <c r="B583" s="64"/>
      <c r="C583" s="23"/>
      <c r="D583" s="23"/>
      <c r="E583" s="24"/>
      <c r="F583" s="25"/>
      <c r="G583" s="24"/>
      <c r="H583" s="26"/>
      <c r="I583" s="143"/>
      <c r="J583" s="144"/>
      <c r="K583" s="144" t="str">
        <f t="shared" si="18"/>
        <v/>
      </c>
      <c r="L583" s="17"/>
      <c r="M583" s="145"/>
      <c r="N583" s="144"/>
      <c r="O583" s="156"/>
      <c r="P583" s="156"/>
      <c r="Q583" s="144"/>
      <c r="R583" s="147"/>
    </row>
    <row r="584" ht="21.75" customHeight="1">
      <c r="A584" s="155"/>
      <c r="B584" s="64"/>
      <c r="C584" s="23"/>
      <c r="D584" s="23"/>
      <c r="E584" s="24"/>
      <c r="F584" s="25"/>
      <c r="G584" s="24"/>
      <c r="H584" s="26"/>
      <c r="I584" s="143"/>
      <c r="J584" s="144"/>
      <c r="K584" s="144" t="str">
        <f t="shared" si="18"/>
        <v/>
      </c>
      <c r="L584" s="17"/>
      <c r="M584" s="145"/>
      <c r="N584" s="144"/>
      <c r="O584" s="156"/>
      <c r="P584" s="156"/>
      <c r="Q584" s="144"/>
      <c r="R584" s="147"/>
    </row>
    <row r="585" ht="21.75" customHeight="1">
      <c r="A585" s="155"/>
      <c r="B585" s="64"/>
      <c r="C585" s="23"/>
      <c r="D585" s="23"/>
      <c r="E585" s="24"/>
      <c r="F585" s="25"/>
      <c r="G585" s="24"/>
      <c r="H585" s="26"/>
      <c r="I585" s="143"/>
      <c r="J585" s="144"/>
      <c r="K585" s="144" t="str">
        <f t="shared" si="18"/>
        <v/>
      </c>
      <c r="L585" s="17"/>
      <c r="M585" s="145"/>
      <c r="N585" s="144"/>
      <c r="O585" s="156"/>
      <c r="P585" s="156"/>
      <c r="Q585" s="144"/>
      <c r="R585" s="147"/>
    </row>
    <row r="586" ht="21.75" customHeight="1">
      <c r="A586" s="155"/>
      <c r="B586" s="64"/>
      <c r="C586" s="23"/>
      <c r="D586" s="23"/>
      <c r="E586" s="24"/>
      <c r="F586" s="25"/>
      <c r="G586" s="24"/>
      <c r="H586" s="26"/>
      <c r="I586" s="143"/>
      <c r="J586" s="144"/>
      <c r="K586" s="144" t="str">
        <f t="shared" si="18"/>
        <v/>
      </c>
      <c r="L586" s="17"/>
      <c r="M586" s="145"/>
      <c r="N586" s="144"/>
      <c r="O586" s="156"/>
      <c r="P586" s="156"/>
      <c r="Q586" s="144"/>
      <c r="R586" s="147"/>
    </row>
    <row r="587" ht="21.75" customHeight="1">
      <c r="A587" s="155"/>
      <c r="B587" s="64"/>
      <c r="C587" s="23"/>
      <c r="D587" s="23"/>
      <c r="E587" s="24"/>
      <c r="F587" s="25"/>
      <c r="G587" s="24"/>
      <c r="H587" s="26"/>
      <c r="I587" s="143"/>
      <c r="J587" s="144"/>
      <c r="K587" s="144" t="str">
        <f t="shared" si="18"/>
        <v/>
      </c>
      <c r="L587" s="17"/>
      <c r="M587" s="145"/>
      <c r="N587" s="144"/>
      <c r="O587" s="156"/>
      <c r="P587" s="156"/>
      <c r="Q587" s="144"/>
      <c r="R587" s="147"/>
    </row>
    <row r="588" ht="21.75" customHeight="1">
      <c r="A588" s="155"/>
      <c r="B588" s="64"/>
      <c r="C588" s="23"/>
      <c r="D588" s="23"/>
      <c r="E588" s="24"/>
      <c r="F588" s="25"/>
      <c r="G588" s="24"/>
      <c r="H588" s="26"/>
      <c r="I588" s="143"/>
      <c r="J588" s="144"/>
      <c r="K588" s="144" t="str">
        <f t="shared" si="18"/>
        <v/>
      </c>
      <c r="L588" s="17"/>
      <c r="M588" s="145"/>
      <c r="N588" s="144"/>
      <c r="O588" s="156"/>
      <c r="P588" s="156"/>
      <c r="Q588" s="144"/>
      <c r="R588" s="147"/>
    </row>
    <row r="589" ht="21.75" customHeight="1">
      <c r="A589" s="155"/>
      <c r="B589" s="64"/>
      <c r="C589" s="23"/>
      <c r="D589" s="23"/>
      <c r="E589" s="24"/>
      <c r="F589" s="25"/>
      <c r="G589" s="24"/>
      <c r="H589" s="26"/>
      <c r="I589" s="143"/>
      <c r="J589" s="144"/>
      <c r="K589" s="144" t="str">
        <f t="shared" si="18"/>
        <v/>
      </c>
      <c r="L589" s="17"/>
      <c r="M589" s="145"/>
      <c r="N589" s="144"/>
      <c r="O589" s="156"/>
      <c r="P589" s="156"/>
      <c r="Q589" s="144"/>
      <c r="R589" s="147"/>
    </row>
    <row r="590" ht="21.75" customHeight="1">
      <c r="A590" s="155"/>
      <c r="B590" s="64"/>
      <c r="C590" s="23"/>
      <c r="D590" s="23"/>
      <c r="E590" s="24"/>
      <c r="F590" s="25"/>
      <c r="G590" s="24"/>
      <c r="H590" s="26"/>
      <c r="I590" s="143"/>
      <c r="J590" s="144"/>
      <c r="K590" s="144" t="str">
        <f t="shared" si="18"/>
        <v/>
      </c>
      <c r="L590" s="17"/>
      <c r="M590" s="145"/>
      <c r="N590" s="144"/>
      <c r="O590" s="156"/>
      <c r="P590" s="156"/>
      <c r="Q590" s="144"/>
      <c r="R590" s="147"/>
    </row>
    <row r="591" ht="21.75" customHeight="1">
      <c r="A591" s="155"/>
      <c r="B591" s="64"/>
      <c r="C591" s="23"/>
      <c r="D591" s="23"/>
      <c r="E591" s="24"/>
      <c r="F591" s="25"/>
      <c r="G591" s="24"/>
      <c r="H591" s="26"/>
      <c r="I591" s="143"/>
      <c r="J591" s="144"/>
      <c r="K591" s="144" t="str">
        <f t="shared" si="18"/>
        <v/>
      </c>
      <c r="L591" s="17"/>
      <c r="M591" s="145"/>
      <c r="N591" s="144"/>
      <c r="O591" s="156"/>
      <c r="P591" s="156"/>
      <c r="Q591" s="144"/>
      <c r="R591" s="147"/>
    </row>
    <row r="592" ht="21.75" customHeight="1">
      <c r="A592" s="155"/>
      <c r="B592" s="64"/>
      <c r="C592" s="23"/>
      <c r="D592" s="23"/>
      <c r="E592" s="24"/>
      <c r="F592" s="25"/>
      <c r="G592" s="24"/>
      <c r="H592" s="26"/>
      <c r="I592" s="143"/>
      <c r="J592" s="144"/>
      <c r="K592" s="144" t="str">
        <f t="shared" si="18"/>
        <v/>
      </c>
      <c r="L592" s="17"/>
      <c r="M592" s="145"/>
      <c r="N592" s="144"/>
      <c r="O592" s="156"/>
      <c r="P592" s="156"/>
      <c r="Q592" s="144"/>
      <c r="R592" s="147"/>
    </row>
    <row r="593" ht="21.75" customHeight="1">
      <c r="A593" s="155"/>
      <c r="B593" s="64"/>
      <c r="C593" s="23"/>
      <c r="D593" s="23"/>
      <c r="E593" s="24"/>
      <c r="F593" s="25"/>
      <c r="G593" s="24"/>
      <c r="H593" s="26"/>
      <c r="I593" s="143"/>
      <c r="J593" s="144"/>
      <c r="K593" s="144" t="str">
        <f t="shared" si="18"/>
        <v/>
      </c>
      <c r="L593" s="17"/>
      <c r="M593" s="145"/>
      <c r="N593" s="144"/>
      <c r="O593" s="156"/>
      <c r="P593" s="156"/>
      <c r="Q593" s="144"/>
      <c r="R593" s="147"/>
    </row>
    <row r="594" ht="21.75" customHeight="1">
      <c r="A594" s="155"/>
      <c r="B594" s="64"/>
      <c r="C594" s="23"/>
      <c r="D594" s="23"/>
      <c r="E594" s="24"/>
      <c r="F594" s="25"/>
      <c r="G594" s="24"/>
      <c r="H594" s="26"/>
      <c r="I594" s="143"/>
      <c r="J594" s="144"/>
      <c r="K594" s="144" t="str">
        <f t="shared" si="18"/>
        <v/>
      </c>
      <c r="L594" s="17"/>
      <c r="M594" s="145"/>
      <c r="N594" s="144"/>
      <c r="O594" s="156"/>
      <c r="P594" s="156"/>
      <c r="Q594" s="144"/>
      <c r="R594" s="147"/>
    </row>
    <row r="595" ht="21.75" customHeight="1">
      <c r="A595" s="155"/>
      <c r="B595" s="64"/>
      <c r="C595" s="23"/>
      <c r="D595" s="23"/>
      <c r="E595" s="24"/>
      <c r="F595" s="25"/>
      <c r="G595" s="24"/>
      <c r="H595" s="26"/>
      <c r="I595" s="143"/>
      <c r="J595" s="144"/>
      <c r="K595" s="144" t="str">
        <f t="shared" si="18"/>
        <v/>
      </c>
      <c r="L595" s="17"/>
      <c r="M595" s="145"/>
      <c r="N595" s="144"/>
      <c r="O595" s="156"/>
      <c r="P595" s="156"/>
      <c r="Q595" s="144"/>
      <c r="R595" s="147"/>
    </row>
    <row r="596" ht="21.75" customHeight="1">
      <c r="A596" s="155"/>
      <c r="B596" s="64"/>
      <c r="C596" s="23"/>
      <c r="D596" s="23"/>
      <c r="E596" s="24"/>
      <c r="F596" s="25"/>
      <c r="G596" s="24"/>
      <c r="H596" s="26"/>
      <c r="I596" s="143"/>
      <c r="J596" s="144"/>
      <c r="K596" s="144" t="str">
        <f t="shared" si="18"/>
        <v/>
      </c>
      <c r="L596" s="17"/>
      <c r="M596" s="145"/>
      <c r="N596" s="144"/>
      <c r="O596" s="156"/>
      <c r="P596" s="156"/>
      <c r="Q596" s="144"/>
      <c r="R596" s="147"/>
    </row>
    <row r="597" ht="21.75" customHeight="1">
      <c r="A597" s="155"/>
      <c r="B597" s="64"/>
      <c r="C597" s="23"/>
      <c r="D597" s="23"/>
      <c r="E597" s="24"/>
      <c r="F597" s="25"/>
      <c r="G597" s="24"/>
      <c r="H597" s="26"/>
      <c r="I597" s="143"/>
      <c r="J597" s="144"/>
      <c r="K597" s="144" t="str">
        <f t="shared" si="18"/>
        <v/>
      </c>
      <c r="L597" s="17"/>
      <c r="M597" s="145"/>
      <c r="N597" s="144"/>
      <c r="O597" s="156"/>
      <c r="P597" s="156"/>
      <c r="Q597" s="144"/>
      <c r="R597" s="147"/>
    </row>
    <row r="598" ht="21.75" customHeight="1">
      <c r="A598" s="155"/>
      <c r="B598" s="64"/>
      <c r="C598" s="23"/>
      <c r="D598" s="23"/>
      <c r="E598" s="24"/>
      <c r="F598" s="25"/>
      <c r="G598" s="24"/>
      <c r="H598" s="26"/>
      <c r="I598" s="143"/>
      <c r="J598" s="144"/>
      <c r="K598" s="144" t="str">
        <f t="shared" si="18"/>
        <v/>
      </c>
      <c r="L598" s="17"/>
      <c r="M598" s="145"/>
      <c r="N598" s="144"/>
      <c r="O598" s="156"/>
      <c r="P598" s="156"/>
      <c r="Q598" s="144"/>
      <c r="R598" s="147"/>
    </row>
    <row r="599" ht="21.75" customHeight="1">
      <c r="A599" s="155"/>
      <c r="B599" s="64"/>
      <c r="C599" s="23"/>
      <c r="D599" s="23"/>
      <c r="E599" s="24"/>
      <c r="F599" s="25"/>
      <c r="G599" s="24"/>
      <c r="H599" s="26"/>
      <c r="I599" s="143"/>
      <c r="J599" s="144"/>
      <c r="K599" s="144" t="str">
        <f t="shared" si="18"/>
        <v/>
      </c>
      <c r="L599" s="17"/>
      <c r="M599" s="145"/>
      <c r="N599" s="144"/>
      <c r="O599" s="156"/>
      <c r="P599" s="156"/>
      <c r="Q599" s="144"/>
      <c r="R599" s="147"/>
    </row>
    <row r="600" ht="21.75" customHeight="1">
      <c r="A600" s="155"/>
      <c r="B600" s="64"/>
      <c r="C600" s="23"/>
      <c r="D600" s="23"/>
      <c r="E600" s="24"/>
      <c r="F600" s="25"/>
      <c r="G600" s="24"/>
      <c r="H600" s="26"/>
      <c r="I600" s="143"/>
      <c r="J600" s="144"/>
      <c r="K600" s="144" t="str">
        <f t="shared" si="18"/>
        <v/>
      </c>
      <c r="L600" s="17"/>
      <c r="M600" s="145"/>
      <c r="N600" s="144"/>
      <c r="O600" s="156"/>
      <c r="P600" s="156"/>
      <c r="Q600" s="144"/>
      <c r="R600" s="147"/>
    </row>
    <row r="601" ht="21.75" customHeight="1">
      <c r="A601" s="155"/>
      <c r="B601" s="64"/>
      <c r="C601" s="23"/>
      <c r="D601" s="23"/>
      <c r="E601" s="24"/>
      <c r="F601" s="25"/>
      <c r="G601" s="24"/>
      <c r="H601" s="26"/>
      <c r="I601" s="143"/>
      <c r="J601" s="144"/>
      <c r="K601" s="144" t="str">
        <f t="shared" si="18"/>
        <v/>
      </c>
      <c r="L601" s="17"/>
      <c r="M601" s="145"/>
      <c r="N601" s="144"/>
      <c r="O601" s="156"/>
      <c r="P601" s="156"/>
      <c r="Q601" s="144"/>
      <c r="R601" s="147"/>
    </row>
    <row r="602" ht="21.75" customHeight="1">
      <c r="A602" s="155"/>
      <c r="B602" s="64"/>
      <c r="C602" s="23"/>
      <c r="D602" s="23"/>
      <c r="E602" s="24"/>
      <c r="F602" s="25"/>
      <c r="G602" s="24"/>
      <c r="H602" s="26"/>
      <c r="I602" s="143"/>
      <c r="J602" s="144"/>
      <c r="K602" s="144" t="str">
        <f t="shared" si="18"/>
        <v/>
      </c>
      <c r="L602" s="17"/>
      <c r="M602" s="145"/>
      <c r="N602" s="144"/>
      <c r="O602" s="156"/>
      <c r="P602" s="156"/>
      <c r="Q602" s="144"/>
      <c r="R602" s="147"/>
    </row>
    <row r="603" ht="21.75" customHeight="1">
      <c r="A603" s="155"/>
      <c r="B603" s="64"/>
      <c r="C603" s="23"/>
      <c r="D603" s="23"/>
      <c r="E603" s="24"/>
      <c r="F603" s="25"/>
      <c r="G603" s="24"/>
      <c r="H603" s="26"/>
      <c r="I603" s="143"/>
      <c r="J603" s="144"/>
      <c r="K603" s="144" t="str">
        <f t="shared" si="18"/>
        <v/>
      </c>
      <c r="L603" s="17"/>
      <c r="M603" s="145"/>
      <c r="N603" s="144"/>
      <c r="O603" s="156"/>
      <c r="P603" s="156"/>
      <c r="Q603" s="144"/>
      <c r="R603" s="147"/>
    </row>
    <row r="604" ht="21.75" customHeight="1">
      <c r="A604" s="155"/>
      <c r="B604" s="64"/>
      <c r="C604" s="23"/>
      <c r="D604" s="23"/>
      <c r="E604" s="24"/>
      <c r="F604" s="25"/>
      <c r="G604" s="24"/>
      <c r="H604" s="26"/>
      <c r="I604" s="143"/>
      <c r="J604" s="144"/>
      <c r="K604" s="144" t="str">
        <f t="shared" si="18"/>
        <v/>
      </c>
      <c r="L604" s="17"/>
      <c r="M604" s="145"/>
      <c r="N604" s="144"/>
      <c r="O604" s="156"/>
      <c r="P604" s="156"/>
      <c r="Q604" s="144"/>
      <c r="R604" s="147"/>
    </row>
    <row r="605" ht="21.75" customHeight="1">
      <c r="A605" s="155"/>
      <c r="B605" s="64"/>
      <c r="C605" s="23"/>
      <c r="D605" s="23"/>
      <c r="E605" s="24"/>
      <c r="F605" s="25"/>
      <c r="G605" s="24"/>
      <c r="H605" s="26"/>
      <c r="I605" s="143"/>
      <c r="J605" s="144"/>
      <c r="K605" s="144" t="str">
        <f t="shared" si="18"/>
        <v/>
      </c>
      <c r="L605" s="17"/>
      <c r="M605" s="145"/>
      <c r="N605" s="144"/>
      <c r="O605" s="156"/>
      <c r="P605" s="156"/>
      <c r="Q605" s="144"/>
      <c r="R605" s="147"/>
    </row>
    <row r="606" ht="21.75" customHeight="1">
      <c r="A606" s="155"/>
      <c r="B606" s="64"/>
      <c r="C606" s="23"/>
      <c r="D606" s="23"/>
      <c r="E606" s="24"/>
      <c r="F606" s="25"/>
      <c r="G606" s="24"/>
      <c r="H606" s="26"/>
      <c r="I606" s="143"/>
      <c r="J606" s="144"/>
      <c r="K606" s="144" t="str">
        <f t="shared" si="18"/>
        <v/>
      </c>
      <c r="L606" s="17"/>
      <c r="M606" s="145"/>
      <c r="N606" s="144"/>
      <c r="O606" s="156"/>
      <c r="P606" s="156"/>
      <c r="Q606" s="144"/>
      <c r="R606" s="147"/>
    </row>
    <row r="607" ht="21.75" customHeight="1">
      <c r="A607" s="155"/>
      <c r="B607" s="64"/>
      <c r="C607" s="23"/>
      <c r="D607" s="23"/>
      <c r="E607" s="24"/>
      <c r="F607" s="25"/>
      <c r="G607" s="24"/>
      <c r="H607" s="26"/>
      <c r="I607" s="143"/>
      <c r="J607" s="144"/>
      <c r="K607" s="144" t="str">
        <f t="shared" si="18"/>
        <v/>
      </c>
      <c r="L607" s="17"/>
      <c r="M607" s="145"/>
      <c r="N607" s="144"/>
      <c r="O607" s="156"/>
      <c r="P607" s="156"/>
      <c r="Q607" s="144"/>
      <c r="R607" s="147"/>
    </row>
    <row r="608" ht="21.75" customHeight="1">
      <c r="A608" s="155"/>
      <c r="B608" s="64"/>
      <c r="C608" s="23"/>
      <c r="D608" s="23"/>
      <c r="E608" s="24"/>
      <c r="F608" s="25"/>
      <c r="G608" s="24"/>
      <c r="H608" s="26"/>
      <c r="I608" s="143"/>
      <c r="J608" s="144"/>
      <c r="K608" s="144" t="str">
        <f t="shared" si="18"/>
        <v/>
      </c>
      <c r="L608" s="17"/>
      <c r="M608" s="145"/>
      <c r="N608" s="144"/>
      <c r="O608" s="156"/>
      <c r="P608" s="156"/>
      <c r="Q608" s="144"/>
      <c r="R608" s="147"/>
    </row>
    <row r="609" ht="21.75" customHeight="1">
      <c r="A609" s="155"/>
      <c r="B609" s="64"/>
      <c r="C609" s="23"/>
      <c r="D609" s="23"/>
      <c r="E609" s="24"/>
      <c r="F609" s="25"/>
      <c r="G609" s="24"/>
      <c r="H609" s="26"/>
      <c r="I609" s="143"/>
      <c r="J609" s="144"/>
      <c r="K609" s="144" t="str">
        <f t="shared" si="18"/>
        <v/>
      </c>
      <c r="L609" s="17"/>
      <c r="M609" s="145"/>
      <c r="N609" s="144"/>
      <c r="O609" s="156"/>
      <c r="P609" s="156"/>
      <c r="Q609" s="144"/>
      <c r="R609" s="147"/>
    </row>
    <row r="610" ht="21.75" customHeight="1">
      <c r="A610" s="155"/>
      <c r="B610" s="64"/>
      <c r="C610" s="23"/>
      <c r="D610" s="23"/>
      <c r="E610" s="24"/>
      <c r="F610" s="25"/>
      <c r="G610" s="24"/>
      <c r="H610" s="26"/>
      <c r="I610" s="143"/>
      <c r="J610" s="144"/>
      <c r="K610" s="144" t="str">
        <f t="shared" si="18"/>
        <v/>
      </c>
      <c r="L610" s="17"/>
      <c r="M610" s="145"/>
      <c r="N610" s="144"/>
      <c r="O610" s="156"/>
      <c r="P610" s="156"/>
      <c r="Q610" s="144"/>
      <c r="R610" s="147"/>
    </row>
    <row r="611" ht="21.75" customHeight="1">
      <c r="A611" s="155"/>
      <c r="B611" s="64"/>
      <c r="C611" s="23"/>
      <c r="D611" s="23"/>
      <c r="E611" s="24"/>
      <c r="F611" s="25"/>
      <c r="G611" s="24"/>
      <c r="H611" s="26"/>
      <c r="I611" s="143"/>
      <c r="J611" s="144"/>
      <c r="K611" s="144" t="str">
        <f t="shared" si="18"/>
        <v/>
      </c>
      <c r="L611" s="17"/>
      <c r="M611" s="145"/>
      <c r="N611" s="144"/>
      <c r="O611" s="156"/>
      <c r="P611" s="156"/>
      <c r="Q611" s="144"/>
      <c r="R611" s="147"/>
    </row>
    <row r="612" ht="21.75" customHeight="1">
      <c r="A612" s="155"/>
      <c r="B612" s="64"/>
      <c r="C612" s="23"/>
      <c r="D612" s="23"/>
      <c r="E612" s="24"/>
      <c r="F612" s="25"/>
      <c r="G612" s="24"/>
      <c r="H612" s="26"/>
      <c r="I612" s="143"/>
      <c r="J612" s="144"/>
      <c r="K612" s="144" t="str">
        <f t="shared" si="18"/>
        <v/>
      </c>
      <c r="L612" s="17"/>
      <c r="M612" s="145"/>
      <c r="N612" s="144"/>
      <c r="O612" s="156"/>
      <c r="P612" s="156"/>
      <c r="Q612" s="144"/>
      <c r="R612" s="147"/>
    </row>
    <row r="613" ht="21.75" customHeight="1">
      <c r="A613" s="155"/>
      <c r="B613" s="64"/>
      <c r="C613" s="23"/>
      <c r="D613" s="23"/>
      <c r="E613" s="24"/>
      <c r="F613" s="25"/>
      <c r="G613" s="24"/>
      <c r="H613" s="26"/>
      <c r="I613" s="143"/>
      <c r="J613" s="144"/>
      <c r="K613" s="144" t="str">
        <f t="shared" si="18"/>
        <v/>
      </c>
      <c r="L613" s="17"/>
      <c r="M613" s="145"/>
      <c r="N613" s="144"/>
      <c r="O613" s="156"/>
      <c r="P613" s="156"/>
      <c r="Q613" s="144"/>
      <c r="R613" s="147"/>
    </row>
    <row r="614" ht="21.75" customHeight="1">
      <c r="A614" s="155"/>
      <c r="B614" s="64"/>
      <c r="C614" s="23"/>
      <c r="D614" s="23"/>
      <c r="E614" s="24"/>
      <c r="F614" s="25"/>
      <c r="G614" s="24"/>
      <c r="H614" s="26"/>
      <c r="I614" s="143"/>
      <c r="J614" s="144"/>
      <c r="K614" s="144" t="str">
        <f t="shared" si="18"/>
        <v/>
      </c>
      <c r="L614" s="17"/>
      <c r="M614" s="145"/>
      <c r="N614" s="144"/>
      <c r="O614" s="156"/>
      <c r="P614" s="156"/>
      <c r="Q614" s="144"/>
      <c r="R614" s="147"/>
    </row>
    <row r="615" ht="21.75" customHeight="1">
      <c r="A615" s="155"/>
      <c r="B615" s="64"/>
      <c r="C615" s="23"/>
      <c r="D615" s="23"/>
      <c r="E615" s="24"/>
      <c r="F615" s="25"/>
      <c r="G615" s="24"/>
      <c r="H615" s="26"/>
      <c r="I615" s="143"/>
      <c r="J615" s="144"/>
      <c r="K615" s="144" t="str">
        <f t="shared" si="18"/>
        <v/>
      </c>
      <c r="L615" s="17"/>
      <c r="M615" s="145"/>
      <c r="N615" s="144"/>
      <c r="O615" s="156"/>
      <c r="P615" s="156"/>
      <c r="Q615" s="144"/>
      <c r="R615" s="147"/>
    </row>
    <row r="616" ht="21.75" customHeight="1">
      <c r="A616" s="155"/>
      <c r="B616" s="64"/>
      <c r="C616" s="23"/>
      <c r="D616" s="23"/>
      <c r="E616" s="24"/>
      <c r="F616" s="25"/>
      <c r="G616" s="24"/>
      <c r="H616" s="26"/>
      <c r="I616" s="143"/>
      <c r="J616" s="144"/>
      <c r="K616" s="144" t="str">
        <f t="shared" si="18"/>
        <v/>
      </c>
      <c r="L616" s="17"/>
      <c r="M616" s="145"/>
      <c r="N616" s="144"/>
      <c r="O616" s="156"/>
      <c r="P616" s="156"/>
      <c r="Q616" s="144"/>
      <c r="R616" s="147"/>
    </row>
    <row r="617" ht="21.75" customHeight="1">
      <c r="A617" s="155"/>
      <c r="B617" s="64"/>
      <c r="C617" s="23"/>
      <c r="D617" s="23"/>
      <c r="E617" s="24"/>
      <c r="F617" s="25"/>
      <c r="G617" s="24"/>
      <c r="H617" s="26"/>
      <c r="I617" s="143"/>
      <c r="J617" s="144"/>
      <c r="K617" s="144" t="str">
        <f t="shared" si="18"/>
        <v/>
      </c>
      <c r="L617" s="17"/>
      <c r="M617" s="145"/>
      <c r="N617" s="144"/>
      <c r="O617" s="156"/>
      <c r="P617" s="156"/>
      <c r="Q617" s="144"/>
      <c r="R617" s="147"/>
    </row>
    <row r="618" ht="21.75" customHeight="1">
      <c r="A618" s="155"/>
      <c r="B618" s="64"/>
      <c r="C618" s="23"/>
      <c r="D618" s="23"/>
      <c r="E618" s="24"/>
      <c r="F618" s="25"/>
      <c r="G618" s="24"/>
      <c r="H618" s="26"/>
      <c r="I618" s="143"/>
      <c r="J618" s="144"/>
      <c r="K618" s="144" t="str">
        <f t="shared" si="18"/>
        <v/>
      </c>
      <c r="L618" s="17"/>
      <c r="M618" s="145"/>
      <c r="N618" s="144"/>
      <c r="O618" s="156"/>
      <c r="P618" s="156"/>
      <c r="Q618" s="144"/>
      <c r="R618" s="147"/>
    </row>
    <row r="619" ht="21.75" customHeight="1">
      <c r="A619" s="155"/>
      <c r="B619" s="64"/>
      <c r="C619" s="23"/>
      <c r="D619" s="23"/>
      <c r="E619" s="24"/>
      <c r="F619" s="25"/>
      <c r="G619" s="24"/>
      <c r="H619" s="26"/>
      <c r="I619" s="143"/>
      <c r="J619" s="144"/>
      <c r="K619" s="144" t="str">
        <f t="shared" si="18"/>
        <v/>
      </c>
      <c r="L619" s="17"/>
      <c r="M619" s="145"/>
      <c r="N619" s="144"/>
      <c r="O619" s="156"/>
      <c r="P619" s="156"/>
      <c r="Q619" s="144"/>
      <c r="R619" s="147"/>
    </row>
    <row r="620" ht="21.75" customHeight="1">
      <c r="A620" s="155"/>
      <c r="B620" s="64"/>
      <c r="C620" s="23"/>
      <c r="D620" s="23"/>
      <c r="E620" s="24"/>
      <c r="F620" s="25"/>
      <c r="G620" s="24"/>
      <c r="H620" s="26"/>
      <c r="I620" s="143"/>
      <c r="J620" s="144"/>
      <c r="K620" s="144" t="str">
        <f t="shared" si="18"/>
        <v/>
      </c>
      <c r="L620" s="17"/>
      <c r="M620" s="145"/>
      <c r="N620" s="144"/>
      <c r="O620" s="156"/>
      <c r="P620" s="156"/>
      <c r="Q620" s="144"/>
      <c r="R620" s="147"/>
    </row>
    <row r="621" ht="21.75" customHeight="1">
      <c r="A621" s="155"/>
      <c r="B621" s="64"/>
      <c r="C621" s="23"/>
      <c r="D621" s="23"/>
      <c r="E621" s="24"/>
      <c r="F621" s="25"/>
      <c r="G621" s="24"/>
      <c r="H621" s="26"/>
      <c r="I621" s="143"/>
      <c r="J621" s="144"/>
      <c r="K621" s="144" t="str">
        <f t="shared" si="18"/>
        <v/>
      </c>
      <c r="L621" s="17"/>
      <c r="M621" s="145"/>
      <c r="N621" s="144"/>
      <c r="O621" s="156"/>
      <c r="P621" s="156"/>
      <c r="Q621" s="144"/>
      <c r="R621" s="147"/>
    </row>
    <row r="622" ht="21.75" customHeight="1">
      <c r="A622" s="155"/>
      <c r="B622" s="64"/>
      <c r="C622" s="23"/>
      <c r="D622" s="23"/>
      <c r="E622" s="24"/>
      <c r="F622" s="25"/>
      <c r="G622" s="24"/>
      <c r="H622" s="26"/>
      <c r="I622" s="143"/>
      <c r="J622" s="144"/>
      <c r="K622" s="144" t="str">
        <f t="shared" si="18"/>
        <v/>
      </c>
      <c r="L622" s="17"/>
      <c r="M622" s="145"/>
      <c r="N622" s="144"/>
      <c r="O622" s="156"/>
      <c r="P622" s="156"/>
      <c r="Q622" s="144"/>
      <c r="R622" s="147"/>
    </row>
    <row r="623" ht="21.75" customHeight="1">
      <c r="A623" s="155"/>
      <c r="B623" s="64"/>
      <c r="C623" s="23"/>
      <c r="D623" s="23"/>
      <c r="E623" s="24"/>
      <c r="F623" s="25"/>
      <c r="G623" s="24"/>
      <c r="H623" s="26"/>
      <c r="I623" s="143"/>
      <c r="J623" s="144"/>
      <c r="K623" s="144" t="str">
        <f t="shared" si="18"/>
        <v/>
      </c>
      <c r="L623" s="17"/>
      <c r="M623" s="145"/>
      <c r="N623" s="144"/>
      <c r="O623" s="156"/>
      <c r="P623" s="156"/>
      <c r="Q623" s="144"/>
      <c r="R623" s="147"/>
    </row>
    <row r="624" ht="21.75" customHeight="1">
      <c r="A624" s="155"/>
      <c r="B624" s="64"/>
      <c r="C624" s="23"/>
      <c r="D624" s="23"/>
      <c r="E624" s="24"/>
      <c r="F624" s="25"/>
      <c r="G624" s="24"/>
      <c r="H624" s="26"/>
      <c r="I624" s="143"/>
      <c r="J624" s="144"/>
      <c r="K624" s="144" t="str">
        <f t="shared" si="18"/>
        <v/>
      </c>
      <c r="L624" s="17"/>
      <c r="M624" s="145"/>
      <c r="N624" s="144"/>
      <c r="O624" s="156"/>
      <c r="P624" s="156"/>
      <c r="Q624" s="144"/>
      <c r="R624" s="147"/>
    </row>
    <row r="625" ht="21.75" customHeight="1">
      <c r="A625" s="155"/>
      <c r="B625" s="64"/>
      <c r="C625" s="23"/>
      <c r="D625" s="23"/>
      <c r="E625" s="24"/>
      <c r="F625" s="25"/>
      <c r="G625" s="24"/>
      <c r="H625" s="26"/>
      <c r="I625" s="143"/>
      <c r="J625" s="144"/>
      <c r="K625" s="144" t="str">
        <f t="shared" si="18"/>
        <v/>
      </c>
      <c r="L625" s="17"/>
      <c r="M625" s="145"/>
      <c r="N625" s="144"/>
      <c r="O625" s="156"/>
      <c r="P625" s="156"/>
      <c r="Q625" s="144"/>
      <c r="R625" s="147"/>
    </row>
    <row r="626" ht="21.75" customHeight="1">
      <c r="A626" s="155"/>
      <c r="B626" s="64"/>
      <c r="C626" s="23"/>
      <c r="D626" s="23"/>
      <c r="E626" s="24"/>
      <c r="F626" s="25"/>
      <c r="G626" s="24"/>
      <c r="H626" s="26"/>
      <c r="I626" s="143"/>
      <c r="J626" s="144"/>
      <c r="K626" s="144" t="str">
        <f t="shared" si="18"/>
        <v/>
      </c>
      <c r="L626" s="17"/>
      <c r="M626" s="145"/>
      <c r="N626" s="144"/>
      <c r="O626" s="156"/>
      <c r="P626" s="156"/>
      <c r="Q626" s="144"/>
      <c r="R626" s="147"/>
    </row>
    <row r="627" ht="21.75" customHeight="1">
      <c r="A627" s="155"/>
      <c r="B627" s="64"/>
      <c r="C627" s="23"/>
      <c r="D627" s="23"/>
      <c r="E627" s="24"/>
      <c r="F627" s="25"/>
      <c r="G627" s="24"/>
      <c r="H627" s="26"/>
      <c r="I627" s="143"/>
      <c r="J627" s="144"/>
      <c r="K627" s="144" t="str">
        <f t="shared" si="18"/>
        <v/>
      </c>
      <c r="L627" s="17"/>
      <c r="M627" s="145"/>
      <c r="N627" s="144"/>
      <c r="O627" s="156"/>
      <c r="P627" s="156"/>
      <c r="Q627" s="144"/>
      <c r="R627" s="147"/>
    </row>
    <row r="628" ht="21.75" customHeight="1">
      <c r="A628" s="155"/>
      <c r="B628" s="64"/>
      <c r="C628" s="23"/>
      <c r="D628" s="23"/>
      <c r="E628" s="24"/>
      <c r="F628" s="25"/>
      <c r="G628" s="24"/>
      <c r="H628" s="26"/>
      <c r="I628" s="143"/>
      <c r="J628" s="144"/>
      <c r="K628" s="144" t="str">
        <f t="shared" si="18"/>
        <v/>
      </c>
      <c r="L628" s="17"/>
      <c r="M628" s="145"/>
      <c r="N628" s="144"/>
      <c r="O628" s="156"/>
      <c r="P628" s="156"/>
      <c r="Q628" s="144"/>
      <c r="R628" s="147"/>
    </row>
    <row r="629" ht="21.75" customHeight="1">
      <c r="A629" s="155"/>
      <c r="B629" s="64"/>
      <c r="C629" s="23"/>
      <c r="D629" s="23"/>
      <c r="E629" s="24"/>
      <c r="F629" s="25"/>
      <c r="G629" s="24"/>
      <c r="H629" s="26"/>
      <c r="I629" s="143"/>
      <c r="J629" s="144"/>
      <c r="K629" s="144" t="str">
        <f t="shared" si="18"/>
        <v/>
      </c>
      <c r="L629" s="17"/>
      <c r="M629" s="145"/>
      <c r="N629" s="144"/>
      <c r="O629" s="156"/>
      <c r="P629" s="156"/>
      <c r="Q629" s="144"/>
      <c r="R629" s="147"/>
    </row>
    <row r="630" ht="21.75" customHeight="1">
      <c r="A630" s="155"/>
      <c r="B630" s="64"/>
      <c r="C630" s="23"/>
      <c r="D630" s="23"/>
      <c r="E630" s="24"/>
      <c r="F630" s="25"/>
      <c r="G630" s="24"/>
      <c r="H630" s="26"/>
      <c r="I630" s="143"/>
      <c r="J630" s="144"/>
      <c r="K630" s="144" t="str">
        <f t="shared" si="18"/>
        <v/>
      </c>
      <c r="L630" s="17"/>
      <c r="M630" s="145"/>
      <c r="N630" s="144"/>
      <c r="O630" s="156"/>
      <c r="P630" s="156"/>
      <c r="Q630" s="144"/>
      <c r="R630" s="147"/>
    </row>
    <row r="631" ht="21.75" customHeight="1">
      <c r="A631" s="155"/>
      <c r="B631" s="64"/>
      <c r="C631" s="23"/>
      <c r="D631" s="23"/>
      <c r="E631" s="24"/>
      <c r="F631" s="25"/>
      <c r="G631" s="24"/>
      <c r="H631" s="26"/>
      <c r="I631" s="143"/>
      <c r="J631" s="144"/>
      <c r="K631" s="144" t="str">
        <f t="shared" si="18"/>
        <v/>
      </c>
      <c r="L631" s="17"/>
      <c r="M631" s="145"/>
      <c r="N631" s="144"/>
      <c r="O631" s="156"/>
      <c r="P631" s="156"/>
      <c r="Q631" s="144"/>
      <c r="R631" s="147"/>
    </row>
    <row r="632" ht="21.75" customHeight="1">
      <c r="A632" s="155"/>
      <c r="B632" s="64"/>
      <c r="C632" s="23"/>
      <c r="D632" s="23"/>
      <c r="E632" s="24"/>
      <c r="F632" s="25"/>
      <c r="G632" s="24"/>
      <c r="H632" s="26"/>
      <c r="I632" s="143"/>
      <c r="J632" s="144"/>
      <c r="K632" s="144" t="str">
        <f t="shared" si="18"/>
        <v/>
      </c>
      <c r="L632" s="17"/>
      <c r="M632" s="145"/>
      <c r="N632" s="144"/>
      <c r="O632" s="156"/>
      <c r="P632" s="156"/>
      <c r="Q632" s="144"/>
      <c r="R632" s="147"/>
    </row>
    <row r="633" ht="21.75" customHeight="1">
      <c r="A633" s="155"/>
      <c r="B633" s="64"/>
      <c r="C633" s="23"/>
      <c r="D633" s="23"/>
      <c r="E633" s="24"/>
      <c r="F633" s="25"/>
      <c r="G633" s="24"/>
      <c r="H633" s="26"/>
      <c r="I633" s="143"/>
      <c r="J633" s="144"/>
      <c r="K633" s="144" t="str">
        <f t="shared" si="18"/>
        <v/>
      </c>
      <c r="L633" s="17"/>
      <c r="M633" s="145"/>
      <c r="N633" s="144"/>
      <c r="O633" s="156"/>
      <c r="P633" s="156"/>
      <c r="Q633" s="144"/>
      <c r="R633" s="147"/>
    </row>
    <row r="634" ht="21.75" customHeight="1">
      <c r="A634" s="155"/>
      <c r="B634" s="64"/>
      <c r="C634" s="23"/>
      <c r="D634" s="23"/>
      <c r="E634" s="24"/>
      <c r="F634" s="25"/>
      <c r="G634" s="24"/>
      <c r="H634" s="26"/>
      <c r="I634" s="143"/>
      <c r="J634" s="144"/>
      <c r="K634" s="144" t="str">
        <f t="shared" si="18"/>
        <v/>
      </c>
      <c r="L634" s="17"/>
      <c r="M634" s="145"/>
      <c r="N634" s="144"/>
      <c r="O634" s="156"/>
      <c r="P634" s="156"/>
      <c r="Q634" s="144"/>
      <c r="R634" s="147"/>
    </row>
    <row r="635" ht="21.75" customHeight="1">
      <c r="A635" s="155"/>
      <c r="B635" s="64"/>
      <c r="C635" s="23"/>
      <c r="D635" s="23"/>
      <c r="E635" s="24"/>
      <c r="F635" s="25"/>
      <c r="G635" s="24"/>
      <c r="H635" s="26"/>
      <c r="I635" s="143"/>
      <c r="J635" s="144"/>
      <c r="K635" s="144" t="str">
        <f t="shared" si="18"/>
        <v/>
      </c>
      <c r="L635" s="17"/>
      <c r="M635" s="145"/>
      <c r="N635" s="144"/>
      <c r="O635" s="156"/>
      <c r="P635" s="156"/>
      <c r="Q635" s="144"/>
      <c r="R635" s="147"/>
    </row>
    <row r="636" ht="21.75" customHeight="1">
      <c r="A636" s="155"/>
      <c r="B636" s="64"/>
      <c r="C636" s="23"/>
      <c r="D636" s="23"/>
      <c r="E636" s="24"/>
      <c r="F636" s="25"/>
      <c r="G636" s="24"/>
      <c r="H636" s="26"/>
      <c r="I636" s="143"/>
      <c r="J636" s="144"/>
      <c r="K636" s="144" t="str">
        <f t="shared" si="18"/>
        <v/>
      </c>
      <c r="L636" s="17"/>
      <c r="M636" s="145"/>
      <c r="N636" s="144"/>
      <c r="O636" s="156"/>
      <c r="P636" s="156"/>
      <c r="Q636" s="144"/>
      <c r="R636" s="147"/>
    </row>
    <row r="637" ht="21.75" customHeight="1">
      <c r="A637" s="155"/>
      <c r="B637" s="64"/>
      <c r="C637" s="23"/>
      <c r="D637" s="23"/>
      <c r="E637" s="24"/>
      <c r="F637" s="25"/>
      <c r="G637" s="24"/>
      <c r="H637" s="26"/>
      <c r="I637" s="143"/>
      <c r="J637" s="144"/>
      <c r="K637" s="144" t="str">
        <f t="shared" si="18"/>
        <v/>
      </c>
      <c r="L637" s="17"/>
      <c r="M637" s="145"/>
      <c r="N637" s="144"/>
      <c r="O637" s="156"/>
      <c r="P637" s="156"/>
      <c r="Q637" s="144"/>
      <c r="R637" s="147"/>
    </row>
    <row r="638" ht="21.75" customHeight="1">
      <c r="A638" s="155"/>
      <c r="B638" s="64"/>
      <c r="C638" s="23"/>
      <c r="D638" s="23"/>
      <c r="E638" s="24"/>
      <c r="F638" s="25"/>
      <c r="G638" s="24"/>
      <c r="H638" s="26"/>
      <c r="I638" s="143"/>
      <c r="J638" s="144"/>
      <c r="K638" s="144" t="str">
        <f t="shared" si="18"/>
        <v/>
      </c>
      <c r="L638" s="17"/>
      <c r="M638" s="145"/>
      <c r="N638" s="144"/>
      <c r="O638" s="156"/>
      <c r="P638" s="156"/>
      <c r="Q638" s="144"/>
      <c r="R638" s="147"/>
    </row>
    <row r="639" ht="21.75" customHeight="1">
      <c r="A639" s="155"/>
      <c r="B639" s="64"/>
      <c r="C639" s="23"/>
      <c r="D639" s="23"/>
      <c r="E639" s="24"/>
      <c r="F639" s="25"/>
      <c r="G639" s="24"/>
      <c r="H639" s="26"/>
      <c r="I639" s="143"/>
      <c r="J639" s="144"/>
      <c r="K639" s="144" t="str">
        <f t="shared" si="18"/>
        <v/>
      </c>
      <c r="L639" s="17"/>
      <c r="M639" s="145"/>
      <c r="N639" s="144"/>
      <c r="O639" s="156"/>
      <c r="P639" s="156"/>
      <c r="Q639" s="144"/>
      <c r="R639" s="147"/>
    </row>
    <row r="640" ht="21.75" customHeight="1">
      <c r="A640" s="155"/>
      <c r="B640" s="64"/>
      <c r="C640" s="23"/>
      <c r="D640" s="23"/>
      <c r="E640" s="24"/>
      <c r="F640" s="25"/>
      <c r="G640" s="24"/>
      <c r="H640" s="26"/>
      <c r="I640" s="143"/>
      <c r="J640" s="144"/>
      <c r="K640" s="144" t="str">
        <f t="shared" si="18"/>
        <v/>
      </c>
      <c r="L640" s="17"/>
      <c r="M640" s="145"/>
      <c r="N640" s="144"/>
      <c r="O640" s="156"/>
      <c r="P640" s="156"/>
      <c r="Q640" s="144"/>
      <c r="R640" s="147"/>
    </row>
    <row r="641" ht="21.75" customHeight="1">
      <c r="A641" s="155"/>
      <c r="B641" s="64"/>
      <c r="C641" s="23"/>
      <c r="D641" s="23"/>
      <c r="E641" s="24"/>
      <c r="F641" s="25"/>
      <c r="G641" s="24"/>
      <c r="H641" s="26"/>
      <c r="I641" s="143"/>
      <c r="J641" s="144"/>
      <c r="K641" s="144" t="str">
        <f t="shared" si="18"/>
        <v/>
      </c>
      <c r="L641" s="17"/>
      <c r="M641" s="145"/>
      <c r="N641" s="144"/>
      <c r="O641" s="156"/>
      <c r="P641" s="156"/>
      <c r="Q641" s="144"/>
      <c r="R641" s="147"/>
    </row>
    <row r="642" ht="21.75" customHeight="1">
      <c r="A642" s="155"/>
      <c r="B642" s="64"/>
      <c r="C642" s="23"/>
      <c r="D642" s="23"/>
      <c r="E642" s="24"/>
      <c r="F642" s="25"/>
      <c r="G642" s="24"/>
      <c r="H642" s="26"/>
      <c r="I642" s="143"/>
      <c r="J642" s="144"/>
      <c r="K642" s="144" t="str">
        <f t="shared" si="18"/>
        <v/>
      </c>
      <c r="L642" s="17"/>
      <c r="M642" s="145"/>
      <c r="N642" s="144"/>
      <c r="O642" s="156"/>
      <c r="P642" s="156"/>
      <c r="Q642" s="144"/>
      <c r="R642" s="147"/>
    </row>
    <row r="643" ht="21.75" customHeight="1">
      <c r="A643" s="155"/>
      <c r="B643" s="64"/>
      <c r="C643" s="23"/>
      <c r="D643" s="23"/>
      <c r="E643" s="24"/>
      <c r="F643" s="25"/>
      <c r="G643" s="24"/>
      <c r="H643" s="26"/>
      <c r="I643" s="143"/>
      <c r="J643" s="144"/>
      <c r="K643" s="144" t="str">
        <f t="shared" si="18"/>
        <v/>
      </c>
      <c r="L643" s="17"/>
      <c r="M643" s="145"/>
      <c r="N643" s="144"/>
      <c r="O643" s="156"/>
      <c r="P643" s="156"/>
      <c r="Q643" s="144"/>
      <c r="R643" s="147"/>
    </row>
    <row r="644" ht="21.75" customHeight="1">
      <c r="A644" s="155"/>
      <c r="B644" s="64"/>
      <c r="C644" s="23"/>
      <c r="D644" s="23"/>
      <c r="E644" s="24"/>
      <c r="F644" s="25"/>
      <c r="G644" s="24"/>
      <c r="H644" s="26"/>
      <c r="I644" s="143"/>
      <c r="J644" s="144"/>
      <c r="K644" s="144" t="str">
        <f t="shared" si="18"/>
        <v/>
      </c>
      <c r="L644" s="17"/>
      <c r="M644" s="145"/>
      <c r="N644" s="144"/>
      <c r="O644" s="156"/>
      <c r="P644" s="156"/>
      <c r="Q644" s="144"/>
      <c r="R644" s="147"/>
    </row>
    <row r="645" ht="21.75" customHeight="1">
      <c r="A645" s="155"/>
      <c r="B645" s="64"/>
      <c r="C645" s="23"/>
      <c r="D645" s="23"/>
      <c r="E645" s="24"/>
      <c r="F645" s="25"/>
      <c r="G645" s="24"/>
      <c r="H645" s="26"/>
      <c r="I645" s="143"/>
      <c r="J645" s="144"/>
      <c r="K645" s="144" t="str">
        <f t="shared" si="18"/>
        <v/>
      </c>
      <c r="L645" s="17"/>
      <c r="M645" s="145"/>
      <c r="N645" s="144"/>
      <c r="O645" s="156"/>
      <c r="P645" s="156"/>
      <c r="Q645" s="144"/>
      <c r="R645" s="147"/>
    </row>
    <row r="646" ht="21.75" customHeight="1">
      <c r="A646" s="155"/>
      <c r="B646" s="64"/>
      <c r="C646" s="23"/>
      <c r="D646" s="23"/>
      <c r="E646" s="24"/>
      <c r="F646" s="25"/>
      <c r="G646" s="24"/>
      <c r="H646" s="26"/>
      <c r="I646" s="143"/>
      <c r="J646" s="144"/>
      <c r="K646" s="144" t="str">
        <f t="shared" si="18"/>
        <v/>
      </c>
      <c r="L646" s="17"/>
      <c r="M646" s="145"/>
      <c r="N646" s="144"/>
      <c r="O646" s="156"/>
      <c r="P646" s="156"/>
      <c r="Q646" s="144"/>
      <c r="R646" s="147"/>
    </row>
    <row r="647" ht="21.75" customHeight="1">
      <c r="A647" s="155"/>
      <c r="B647" s="64"/>
      <c r="C647" s="23"/>
      <c r="D647" s="23"/>
      <c r="E647" s="24"/>
      <c r="F647" s="25"/>
      <c r="G647" s="24"/>
      <c r="H647" s="26"/>
      <c r="I647" s="143"/>
      <c r="J647" s="144"/>
      <c r="K647" s="144" t="str">
        <f t="shared" si="18"/>
        <v/>
      </c>
      <c r="L647" s="17"/>
      <c r="M647" s="145"/>
      <c r="N647" s="144"/>
      <c r="O647" s="156"/>
      <c r="P647" s="156"/>
      <c r="Q647" s="144"/>
      <c r="R647" s="147"/>
    </row>
    <row r="648" ht="21.75" customHeight="1">
      <c r="A648" s="155"/>
      <c r="B648" s="64"/>
      <c r="C648" s="23"/>
      <c r="D648" s="23"/>
      <c r="E648" s="24"/>
      <c r="F648" s="25"/>
      <c r="G648" s="24"/>
      <c r="H648" s="26"/>
      <c r="I648" s="143"/>
      <c r="J648" s="144"/>
      <c r="K648" s="144" t="str">
        <f t="shared" si="18"/>
        <v/>
      </c>
      <c r="L648" s="17"/>
      <c r="M648" s="145"/>
      <c r="N648" s="144"/>
      <c r="O648" s="156"/>
      <c r="P648" s="156"/>
      <c r="Q648" s="144"/>
      <c r="R648" s="147"/>
    </row>
    <row r="649" ht="21.75" customHeight="1">
      <c r="A649" s="155"/>
      <c r="B649" s="64"/>
      <c r="C649" s="23"/>
      <c r="D649" s="23"/>
      <c r="E649" s="24"/>
      <c r="F649" s="25"/>
      <c r="G649" s="24"/>
      <c r="H649" s="26"/>
      <c r="I649" s="143"/>
      <c r="J649" s="144"/>
      <c r="K649" s="144" t="str">
        <f t="shared" si="18"/>
        <v/>
      </c>
      <c r="L649" s="17"/>
      <c r="M649" s="145"/>
      <c r="N649" s="144"/>
      <c r="O649" s="156"/>
      <c r="P649" s="156"/>
      <c r="Q649" s="144"/>
      <c r="R649" s="147"/>
    </row>
    <row r="650" ht="21.75" customHeight="1">
      <c r="A650" s="155"/>
      <c r="B650" s="64"/>
      <c r="C650" s="23"/>
      <c r="D650" s="23"/>
      <c r="E650" s="24"/>
      <c r="F650" s="25"/>
      <c r="G650" s="24"/>
      <c r="H650" s="26"/>
      <c r="I650" s="143"/>
      <c r="J650" s="144"/>
      <c r="K650" s="144" t="str">
        <f t="shared" si="18"/>
        <v/>
      </c>
      <c r="L650" s="17"/>
      <c r="M650" s="145"/>
      <c r="N650" s="144"/>
      <c r="O650" s="156"/>
      <c r="P650" s="156"/>
      <c r="Q650" s="144"/>
      <c r="R650" s="147"/>
    </row>
    <row r="651" ht="21.75" customHeight="1">
      <c r="A651" s="155"/>
      <c r="B651" s="64"/>
      <c r="C651" s="23"/>
      <c r="D651" s="23"/>
      <c r="E651" s="24"/>
      <c r="F651" s="25"/>
      <c r="G651" s="24"/>
      <c r="H651" s="26"/>
      <c r="I651" s="143"/>
      <c r="J651" s="144"/>
      <c r="K651" s="144" t="str">
        <f t="shared" si="18"/>
        <v/>
      </c>
      <c r="L651" s="17"/>
      <c r="M651" s="145"/>
      <c r="N651" s="144"/>
      <c r="O651" s="156"/>
      <c r="P651" s="156"/>
      <c r="Q651" s="144"/>
      <c r="R651" s="147"/>
    </row>
    <row r="652" ht="21.75" customHeight="1">
      <c r="A652" s="155"/>
      <c r="B652" s="64"/>
      <c r="C652" s="23"/>
      <c r="D652" s="23"/>
      <c r="E652" s="24"/>
      <c r="F652" s="25"/>
      <c r="G652" s="24"/>
      <c r="H652" s="26"/>
      <c r="I652" s="143"/>
      <c r="J652" s="144"/>
      <c r="K652" s="144" t="str">
        <f t="shared" si="18"/>
        <v/>
      </c>
      <c r="L652" s="17"/>
      <c r="M652" s="145"/>
      <c r="N652" s="144"/>
      <c r="O652" s="156"/>
      <c r="P652" s="156"/>
      <c r="Q652" s="144"/>
      <c r="R652" s="147"/>
    </row>
    <row r="653" ht="21.75" customHeight="1">
      <c r="A653" s="155"/>
      <c r="B653" s="64"/>
      <c r="C653" s="23"/>
      <c r="D653" s="23"/>
      <c r="E653" s="24"/>
      <c r="F653" s="25"/>
      <c r="G653" s="24"/>
      <c r="H653" s="26"/>
      <c r="I653" s="143"/>
      <c r="J653" s="144"/>
      <c r="K653" s="144" t="str">
        <f t="shared" si="18"/>
        <v/>
      </c>
      <c r="L653" s="17"/>
      <c r="M653" s="145"/>
      <c r="N653" s="144"/>
      <c r="O653" s="156"/>
      <c r="P653" s="156"/>
      <c r="Q653" s="144"/>
      <c r="R653" s="147"/>
    </row>
    <row r="654" ht="21.75" customHeight="1">
      <c r="A654" s="155"/>
      <c r="B654" s="64"/>
      <c r="C654" s="23"/>
      <c r="D654" s="23"/>
      <c r="E654" s="24"/>
      <c r="F654" s="25"/>
      <c r="G654" s="24"/>
      <c r="H654" s="26"/>
      <c r="I654" s="143"/>
      <c r="J654" s="144"/>
      <c r="K654" s="144" t="str">
        <f t="shared" si="18"/>
        <v/>
      </c>
      <c r="L654" s="17"/>
      <c r="M654" s="145"/>
      <c r="N654" s="144"/>
      <c r="O654" s="156"/>
      <c r="P654" s="156"/>
      <c r="Q654" s="144"/>
      <c r="R654" s="147"/>
    </row>
    <row r="655" ht="21.75" customHeight="1">
      <c r="A655" s="155"/>
      <c r="B655" s="64"/>
      <c r="C655" s="23"/>
      <c r="D655" s="23"/>
      <c r="E655" s="24"/>
      <c r="F655" s="25"/>
      <c r="G655" s="24"/>
      <c r="H655" s="26"/>
      <c r="I655" s="143"/>
      <c r="J655" s="144"/>
      <c r="K655" s="144" t="str">
        <f t="shared" si="18"/>
        <v/>
      </c>
      <c r="L655" s="17"/>
      <c r="M655" s="145"/>
      <c r="N655" s="144"/>
      <c r="O655" s="156"/>
      <c r="P655" s="156"/>
      <c r="Q655" s="144"/>
      <c r="R655" s="147"/>
    </row>
    <row r="656" ht="21.75" customHeight="1">
      <c r="A656" s="155"/>
      <c r="B656" s="64"/>
      <c r="C656" s="23"/>
      <c r="D656" s="23"/>
      <c r="E656" s="24"/>
      <c r="F656" s="25"/>
      <c r="G656" s="24"/>
      <c r="H656" s="26"/>
      <c r="I656" s="143"/>
      <c r="J656" s="144"/>
      <c r="K656" s="144" t="str">
        <f t="shared" si="18"/>
        <v/>
      </c>
      <c r="L656" s="17"/>
      <c r="M656" s="145"/>
      <c r="N656" s="144"/>
      <c r="O656" s="156"/>
      <c r="P656" s="156"/>
      <c r="Q656" s="144"/>
      <c r="R656" s="147"/>
    </row>
    <row r="657" ht="21.75" customHeight="1">
      <c r="A657" s="155"/>
      <c r="B657" s="64"/>
      <c r="C657" s="23"/>
      <c r="D657" s="23"/>
      <c r="E657" s="24"/>
      <c r="F657" s="25"/>
      <c r="G657" s="24"/>
      <c r="H657" s="26"/>
      <c r="I657" s="143"/>
      <c r="J657" s="144"/>
      <c r="K657" s="144" t="str">
        <f t="shared" si="18"/>
        <v/>
      </c>
      <c r="L657" s="17"/>
      <c r="M657" s="145"/>
      <c r="N657" s="144"/>
      <c r="O657" s="156"/>
      <c r="P657" s="156"/>
      <c r="Q657" s="144"/>
      <c r="R657" s="147"/>
    </row>
    <row r="658" ht="21.75" customHeight="1">
      <c r="A658" s="155"/>
      <c r="B658" s="64"/>
      <c r="C658" s="23"/>
      <c r="D658" s="23"/>
      <c r="E658" s="24"/>
      <c r="F658" s="25"/>
      <c r="G658" s="24"/>
      <c r="H658" s="26"/>
      <c r="I658" s="143"/>
      <c r="J658" s="144"/>
      <c r="K658" s="144" t="str">
        <f t="shared" si="18"/>
        <v/>
      </c>
      <c r="L658" s="17"/>
      <c r="M658" s="145"/>
      <c r="N658" s="144"/>
      <c r="O658" s="156"/>
      <c r="P658" s="156"/>
      <c r="Q658" s="144"/>
      <c r="R658" s="147"/>
    </row>
    <row r="659" ht="21.75" customHeight="1">
      <c r="A659" s="155"/>
      <c r="B659" s="64"/>
      <c r="C659" s="23"/>
      <c r="D659" s="23"/>
      <c r="E659" s="24"/>
      <c r="F659" s="25"/>
      <c r="G659" s="24"/>
      <c r="H659" s="26"/>
      <c r="I659" s="143"/>
      <c r="J659" s="144"/>
      <c r="K659" s="144" t="str">
        <f t="shared" si="18"/>
        <v/>
      </c>
      <c r="L659" s="17"/>
      <c r="M659" s="145"/>
      <c r="N659" s="144"/>
      <c r="O659" s="156"/>
      <c r="P659" s="156"/>
      <c r="Q659" s="144"/>
      <c r="R659" s="147"/>
    </row>
    <row r="660" ht="21.75" customHeight="1">
      <c r="A660" s="155"/>
      <c r="B660" s="64"/>
      <c r="C660" s="23"/>
      <c r="D660" s="23"/>
      <c r="E660" s="24"/>
      <c r="F660" s="25"/>
      <c r="G660" s="24"/>
      <c r="H660" s="26"/>
      <c r="I660" s="143"/>
      <c r="J660" s="144"/>
      <c r="K660" s="144" t="str">
        <f t="shared" si="18"/>
        <v/>
      </c>
      <c r="L660" s="17"/>
      <c r="M660" s="145"/>
      <c r="N660" s="144"/>
      <c r="O660" s="156"/>
      <c r="P660" s="156"/>
      <c r="Q660" s="144"/>
      <c r="R660" s="147"/>
    </row>
    <row r="661" ht="21.75" customHeight="1">
      <c r="A661" s="155"/>
      <c r="B661" s="64"/>
      <c r="C661" s="23"/>
      <c r="D661" s="23"/>
      <c r="E661" s="24"/>
      <c r="F661" s="25"/>
      <c r="G661" s="24"/>
      <c r="H661" s="26"/>
      <c r="I661" s="143"/>
      <c r="J661" s="144"/>
      <c r="K661" s="144" t="str">
        <f t="shared" si="18"/>
        <v/>
      </c>
      <c r="L661" s="17"/>
      <c r="M661" s="145"/>
      <c r="N661" s="144"/>
      <c r="O661" s="156"/>
      <c r="P661" s="156"/>
      <c r="Q661" s="144"/>
      <c r="R661" s="147"/>
    </row>
    <row r="662" ht="21.75" customHeight="1">
      <c r="A662" s="155"/>
      <c r="B662" s="64"/>
      <c r="C662" s="23"/>
      <c r="D662" s="23"/>
      <c r="E662" s="24"/>
      <c r="F662" s="25"/>
      <c r="G662" s="24"/>
      <c r="H662" s="26"/>
      <c r="I662" s="143"/>
      <c r="J662" s="144"/>
      <c r="K662" s="144" t="str">
        <f t="shared" si="18"/>
        <v/>
      </c>
      <c r="L662" s="17"/>
      <c r="M662" s="145"/>
      <c r="N662" s="144"/>
      <c r="O662" s="156"/>
      <c r="P662" s="156"/>
      <c r="Q662" s="144"/>
      <c r="R662" s="147"/>
    </row>
    <row r="663" ht="21.75" customHeight="1">
      <c r="A663" s="155"/>
      <c r="B663" s="64"/>
      <c r="C663" s="23"/>
      <c r="D663" s="23"/>
      <c r="E663" s="24"/>
      <c r="F663" s="25"/>
      <c r="G663" s="24"/>
      <c r="H663" s="26"/>
      <c r="I663" s="143"/>
      <c r="J663" s="144"/>
      <c r="K663" s="144" t="str">
        <f t="shared" si="18"/>
        <v/>
      </c>
      <c r="L663" s="17"/>
      <c r="M663" s="145"/>
      <c r="N663" s="144"/>
      <c r="O663" s="156"/>
      <c r="P663" s="156"/>
      <c r="Q663" s="144"/>
      <c r="R663" s="147"/>
    </row>
    <row r="664" ht="21.75" customHeight="1">
      <c r="A664" s="155"/>
      <c r="B664" s="64"/>
      <c r="C664" s="23"/>
      <c r="D664" s="23"/>
      <c r="E664" s="24"/>
      <c r="F664" s="25"/>
      <c r="G664" s="24"/>
      <c r="H664" s="26"/>
      <c r="I664" s="143"/>
      <c r="J664" s="144"/>
      <c r="K664" s="144" t="str">
        <f t="shared" si="18"/>
        <v/>
      </c>
      <c r="L664" s="17"/>
      <c r="M664" s="145"/>
      <c r="N664" s="144"/>
      <c r="O664" s="156"/>
      <c r="P664" s="156"/>
      <c r="Q664" s="144"/>
      <c r="R664" s="147"/>
    </row>
    <row r="665" ht="21.75" customHeight="1">
      <c r="A665" s="155"/>
      <c r="B665" s="64"/>
      <c r="C665" s="23"/>
      <c r="D665" s="23"/>
      <c r="E665" s="24"/>
      <c r="F665" s="25"/>
      <c r="G665" s="24"/>
      <c r="H665" s="26"/>
      <c r="I665" s="143"/>
      <c r="J665" s="144"/>
      <c r="K665" s="144" t="str">
        <f t="shared" si="18"/>
        <v/>
      </c>
      <c r="L665" s="17"/>
      <c r="M665" s="145"/>
      <c r="N665" s="144"/>
      <c r="O665" s="156"/>
      <c r="P665" s="156"/>
      <c r="Q665" s="144"/>
      <c r="R665" s="147"/>
    </row>
    <row r="666" ht="21.75" customHeight="1">
      <c r="A666" s="155"/>
      <c r="B666" s="64"/>
      <c r="C666" s="23"/>
      <c r="D666" s="23"/>
      <c r="E666" s="24"/>
      <c r="F666" s="25"/>
      <c r="G666" s="24"/>
      <c r="H666" s="26"/>
      <c r="I666" s="143"/>
      <c r="J666" s="144"/>
      <c r="K666" s="144" t="str">
        <f t="shared" si="18"/>
        <v/>
      </c>
      <c r="L666" s="17"/>
      <c r="M666" s="145"/>
      <c r="N666" s="144"/>
      <c r="O666" s="156"/>
      <c r="P666" s="156"/>
      <c r="Q666" s="144"/>
      <c r="R666" s="147"/>
    </row>
    <row r="667" ht="21.75" customHeight="1">
      <c r="A667" s="155"/>
      <c r="B667" s="64"/>
      <c r="C667" s="23"/>
      <c r="D667" s="23"/>
      <c r="E667" s="24"/>
      <c r="F667" s="25"/>
      <c r="G667" s="24"/>
      <c r="H667" s="26"/>
      <c r="I667" s="143"/>
      <c r="J667" s="144"/>
      <c r="K667" s="144" t="str">
        <f t="shared" si="18"/>
        <v/>
      </c>
      <c r="L667" s="17"/>
      <c r="M667" s="145"/>
      <c r="N667" s="144"/>
      <c r="O667" s="156"/>
      <c r="P667" s="156"/>
      <c r="Q667" s="144"/>
      <c r="R667" s="147"/>
    </row>
    <row r="668" ht="21.75" customHeight="1">
      <c r="A668" s="155"/>
      <c r="B668" s="64"/>
      <c r="C668" s="23"/>
      <c r="D668" s="23"/>
      <c r="E668" s="24"/>
      <c r="F668" s="25"/>
      <c r="G668" s="24"/>
      <c r="H668" s="26"/>
      <c r="I668" s="143"/>
      <c r="J668" s="144"/>
      <c r="K668" s="144" t="str">
        <f t="shared" si="18"/>
        <v/>
      </c>
      <c r="L668" s="17"/>
      <c r="M668" s="145"/>
      <c r="N668" s="144"/>
      <c r="O668" s="156"/>
      <c r="P668" s="156"/>
      <c r="Q668" s="144"/>
      <c r="R668" s="147"/>
    </row>
    <row r="669" ht="21.75" customHeight="1">
      <c r="A669" s="155"/>
      <c r="B669" s="64"/>
      <c r="C669" s="23"/>
      <c r="D669" s="23"/>
      <c r="E669" s="24"/>
      <c r="F669" s="25"/>
      <c r="G669" s="24"/>
      <c r="H669" s="26"/>
      <c r="I669" s="143"/>
      <c r="J669" s="144"/>
      <c r="K669" s="144" t="str">
        <f t="shared" si="18"/>
        <v/>
      </c>
      <c r="L669" s="17"/>
      <c r="M669" s="145"/>
      <c r="N669" s="144"/>
      <c r="O669" s="156"/>
      <c r="P669" s="156"/>
      <c r="Q669" s="144"/>
      <c r="R669" s="147"/>
    </row>
    <row r="670" ht="21.75" customHeight="1">
      <c r="A670" s="155"/>
      <c r="B670" s="64"/>
      <c r="C670" s="23"/>
      <c r="D670" s="23"/>
      <c r="E670" s="24"/>
      <c r="F670" s="25"/>
      <c r="G670" s="24"/>
      <c r="H670" s="26"/>
      <c r="I670" s="143"/>
      <c r="J670" s="144"/>
      <c r="K670" s="144" t="str">
        <f t="shared" si="18"/>
        <v/>
      </c>
      <c r="L670" s="17"/>
      <c r="M670" s="145"/>
      <c r="N670" s="144"/>
      <c r="O670" s="156"/>
      <c r="P670" s="156"/>
      <c r="Q670" s="144"/>
      <c r="R670" s="147"/>
    </row>
    <row r="671" ht="21.75" customHeight="1">
      <c r="A671" s="155"/>
      <c r="B671" s="64"/>
      <c r="C671" s="23"/>
      <c r="D671" s="23"/>
      <c r="E671" s="24"/>
      <c r="F671" s="25"/>
      <c r="G671" s="24"/>
      <c r="H671" s="26"/>
      <c r="I671" s="143"/>
      <c r="J671" s="144"/>
      <c r="K671" s="144" t="str">
        <f t="shared" si="18"/>
        <v/>
      </c>
      <c r="L671" s="17"/>
      <c r="M671" s="145"/>
      <c r="N671" s="144"/>
      <c r="O671" s="156"/>
      <c r="P671" s="156"/>
      <c r="Q671" s="144"/>
      <c r="R671" s="147"/>
    </row>
    <row r="672" ht="21.75" customHeight="1">
      <c r="A672" s="155"/>
      <c r="B672" s="64"/>
      <c r="C672" s="23"/>
      <c r="D672" s="23"/>
      <c r="E672" s="24"/>
      <c r="F672" s="25"/>
      <c r="G672" s="24"/>
      <c r="H672" s="26"/>
      <c r="I672" s="143"/>
      <c r="J672" s="144"/>
      <c r="K672" s="144" t="str">
        <f t="shared" si="18"/>
        <v/>
      </c>
      <c r="L672" s="17"/>
      <c r="M672" s="145"/>
      <c r="N672" s="144"/>
      <c r="O672" s="156"/>
      <c r="P672" s="156"/>
      <c r="Q672" s="144"/>
      <c r="R672" s="147"/>
    </row>
    <row r="673" ht="21.75" customHeight="1">
      <c r="A673" s="155"/>
      <c r="B673" s="64"/>
      <c r="C673" s="23"/>
      <c r="D673" s="23"/>
      <c r="E673" s="24"/>
      <c r="F673" s="25"/>
      <c r="G673" s="24"/>
      <c r="H673" s="26"/>
      <c r="I673" s="143"/>
      <c r="J673" s="144"/>
      <c r="K673" s="144" t="str">
        <f t="shared" si="18"/>
        <v/>
      </c>
      <c r="L673" s="17"/>
      <c r="M673" s="145"/>
      <c r="N673" s="144"/>
      <c r="O673" s="156"/>
      <c r="P673" s="156"/>
      <c r="Q673" s="144"/>
      <c r="R673" s="147"/>
    </row>
    <row r="674" ht="21.75" customHeight="1">
      <c r="A674" s="155"/>
      <c r="B674" s="64"/>
      <c r="C674" s="23"/>
      <c r="D674" s="23"/>
      <c r="E674" s="24"/>
      <c r="F674" s="25"/>
      <c r="G674" s="24"/>
      <c r="H674" s="26"/>
      <c r="I674" s="143"/>
      <c r="J674" s="144"/>
      <c r="K674" s="144" t="str">
        <f t="shared" si="18"/>
        <v/>
      </c>
      <c r="L674" s="17"/>
      <c r="M674" s="145"/>
      <c r="N674" s="144"/>
      <c r="O674" s="156"/>
      <c r="P674" s="156"/>
      <c r="Q674" s="144"/>
      <c r="R674" s="147"/>
    </row>
    <row r="675" ht="21.75" customHeight="1">
      <c r="A675" s="155"/>
      <c r="B675" s="64"/>
      <c r="C675" s="23"/>
      <c r="D675" s="23"/>
      <c r="E675" s="24"/>
      <c r="F675" s="25"/>
      <c r="G675" s="24"/>
      <c r="H675" s="26"/>
      <c r="I675" s="143"/>
      <c r="J675" s="144"/>
      <c r="K675" s="144" t="str">
        <f t="shared" si="18"/>
        <v/>
      </c>
      <c r="L675" s="17"/>
      <c r="M675" s="145"/>
      <c r="N675" s="144"/>
      <c r="O675" s="156"/>
      <c r="P675" s="156"/>
      <c r="Q675" s="144"/>
      <c r="R675" s="147"/>
    </row>
    <row r="676" ht="21.75" customHeight="1">
      <c r="A676" s="155"/>
      <c r="B676" s="64"/>
      <c r="C676" s="23"/>
      <c r="D676" s="23"/>
      <c r="E676" s="24"/>
      <c r="F676" s="25"/>
      <c r="G676" s="24"/>
      <c r="H676" s="26"/>
      <c r="I676" s="143"/>
      <c r="J676" s="144"/>
      <c r="K676" s="144" t="str">
        <f t="shared" si="18"/>
        <v/>
      </c>
      <c r="L676" s="17"/>
      <c r="M676" s="145"/>
      <c r="N676" s="144"/>
      <c r="O676" s="156"/>
      <c r="P676" s="156"/>
      <c r="Q676" s="144"/>
      <c r="R676" s="147"/>
    </row>
    <row r="677" ht="21.75" customHeight="1">
      <c r="A677" s="155"/>
      <c r="B677" s="64"/>
      <c r="C677" s="23"/>
      <c r="D677" s="23"/>
      <c r="E677" s="24"/>
      <c r="F677" s="25"/>
      <c r="G677" s="24"/>
      <c r="H677" s="26"/>
      <c r="I677" s="143"/>
      <c r="J677" s="144"/>
      <c r="K677" s="144" t="str">
        <f t="shared" si="18"/>
        <v/>
      </c>
      <c r="L677" s="17"/>
      <c r="M677" s="145"/>
      <c r="N677" s="144"/>
      <c r="O677" s="156"/>
      <c r="P677" s="156"/>
      <c r="Q677" s="144"/>
      <c r="R677" s="147"/>
    </row>
    <row r="678" ht="21.75" customHeight="1">
      <c r="A678" s="155"/>
      <c r="B678" s="64"/>
      <c r="C678" s="23"/>
      <c r="D678" s="23"/>
      <c r="E678" s="24"/>
      <c r="F678" s="25"/>
      <c r="G678" s="24"/>
      <c r="H678" s="26"/>
      <c r="I678" s="143"/>
      <c r="J678" s="144"/>
      <c r="K678" s="144" t="str">
        <f t="shared" si="18"/>
        <v/>
      </c>
      <c r="L678" s="17"/>
      <c r="M678" s="145"/>
      <c r="N678" s="144"/>
      <c r="O678" s="156"/>
      <c r="P678" s="156"/>
      <c r="Q678" s="144"/>
      <c r="R678" s="147"/>
    </row>
    <row r="679" ht="21.75" customHeight="1">
      <c r="A679" s="155"/>
      <c r="B679" s="64"/>
      <c r="C679" s="23"/>
      <c r="D679" s="23"/>
      <c r="E679" s="24"/>
      <c r="F679" s="25"/>
      <c r="G679" s="24"/>
      <c r="H679" s="26"/>
      <c r="I679" s="143"/>
      <c r="J679" s="144"/>
      <c r="K679" s="144" t="str">
        <f t="shared" si="18"/>
        <v/>
      </c>
      <c r="L679" s="17"/>
      <c r="M679" s="145"/>
      <c r="N679" s="144"/>
      <c r="O679" s="156"/>
      <c r="P679" s="156"/>
      <c r="Q679" s="144"/>
      <c r="R679" s="147"/>
    </row>
    <row r="680" ht="21.75" customHeight="1">
      <c r="A680" s="155"/>
      <c r="B680" s="64"/>
      <c r="C680" s="23"/>
      <c r="D680" s="23"/>
      <c r="E680" s="24"/>
      <c r="F680" s="25"/>
      <c r="G680" s="24"/>
      <c r="H680" s="26"/>
      <c r="I680" s="143"/>
      <c r="J680" s="144"/>
      <c r="K680" s="144" t="str">
        <f t="shared" si="18"/>
        <v/>
      </c>
      <c r="L680" s="17"/>
      <c r="M680" s="145"/>
      <c r="N680" s="144"/>
      <c r="O680" s="156"/>
      <c r="P680" s="156"/>
      <c r="Q680" s="144"/>
      <c r="R680" s="147"/>
    </row>
    <row r="681" ht="21.75" customHeight="1">
      <c r="A681" s="155"/>
      <c r="B681" s="64"/>
      <c r="C681" s="23"/>
      <c r="D681" s="23"/>
      <c r="E681" s="24"/>
      <c r="F681" s="25"/>
      <c r="G681" s="24"/>
      <c r="H681" s="26"/>
      <c r="I681" s="143"/>
      <c r="J681" s="144"/>
      <c r="K681" s="144" t="str">
        <f t="shared" si="18"/>
        <v/>
      </c>
      <c r="L681" s="17"/>
      <c r="M681" s="145"/>
      <c r="N681" s="144"/>
      <c r="O681" s="156"/>
      <c r="P681" s="156"/>
      <c r="Q681" s="144"/>
      <c r="R681" s="147"/>
    </row>
    <row r="682" ht="21.75" customHeight="1">
      <c r="A682" s="155"/>
      <c r="B682" s="64"/>
      <c r="C682" s="23"/>
      <c r="D682" s="23"/>
      <c r="E682" s="24"/>
      <c r="F682" s="25"/>
      <c r="G682" s="24"/>
      <c r="H682" s="26"/>
      <c r="I682" s="143"/>
      <c r="J682" s="144"/>
      <c r="K682" s="144" t="str">
        <f t="shared" si="18"/>
        <v/>
      </c>
      <c r="L682" s="17"/>
      <c r="M682" s="145"/>
      <c r="N682" s="144"/>
      <c r="O682" s="156"/>
      <c r="P682" s="156"/>
      <c r="Q682" s="144"/>
      <c r="R682" s="147"/>
    </row>
    <row r="683" ht="21.75" customHeight="1">
      <c r="A683" s="155"/>
      <c r="B683" s="64"/>
      <c r="C683" s="23"/>
      <c r="D683" s="23"/>
      <c r="E683" s="24"/>
      <c r="F683" s="25"/>
      <c r="G683" s="24"/>
      <c r="H683" s="26"/>
      <c r="I683" s="143"/>
      <c r="J683" s="144"/>
      <c r="K683" s="144" t="str">
        <f t="shared" si="18"/>
        <v/>
      </c>
      <c r="L683" s="17"/>
      <c r="M683" s="145"/>
      <c r="N683" s="144"/>
      <c r="O683" s="156"/>
      <c r="P683" s="156"/>
      <c r="Q683" s="144"/>
      <c r="R683" s="147"/>
    </row>
    <row r="684" ht="21.75" customHeight="1">
      <c r="A684" s="155"/>
      <c r="B684" s="64"/>
      <c r="C684" s="23"/>
      <c r="D684" s="23"/>
      <c r="E684" s="24"/>
      <c r="F684" s="25"/>
      <c r="G684" s="24"/>
      <c r="H684" s="26"/>
      <c r="I684" s="143"/>
      <c r="J684" s="144"/>
      <c r="K684" s="144" t="str">
        <f t="shared" si="18"/>
        <v/>
      </c>
      <c r="L684" s="17"/>
      <c r="M684" s="145"/>
      <c r="N684" s="144"/>
      <c r="O684" s="156"/>
      <c r="P684" s="156"/>
      <c r="Q684" s="144"/>
      <c r="R684" s="147"/>
    </row>
    <row r="685" ht="21.75" customHeight="1">
      <c r="A685" s="155"/>
      <c r="B685" s="64"/>
      <c r="C685" s="23"/>
      <c r="D685" s="23"/>
      <c r="E685" s="24"/>
      <c r="F685" s="25"/>
      <c r="G685" s="24"/>
      <c r="H685" s="26"/>
      <c r="I685" s="143"/>
      <c r="J685" s="144"/>
      <c r="K685" s="144" t="str">
        <f t="shared" si="18"/>
        <v/>
      </c>
      <c r="L685" s="17"/>
      <c r="M685" s="145"/>
      <c r="N685" s="144"/>
      <c r="O685" s="156"/>
      <c r="P685" s="156"/>
      <c r="Q685" s="144"/>
      <c r="R685" s="147"/>
    </row>
    <row r="686" ht="21.75" customHeight="1">
      <c r="A686" s="155"/>
      <c r="B686" s="64"/>
      <c r="C686" s="23"/>
      <c r="D686" s="23"/>
      <c r="E686" s="24"/>
      <c r="F686" s="25"/>
      <c r="G686" s="24"/>
      <c r="H686" s="26"/>
      <c r="I686" s="143"/>
      <c r="J686" s="144"/>
      <c r="K686" s="144" t="str">
        <f t="shared" si="18"/>
        <v/>
      </c>
      <c r="L686" s="17"/>
      <c r="M686" s="145"/>
      <c r="N686" s="144"/>
      <c r="O686" s="156"/>
      <c r="P686" s="156"/>
      <c r="Q686" s="144"/>
      <c r="R686" s="147"/>
    </row>
    <row r="687" ht="21.75" customHeight="1">
      <c r="A687" s="155"/>
      <c r="B687" s="64"/>
      <c r="C687" s="23"/>
      <c r="D687" s="23"/>
      <c r="E687" s="24"/>
      <c r="F687" s="25"/>
      <c r="G687" s="24"/>
      <c r="H687" s="26"/>
      <c r="I687" s="143"/>
      <c r="J687" s="144"/>
      <c r="K687" s="144" t="str">
        <f t="shared" si="18"/>
        <v/>
      </c>
      <c r="L687" s="17"/>
      <c r="M687" s="145"/>
      <c r="N687" s="144"/>
      <c r="O687" s="156"/>
      <c r="P687" s="156"/>
      <c r="Q687" s="144"/>
      <c r="R687" s="147"/>
    </row>
    <row r="688" ht="21.75" customHeight="1">
      <c r="A688" s="155"/>
      <c r="B688" s="64"/>
      <c r="C688" s="23"/>
      <c r="D688" s="23"/>
      <c r="E688" s="24"/>
      <c r="F688" s="25"/>
      <c r="G688" s="24"/>
      <c r="H688" s="26"/>
      <c r="I688" s="143"/>
      <c r="J688" s="144"/>
      <c r="K688" s="144" t="str">
        <f t="shared" si="18"/>
        <v/>
      </c>
      <c r="L688" s="17"/>
      <c r="M688" s="145"/>
      <c r="N688" s="144"/>
      <c r="O688" s="156"/>
      <c r="P688" s="156"/>
      <c r="Q688" s="144"/>
      <c r="R688" s="147"/>
    </row>
    <row r="689" ht="21.75" customHeight="1">
      <c r="A689" s="155"/>
      <c r="B689" s="64"/>
      <c r="C689" s="23"/>
      <c r="D689" s="23"/>
      <c r="E689" s="24"/>
      <c r="F689" s="25"/>
      <c r="G689" s="24"/>
      <c r="H689" s="26"/>
      <c r="I689" s="143"/>
      <c r="J689" s="144"/>
      <c r="K689" s="144" t="str">
        <f t="shared" si="18"/>
        <v/>
      </c>
      <c r="L689" s="17"/>
      <c r="M689" s="145"/>
      <c r="N689" s="144"/>
      <c r="O689" s="156"/>
      <c r="P689" s="156"/>
      <c r="Q689" s="144"/>
      <c r="R689" s="147"/>
    </row>
    <row r="690" ht="21.75" customHeight="1">
      <c r="A690" s="155"/>
      <c r="B690" s="64"/>
      <c r="C690" s="23"/>
      <c r="D690" s="23"/>
      <c r="E690" s="24"/>
      <c r="F690" s="25"/>
      <c r="G690" s="24"/>
      <c r="H690" s="26"/>
      <c r="I690" s="143"/>
      <c r="J690" s="144"/>
      <c r="K690" s="144" t="str">
        <f t="shared" si="18"/>
        <v/>
      </c>
      <c r="L690" s="17"/>
      <c r="M690" s="145"/>
      <c r="N690" s="144"/>
      <c r="O690" s="156"/>
      <c r="P690" s="156"/>
      <c r="Q690" s="144"/>
      <c r="R690" s="147"/>
    </row>
    <row r="691" ht="21.75" customHeight="1">
      <c r="A691" s="155"/>
      <c r="B691" s="64"/>
      <c r="C691" s="23"/>
      <c r="D691" s="23"/>
      <c r="E691" s="24"/>
      <c r="F691" s="25"/>
      <c r="G691" s="24"/>
      <c r="H691" s="26"/>
      <c r="I691" s="143"/>
      <c r="J691" s="144"/>
      <c r="K691" s="144" t="str">
        <f t="shared" si="18"/>
        <v/>
      </c>
      <c r="L691" s="17"/>
      <c r="M691" s="145"/>
      <c r="N691" s="144"/>
      <c r="O691" s="156"/>
      <c r="P691" s="156"/>
      <c r="Q691" s="144"/>
      <c r="R691" s="147"/>
    </row>
    <row r="692" ht="21.75" customHeight="1">
      <c r="A692" s="155"/>
      <c r="B692" s="64"/>
      <c r="C692" s="23"/>
      <c r="D692" s="23"/>
      <c r="E692" s="24"/>
      <c r="F692" s="25"/>
      <c r="G692" s="24"/>
      <c r="H692" s="26"/>
      <c r="I692" s="143"/>
      <c r="J692" s="144"/>
      <c r="K692" s="144" t="str">
        <f t="shared" si="18"/>
        <v/>
      </c>
      <c r="L692" s="17"/>
      <c r="M692" s="145"/>
      <c r="N692" s="144"/>
      <c r="O692" s="156"/>
      <c r="P692" s="156"/>
      <c r="Q692" s="144"/>
      <c r="R692" s="147"/>
    </row>
    <row r="693" ht="21.75" customHeight="1">
      <c r="A693" s="155"/>
      <c r="B693" s="64"/>
      <c r="C693" s="23"/>
      <c r="D693" s="23"/>
      <c r="E693" s="24"/>
      <c r="F693" s="25"/>
      <c r="G693" s="24"/>
      <c r="H693" s="26"/>
      <c r="I693" s="143"/>
      <c r="J693" s="144"/>
      <c r="K693" s="144" t="str">
        <f t="shared" si="18"/>
        <v/>
      </c>
      <c r="L693" s="17"/>
      <c r="M693" s="145"/>
      <c r="N693" s="144"/>
      <c r="O693" s="156"/>
      <c r="P693" s="156"/>
      <c r="Q693" s="144"/>
      <c r="R693" s="147"/>
    </row>
    <row r="694" ht="21.75" customHeight="1">
      <c r="A694" s="155"/>
      <c r="B694" s="64"/>
      <c r="C694" s="23"/>
      <c r="D694" s="23"/>
      <c r="E694" s="24"/>
      <c r="F694" s="25"/>
      <c r="G694" s="24"/>
      <c r="H694" s="26"/>
      <c r="I694" s="143"/>
      <c r="J694" s="144"/>
      <c r="K694" s="144" t="str">
        <f t="shared" si="18"/>
        <v/>
      </c>
      <c r="L694" s="17"/>
      <c r="M694" s="145"/>
      <c r="N694" s="144"/>
      <c r="O694" s="156"/>
      <c r="P694" s="156"/>
      <c r="Q694" s="144"/>
      <c r="R694" s="147"/>
    </row>
    <row r="695" ht="21.75" customHeight="1">
      <c r="A695" s="155"/>
      <c r="B695" s="64"/>
      <c r="C695" s="23"/>
      <c r="D695" s="23"/>
      <c r="E695" s="24"/>
      <c r="F695" s="25"/>
      <c r="G695" s="24"/>
      <c r="H695" s="26"/>
      <c r="I695" s="143"/>
      <c r="J695" s="144"/>
      <c r="K695" s="144" t="str">
        <f t="shared" si="18"/>
        <v/>
      </c>
      <c r="L695" s="17"/>
      <c r="M695" s="145"/>
      <c r="N695" s="144"/>
      <c r="O695" s="156"/>
      <c r="P695" s="156"/>
      <c r="Q695" s="144"/>
      <c r="R695" s="147"/>
    </row>
    <row r="696" ht="21.75" customHeight="1">
      <c r="A696" s="155"/>
      <c r="B696" s="64"/>
      <c r="C696" s="23"/>
      <c r="D696" s="23"/>
      <c r="E696" s="24"/>
      <c r="F696" s="25"/>
      <c r="G696" s="24"/>
      <c r="H696" s="26"/>
      <c r="I696" s="143"/>
      <c r="J696" s="144"/>
      <c r="K696" s="144" t="str">
        <f t="shared" si="18"/>
        <v/>
      </c>
      <c r="L696" s="17"/>
      <c r="M696" s="145"/>
      <c r="N696" s="144"/>
      <c r="O696" s="156"/>
      <c r="P696" s="156"/>
      <c r="Q696" s="144"/>
      <c r="R696" s="147"/>
    </row>
    <row r="697" ht="21.75" customHeight="1">
      <c r="A697" s="155"/>
      <c r="B697" s="64"/>
      <c r="C697" s="23"/>
      <c r="D697" s="23"/>
      <c r="E697" s="24"/>
      <c r="F697" s="25"/>
      <c r="G697" s="24"/>
      <c r="H697" s="26"/>
      <c r="I697" s="143"/>
      <c r="J697" s="144"/>
      <c r="K697" s="144" t="str">
        <f t="shared" si="18"/>
        <v/>
      </c>
      <c r="L697" s="17"/>
      <c r="M697" s="145"/>
      <c r="N697" s="144"/>
      <c r="O697" s="156"/>
      <c r="P697" s="156"/>
      <c r="Q697" s="144"/>
      <c r="R697" s="147"/>
    </row>
    <row r="698" ht="21.75" customHeight="1">
      <c r="A698" s="155"/>
      <c r="B698" s="64"/>
      <c r="C698" s="23"/>
      <c r="D698" s="23"/>
      <c r="E698" s="24"/>
      <c r="F698" s="25"/>
      <c r="G698" s="24"/>
      <c r="H698" s="26"/>
      <c r="I698" s="143"/>
      <c r="J698" s="144"/>
      <c r="K698" s="144" t="str">
        <f t="shared" si="18"/>
        <v/>
      </c>
      <c r="L698" s="17"/>
      <c r="M698" s="145"/>
      <c r="N698" s="144"/>
      <c r="O698" s="156"/>
      <c r="P698" s="156"/>
      <c r="Q698" s="144"/>
      <c r="R698" s="147"/>
    </row>
    <row r="699" ht="21.75" customHeight="1">
      <c r="A699" s="155"/>
      <c r="B699" s="64"/>
      <c r="C699" s="23"/>
      <c r="D699" s="23"/>
      <c r="E699" s="24"/>
      <c r="F699" s="25"/>
      <c r="G699" s="24"/>
      <c r="H699" s="26"/>
      <c r="I699" s="143"/>
      <c r="J699" s="144"/>
      <c r="K699" s="144" t="str">
        <f t="shared" si="18"/>
        <v/>
      </c>
      <c r="L699" s="17"/>
      <c r="M699" s="145"/>
      <c r="N699" s="144"/>
      <c r="O699" s="156"/>
      <c r="P699" s="156"/>
      <c r="Q699" s="144"/>
      <c r="R699" s="147"/>
    </row>
    <row r="700" ht="21.75" customHeight="1">
      <c r="A700" s="155"/>
      <c r="B700" s="64"/>
      <c r="C700" s="23"/>
      <c r="D700" s="23"/>
      <c r="E700" s="24"/>
      <c r="F700" s="25"/>
      <c r="G700" s="24"/>
      <c r="H700" s="26"/>
      <c r="I700" s="143"/>
      <c r="J700" s="144"/>
      <c r="K700" s="144" t="str">
        <f t="shared" si="18"/>
        <v/>
      </c>
      <c r="L700" s="17"/>
      <c r="M700" s="145"/>
      <c r="N700" s="144"/>
      <c r="O700" s="156"/>
      <c r="P700" s="156"/>
      <c r="Q700" s="144"/>
      <c r="R700" s="147"/>
    </row>
    <row r="701" ht="21.75" customHeight="1">
      <c r="A701" s="155"/>
      <c r="B701" s="64"/>
      <c r="C701" s="23"/>
      <c r="D701" s="23"/>
      <c r="E701" s="24"/>
      <c r="F701" s="25"/>
      <c r="G701" s="24"/>
      <c r="H701" s="26"/>
      <c r="I701" s="143"/>
      <c r="J701" s="144"/>
      <c r="K701" s="144" t="str">
        <f t="shared" si="18"/>
        <v/>
      </c>
      <c r="L701" s="17"/>
      <c r="M701" s="145"/>
      <c r="N701" s="144"/>
      <c r="O701" s="156"/>
      <c r="P701" s="156"/>
      <c r="Q701" s="144"/>
      <c r="R701" s="147"/>
    </row>
    <row r="702" ht="21.75" customHeight="1">
      <c r="A702" s="155"/>
      <c r="B702" s="64"/>
      <c r="C702" s="23"/>
      <c r="D702" s="23"/>
      <c r="E702" s="24"/>
      <c r="F702" s="25"/>
      <c r="G702" s="24"/>
      <c r="H702" s="26"/>
      <c r="I702" s="143"/>
      <c r="J702" s="144"/>
      <c r="K702" s="144" t="str">
        <f t="shared" si="18"/>
        <v/>
      </c>
      <c r="L702" s="17"/>
      <c r="M702" s="145"/>
      <c r="N702" s="144"/>
      <c r="O702" s="156"/>
      <c r="P702" s="156"/>
      <c r="Q702" s="144"/>
      <c r="R702" s="147"/>
    </row>
    <row r="703" ht="21.75" customHeight="1">
      <c r="A703" s="155"/>
      <c r="B703" s="64"/>
      <c r="C703" s="23"/>
      <c r="D703" s="23"/>
      <c r="E703" s="24"/>
      <c r="F703" s="25"/>
      <c r="G703" s="24"/>
      <c r="H703" s="26"/>
      <c r="I703" s="143"/>
      <c r="J703" s="144"/>
      <c r="K703" s="144" t="str">
        <f t="shared" si="18"/>
        <v/>
      </c>
      <c r="L703" s="17"/>
      <c r="M703" s="145"/>
      <c r="N703" s="144"/>
      <c r="O703" s="156"/>
      <c r="P703" s="156"/>
      <c r="Q703" s="144"/>
      <c r="R703" s="147"/>
    </row>
    <row r="704" ht="21.75" customHeight="1">
      <c r="A704" s="155"/>
      <c r="B704" s="64"/>
      <c r="C704" s="23"/>
      <c r="D704" s="23"/>
      <c r="E704" s="24"/>
      <c r="F704" s="25"/>
      <c r="G704" s="24"/>
      <c r="H704" s="26"/>
      <c r="I704" s="143"/>
      <c r="J704" s="144"/>
      <c r="K704" s="144" t="str">
        <f t="shared" si="18"/>
        <v/>
      </c>
      <c r="L704" s="17"/>
      <c r="M704" s="145"/>
      <c r="N704" s="144"/>
      <c r="O704" s="156"/>
      <c r="P704" s="156"/>
      <c r="Q704" s="144"/>
      <c r="R704" s="147"/>
    </row>
    <row r="705" ht="21.75" customHeight="1">
      <c r="A705" s="155"/>
      <c r="B705" s="64"/>
      <c r="C705" s="23"/>
      <c r="D705" s="23"/>
      <c r="E705" s="24"/>
      <c r="F705" s="25"/>
      <c r="G705" s="24"/>
      <c r="H705" s="26"/>
      <c r="I705" s="143"/>
      <c r="J705" s="144"/>
      <c r="K705" s="144" t="str">
        <f t="shared" si="18"/>
        <v/>
      </c>
      <c r="L705" s="17"/>
      <c r="M705" s="145"/>
      <c r="N705" s="144"/>
      <c r="O705" s="156"/>
      <c r="P705" s="156"/>
      <c r="Q705" s="144"/>
      <c r="R705" s="147"/>
    </row>
    <row r="706" ht="21.75" customHeight="1">
      <c r="A706" s="155"/>
      <c r="B706" s="64"/>
      <c r="C706" s="23"/>
      <c r="D706" s="23"/>
      <c r="E706" s="24"/>
      <c r="F706" s="25"/>
      <c r="G706" s="24"/>
      <c r="H706" s="26"/>
      <c r="I706" s="143"/>
      <c r="J706" s="144"/>
      <c r="K706" s="144" t="str">
        <f t="shared" si="18"/>
        <v/>
      </c>
      <c r="L706" s="17"/>
      <c r="M706" s="145"/>
      <c r="N706" s="144"/>
      <c r="O706" s="156"/>
      <c r="P706" s="156"/>
      <c r="Q706" s="144"/>
      <c r="R706" s="147"/>
    </row>
    <row r="707" ht="21.75" customHeight="1">
      <c r="A707" s="155"/>
      <c r="B707" s="64"/>
      <c r="C707" s="23"/>
      <c r="D707" s="23"/>
      <c r="E707" s="24"/>
      <c r="F707" s="25"/>
      <c r="G707" s="24"/>
      <c r="H707" s="26"/>
      <c r="I707" s="143"/>
      <c r="J707" s="144"/>
      <c r="K707" s="144" t="str">
        <f t="shared" si="18"/>
        <v/>
      </c>
      <c r="L707" s="17"/>
      <c r="M707" s="145"/>
      <c r="N707" s="144"/>
      <c r="O707" s="156"/>
      <c r="P707" s="156"/>
      <c r="Q707" s="144"/>
      <c r="R707" s="147"/>
    </row>
    <row r="708" ht="21.75" customHeight="1">
      <c r="A708" s="155"/>
      <c r="B708" s="64"/>
      <c r="C708" s="23"/>
      <c r="D708" s="23"/>
      <c r="E708" s="24"/>
      <c r="F708" s="25"/>
      <c r="G708" s="24"/>
      <c r="H708" s="26"/>
      <c r="I708" s="143"/>
      <c r="J708" s="144"/>
      <c r="K708" s="144" t="str">
        <f t="shared" si="18"/>
        <v/>
      </c>
      <c r="L708" s="17"/>
      <c r="M708" s="145"/>
      <c r="N708" s="144"/>
      <c r="O708" s="156"/>
      <c r="P708" s="156"/>
      <c r="Q708" s="144"/>
      <c r="R708" s="147"/>
    </row>
    <row r="709" ht="21.75" customHeight="1">
      <c r="A709" s="155"/>
      <c r="B709" s="64"/>
      <c r="C709" s="23"/>
      <c r="D709" s="23"/>
      <c r="E709" s="24"/>
      <c r="F709" s="25"/>
      <c r="G709" s="24"/>
      <c r="H709" s="26"/>
      <c r="I709" s="143"/>
      <c r="J709" s="144"/>
      <c r="K709" s="144" t="str">
        <f t="shared" si="18"/>
        <v/>
      </c>
      <c r="L709" s="17"/>
      <c r="M709" s="145"/>
      <c r="N709" s="144"/>
      <c r="O709" s="156"/>
      <c r="P709" s="156"/>
      <c r="Q709" s="144"/>
      <c r="R709" s="147"/>
    </row>
    <row r="710" ht="21.75" customHeight="1">
      <c r="A710" s="155"/>
      <c r="B710" s="64"/>
      <c r="C710" s="23"/>
      <c r="D710" s="23"/>
      <c r="E710" s="24"/>
      <c r="F710" s="25"/>
      <c r="G710" s="24"/>
      <c r="H710" s="26"/>
      <c r="I710" s="143"/>
      <c r="J710" s="144"/>
      <c r="K710" s="144" t="str">
        <f t="shared" si="18"/>
        <v/>
      </c>
      <c r="L710" s="17"/>
      <c r="M710" s="145"/>
      <c r="N710" s="144"/>
      <c r="O710" s="156"/>
      <c r="P710" s="156"/>
      <c r="Q710" s="144"/>
      <c r="R710" s="147"/>
    </row>
    <row r="711" ht="21.75" customHeight="1">
      <c r="A711" s="155"/>
      <c r="B711" s="64"/>
      <c r="C711" s="23"/>
      <c r="D711" s="23"/>
      <c r="E711" s="24"/>
      <c r="F711" s="25"/>
      <c r="G711" s="24"/>
      <c r="H711" s="26"/>
      <c r="I711" s="143"/>
      <c r="J711" s="144"/>
      <c r="K711" s="144" t="str">
        <f t="shared" si="18"/>
        <v/>
      </c>
      <c r="L711" s="17"/>
      <c r="M711" s="145"/>
      <c r="N711" s="144"/>
      <c r="O711" s="156"/>
      <c r="P711" s="156"/>
      <c r="Q711" s="144"/>
      <c r="R711" s="147"/>
    </row>
    <row r="712" ht="21.75" customHeight="1">
      <c r="A712" s="155"/>
      <c r="B712" s="64"/>
      <c r="C712" s="23"/>
      <c r="D712" s="23"/>
      <c r="E712" s="24"/>
      <c r="F712" s="25"/>
      <c r="G712" s="24"/>
      <c r="H712" s="26"/>
      <c r="I712" s="143"/>
      <c r="J712" s="144"/>
      <c r="K712" s="144" t="str">
        <f t="shared" si="18"/>
        <v/>
      </c>
      <c r="L712" s="17"/>
      <c r="M712" s="145"/>
      <c r="N712" s="144"/>
      <c r="O712" s="156"/>
      <c r="P712" s="156"/>
      <c r="Q712" s="144"/>
      <c r="R712" s="147"/>
    </row>
    <row r="713" ht="21.75" customHeight="1">
      <c r="A713" s="155"/>
      <c r="B713" s="64"/>
      <c r="C713" s="23"/>
      <c r="D713" s="23"/>
      <c r="E713" s="24"/>
      <c r="F713" s="25"/>
      <c r="G713" s="24"/>
      <c r="H713" s="26"/>
      <c r="I713" s="143"/>
      <c r="J713" s="144"/>
      <c r="K713" s="144" t="str">
        <f t="shared" si="18"/>
        <v/>
      </c>
      <c r="L713" s="17"/>
      <c r="M713" s="145"/>
      <c r="N713" s="144"/>
      <c r="O713" s="156"/>
      <c r="P713" s="156"/>
      <c r="Q713" s="144"/>
      <c r="R713" s="147"/>
    </row>
    <row r="714" ht="21.75" customHeight="1">
      <c r="A714" s="155"/>
      <c r="B714" s="64"/>
      <c r="C714" s="23"/>
      <c r="D714" s="23"/>
      <c r="E714" s="24"/>
      <c r="F714" s="25"/>
      <c r="G714" s="24"/>
      <c r="H714" s="26"/>
      <c r="I714" s="143"/>
      <c r="J714" s="144"/>
      <c r="K714" s="144" t="str">
        <f t="shared" si="18"/>
        <v/>
      </c>
      <c r="L714" s="17"/>
      <c r="M714" s="145"/>
      <c r="N714" s="144"/>
      <c r="O714" s="156"/>
      <c r="P714" s="156"/>
      <c r="Q714" s="144"/>
      <c r="R714" s="147"/>
    </row>
    <row r="715" ht="21.75" customHeight="1">
      <c r="A715" s="155"/>
      <c r="B715" s="64"/>
      <c r="C715" s="23"/>
      <c r="D715" s="23"/>
      <c r="E715" s="24"/>
      <c r="F715" s="25"/>
      <c r="G715" s="24"/>
      <c r="H715" s="26"/>
      <c r="I715" s="143"/>
      <c r="J715" s="144"/>
      <c r="K715" s="144" t="str">
        <f t="shared" si="18"/>
        <v/>
      </c>
      <c r="L715" s="17"/>
      <c r="M715" s="145"/>
      <c r="N715" s="144"/>
      <c r="O715" s="156"/>
      <c r="P715" s="156"/>
      <c r="Q715" s="144"/>
      <c r="R715" s="147"/>
    </row>
    <row r="716" ht="21.75" customHeight="1">
      <c r="A716" s="155"/>
      <c r="B716" s="64"/>
      <c r="C716" s="23"/>
      <c r="D716" s="23"/>
      <c r="E716" s="24"/>
      <c r="F716" s="25"/>
      <c r="G716" s="24"/>
      <c r="H716" s="26"/>
      <c r="I716" s="143"/>
      <c r="J716" s="144"/>
      <c r="K716" s="144" t="str">
        <f t="shared" si="18"/>
        <v/>
      </c>
      <c r="L716" s="17"/>
      <c r="M716" s="145"/>
      <c r="N716" s="144"/>
      <c r="O716" s="156"/>
      <c r="P716" s="156"/>
      <c r="Q716" s="144"/>
      <c r="R716" s="147"/>
    </row>
    <row r="717" ht="21.75" customHeight="1">
      <c r="A717" s="155"/>
      <c r="B717" s="64"/>
      <c r="C717" s="23"/>
      <c r="D717" s="23"/>
      <c r="E717" s="24"/>
      <c r="F717" s="25"/>
      <c r="G717" s="24"/>
      <c r="H717" s="26"/>
      <c r="I717" s="143"/>
      <c r="J717" s="144"/>
      <c r="K717" s="144" t="str">
        <f t="shared" si="18"/>
        <v/>
      </c>
      <c r="L717" s="17"/>
      <c r="M717" s="145"/>
      <c r="N717" s="144"/>
      <c r="O717" s="156"/>
      <c r="P717" s="156"/>
      <c r="Q717" s="144"/>
      <c r="R717" s="147"/>
    </row>
    <row r="718" ht="21.75" customHeight="1">
      <c r="A718" s="155"/>
      <c r="B718" s="64"/>
      <c r="C718" s="23"/>
      <c r="D718" s="23"/>
      <c r="E718" s="24"/>
      <c r="F718" s="25"/>
      <c r="G718" s="24"/>
      <c r="H718" s="26"/>
      <c r="I718" s="143"/>
      <c r="J718" s="144"/>
      <c r="K718" s="144" t="str">
        <f t="shared" si="18"/>
        <v/>
      </c>
      <c r="L718" s="17"/>
      <c r="M718" s="145"/>
      <c r="N718" s="144"/>
      <c r="O718" s="156"/>
      <c r="P718" s="156"/>
      <c r="Q718" s="144"/>
      <c r="R718" s="147"/>
    </row>
    <row r="719" ht="21.75" customHeight="1">
      <c r="A719" s="155"/>
      <c r="B719" s="64"/>
      <c r="C719" s="23"/>
      <c r="D719" s="23"/>
      <c r="E719" s="24"/>
      <c r="F719" s="25"/>
      <c r="G719" s="24"/>
      <c r="H719" s="26"/>
      <c r="I719" s="143"/>
      <c r="J719" s="144"/>
      <c r="K719" s="144" t="str">
        <f t="shared" si="18"/>
        <v/>
      </c>
      <c r="L719" s="17"/>
      <c r="M719" s="145"/>
      <c r="N719" s="144"/>
      <c r="O719" s="156"/>
      <c r="P719" s="156"/>
      <c r="Q719" s="144"/>
      <c r="R719" s="147"/>
    </row>
    <row r="720" ht="21.75" customHeight="1">
      <c r="A720" s="155"/>
      <c r="B720" s="64"/>
      <c r="C720" s="23"/>
      <c r="D720" s="23"/>
      <c r="E720" s="24"/>
      <c r="F720" s="25"/>
      <c r="G720" s="24"/>
      <c r="H720" s="26"/>
      <c r="I720" s="143"/>
      <c r="J720" s="144"/>
      <c r="K720" s="144" t="str">
        <f t="shared" si="18"/>
        <v/>
      </c>
      <c r="L720" s="17"/>
      <c r="M720" s="145"/>
      <c r="N720" s="144"/>
      <c r="O720" s="156"/>
      <c r="P720" s="156"/>
      <c r="Q720" s="144"/>
      <c r="R720" s="147"/>
    </row>
    <row r="721" ht="21.75" customHeight="1">
      <c r="A721" s="155"/>
      <c r="B721" s="64"/>
      <c r="C721" s="23"/>
      <c r="D721" s="23"/>
      <c r="E721" s="24"/>
      <c r="F721" s="25"/>
      <c r="G721" s="24"/>
      <c r="H721" s="26"/>
      <c r="I721" s="143"/>
      <c r="J721" s="144"/>
      <c r="K721" s="144" t="str">
        <f t="shared" si="18"/>
        <v/>
      </c>
      <c r="L721" s="17"/>
      <c r="M721" s="145"/>
      <c r="N721" s="144"/>
      <c r="O721" s="156"/>
      <c r="P721" s="156"/>
      <c r="Q721" s="144"/>
      <c r="R721" s="147"/>
    </row>
    <row r="722" ht="21.75" customHeight="1">
      <c r="A722" s="155"/>
      <c r="B722" s="64"/>
      <c r="C722" s="23"/>
      <c r="D722" s="23"/>
      <c r="E722" s="24"/>
      <c r="F722" s="25"/>
      <c r="G722" s="24"/>
      <c r="H722" s="26"/>
      <c r="I722" s="143"/>
      <c r="J722" s="144"/>
      <c r="K722" s="144" t="str">
        <f t="shared" si="18"/>
        <v/>
      </c>
      <c r="L722" s="17"/>
      <c r="M722" s="145"/>
      <c r="N722" s="144"/>
      <c r="O722" s="156"/>
      <c r="P722" s="156"/>
      <c r="Q722" s="144"/>
      <c r="R722" s="147"/>
    </row>
    <row r="723" ht="21.75" customHeight="1">
      <c r="A723" s="155"/>
      <c r="B723" s="64"/>
      <c r="C723" s="23"/>
      <c r="D723" s="23"/>
      <c r="E723" s="24"/>
      <c r="F723" s="25"/>
      <c r="G723" s="24"/>
      <c r="H723" s="26"/>
      <c r="I723" s="143"/>
      <c r="J723" s="144"/>
      <c r="K723" s="144" t="str">
        <f t="shared" si="18"/>
        <v/>
      </c>
      <c r="L723" s="17"/>
      <c r="M723" s="145"/>
      <c r="N723" s="144"/>
      <c r="O723" s="156"/>
      <c r="P723" s="156"/>
      <c r="Q723" s="144"/>
      <c r="R723" s="147"/>
    </row>
    <row r="724" ht="21.75" customHeight="1">
      <c r="A724" s="155"/>
      <c r="B724" s="64"/>
      <c r="C724" s="23"/>
      <c r="D724" s="23"/>
      <c r="E724" s="24"/>
      <c r="F724" s="25"/>
      <c r="G724" s="24"/>
      <c r="H724" s="26"/>
      <c r="I724" s="143"/>
      <c r="J724" s="144"/>
      <c r="K724" s="144" t="str">
        <f t="shared" si="18"/>
        <v/>
      </c>
      <c r="L724" s="17"/>
      <c r="M724" s="145"/>
      <c r="N724" s="144"/>
      <c r="O724" s="156"/>
      <c r="P724" s="156"/>
      <c r="Q724" s="144"/>
      <c r="R724" s="147"/>
    </row>
    <row r="725" ht="21.75" customHeight="1">
      <c r="A725" s="155"/>
      <c r="B725" s="64"/>
      <c r="C725" s="23"/>
      <c r="D725" s="23"/>
      <c r="E725" s="24"/>
      <c r="F725" s="25"/>
      <c r="G725" s="24"/>
      <c r="H725" s="26"/>
      <c r="I725" s="143"/>
      <c r="J725" s="144"/>
      <c r="K725" s="144" t="str">
        <f t="shared" si="18"/>
        <v/>
      </c>
      <c r="L725" s="17"/>
      <c r="M725" s="145"/>
      <c r="N725" s="144"/>
      <c r="O725" s="156"/>
      <c r="P725" s="156"/>
      <c r="Q725" s="144"/>
      <c r="R725" s="147"/>
    </row>
    <row r="726" ht="21.75" customHeight="1">
      <c r="A726" s="155"/>
      <c r="B726" s="64"/>
      <c r="C726" s="23"/>
      <c r="D726" s="23"/>
      <c r="E726" s="24"/>
      <c r="F726" s="25"/>
      <c r="G726" s="24"/>
      <c r="H726" s="26"/>
      <c r="I726" s="143"/>
      <c r="J726" s="144"/>
      <c r="K726" s="144" t="str">
        <f t="shared" si="18"/>
        <v/>
      </c>
      <c r="L726" s="17"/>
      <c r="M726" s="145"/>
      <c r="N726" s="144"/>
      <c r="O726" s="156"/>
      <c r="P726" s="156"/>
      <c r="Q726" s="144"/>
      <c r="R726" s="147"/>
    </row>
    <row r="727" ht="21.75" customHeight="1">
      <c r="A727" s="155"/>
      <c r="B727" s="64"/>
      <c r="C727" s="23"/>
      <c r="D727" s="23"/>
      <c r="E727" s="24"/>
      <c r="F727" s="25"/>
      <c r="G727" s="24"/>
      <c r="H727" s="26"/>
      <c r="I727" s="143"/>
      <c r="J727" s="144"/>
      <c r="K727" s="144" t="str">
        <f t="shared" si="18"/>
        <v/>
      </c>
      <c r="L727" s="17"/>
      <c r="M727" s="145"/>
      <c r="N727" s="144"/>
      <c r="O727" s="156"/>
      <c r="P727" s="156"/>
      <c r="Q727" s="144"/>
      <c r="R727" s="147"/>
    </row>
    <row r="728" ht="21.75" customHeight="1">
      <c r="A728" s="155"/>
      <c r="B728" s="64"/>
      <c r="C728" s="23"/>
      <c r="D728" s="23"/>
      <c r="E728" s="24"/>
      <c r="F728" s="25"/>
      <c r="G728" s="24"/>
      <c r="H728" s="26"/>
      <c r="I728" s="143"/>
      <c r="J728" s="144"/>
      <c r="K728" s="144" t="str">
        <f t="shared" si="18"/>
        <v/>
      </c>
      <c r="L728" s="17"/>
      <c r="M728" s="145"/>
      <c r="N728" s="144"/>
      <c r="O728" s="156"/>
      <c r="P728" s="156"/>
      <c r="Q728" s="144"/>
      <c r="R728" s="147"/>
    </row>
    <row r="729" ht="21.75" customHeight="1">
      <c r="A729" s="155"/>
      <c r="B729" s="64"/>
      <c r="C729" s="23"/>
      <c r="D729" s="23"/>
      <c r="E729" s="24"/>
      <c r="F729" s="25"/>
      <c r="G729" s="24"/>
      <c r="H729" s="26"/>
      <c r="I729" s="143"/>
      <c r="J729" s="144"/>
      <c r="K729" s="144" t="str">
        <f t="shared" si="18"/>
        <v/>
      </c>
      <c r="L729" s="17"/>
      <c r="M729" s="145"/>
      <c r="N729" s="144"/>
      <c r="O729" s="156"/>
      <c r="P729" s="156"/>
      <c r="Q729" s="144"/>
      <c r="R729" s="147"/>
    </row>
    <row r="730" ht="21.75" customHeight="1">
      <c r="A730" s="155"/>
      <c r="B730" s="64"/>
      <c r="C730" s="23"/>
      <c r="D730" s="23"/>
      <c r="E730" s="24"/>
      <c r="F730" s="25"/>
      <c r="G730" s="24"/>
      <c r="H730" s="26"/>
      <c r="I730" s="143"/>
      <c r="J730" s="144"/>
      <c r="K730" s="144" t="str">
        <f t="shared" si="18"/>
        <v/>
      </c>
      <c r="L730" s="17"/>
      <c r="M730" s="145"/>
      <c r="N730" s="144"/>
      <c r="O730" s="156"/>
      <c r="P730" s="156"/>
      <c r="Q730" s="144"/>
      <c r="R730" s="147"/>
    </row>
    <row r="731" ht="21.75" customHeight="1">
      <c r="A731" s="155"/>
      <c r="B731" s="64"/>
      <c r="C731" s="23"/>
      <c r="D731" s="23"/>
      <c r="E731" s="24"/>
      <c r="F731" s="25"/>
      <c r="G731" s="24"/>
      <c r="H731" s="26"/>
      <c r="I731" s="143"/>
      <c r="J731" s="144"/>
      <c r="K731" s="144" t="str">
        <f t="shared" si="18"/>
        <v/>
      </c>
      <c r="L731" s="17"/>
      <c r="M731" s="145"/>
      <c r="N731" s="144"/>
      <c r="O731" s="156"/>
      <c r="P731" s="156"/>
      <c r="Q731" s="144"/>
      <c r="R731" s="147"/>
    </row>
    <row r="732" ht="21.75" customHeight="1">
      <c r="A732" s="155"/>
      <c r="B732" s="64"/>
      <c r="C732" s="23"/>
      <c r="D732" s="23"/>
      <c r="E732" s="24"/>
      <c r="F732" s="25"/>
      <c r="G732" s="24"/>
      <c r="H732" s="26"/>
      <c r="I732" s="143"/>
      <c r="J732" s="144"/>
      <c r="K732" s="144" t="str">
        <f t="shared" si="18"/>
        <v/>
      </c>
      <c r="L732" s="17"/>
      <c r="M732" s="145"/>
      <c r="N732" s="144"/>
      <c r="O732" s="156"/>
      <c r="P732" s="156"/>
      <c r="Q732" s="144"/>
      <c r="R732" s="147"/>
    </row>
    <row r="733" ht="21.75" customHeight="1">
      <c r="A733" s="155"/>
      <c r="B733" s="64"/>
      <c r="C733" s="23"/>
      <c r="D733" s="23"/>
      <c r="E733" s="24"/>
      <c r="F733" s="25"/>
      <c r="G733" s="24"/>
      <c r="H733" s="26"/>
      <c r="I733" s="143"/>
      <c r="J733" s="144"/>
      <c r="K733" s="144" t="str">
        <f t="shared" si="18"/>
        <v/>
      </c>
      <c r="L733" s="17"/>
      <c r="M733" s="145"/>
      <c r="N733" s="144"/>
      <c r="O733" s="156"/>
      <c r="P733" s="156"/>
      <c r="Q733" s="144"/>
      <c r="R733" s="147"/>
    </row>
    <row r="734" ht="21.75" customHeight="1">
      <c r="A734" s="155"/>
      <c r="B734" s="64"/>
      <c r="C734" s="23"/>
      <c r="D734" s="23"/>
      <c r="E734" s="24"/>
      <c r="F734" s="25"/>
      <c r="G734" s="24"/>
      <c r="H734" s="26"/>
      <c r="I734" s="143"/>
      <c r="J734" s="144"/>
      <c r="K734" s="144" t="str">
        <f t="shared" si="18"/>
        <v/>
      </c>
      <c r="L734" s="17"/>
      <c r="M734" s="145"/>
      <c r="N734" s="144"/>
      <c r="O734" s="156"/>
      <c r="P734" s="156"/>
      <c r="Q734" s="144"/>
      <c r="R734" s="147"/>
    </row>
    <row r="735" ht="21.75" customHeight="1">
      <c r="A735" s="155"/>
      <c r="B735" s="64"/>
      <c r="C735" s="23"/>
      <c r="D735" s="23"/>
      <c r="E735" s="24"/>
      <c r="F735" s="25"/>
      <c r="G735" s="24"/>
      <c r="H735" s="26"/>
      <c r="I735" s="143"/>
      <c r="J735" s="144"/>
      <c r="K735" s="144" t="str">
        <f t="shared" si="18"/>
        <v/>
      </c>
      <c r="L735" s="17"/>
      <c r="M735" s="145"/>
      <c r="N735" s="144"/>
      <c r="O735" s="156"/>
      <c r="P735" s="156"/>
      <c r="Q735" s="144"/>
      <c r="R735" s="147"/>
    </row>
    <row r="736" ht="21.75" customHeight="1">
      <c r="A736" s="155"/>
      <c r="B736" s="64"/>
      <c r="C736" s="23"/>
      <c r="D736" s="23"/>
      <c r="E736" s="24"/>
      <c r="F736" s="25"/>
      <c r="G736" s="24"/>
      <c r="H736" s="26"/>
      <c r="I736" s="143"/>
      <c r="J736" s="144"/>
      <c r="K736" s="144" t="str">
        <f t="shared" si="18"/>
        <v/>
      </c>
      <c r="L736" s="17"/>
      <c r="M736" s="145"/>
      <c r="N736" s="144"/>
      <c r="O736" s="156"/>
      <c r="P736" s="156"/>
      <c r="Q736" s="144"/>
      <c r="R736" s="147"/>
    </row>
    <row r="737" ht="21.75" customHeight="1">
      <c r="A737" s="155"/>
      <c r="B737" s="64"/>
      <c r="C737" s="23"/>
      <c r="D737" s="23"/>
      <c r="E737" s="24"/>
      <c r="F737" s="25"/>
      <c r="G737" s="24"/>
      <c r="H737" s="26"/>
      <c r="I737" s="143"/>
      <c r="J737" s="144"/>
      <c r="K737" s="144" t="str">
        <f t="shared" si="18"/>
        <v/>
      </c>
      <c r="L737" s="17"/>
      <c r="M737" s="145"/>
      <c r="N737" s="144"/>
      <c r="O737" s="156"/>
      <c r="P737" s="156"/>
      <c r="Q737" s="144"/>
      <c r="R737" s="147"/>
    </row>
    <row r="738" ht="21.75" customHeight="1">
      <c r="A738" s="155"/>
      <c r="B738" s="64"/>
      <c r="C738" s="23"/>
      <c r="D738" s="23"/>
      <c r="E738" s="24"/>
      <c r="F738" s="25"/>
      <c r="G738" s="24"/>
      <c r="H738" s="26"/>
      <c r="I738" s="143"/>
      <c r="J738" s="144"/>
      <c r="K738" s="144" t="str">
        <f t="shared" si="18"/>
        <v/>
      </c>
      <c r="L738" s="17"/>
      <c r="M738" s="145"/>
      <c r="N738" s="144"/>
      <c r="O738" s="156"/>
      <c r="P738" s="156"/>
      <c r="Q738" s="144"/>
      <c r="R738" s="147"/>
    </row>
    <row r="739" ht="21.75" customHeight="1">
      <c r="A739" s="155"/>
      <c r="B739" s="64"/>
      <c r="C739" s="23"/>
      <c r="D739" s="23"/>
      <c r="E739" s="24"/>
      <c r="F739" s="25"/>
      <c r="G739" s="24"/>
      <c r="H739" s="26"/>
      <c r="I739" s="143"/>
      <c r="J739" s="144"/>
      <c r="K739" s="144" t="str">
        <f t="shared" si="18"/>
        <v/>
      </c>
      <c r="L739" s="17"/>
      <c r="M739" s="145"/>
      <c r="N739" s="144"/>
      <c r="O739" s="156"/>
      <c r="P739" s="156"/>
      <c r="Q739" s="144"/>
      <c r="R739" s="147"/>
    </row>
    <row r="740" ht="21.75" customHeight="1">
      <c r="A740" s="155"/>
      <c r="B740" s="64"/>
      <c r="C740" s="23"/>
      <c r="D740" s="23"/>
      <c r="E740" s="24"/>
      <c r="F740" s="25"/>
      <c r="G740" s="24"/>
      <c r="H740" s="26"/>
      <c r="I740" s="143"/>
      <c r="J740" s="144"/>
      <c r="K740" s="144" t="str">
        <f t="shared" si="18"/>
        <v/>
      </c>
      <c r="L740" s="17"/>
      <c r="M740" s="145"/>
      <c r="N740" s="144"/>
      <c r="O740" s="156"/>
      <c r="P740" s="156"/>
      <c r="Q740" s="144"/>
      <c r="R740" s="147"/>
    </row>
    <row r="741" ht="21.75" customHeight="1">
      <c r="A741" s="155"/>
      <c r="B741" s="64"/>
      <c r="C741" s="23"/>
      <c r="D741" s="23"/>
      <c r="E741" s="24"/>
      <c r="F741" s="25"/>
      <c r="G741" s="24"/>
      <c r="H741" s="26"/>
      <c r="I741" s="143"/>
      <c r="J741" s="144"/>
      <c r="K741" s="144" t="str">
        <f t="shared" si="18"/>
        <v/>
      </c>
      <c r="L741" s="17"/>
      <c r="M741" s="145"/>
      <c r="N741" s="144"/>
      <c r="O741" s="156"/>
      <c r="P741" s="156"/>
      <c r="Q741" s="144"/>
      <c r="R741" s="147"/>
    </row>
    <row r="742" ht="21.75" customHeight="1">
      <c r="A742" s="155"/>
      <c r="B742" s="64"/>
      <c r="C742" s="23"/>
      <c r="D742" s="23"/>
      <c r="E742" s="24"/>
      <c r="F742" s="25"/>
      <c r="G742" s="24"/>
      <c r="H742" s="26"/>
      <c r="I742" s="143"/>
      <c r="J742" s="144"/>
      <c r="K742" s="144" t="str">
        <f t="shared" si="18"/>
        <v/>
      </c>
      <c r="L742" s="17"/>
      <c r="M742" s="145"/>
      <c r="N742" s="144"/>
      <c r="O742" s="156"/>
      <c r="P742" s="156"/>
      <c r="Q742" s="144"/>
      <c r="R742" s="147"/>
    </row>
    <row r="743" ht="21.75" customHeight="1">
      <c r="A743" s="155"/>
      <c r="B743" s="64"/>
      <c r="C743" s="23"/>
      <c r="D743" s="23"/>
      <c r="E743" s="24"/>
      <c r="F743" s="25"/>
      <c r="G743" s="24"/>
      <c r="H743" s="26"/>
      <c r="I743" s="143"/>
      <c r="J743" s="144"/>
      <c r="K743" s="144" t="str">
        <f t="shared" si="18"/>
        <v/>
      </c>
      <c r="L743" s="17"/>
      <c r="M743" s="145"/>
      <c r="N743" s="144"/>
      <c r="O743" s="156"/>
      <c r="P743" s="156"/>
      <c r="Q743" s="144"/>
      <c r="R743" s="147"/>
    </row>
    <row r="744" ht="21.75" customHeight="1">
      <c r="A744" s="155"/>
      <c r="B744" s="64"/>
      <c r="C744" s="23"/>
      <c r="D744" s="23"/>
      <c r="E744" s="24"/>
      <c r="F744" s="25"/>
      <c r="G744" s="24"/>
      <c r="H744" s="26"/>
      <c r="I744" s="143"/>
      <c r="J744" s="144"/>
      <c r="K744" s="144" t="str">
        <f t="shared" si="18"/>
        <v/>
      </c>
      <c r="L744" s="17"/>
      <c r="M744" s="145"/>
      <c r="N744" s="144"/>
      <c r="O744" s="156"/>
      <c r="P744" s="156"/>
      <c r="Q744" s="144"/>
      <c r="R744" s="147"/>
    </row>
    <row r="745" ht="21.75" customHeight="1">
      <c r="A745" s="155"/>
      <c r="B745" s="64"/>
      <c r="C745" s="23"/>
      <c r="D745" s="23"/>
      <c r="E745" s="24"/>
      <c r="F745" s="25"/>
      <c r="G745" s="24"/>
      <c r="H745" s="26"/>
      <c r="I745" s="143"/>
      <c r="J745" s="144"/>
      <c r="K745" s="144" t="str">
        <f t="shared" si="18"/>
        <v/>
      </c>
      <c r="L745" s="17"/>
      <c r="M745" s="145"/>
      <c r="N745" s="144"/>
      <c r="O745" s="156"/>
      <c r="P745" s="156"/>
      <c r="Q745" s="144"/>
      <c r="R745" s="147"/>
    </row>
    <row r="746" ht="21.75" customHeight="1">
      <c r="A746" s="155"/>
      <c r="B746" s="64"/>
      <c r="C746" s="23"/>
      <c r="D746" s="23"/>
      <c r="E746" s="24"/>
      <c r="F746" s="25"/>
      <c r="G746" s="24"/>
      <c r="H746" s="26"/>
      <c r="I746" s="143"/>
      <c r="J746" s="144"/>
      <c r="K746" s="144" t="str">
        <f t="shared" si="18"/>
        <v/>
      </c>
      <c r="L746" s="17"/>
      <c r="M746" s="145"/>
      <c r="N746" s="144"/>
      <c r="O746" s="156"/>
      <c r="P746" s="156"/>
      <c r="Q746" s="144"/>
      <c r="R746" s="147"/>
    </row>
    <row r="747" ht="21.75" customHeight="1">
      <c r="A747" s="155"/>
      <c r="B747" s="64"/>
      <c r="C747" s="23"/>
      <c r="D747" s="23"/>
      <c r="E747" s="24"/>
      <c r="F747" s="25"/>
      <c r="G747" s="24"/>
      <c r="H747" s="26"/>
      <c r="I747" s="143"/>
      <c r="J747" s="144"/>
      <c r="K747" s="144" t="str">
        <f t="shared" si="18"/>
        <v/>
      </c>
      <c r="L747" s="17"/>
      <c r="M747" s="145"/>
      <c r="N747" s="144"/>
      <c r="O747" s="156"/>
      <c r="P747" s="156"/>
      <c r="Q747" s="144"/>
      <c r="R747" s="147"/>
    </row>
    <row r="748" ht="21.75" customHeight="1">
      <c r="A748" s="155"/>
      <c r="B748" s="64"/>
      <c r="C748" s="23"/>
      <c r="D748" s="23"/>
      <c r="E748" s="24"/>
      <c r="F748" s="25"/>
      <c r="G748" s="24"/>
      <c r="H748" s="26"/>
      <c r="I748" s="143"/>
      <c r="J748" s="144"/>
      <c r="K748" s="144" t="str">
        <f t="shared" si="18"/>
        <v/>
      </c>
      <c r="L748" s="17"/>
      <c r="M748" s="145"/>
      <c r="N748" s="144"/>
      <c r="O748" s="156"/>
      <c r="P748" s="156"/>
      <c r="Q748" s="144"/>
      <c r="R748" s="147"/>
    </row>
    <row r="749" ht="21.75" customHeight="1">
      <c r="A749" s="155"/>
      <c r="B749" s="64"/>
      <c r="C749" s="23"/>
      <c r="D749" s="23"/>
      <c r="E749" s="24"/>
      <c r="F749" s="25"/>
      <c r="G749" s="24"/>
      <c r="H749" s="26"/>
      <c r="I749" s="143"/>
      <c r="J749" s="144"/>
      <c r="K749" s="144" t="str">
        <f t="shared" si="18"/>
        <v/>
      </c>
      <c r="L749" s="17"/>
      <c r="M749" s="145"/>
      <c r="N749" s="144"/>
      <c r="O749" s="156"/>
      <c r="P749" s="156"/>
      <c r="Q749" s="144"/>
      <c r="R749" s="147"/>
    </row>
    <row r="750" ht="21.75" customHeight="1">
      <c r="A750" s="155"/>
      <c r="B750" s="64"/>
      <c r="C750" s="23"/>
      <c r="D750" s="23"/>
      <c r="E750" s="24"/>
      <c r="F750" s="25"/>
      <c r="G750" s="24"/>
      <c r="H750" s="26"/>
      <c r="I750" s="143"/>
      <c r="J750" s="144"/>
      <c r="K750" s="144" t="str">
        <f t="shared" si="18"/>
        <v/>
      </c>
      <c r="L750" s="17"/>
      <c r="M750" s="145"/>
      <c r="N750" s="144"/>
      <c r="O750" s="156"/>
      <c r="P750" s="156"/>
      <c r="Q750" s="144"/>
      <c r="R750" s="147"/>
    </row>
    <row r="751" ht="21.75" customHeight="1">
      <c r="A751" s="155"/>
      <c r="B751" s="64"/>
      <c r="C751" s="23"/>
      <c r="D751" s="23"/>
      <c r="E751" s="24"/>
      <c r="F751" s="25"/>
      <c r="G751" s="24"/>
      <c r="H751" s="26"/>
      <c r="I751" s="143"/>
      <c r="J751" s="144"/>
      <c r="K751" s="144" t="str">
        <f t="shared" si="18"/>
        <v/>
      </c>
      <c r="L751" s="17"/>
      <c r="M751" s="145"/>
      <c r="N751" s="144"/>
      <c r="O751" s="156"/>
      <c r="P751" s="156"/>
      <c r="Q751" s="144"/>
      <c r="R751" s="147"/>
    </row>
    <row r="752" ht="21.75" customHeight="1">
      <c r="A752" s="155"/>
      <c r="B752" s="64"/>
      <c r="C752" s="23"/>
      <c r="D752" s="23"/>
      <c r="E752" s="24"/>
      <c r="F752" s="25"/>
      <c r="G752" s="24"/>
      <c r="H752" s="26"/>
      <c r="I752" s="143"/>
      <c r="J752" s="144"/>
      <c r="K752" s="144" t="str">
        <f t="shared" si="18"/>
        <v/>
      </c>
      <c r="L752" s="17"/>
      <c r="M752" s="145"/>
      <c r="N752" s="144"/>
      <c r="O752" s="156"/>
      <c r="P752" s="156"/>
      <c r="Q752" s="144"/>
      <c r="R752" s="147"/>
    </row>
    <row r="753" ht="21.75" customHeight="1">
      <c r="A753" s="155"/>
      <c r="B753" s="64"/>
      <c r="C753" s="23"/>
      <c r="D753" s="23"/>
      <c r="E753" s="24"/>
      <c r="F753" s="25"/>
      <c r="G753" s="24"/>
      <c r="H753" s="26"/>
      <c r="I753" s="143"/>
      <c r="J753" s="144"/>
      <c r="K753" s="144" t="str">
        <f t="shared" si="18"/>
        <v/>
      </c>
      <c r="L753" s="17"/>
      <c r="M753" s="145"/>
      <c r="N753" s="144"/>
      <c r="O753" s="156"/>
      <c r="P753" s="156"/>
      <c r="Q753" s="144"/>
      <c r="R753" s="147"/>
    </row>
    <row r="754" ht="21.75" customHeight="1">
      <c r="A754" s="155"/>
      <c r="B754" s="64"/>
      <c r="C754" s="23"/>
      <c r="D754" s="23"/>
      <c r="E754" s="24"/>
      <c r="F754" s="25"/>
      <c r="G754" s="24"/>
      <c r="H754" s="26"/>
      <c r="I754" s="143"/>
      <c r="J754" s="144"/>
      <c r="K754" s="144" t="str">
        <f t="shared" si="18"/>
        <v/>
      </c>
      <c r="L754" s="17"/>
      <c r="M754" s="145"/>
      <c r="N754" s="144"/>
      <c r="O754" s="156"/>
      <c r="P754" s="156"/>
      <c r="Q754" s="144"/>
      <c r="R754" s="147"/>
    </row>
    <row r="755" ht="21.75" customHeight="1">
      <c r="A755" s="155"/>
      <c r="B755" s="64"/>
      <c r="C755" s="23"/>
      <c r="D755" s="23"/>
      <c r="E755" s="24"/>
      <c r="F755" s="25"/>
      <c r="G755" s="24"/>
      <c r="H755" s="26"/>
      <c r="I755" s="143"/>
      <c r="J755" s="144"/>
      <c r="K755" s="144" t="str">
        <f t="shared" si="18"/>
        <v/>
      </c>
      <c r="L755" s="17"/>
      <c r="M755" s="145"/>
      <c r="N755" s="144"/>
      <c r="O755" s="156"/>
      <c r="P755" s="156"/>
      <c r="Q755" s="144"/>
      <c r="R755" s="147"/>
    </row>
    <row r="756" ht="21.75" customHeight="1">
      <c r="A756" s="155"/>
      <c r="B756" s="64"/>
      <c r="C756" s="23"/>
      <c r="D756" s="23"/>
      <c r="E756" s="24"/>
      <c r="F756" s="25"/>
      <c r="G756" s="24"/>
      <c r="H756" s="26"/>
      <c r="I756" s="143"/>
      <c r="J756" s="144"/>
      <c r="K756" s="144" t="str">
        <f t="shared" si="18"/>
        <v/>
      </c>
      <c r="L756" s="17"/>
      <c r="M756" s="145"/>
      <c r="N756" s="144"/>
      <c r="O756" s="156"/>
      <c r="P756" s="156"/>
      <c r="Q756" s="144"/>
      <c r="R756" s="147"/>
    </row>
    <row r="757" ht="21.75" customHeight="1">
      <c r="A757" s="155"/>
      <c r="B757" s="64"/>
      <c r="C757" s="23"/>
      <c r="D757" s="23"/>
      <c r="E757" s="24"/>
      <c r="F757" s="25"/>
      <c r="G757" s="24"/>
      <c r="H757" s="26"/>
      <c r="I757" s="143"/>
      <c r="J757" s="144"/>
      <c r="K757" s="144" t="str">
        <f t="shared" si="18"/>
        <v/>
      </c>
      <c r="L757" s="17"/>
      <c r="M757" s="145"/>
      <c r="N757" s="144"/>
      <c r="O757" s="156"/>
      <c r="P757" s="156"/>
      <c r="Q757" s="144"/>
      <c r="R757" s="147"/>
    </row>
    <row r="758" ht="21.75" customHeight="1">
      <c r="A758" s="155"/>
      <c r="B758" s="64"/>
      <c r="C758" s="23"/>
      <c r="D758" s="23"/>
      <c r="E758" s="24"/>
      <c r="F758" s="25"/>
      <c r="G758" s="24"/>
      <c r="H758" s="26"/>
      <c r="I758" s="143"/>
      <c r="J758" s="144"/>
      <c r="K758" s="144" t="str">
        <f t="shared" si="18"/>
        <v/>
      </c>
      <c r="L758" s="17"/>
      <c r="M758" s="145"/>
      <c r="N758" s="144"/>
      <c r="O758" s="156"/>
      <c r="P758" s="156"/>
      <c r="Q758" s="144"/>
      <c r="R758" s="147"/>
    </row>
    <row r="759" ht="21.75" customHeight="1">
      <c r="A759" s="155"/>
      <c r="B759" s="64"/>
      <c r="C759" s="23"/>
      <c r="D759" s="23"/>
      <c r="E759" s="24"/>
      <c r="F759" s="25"/>
      <c r="G759" s="24"/>
      <c r="H759" s="26"/>
      <c r="I759" s="143"/>
      <c r="J759" s="144"/>
      <c r="K759" s="144" t="str">
        <f t="shared" si="18"/>
        <v/>
      </c>
      <c r="L759" s="17"/>
      <c r="M759" s="145"/>
      <c r="N759" s="144"/>
      <c r="O759" s="156"/>
      <c r="P759" s="156"/>
      <c r="Q759" s="144"/>
      <c r="R759" s="147"/>
    </row>
    <row r="760" ht="21.75" customHeight="1">
      <c r="A760" s="155"/>
      <c r="B760" s="64"/>
      <c r="C760" s="23"/>
      <c r="D760" s="23"/>
      <c r="E760" s="24"/>
      <c r="F760" s="25"/>
      <c r="G760" s="24"/>
      <c r="H760" s="26"/>
      <c r="I760" s="143"/>
      <c r="J760" s="144"/>
      <c r="K760" s="144" t="str">
        <f t="shared" si="18"/>
        <v/>
      </c>
      <c r="L760" s="17"/>
      <c r="M760" s="145"/>
      <c r="N760" s="144"/>
      <c r="O760" s="156"/>
      <c r="P760" s="156"/>
      <c r="Q760" s="144"/>
      <c r="R760" s="147"/>
    </row>
    <row r="761" ht="21.75" customHeight="1">
      <c r="A761" s="155"/>
      <c r="B761" s="64"/>
      <c r="C761" s="23"/>
      <c r="D761" s="23"/>
      <c r="E761" s="24"/>
      <c r="F761" s="25"/>
      <c r="G761" s="24"/>
      <c r="H761" s="26"/>
      <c r="I761" s="143"/>
      <c r="J761" s="144"/>
      <c r="K761" s="144" t="str">
        <f t="shared" si="18"/>
        <v/>
      </c>
      <c r="L761" s="17"/>
      <c r="M761" s="145"/>
      <c r="N761" s="144"/>
      <c r="O761" s="156"/>
      <c r="P761" s="156"/>
      <c r="Q761" s="144"/>
      <c r="R761" s="147"/>
    </row>
    <row r="762" ht="21.75" customHeight="1">
      <c r="A762" s="155"/>
      <c r="B762" s="64"/>
      <c r="C762" s="23"/>
      <c r="D762" s="23"/>
      <c r="E762" s="24"/>
      <c r="F762" s="25"/>
      <c r="G762" s="24"/>
      <c r="H762" s="26"/>
      <c r="I762" s="143"/>
      <c r="J762" s="144"/>
      <c r="K762" s="144" t="str">
        <f t="shared" si="18"/>
        <v/>
      </c>
      <c r="L762" s="17"/>
      <c r="M762" s="145"/>
      <c r="N762" s="144"/>
      <c r="O762" s="156"/>
      <c r="P762" s="156"/>
      <c r="Q762" s="144"/>
      <c r="R762" s="147"/>
    </row>
    <row r="763" ht="21.75" customHeight="1">
      <c r="A763" s="155"/>
      <c r="B763" s="64"/>
      <c r="C763" s="23"/>
      <c r="D763" s="23"/>
      <c r="E763" s="24"/>
      <c r="F763" s="25"/>
      <c r="G763" s="24"/>
      <c r="H763" s="26"/>
      <c r="I763" s="143"/>
      <c r="J763" s="144"/>
      <c r="K763" s="144" t="str">
        <f t="shared" si="18"/>
        <v/>
      </c>
      <c r="L763" s="17"/>
      <c r="M763" s="145"/>
      <c r="N763" s="144"/>
      <c r="O763" s="156"/>
      <c r="P763" s="156"/>
      <c r="Q763" s="144"/>
      <c r="R763" s="147"/>
    </row>
    <row r="764" ht="21.75" customHeight="1">
      <c r="A764" s="155"/>
      <c r="B764" s="64"/>
      <c r="C764" s="23"/>
      <c r="D764" s="23"/>
      <c r="E764" s="24"/>
      <c r="F764" s="25"/>
      <c r="G764" s="24"/>
      <c r="H764" s="26"/>
      <c r="I764" s="143"/>
      <c r="J764" s="144"/>
      <c r="K764" s="144" t="str">
        <f t="shared" si="18"/>
        <v/>
      </c>
      <c r="L764" s="17"/>
      <c r="M764" s="145"/>
      <c r="N764" s="144"/>
      <c r="O764" s="156"/>
      <c r="P764" s="156"/>
      <c r="Q764" s="144"/>
      <c r="R764" s="147"/>
    </row>
    <row r="765" ht="21.75" customHeight="1">
      <c r="A765" s="155"/>
      <c r="B765" s="64"/>
      <c r="C765" s="23"/>
      <c r="D765" s="23"/>
      <c r="E765" s="24"/>
      <c r="F765" s="25"/>
      <c r="G765" s="24"/>
      <c r="H765" s="26"/>
      <c r="I765" s="143"/>
      <c r="J765" s="144"/>
      <c r="K765" s="144" t="str">
        <f t="shared" si="18"/>
        <v/>
      </c>
      <c r="L765" s="17"/>
      <c r="M765" s="145"/>
      <c r="N765" s="144"/>
      <c r="O765" s="156"/>
      <c r="P765" s="156"/>
      <c r="Q765" s="144"/>
      <c r="R765" s="147"/>
    </row>
    <row r="766" ht="21.75" customHeight="1">
      <c r="A766" s="155"/>
      <c r="B766" s="64"/>
      <c r="C766" s="23"/>
      <c r="D766" s="23"/>
      <c r="E766" s="24"/>
      <c r="F766" s="25"/>
      <c r="G766" s="24"/>
      <c r="H766" s="26"/>
      <c r="I766" s="143"/>
      <c r="J766" s="144"/>
      <c r="K766" s="144" t="str">
        <f t="shared" si="18"/>
        <v/>
      </c>
      <c r="L766" s="17"/>
      <c r="M766" s="145"/>
      <c r="N766" s="144"/>
      <c r="O766" s="156"/>
      <c r="P766" s="156"/>
      <c r="Q766" s="144"/>
      <c r="R766" s="147"/>
    </row>
    <row r="767" ht="21.75" customHeight="1">
      <c r="A767" s="155"/>
      <c r="B767" s="64"/>
      <c r="C767" s="23"/>
      <c r="D767" s="23"/>
      <c r="E767" s="24"/>
      <c r="F767" s="25"/>
      <c r="G767" s="24"/>
      <c r="H767" s="26"/>
      <c r="I767" s="143"/>
      <c r="J767" s="144"/>
      <c r="K767" s="144" t="str">
        <f t="shared" si="18"/>
        <v/>
      </c>
      <c r="L767" s="17"/>
      <c r="M767" s="145"/>
      <c r="N767" s="144"/>
      <c r="O767" s="156"/>
      <c r="P767" s="156"/>
      <c r="Q767" s="144"/>
      <c r="R767" s="147"/>
    </row>
    <row r="768" ht="21.75" customHeight="1">
      <c r="A768" s="155"/>
      <c r="B768" s="64"/>
      <c r="C768" s="23"/>
      <c r="D768" s="23"/>
      <c r="E768" s="24"/>
      <c r="F768" s="25"/>
      <c r="G768" s="24"/>
      <c r="H768" s="26"/>
      <c r="I768" s="143"/>
      <c r="J768" s="144"/>
      <c r="K768" s="144" t="str">
        <f t="shared" si="18"/>
        <v/>
      </c>
      <c r="L768" s="17"/>
      <c r="M768" s="145"/>
      <c r="N768" s="144"/>
      <c r="O768" s="156"/>
      <c r="P768" s="156"/>
      <c r="Q768" s="144"/>
      <c r="R768" s="147"/>
    </row>
    <row r="769" ht="21.75" customHeight="1">
      <c r="A769" s="155"/>
      <c r="B769" s="64"/>
      <c r="C769" s="23"/>
      <c r="D769" s="23"/>
      <c r="E769" s="24"/>
      <c r="F769" s="25"/>
      <c r="G769" s="24"/>
      <c r="H769" s="26"/>
      <c r="I769" s="143"/>
      <c r="J769" s="144"/>
      <c r="K769" s="144" t="str">
        <f t="shared" si="18"/>
        <v/>
      </c>
      <c r="L769" s="17"/>
      <c r="M769" s="145"/>
      <c r="N769" s="144"/>
      <c r="O769" s="156"/>
      <c r="P769" s="156"/>
      <c r="Q769" s="144"/>
      <c r="R769" s="147"/>
    </row>
    <row r="770" ht="21.75" customHeight="1">
      <c r="A770" s="155"/>
      <c r="B770" s="64"/>
      <c r="C770" s="23"/>
      <c r="D770" s="23"/>
      <c r="E770" s="24"/>
      <c r="F770" s="25"/>
      <c r="G770" s="24"/>
      <c r="H770" s="26"/>
      <c r="I770" s="143"/>
      <c r="J770" s="144"/>
      <c r="K770" s="144" t="str">
        <f t="shared" si="18"/>
        <v/>
      </c>
      <c r="L770" s="17"/>
      <c r="M770" s="145"/>
      <c r="N770" s="144"/>
      <c r="O770" s="156"/>
      <c r="P770" s="156"/>
      <c r="Q770" s="144"/>
      <c r="R770" s="147"/>
    </row>
    <row r="771" ht="21.75" customHeight="1">
      <c r="A771" s="155"/>
      <c r="B771" s="64"/>
      <c r="C771" s="23"/>
      <c r="D771" s="23"/>
      <c r="E771" s="24"/>
      <c r="F771" s="25"/>
      <c r="G771" s="24"/>
      <c r="H771" s="26"/>
      <c r="I771" s="143"/>
      <c r="J771" s="144"/>
      <c r="K771" s="144" t="str">
        <f t="shared" si="18"/>
        <v/>
      </c>
      <c r="L771" s="17"/>
      <c r="M771" s="145"/>
      <c r="N771" s="144"/>
      <c r="O771" s="156"/>
      <c r="P771" s="156"/>
      <c r="Q771" s="144"/>
      <c r="R771" s="147"/>
    </row>
    <row r="772" ht="21.75" customHeight="1">
      <c r="A772" s="155"/>
      <c r="B772" s="64"/>
      <c r="C772" s="23"/>
      <c r="D772" s="23"/>
      <c r="E772" s="24"/>
      <c r="F772" s="25"/>
      <c r="G772" s="24"/>
      <c r="H772" s="26"/>
      <c r="I772" s="143"/>
      <c r="J772" s="144"/>
      <c r="K772" s="144" t="str">
        <f t="shared" si="18"/>
        <v/>
      </c>
      <c r="L772" s="17"/>
      <c r="M772" s="145"/>
      <c r="N772" s="144"/>
      <c r="O772" s="156"/>
      <c r="P772" s="156"/>
      <c r="Q772" s="144"/>
      <c r="R772" s="147"/>
    </row>
    <row r="773" ht="21.75" customHeight="1">
      <c r="A773" s="155"/>
      <c r="B773" s="64"/>
      <c r="C773" s="23"/>
      <c r="D773" s="23"/>
      <c r="E773" s="24"/>
      <c r="F773" s="25"/>
      <c r="G773" s="24"/>
      <c r="H773" s="26"/>
      <c r="I773" s="143"/>
      <c r="J773" s="144"/>
      <c r="K773" s="144" t="str">
        <f t="shared" si="18"/>
        <v/>
      </c>
      <c r="L773" s="17"/>
      <c r="M773" s="145"/>
      <c r="N773" s="144"/>
      <c r="O773" s="156"/>
      <c r="P773" s="156"/>
      <c r="Q773" s="144"/>
      <c r="R773" s="147"/>
    </row>
    <row r="774" ht="21.75" customHeight="1">
      <c r="A774" s="155"/>
      <c r="B774" s="64"/>
      <c r="C774" s="23"/>
      <c r="D774" s="23"/>
      <c r="E774" s="24"/>
      <c r="F774" s="25"/>
      <c r="G774" s="24"/>
      <c r="H774" s="26"/>
      <c r="I774" s="143"/>
      <c r="J774" s="144"/>
      <c r="K774" s="144" t="str">
        <f t="shared" si="18"/>
        <v/>
      </c>
      <c r="L774" s="17"/>
      <c r="M774" s="145"/>
      <c r="N774" s="144"/>
      <c r="O774" s="156"/>
      <c r="P774" s="156"/>
      <c r="Q774" s="144"/>
      <c r="R774" s="147"/>
    </row>
    <row r="775" ht="21.75" customHeight="1">
      <c r="A775" s="155"/>
      <c r="B775" s="64"/>
      <c r="C775" s="23"/>
      <c r="D775" s="23"/>
      <c r="E775" s="24"/>
      <c r="F775" s="25"/>
      <c r="G775" s="24"/>
      <c r="H775" s="26"/>
      <c r="I775" s="143"/>
      <c r="J775" s="144"/>
      <c r="K775" s="144" t="str">
        <f t="shared" si="18"/>
        <v/>
      </c>
      <c r="L775" s="17"/>
      <c r="M775" s="145"/>
      <c r="N775" s="144"/>
      <c r="O775" s="156"/>
      <c r="P775" s="156"/>
      <c r="Q775" s="144"/>
      <c r="R775" s="147"/>
    </row>
    <row r="776" ht="21.75" customHeight="1">
      <c r="A776" s="155"/>
      <c r="B776" s="64"/>
      <c r="C776" s="23"/>
      <c r="D776" s="23"/>
      <c r="E776" s="24"/>
      <c r="F776" s="25"/>
      <c r="G776" s="24"/>
      <c r="H776" s="26"/>
      <c r="I776" s="143"/>
      <c r="J776" s="144"/>
      <c r="K776" s="144" t="str">
        <f t="shared" si="18"/>
        <v/>
      </c>
      <c r="L776" s="17"/>
      <c r="M776" s="145"/>
      <c r="N776" s="144"/>
      <c r="O776" s="156"/>
      <c r="P776" s="156"/>
      <c r="Q776" s="144"/>
      <c r="R776" s="147"/>
    </row>
    <row r="777" ht="21.75" customHeight="1">
      <c r="A777" s="155"/>
      <c r="B777" s="64"/>
      <c r="C777" s="23"/>
      <c r="D777" s="23"/>
      <c r="E777" s="24"/>
      <c r="F777" s="25"/>
      <c r="G777" s="24"/>
      <c r="H777" s="26"/>
      <c r="I777" s="143"/>
      <c r="J777" s="144"/>
      <c r="K777" s="144" t="str">
        <f t="shared" si="18"/>
        <v/>
      </c>
      <c r="L777" s="17"/>
      <c r="M777" s="145"/>
      <c r="N777" s="144"/>
      <c r="O777" s="156"/>
      <c r="P777" s="156"/>
      <c r="Q777" s="144"/>
      <c r="R777" s="147"/>
    </row>
    <row r="778" ht="21.75" customHeight="1">
      <c r="A778" s="155"/>
      <c r="B778" s="64"/>
      <c r="C778" s="23"/>
      <c r="D778" s="23"/>
      <c r="E778" s="24"/>
      <c r="F778" s="25"/>
      <c r="G778" s="24"/>
      <c r="H778" s="26"/>
      <c r="I778" s="143"/>
      <c r="J778" s="144"/>
      <c r="K778" s="144" t="str">
        <f t="shared" si="18"/>
        <v/>
      </c>
      <c r="L778" s="17"/>
      <c r="M778" s="145"/>
      <c r="N778" s="144"/>
      <c r="O778" s="156"/>
      <c r="P778" s="156"/>
      <c r="Q778" s="144"/>
      <c r="R778" s="147"/>
    </row>
    <row r="779" ht="21.75" customHeight="1">
      <c r="A779" s="155"/>
      <c r="B779" s="64"/>
      <c r="C779" s="23"/>
      <c r="D779" s="23"/>
      <c r="E779" s="24"/>
      <c r="F779" s="25"/>
      <c r="G779" s="24"/>
      <c r="H779" s="26"/>
      <c r="I779" s="143"/>
      <c r="J779" s="144"/>
      <c r="K779" s="144" t="str">
        <f t="shared" si="18"/>
        <v/>
      </c>
      <c r="L779" s="17"/>
      <c r="M779" s="145"/>
      <c r="N779" s="144"/>
      <c r="O779" s="156"/>
      <c r="P779" s="156"/>
      <c r="Q779" s="144"/>
      <c r="R779" s="147"/>
    </row>
    <row r="780" ht="21.75" customHeight="1">
      <c r="A780" s="155"/>
      <c r="B780" s="64"/>
      <c r="C780" s="23"/>
      <c r="D780" s="23"/>
      <c r="E780" s="24"/>
      <c r="F780" s="25"/>
      <c r="G780" s="24"/>
      <c r="H780" s="26"/>
      <c r="I780" s="143"/>
      <c r="J780" s="144"/>
      <c r="K780" s="144" t="str">
        <f t="shared" si="18"/>
        <v/>
      </c>
      <c r="L780" s="17"/>
      <c r="M780" s="145"/>
      <c r="N780" s="144"/>
      <c r="O780" s="156"/>
      <c r="P780" s="156"/>
      <c r="Q780" s="144"/>
      <c r="R780" s="147"/>
    </row>
    <row r="781" ht="21.75" customHeight="1">
      <c r="A781" s="155"/>
      <c r="B781" s="64"/>
      <c r="C781" s="23"/>
      <c r="D781" s="23"/>
      <c r="E781" s="24"/>
      <c r="F781" s="25"/>
      <c r="G781" s="24"/>
      <c r="H781" s="26"/>
      <c r="I781" s="143"/>
      <c r="J781" s="144"/>
      <c r="K781" s="144" t="str">
        <f t="shared" si="18"/>
        <v/>
      </c>
      <c r="L781" s="17"/>
      <c r="M781" s="145"/>
      <c r="N781" s="144"/>
      <c r="O781" s="156"/>
      <c r="P781" s="156"/>
      <c r="Q781" s="144"/>
      <c r="R781" s="147"/>
    </row>
    <row r="782" ht="21.75" customHeight="1">
      <c r="A782" s="155"/>
      <c r="B782" s="64"/>
      <c r="C782" s="23"/>
      <c r="D782" s="23"/>
      <c r="E782" s="24"/>
      <c r="F782" s="25"/>
      <c r="G782" s="24"/>
      <c r="H782" s="26"/>
      <c r="I782" s="143"/>
      <c r="J782" s="144"/>
      <c r="K782" s="144" t="str">
        <f t="shared" si="18"/>
        <v/>
      </c>
      <c r="L782" s="17"/>
      <c r="M782" s="145"/>
      <c r="N782" s="144"/>
      <c r="O782" s="156"/>
      <c r="P782" s="156"/>
      <c r="Q782" s="144"/>
      <c r="R782" s="147"/>
    </row>
    <row r="783" ht="21.75" customHeight="1">
      <c r="A783" s="155"/>
      <c r="B783" s="64"/>
      <c r="C783" s="23"/>
      <c r="D783" s="23"/>
      <c r="E783" s="24"/>
      <c r="F783" s="25"/>
      <c r="G783" s="24"/>
      <c r="H783" s="26"/>
      <c r="I783" s="143"/>
      <c r="J783" s="144"/>
      <c r="K783" s="144" t="str">
        <f t="shared" si="18"/>
        <v/>
      </c>
      <c r="L783" s="17"/>
      <c r="M783" s="145"/>
      <c r="N783" s="144"/>
      <c r="O783" s="156"/>
      <c r="P783" s="156"/>
      <c r="Q783" s="144"/>
      <c r="R783" s="147"/>
    </row>
    <row r="784" ht="21.75" customHeight="1">
      <c r="A784" s="155"/>
      <c r="B784" s="64"/>
      <c r="C784" s="23"/>
      <c r="D784" s="23"/>
      <c r="E784" s="24"/>
      <c r="F784" s="25"/>
      <c r="G784" s="24"/>
      <c r="H784" s="26"/>
      <c r="I784" s="143"/>
      <c r="J784" s="144"/>
      <c r="K784" s="144" t="str">
        <f t="shared" si="18"/>
        <v/>
      </c>
      <c r="L784" s="17"/>
      <c r="M784" s="145"/>
      <c r="N784" s="144"/>
      <c r="O784" s="156"/>
      <c r="P784" s="156"/>
      <c r="Q784" s="144"/>
      <c r="R784" s="147"/>
    </row>
    <row r="785" ht="21.75" customHeight="1">
      <c r="A785" s="155"/>
      <c r="B785" s="64"/>
      <c r="C785" s="23"/>
      <c r="D785" s="23"/>
      <c r="E785" s="24"/>
      <c r="F785" s="25"/>
      <c r="G785" s="24"/>
      <c r="H785" s="26"/>
      <c r="I785" s="143"/>
      <c r="J785" s="144"/>
      <c r="K785" s="144" t="str">
        <f t="shared" si="18"/>
        <v/>
      </c>
      <c r="L785" s="17"/>
      <c r="M785" s="145"/>
      <c r="N785" s="144"/>
      <c r="O785" s="156"/>
      <c r="P785" s="156"/>
      <c r="Q785" s="144"/>
      <c r="R785" s="147"/>
    </row>
    <row r="786" ht="21.75" customHeight="1">
      <c r="A786" s="155"/>
      <c r="B786" s="64"/>
      <c r="C786" s="23"/>
      <c r="D786" s="23"/>
      <c r="E786" s="24"/>
      <c r="F786" s="25"/>
      <c r="G786" s="24"/>
      <c r="H786" s="26"/>
      <c r="I786" s="143"/>
      <c r="J786" s="144"/>
      <c r="K786" s="144" t="str">
        <f t="shared" si="18"/>
        <v/>
      </c>
      <c r="L786" s="17"/>
      <c r="M786" s="145"/>
      <c r="N786" s="144"/>
      <c r="O786" s="156"/>
      <c r="P786" s="156"/>
      <c r="Q786" s="144"/>
      <c r="R786" s="147"/>
    </row>
    <row r="787" ht="21.75" customHeight="1">
      <c r="A787" s="155"/>
      <c r="B787" s="64"/>
      <c r="C787" s="23"/>
      <c r="D787" s="23"/>
      <c r="E787" s="24"/>
      <c r="F787" s="25"/>
      <c r="G787" s="24"/>
      <c r="H787" s="26"/>
      <c r="I787" s="143"/>
      <c r="J787" s="144"/>
      <c r="K787" s="144" t="str">
        <f t="shared" si="18"/>
        <v/>
      </c>
      <c r="L787" s="17"/>
      <c r="M787" s="145"/>
      <c r="N787" s="144"/>
      <c r="O787" s="156"/>
      <c r="P787" s="156"/>
      <c r="Q787" s="144"/>
      <c r="R787" s="147"/>
    </row>
    <row r="788" ht="21.75" customHeight="1">
      <c r="A788" s="155"/>
      <c r="B788" s="64"/>
      <c r="C788" s="23"/>
      <c r="D788" s="23"/>
      <c r="E788" s="24"/>
      <c r="F788" s="25"/>
      <c r="G788" s="24"/>
      <c r="H788" s="26"/>
      <c r="I788" s="143"/>
      <c r="J788" s="144"/>
      <c r="K788" s="144" t="str">
        <f t="shared" si="18"/>
        <v/>
      </c>
      <c r="L788" s="17"/>
      <c r="M788" s="145"/>
      <c r="N788" s="144"/>
      <c r="O788" s="156"/>
      <c r="P788" s="156"/>
      <c r="Q788" s="144"/>
      <c r="R788" s="147"/>
    </row>
    <row r="789" ht="21.75" customHeight="1">
      <c r="A789" s="155"/>
      <c r="B789" s="64"/>
      <c r="C789" s="23"/>
      <c r="D789" s="23"/>
      <c r="E789" s="24"/>
      <c r="F789" s="25"/>
      <c r="G789" s="24"/>
      <c r="H789" s="26"/>
      <c r="I789" s="143"/>
      <c r="J789" s="144"/>
      <c r="K789" s="144" t="str">
        <f t="shared" si="18"/>
        <v/>
      </c>
      <c r="L789" s="17"/>
      <c r="M789" s="145"/>
      <c r="N789" s="144"/>
      <c r="O789" s="156"/>
      <c r="P789" s="156"/>
      <c r="Q789" s="144"/>
      <c r="R789" s="147"/>
    </row>
    <row r="790" ht="21.75" customHeight="1">
      <c r="A790" s="155"/>
      <c r="B790" s="64"/>
      <c r="C790" s="23"/>
      <c r="D790" s="23"/>
      <c r="E790" s="24"/>
      <c r="F790" s="25"/>
      <c r="G790" s="24"/>
      <c r="H790" s="26"/>
      <c r="I790" s="143"/>
      <c r="J790" s="144"/>
      <c r="K790" s="144" t="str">
        <f t="shared" si="18"/>
        <v/>
      </c>
      <c r="L790" s="17"/>
      <c r="M790" s="145"/>
      <c r="N790" s="144"/>
      <c r="O790" s="156"/>
      <c r="P790" s="156"/>
      <c r="Q790" s="144"/>
      <c r="R790" s="147"/>
    </row>
    <row r="791" ht="21.75" customHeight="1">
      <c r="A791" s="155"/>
      <c r="B791" s="64"/>
      <c r="C791" s="23"/>
      <c r="D791" s="23"/>
      <c r="E791" s="24"/>
      <c r="F791" s="25"/>
      <c r="G791" s="24"/>
      <c r="H791" s="26"/>
      <c r="I791" s="143"/>
      <c r="J791" s="144"/>
      <c r="K791" s="144" t="str">
        <f t="shared" si="18"/>
        <v/>
      </c>
      <c r="L791" s="17"/>
      <c r="M791" s="145"/>
      <c r="N791" s="144"/>
      <c r="O791" s="156"/>
      <c r="P791" s="156"/>
      <c r="Q791" s="144"/>
      <c r="R791" s="147"/>
    </row>
    <row r="792" ht="21.75" customHeight="1">
      <c r="A792" s="155"/>
      <c r="B792" s="64"/>
      <c r="C792" s="23"/>
      <c r="D792" s="23"/>
      <c r="E792" s="24"/>
      <c r="F792" s="25"/>
      <c r="G792" s="24"/>
      <c r="H792" s="26"/>
      <c r="I792" s="143"/>
      <c r="J792" s="144"/>
      <c r="K792" s="144" t="str">
        <f t="shared" si="18"/>
        <v/>
      </c>
      <c r="L792" s="17"/>
      <c r="M792" s="145"/>
      <c r="N792" s="144"/>
      <c r="O792" s="156"/>
      <c r="P792" s="156"/>
      <c r="Q792" s="144"/>
      <c r="R792" s="147"/>
    </row>
    <row r="793" ht="21.75" customHeight="1">
      <c r="A793" s="155"/>
      <c r="B793" s="64"/>
      <c r="C793" s="23"/>
      <c r="D793" s="23"/>
      <c r="E793" s="24"/>
      <c r="F793" s="25"/>
      <c r="G793" s="24"/>
      <c r="H793" s="26"/>
      <c r="I793" s="143"/>
      <c r="J793" s="144"/>
      <c r="K793" s="144" t="str">
        <f t="shared" si="18"/>
        <v/>
      </c>
      <c r="L793" s="17"/>
      <c r="M793" s="145"/>
      <c r="N793" s="144"/>
      <c r="O793" s="156"/>
      <c r="P793" s="156"/>
      <c r="Q793" s="144"/>
      <c r="R793" s="147"/>
    </row>
    <row r="794" ht="21.75" customHeight="1">
      <c r="A794" s="155"/>
      <c r="B794" s="64"/>
      <c r="C794" s="23"/>
      <c r="D794" s="23"/>
      <c r="E794" s="24"/>
      <c r="F794" s="25"/>
      <c r="G794" s="24"/>
      <c r="H794" s="26"/>
      <c r="I794" s="143"/>
      <c r="J794" s="144"/>
      <c r="K794" s="144" t="str">
        <f t="shared" si="18"/>
        <v/>
      </c>
      <c r="L794" s="17"/>
      <c r="M794" s="145"/>
      <c r="N794" s="144"/>
      <c r="O794" s="156"/>
      <c r="P794" s="156"/>
      <c r="Q794" s="144"/>
      <c r="R794" s="147"/>
    </row>
    <row r="795" ht="21.75" customHeight="1">
      <c r="A795" s="155"/>
      <c r="B795" s="64"/>
      <c r="C795" s="23"/>
      <c r="D795" s="23"/>
      <c r="E795" s="24"/>
      <c r="F795" s="25"/>
      <c r="G795" s="24"/>
      <c r="H795" s="26"/>
      <c r="I795" s="143"/>
      <c r="J795" s="144"/>
      <c r="K795" s="144" t="str">
        <f t="shared" si="18"/>
        <v/>
      </c>
      <c r="L795" s="17"/>
      <c r="M795" s="145"/>
      <c r="N795" s="144"/>
      <c r="O795" s="156"/>
      <c r="P795" s="156"/>
      <c r="Q795" s="144"/>
      <c r="R795" s="147"/>
    </row>
    <row r="796" ht="21.75" customHeight="1">
      <c r="A796" s="155"/>
      <c r="B796" s="64"/>
      <c r="C796" s="23"/>
      <c r="D796" s="23"/>
      <c r="E796" s="24"/>
      <c r="F796" s="25"/>
      <c r="G796" s="24"/>
      <c r="H796" s="26"/>
      <c r="I796" s="143"/>
      <c r="J796" s="144"/>
      <c r="K796" s="144" t="str">
        <f t="shared" si="18"/>
        <v/>
      </c>
      <c r="L796" s="17"/>
      <c r="M796" s="145"/>
      <c r="N796" s="144"/>
      <c r="O796" s="156"/>
      <c r="P796" s="156"/>
      <c r="Q796" s="144"/>
      <c r="R796" s="147"/>
    </row>
    <row r="797" ht="21.75" customHeight="1">
      <c r="A797" s="155"/>
      <c r="B797" s="64"/>
      <c r="C797" s="23"/>
      <c r="D797" s="23"/>
      <c r="E797" s="24"/>
      <c r="F797" s="25"/>
      <c r="G797" s="24"/>
      <c r="H797" s="26"/>
      <c r="I797" s="143"/>
      <c r="J797" s="144"/>
      <c r="K797" s="144" t="str">
        <f t="shared" si="18"/>
        <v/>
      </c>
      <c r="L797" s="17"/>
      <c r="M797" s="145"/>
      <c r="N797" s="144"/>
      <c r="O797" s="156"/>
      <c r="P797" s="156"/>
      <c r="Q797" s="144"/>
      <c r="R797" s="147"/>
    </row>
    <row r="798" ht="21.75" customHeight="1">
      <c r="A798" s="155"/>
      <c r="B798" s="64"/>
      <c r="C798" s="23"/>
      <c r="D798" s="23"/>
      <c r="E798" s="24"/>
      <c r="F798" s="25"/>
      <c r="G798" s="24"/>
      <c r="H798" s="26"/>
      <c r="I798" s="143"/>
      <c r="J798" s="144"/>
      <c r="K798" s="144" t="str">
        <f t="shared" si="18"/>
        <v/>
      </c>
      <c r="L798" s="17"/>
      <c r="M798" s="145"/>
      <c r="N798" s="144"/>
      <c r="O798" s="156"/>
      <c r="P798" s="156"/>
      <c r="Q798" s="144"/>
      <c r="R798" s="147"/>
    </row>
    <row r="799" ht="21.75" customHeight="1">
      <c r="A799" s="155"/>
      <c r="B799" s="64"/>
      <c r="C799" s="23"/>
      <c r="D799" s="23"/>
      <c r="E799" s="24"/>
      <c r="F799" s="25"/>
      <c r="G799" s="24"/>
      <c r="H799" s="26"/>
      <c r="I799" s="143"/>
      <c r="J799" s="144"/>
      <c r="K799" s="144" t="str">
        <f t="shared" si="18"/>
        <v/>
      </c>
      <c r="L799" s="17"/>
      <c r="M799" s="145"/>
      <c r="N799" s="144"/>
      <c r="O799" s="156"/>
      <c r="P799" s="156"/>
      <c r="Q799" s="144"/>
      <c r="R799" s="147"/>
    </row>
    <row r="800" ht="21.75" customHeight="1">
      <c r="A800" s="155"/>
      <c r="B800" s="64"/>
      <c r="C800" s="23"/>
      <c r="D800" s="23"/>
      <c r="E800" s="24"/>
      <c r="F800" s="25"/>
      <c r="G800" s="24"/>
      <c r="H800" s="26"/>
      <c r="I800" s="143"/>
      <c r="J800" s="144"/>
      <c r="K800" s="144" t="str">
        <f t="shared" si="18"/>
        <v/>
      </c>
      <c r="L800" s="17"/>
      <c r="M800" s="145"/>
      <c r="N800" s="144"/>
      <c r="O800" s="156"/>
      <c r="P800" s="156"/>
      <c r="Q800" s="144"/>
      <c r="R800" s="147"/>
    </row>
    <row r="801" ht="21.75" customHeight="1">
      <c r="A801" s="155"/>
      <c r="B801" s="64"/>
      <c r="C801" s="23"/>
      <c r="D801" s="23"/>
      <c r="E801" s="24"/>
      <c r="F801" s="25"/>
      <c r="G801" s="24"/>
      <c r="H801" s="26"/>
      <c r="I801" s="143"/>
      <c r="J801" s="144"/>
      <c r="K801" s="144" t="str">
        <f t="shared" si="18"/>
        <v/>
      </c>
      <c r="L801" s="17"/>
      <c r="M801" s="145"/>
      <c r="N801" s="144"/>
      <c r="O801" s="156"/>
      <c r="P801" s="156"/>
      <c r="Q801" s="144"/>
      <c r="R801" s="147"/>
    </row>
    <row r="802" ht="21.75" customHeight="1">
      <c r="A802" s="155"/>
      <c r="B802" s="64"/>
      <c r="C802" s="23"/>
      <c r="D802" s="23"/>
      <c r="E802" s="24"/>
      <c r="F802" s="25"/>
      <c r="G802" s="24"/>
      <c r="H802" s="26"/>
      <c r="I802" s="143"/>
      <c r="J802" s="144"/>
      <c r="K802" s="144" t="str">
        <f t="shared" si="18"/>
        <v/>
      </c>
      <c r="L802" s="17"/>
      <c r="M802" s="145"/>
      <c r="N802" s="144"/>
      <c r="O802" s="156"/>
      <c r="P802" s="156"/>
      <c r="Q802" s="144"/>
      <c r="R802" s="147"/>
    </row>
    <row r="803" ht="21.75" customHeight="1">
      <c r="A803" s="155"/>
      <c r="B803" s="64"/>
      <c r="C803" s="23"/>
      <c r="D803" s="23"/>
      <c r="E803" s="24"/>
      <c r="F803" s="25"/>
      <c r="G803" s="24"/>
      <c r="H803" s="26"/>
      <c r="I803" s="143"/>
      <c r="J803" s="144"/>
      <c r="K803" s="144" t="str">
        <f t="shared" si="18"/>
        <v/>
      </c>
      <c r="L803" s="17"/>
      <c r="M803" s="145"/>
      <c r="N803" s="144"/>
      <c r="O803" s="156"/>
      <c r="P803" s="156"/>
      <c r="Q803" s="144"/>
      <c r="R803" s="147"/>
    </row>
    <row r="804" ht="21.75" customHeight="1">
      <c r="A804" s="155"/>
      <c r="B804" s="64"/>
      <c r="C804" s="23"/>
      <c r="D804" s="23"/>
      <c r="E804" s="24"/>
      <c r="F804" s="25"/>
      <c r="G804" s="24"/>
      <c r="H804" s="26"/>
      <c r="I804" s="143"/>
      <c r="J804" s="144"/>
      <c r="K804" s="144" t="str">
        <f t="shared" si="18"/>
        <v/>
      </c>
      <c r="L804" s="17"/>
      <c r="M804" s="145"/>
      <c r="N804" s="144"/>
      <c r="O804" s="156"/>
      <c r="P804" s="156"/>
      <c r="Q804" s="144"/>
      <c r="R804" s="147"/>
    </row>
    <row r="805" ht="21.75" customHeight="1">
      <c r="A805" s="155"/>
      <c r="B805" s="64"/>
      <c r="C805" s="23"/>
      <c r="D805" s="23"/>
      <c r="E805" s="24"/>
      <c r="F805" s="25"/>
      <c r="G805" s="24"/>
      <c r="H805" s="26"/>
      <c r="I805" s="143"/>
      <c r="J805" s="144"/>
      <c r="K805" s="144" t="str">
        <f t="shared" si="18"/>
        <v/>
      </c>
      <c r="L805" s="17"/>
      <c r="M805" s="145"/>
      <c r="N805" s="144"/>
      <c r="O805" s="156"/>
      <c r="P805" s="156"/>
      <c r="Q805" s="144"/>
      <c r="R805" s="147"/>
    </row>
    <row r="806" ht="21.75" customHeight="1">
      <c r="A806" s="155"/>
      <c r="B806" s="64"/>
      <c r="C806" s="23"/>
      <c r="D806" s="23"/>
      <c r="E806" s="24"/>
      <c r="F806" s="25"/>
      <c r="G806" s="24"/>
      <c r="H806" s="26"/>
      <c r="I806" s="143"/>
      <c r="J806" s="144"/>
      <c r="K806" s="144" t="str">
        <f t="shared" si="18"/>
        <v/>
      </c>
      <c r="L806" s="17"/>
      <c r="M806" s="145"/>
      <c r="N806" s="144"/>
      <c r="O806" s="156"/>
      <c r="P806" s="156"/>
      <c r="Q806" s="144"/>
      <c r="R806" s="147"/>
    </row>
    <row r="807" ht="21.75" customHeight="1">
      <c r="A807" s="155"/>
      <c r="B807" s="64"/>
      <c r="C807" s="23"/>
      <c r="D807" s="23"/>
      <c r="E807" s="24"/>
      <c r="F807" s="25"/>
      <c r="G807" s="24"/>
      <c r="H807" s="26"/>
      <c r="I807" s="143"/>
      <c r="J807" s="144"/>
      <c r="K807" s="144" t="str">
        <f t="shared" si="18"/>
        <v/>
      </c>
      <c r="L807" s="17"/>
      <c r="M807" s="145"/>
      <c r="N807" s="144"/>
      <c r="O807" s="156"/>
      <c r="P807" s="156"/>
      <c r="Q807" s="144"/>
      <c r="R807" s="147"/>
    </row>
    <row r="808" ht="21.75" customHeight="1">
      <c r="A808" s="155"/>
      <c r="B808" s="64"/>
      <c r="C808" s="23"/>
      <c r="D808" s="23"/>
      <c r="E808" s="24"/>
      <c r="F808" s="25"/>
      <c r="G808" s="24"/>
      <c r="H808" s="26"/>
      <c r="I808" s="143"/>
      <c r="J808" s="144"/>
      <c r="K808" s="144" t="str">
        <f t="shared" si="18"/>
        <v/>
      </c>
      <c r="L808" s="17"/>
      <c r="M808" s="145"/>
      <c r="N808" s="144"/>
      <c r="O808" s="156"/>
      <c r="P808" s="156"/>
      <c r="Q808" s="144"/>
      <c r="R808" s="147"/>
    </row>
    <row r="809" ht="21.75" customHeight="1">
      <c r="A809" s="155"/>
      <c r="B809" s="64"/>
      <c r="C809" s="23"/>
      <c r="D809" s="23"/>
      <c r="E809" s="24"/>
      <c r="F809" s="25"/>
      <c r="G809" s="24"/>
      <c r="H809" s="26"/>
      <c r="I809" s="143"/>
      <c r="J809" s="144"/>
      <c r="K809" s="144" t="str">
        <f t="shared" si="18"/>
        <v/>
      </c>
      <c r="L809" s="17"/>
      <c r="M809" s="145"/>
      <c r="N809" s="144"/>
      <c r="O809" s="156"/>
      <c r="P809" s="156"/>
      <c r="Q809" s="144"/>
      <c r="R809" s="147"/>
    </row>
    <row r="810" ht="21.75" customHeight="1">
      <c r="A810" s="155"/>
      <c r="B810" s="64"/>
      <c r="C810" s="23"/>
      <c r="D810" s="23"/>
      <c r="E810" s="24"/>
      <c r="F810" s="25"/>
      <c r="G810" s="24"/>
      <c r="H810" s="26"/>
      <c r="I810" s="143"/>
      <c r="J810" s="144"/>
      <c r="K810" s="144" t="str">
        <f t="shared" si="18"/>
        <v/>
      </c>
      <c r="L810" s="17"/>
      <c r="M810" s="145"/>
      <c r="N810" s="144"/>
      <c r="O810" s="156"/>
      <c r="P810" s="156"/>
      <c r="Q810" s="144"/>
      <c r="R810" s="147"/>
    </row>
    <row r="811" ht="21.75" customHeight="1">
      <c r="A811" s="155"/>
      <c r="B811" s="64"/>
      <c r="C811" s="23"/>
      <c r="D811" s="23"/>
      <c r="E811" s="24"/>
      <c r="F811" s="25"/>
      <c r="G811" s="24"/>
      <c r="H811" s="26"/>
      <c r="I811" s="143"/>
      <c r="J811" s="144"/>
      <c r="K811" s="144" t="str">
        <f t="shared" si="18"/>
        <v/>
      </c>
      <c r="L811" s="17"/>
      <c r="M811" s="145"/>
      <c r="N811" s="144"/>
      <c r="O811" s="156"/>
      <c r="P811" s="156"/>
      <c r="Q811" s="144"/>
      <c r="R811" s="147"/>
    </row>
    <row r="812" ht="21.75" customHeight="1">
      <c r="A812" s="155"/>
      <c r="B812" s="64"/>
      <c r="C812" s="23"/>
      <c r="D812" s="23"/>
      <c r="E812" s="24"/>
      <c r="F812" s="25"/>
      <c r="G812" s="24"/>
      <c r="H812" s="26"/>
      <c r="I812" s="143"/>
      <c r="J812" s="144"/>
      <c r="K812" s="144" t="str">
        <f t="shared" si="18"/>
        <v/>
      </c>
      <c r="L812" s="17"/>
      <c r="M812" s="145"/>
      <c r="N812" s="144"/>
      <c r="O812" s="156"/>
      <c r="P812" s="156"/>
      <c r="Q812" s="144"/>
      <c r="R812" s="147"/>
    </row>
    <row r="813" ht="21.75" customHeight="1">
      <c r="A813" s="155"/>
      <c r="B813" s="64"/>
      <c r="C813" s="23"/>
      <c r="D813" s="23"/>
      <c r="E813" s="24"/>
      <c r="F813" s="25"/>
      <c r="G813" s="24"/>
      <c r="H813" s="26"/>
      <c r="I813" s="143"/>
      <c r="J813" s="144"/>
      <c r="K813" s="144" t="str">
        <f t="shared" si="18"/>
        <v/>
      </c>
      <c r="L813" s="17"/>
      <c r="M813" s="145"/>
      <c r="N813" s="144"/>
      <c r="O813" s="156"/>
      <c r="P813" s="156"/>
      <c r="Q813" s="144"/>
      <c r="R813" s="147"/>
    </row>
    <row r="814" ht="21.75" customHeight="1">
      <c r="A814" s="155"/>
      <c r="B814" s="64"/>
      <c r="C814" s="23"/>
      <c r="D814" s="23"/>
      <c r="E814" s="24"/>
      <c r="F814" s="25"/>
      <c r="G814" s="24"/>
      <c r="H814" s="26"/>
      <c r="I814" s="143"/>
      <c r="J814" s="144"/>
      <c r="K814" s="144" t="str">
        <f t="shared" si="18"/>
        <v/>
      </c>
      <c r="L814" s="17"/>
      <c r="M814" s="145"/>
      <c r="N814" s="144"/>
      <c r="O814" s="156"/>
      <c r="P814" s="156"/>
      <c r="Q814" s="144"/>
      <c r="R814" s="147"/>
    </row>
    <row r="815" ht="21.75" customHeight="1">
      <c r="A815" s="155"/>
      <c r="B815" s="64"/>
      <c r="C815" s="23"/>
      <c r="D815" s="23"/>
      <c r="E815" s="24"/>
      <c r="F815" s="25"/>
      <c r="G815" s="24"/>
      <c r="H815" s="26"/>
      <c r="I815" s="143"/>
      <c r="J815" s="144"/>
      <c r="K815" s="144" t="str">
        <f t="shared" si="18"/>
        <v/>
      </c>
      <c r="L815" s="17"/>
      <c r="M815" s="145"/>
      <c r="N815" s="144"/>
      <c r="O815" s="156"/>
      <c r="P815" s="156"/>
      <c r="Q815" s="144"/>
      <c r="R815" s="147"/>
    </row>
    <row r="816" ht="21.75" customHeight="1">
      <c r="A816" s="155"/>
      <c r="B816" s="64"/>
      <c r="C816" s="23"/>
      <c r="D816" s="23"/>
      <c r="E816" s="24"/>
      <c r="F816" s="25"/>
      <c r="G816" s="24"/>
      <c r="H816" s="26"/>
      <c r="I816" s="143"/>
      <c r="J816" s="144"/>
      <c r="K816" s="144" t="str">
        <f t="shared" si="18"/>
        <v/>
      </c>
      <c r="L816" s="17"/>
      <c r="M816" s="145"/>
      <c r="N816" s="144"/>
      <c r="O816" s="156"/>
      <c r="P816" s="156"/>
      <c r="Q816" s="144"/>
      <c r="R816" s="147"/>
    </row>
    <row r="817" ht="21.75" customHeight="1">
      <c r="A817" s="155"/>
      <c r="B817" s="64"/>
      <c r="C817" s="23"/>
      <c r="D817" s="23"/>
      <c r="E817" s="24"/>
      <c r="F817" s="25"/>
      <c r="G817" s="24"/>
      <c r="H817" s="26"/>
      <c r="I817" s="143"/>
      <c r="J817" s="144"/>
      <c r="K817" s="144" t="str">
        <f t="shared" si="18"/>
        <v/>
      </c>
      <c r="L817" s="17"/>
      <c r="M817" s="145"/>
      <c r="N817" s="144"/>
      <c r="O817" s="156"/>
      <c r="P817" s="156"/>
      <c r="Q817" s="144"/>
      <c r="R817" s="147"/>
    </row>
    <row r="818" ht="21.75" customHeight="1">
      <c r="A818" s="155"/>
      <c r="B818" s="64"/>
      <c r="C818" s="23"/>
      <c r="D818" s="23"/>
      <c r="E818" s="24"/>
      <c r="F818" s="25"/>
      <c r="G818" s="24"/>
      <c r="H818" s="26"/>
      <c r="I818" s="143"/>
      <c r="J818" s="144"/>
      <c r="K818" s="144" t="str">
        <f t="shared" si="18"/>
        <v/>
      </c>
      <c r="L818" s="17"/>
      <c r="M818" s="145"/>
      <c r="N818" s="144"/>
      <c r="O818" s="156"/>
      <c r="P818" s="156"/>
      <c r="Q818" s="144"/>
      <c r="R818" s="147"/>
    </row>
    <row r="819" ht="21.75" customHeight="1">
      <c r="A819" s="155"/>
      <c r="B819" s="64"/>
      <c r="C819" s="23"/>
      <c r="D819" s="23"/>
      <c r="E819" s="24"/>
      <c r="F819" s="25"/>
      <c r="G819" s="24"/>
      <c r="H819" s="26"/>
      <c r="I819" s="143"/>
      <c r="J819" s="144"/>
      <c r="K819" s="144" t="str">
        <f t="shared" si="18"/>
        <v/>
      </c>
      <c r="L819" s="17"/>
      <c r="M819" s="145"/>
      <c r="N819" s="144"/>
      <c r="O819" s="156"/>
      <c r="P819" s="156"/>
      <c r="Q819" s="144"/>
      <c r="R819" s="147"/>
    </row>
    <row r="820" ht="21.75" customHeight="1">
      <c r="A820" s="155"/>
      <c r="B820" s="64"/>
      <c r="C820" s="23"/>
      <c r="D820" s="23"/>
      <c r="E820" s="24"/>
      <c r="F820" s="25"/>
      <c r="G820" s="24"/>
      <c r="H820" s="26"/>
      <c r="I820" s="143"/>
      <c r="J820" s="144"/>
      <c r="K820" s="144" t="str">
        <f t="shared" si="18"/>
        <v/>
      </c>
      <c r="L820" s="17"/>
      <c r="M820" s="145"/>
      <c r="N820" s="144"/>
      <c r="O820" s="156"/>
      <c r="P820" s="156"/>
      <c r="Q820" s="144"/>
      <c r="R820" s="147"/>
    </row>
    <row r="821" ht="21.75" customHeight="1">
      <c r="A821" s="155"/>
      <c r="B821" s="64"/>
      <c r="C821" s="23"/>
      <c r="D821" s="23"/>
      <c r="E821" s="24"/>
      <c r="F821" s="25"/>
      <c r="G821" s="24"/>
      <c r="H821" s="26"/>
      <c r="I821" s="143"/>
      <c r="J821" s="144"/>
      <c r="K821" s="144" t="str">
        <f t="shared" si="18"/>
        <v/>
      </c>
      <c r="L821" s="17"/>
      <c r="M821" s="145"/>
      <c r="N821" s="144"/>
      <c r="O821" s="156"/>
      <c r="P821" s="156"/>
      <c r="Q821" s="144"/>
      <c r="R821" s="147"/>
    </row>
    <row r="822" ht="21.75" customHeight="1">
      <c r="A822" s="155"/>
      <c r="B822" s="64"/>
      <c r="C822" s="23"/>
      <c r="D822" s="23"/>
      <c r="E822" s="24"/>
      <c r="F822" s="25"/>
      <c r="G822" s="24"/>
      <c r="H822" s="26"/>
      <c r="I822" s="143"/>
      <c r="J822" s="144"/>
      <c r="K822" s="144" t="str">
        <f t="shared" si="18"/>
        <v/>
      </c>
      <c r="L822" s="17"/>
      <c r="M822" s="145"/>
      <c r="N822" s="144"/>
      <c r="O822" s="156"/>
      <c r="P822" s="156"/>
      <c r="Q822" s="144"/>
      <c r="R822" s="147"/>
    </row>
    <row r="823" ht="21.75" customHeight="1">
      <c r="A823" s="155"/>
      <c r="B823" s="64"/>
      <c r="C823" s="23"/>
      <c r="D823" s="23"/>
      <c r="E823" s="24"/>
      <c r="F823" s="25"/>
      <c r="G823" s="24"/>
      <c r="H823" s="26"/>
      <c r="I823" s="143"/>
      <c r="J823" s="144"/>
      <c r="K823" s="144" t="str">
        <f t="shared" si="18"/>
        <v/>
      </c>
      <c r="L823" s="17"/>
      <c r="M823" s="145"/>
      <c r="N823" s="144"/>
      <c r="O823" s="156"/>
      <c r="P823" s="156"/>
      <c r="Q823" s="144"/>
      <c r="R823" s="147"/>
    </row>
    <row r="824" ht="21.75" customHeight="1">
      <c r="A824" s="155"/>
      <c r="B824" s="64"/>
      <c r="C824" s="23"/>
      <c r="D824" s="23"/>
      <c r="E824" s="24"/>
      <c r="F824" s="25"/>
      <c r="G824" s="24"/>
      <c r="H824" s="26"/>
      <c r="I824" s="143"/>
      <c r="J824" s="144"/>
      <c r="K824" s="144" t="str">
        <f t="shared" si="18"/>
        <v/>
      </c>
      <c r="L824" s="17"/>
      <c r="M824" s="145"/>
      <c r="N824" s="144"/>
      <c r="O824" s="156"/>
      <c r="P824" s="156"/>
      <c r="Q824" s="144"/>
      <c r="R824" s="147"/>
    </row>
    <row r="825" ht="21.75" customHeight="1">
      <c r="A825" s="155"/>
      <c r="B825" s="64"/>
      <c r="C825" s="23"/>
      <c r="D825" s="23"/>
      <c r="E825" s="24"/>
      <c r="F825" s="25"/>
      <c r="G825" s="24"/>
      <c r="H825" s="26"/>
      <c r="I825" s="143"/>
      <c r="J825" s="144"/>
      <c r="K825" s="144" t="str">
        <f t="shared" si="18"/>
        <v/>
      </c>
      <c r="L825" s="17"/>
      <c r="M825" s="145"/>
      <c r="N825" s="144"/>
      <c r="O825" s="156"/>
      <c r="P825" s="156"/>
      <c r="Q825" s="144"/>
      <c r="R825" s="147"/>
    </row>
    <row r="826" ht="21.75" customHeight="1">
      <c r="A826" s="155"/>
      <c r="B826" s="64"/>
      <c r="C826" s="23"/>
      <c r="D826" s="23"/>
      <c r="E826" s="24"/>
      <c r="F826" s="25"/>
      <c r="G826" s="24"/>
      <c r="H826" s="26"/>
      <c r="I826" s="143"/>
      <c r="J826" s="144"/>
      <c r="K826" s="144" t="str">
        <f t="shared" si="18"/>
        <v/>
      </c>
      <c r="L826" s="17"/>
      <c r="M826" s="145"/>
      <c r="N826" s="144"/>
      <c r="O826" s="156"/>
      <c r="P826" s="156"/>
      <c r="Q826" s="144"/>
      <c r="R826" s="147"/>
    </row>
    <row r="827" ht="21.75" customHeight="1">
      <c r="A827" s="155"/>
      <c r="B827" s="64"/>
      <c r="C827" s="23"/>
      <c r="D827" s="23"/>
      <c r="E827" s="24"/>
      <c r="F827" s="25"/>
      <c r="G827" s="24"/>
      <c r="H827" s="26"/>
      <c r="I827" s="143"/>
      <c r="J827" s="144"/>
      <c r="K827" s="144" t="str">
        <f t="shared" si="18"/>
        <v/>
      </c>
      <c r="L827" s="17"/>
      <c r="M827" s="145"/>
      <c r="N827" s="144"/>
      <c r="O827" s="156"/>
      <c r="P827" s="156"/>
      <c r="Q827" s="144"/>
      <c r="R827" s="147"/>
    </row>
    <row r="828" ht="21.75" customHeight="1">
      <c r="A828" s="155"/>
      <c r="B828" s="64"/>
      <c r="C828" s="23"/>
      <c r="D828" s="23"/>
      <c r="E828" s="24"/>
      <c r="F828" s="25"/>
      <c r="G828" s="24"/>
      <c r="H828" s="26"/>
      <c r="I828" s="143"/>
      <c r="J828" s="144"/>
      <c r="K828" s="144" t="str">
        <f t="shared" si="18"/>
        <v/>
      </c>
      <c r="L828" s="17"/>
      <c r="M828" s="145"/>
      <c r="N828" s="144"/>
      <c r="O828" s="156"/>
      <c r="P828" s="156"/>
      <c r="Q828" s="144"/>
      <c r="R828" s="147"/>
    </row>
    <row r="829" ht="21.75" customHeight="1">
      <c r="A829" s="155"/>
      <c r="B829" s="64"/>
      <c r="C829" s="23"/>
      <c r="D829" s="23"/>
      <c r="E829" s="24"/>
      <c r="F829" s="25"/>
      <c r="G829" s="24"/>
      <c r="H829" s="26"/>
      <c r="I829" s="143"/>
      <c r="J829" s="144"/>
      <c r="K829" s="144" t="str">
        <f t="shared" si="18"/>
        <v/>
      </c>
      <c r="L829" s="17"/>
      <c r="M829" s="145"/>
      <c r="N829" s="144"/>
      <c r="O829" s="156"/>
      <c r="P829" s="156"/>
      <c r="Q829" s="144"/>
      <c r="R829" s="147"/>
    </row>
    <row r="830" ht="21.75" customHeight="1">
      <c r="A830" s="155"/>
      <c r="B830" s="64"/>
      <c r="C830" s="23"/>
      <c r="D830" s="23"/>
      <c r="E830" s="24"/>
      <c r="F830" s="25"/>
      <c r="G830" s="24"/>
      <c r="H830" s="26"/>
      <c r="I830" s="143"/>
      <c r="J830" s="144"/>
      <c r="K830" s="144" t="str">
        <f t="shared" si="18"/>
        <v/>
      </c>
      <c r="L830" s="17"/>
      <c r="M830" s="145"/>
      <c r="N830" s="144"/>
      <c r="O830" s="156"/>
      <c r="P830" s="156"/>
      <c r="Q830" s="144"/>
      <c r="R830" s="147"/>
    </row>
    <row r="831" ht="21.75" customHeight="1">
      <c r="A831" s="155"/>
      <c r="B831" s="64"/>
      <c r="C831" s="23"/>
      <c r="D831" s="23"/>
      <c r="E831" s="24"/>
      <c r="F831" s="25"/>
      <c r="G831" s="24"/>
      <c r="H831" s="26"/>
      <c r="I831" s="143"/>
      <c r="J831" s="144"/>
      <c r="K831" s="144" t="str">
        <f t="shared" si="18"/>
        <v/>
      </c>
      <c r="L831" s="17"/>
      <c r="M831" s="145"/>
      <c r="N831" s="144"/>
      <c r="O831" s="156"/>
      <c r="P831" s="156"/>
      <c r="Q831" s="144"/>
      <c r="R831" s="147"/>
    </row>
    <row r="832" ht="21.75" customHeight="1">
      <c r="A832" s="155"/>
      <c r="B832" s="64"/>
      <c r="C832" s="23"/>
      <c r="D832" s="23"/>
      <c r="E832" s="24"/>
      <c r="F832" s="25"/>
      <c r="G832" s="24"/>
      <c r="H832" s="26"/>
      <c r="I832" s="143"/>
      <c r="J832" s="144"/>
      <c r="K832" s="144"/>
      <c r="L832" s="17"/>
      <c r="M832" s="145"/>
      <c r="N832" s="144"/>
      <c r="O832" s="156"/>
      <c r="P832" s="156"/>
      <c r="Q832" s="144"/>
      <c r="R832" s="147"/>
    </row>
    <row r="833" ht="21.75" customHeight="1">
      <c r="A833" s="155"/>
      <c r="B833" s="64"/>
      <c r="C833" s="23"/>
      <c r="D833" s="23"/>
      <c r="E833" s="24"/>
      <c r="F833" s="25"/>
      <c r="G833" s="24"/>
      <c r="H833" s="26"/>
      <c r="I833" s="143"/>
      <c r="J833" s="144"/>
      <c r="K833" s="144"/>
      <c r="L833" s="17"/>
      <c r="M833" s="145"/>
      <c r="N833" s="144"/>
      <c r="O833" s="156"/>
      <c r="P833" s="156"/>
      <c r="Q833" s="144"/>
      <c r="R833" s="147"/>
    </row>
    <row r="834" ht="21.75" customHeight="1">
      <c r="A834" s="155"/>
      <c r="B834" s="64"/>
      <c r="C834" s="23"/>
      <c r="D834" s="23"/>
      <c r="E834" s="24"/>
      <c r="F834" s="25"/>
      <c r="G834" s="24"/>
      <c r="H834" s="26"/>
      <c r="I834" s="143"/>
      <c r="J834" s="144"/>
      <c r="K834" s="144"/>
      <c r="L834" s="17"/>
      <c r="M834" s="145"/>
      <c r="N834" s="144"/>
      <c r="O834" s="156"/>
      <c r="P834" s="156"/>
      <c r="Q834" s="144"/>
      <c r="R834" s="147"/>
    </row>
    <row r="835" ht="21.75" customHeight="1">
      <c r="A835" s="155"/>
      <c r="B835" s="64"/>
      <c r="C835" s="23"/>
      <c r="D835" s="23"/>
      <c r="E835" s="24"/>
      <c r="F835" s="25"/>
      <c r="G835" s="24"/>
      <c r="H835" s="26"/>
      <c r="I835" s="143"/>
      <c r="J835" s="144"/>
      <c r="K835" s="144"/>
      <c r="L835" s="17"/>
      <c r="M835" s="145"/>
      <c r="N835" s="144"/>
      <c r="O835" s="156"/>
      <c r="P835" s="156"/>
      <c r="Q835" s="144"/>
      <c r="R835" s="147"/>
    </row>
    <row r="836" ht="21.75" customHeight="1">
      <c r="A836" s="155"/>
      <c r="B836" s="64"/>
      <c r="C836" s="23"/>
      <c r="D836" s="23"/>
      <c r="E836" s="24"/>
      <c r="F836" s="25"/>
      <c r="G836" s="24"/>
      <c r="H836" s="26"/>
      <c r="I836" s="143"/>
      <c r="J836" s="144"/>
      <c r="K836" s="144"/>
      <c r="L836" s="17"/>
      <c r="M836" s="145"/>
      <c r="N836" s="144"/>
      <c r="O836" s="156"/>
      <c r="P836" s="156"/>
      <c r="Q836" s="144"/>
      <c r="R836" s="147"/>
    </row>
    <row r="837" ht="21.75" customHeight="1">
      <c r="A837" s="155"/>
      <c r="B837" s="64"/>
      <c r="C837" s="23"/>
      <c r="D837" s="23"/>
      <c r="E837" s="24"/>
      <c r="F837" s="25"/>
      <c r="G837" s="24"/>
      <c r="H837" s="26"/>
      <c r="I837" s="143"/>
      <c r="J837" s="144"/>
      <c r="K837" s="144"/>
      <c r="L837" s="17"/>
      <c r="M837" s="145"/>
      <c r="N837" s="144"/>
      <c r="O837" s="156"/>
      <c r="P837" s="156"/>
      <c r="Q837" s="144"/>
      <c r="R837" s="147"/>
    </row>
    <row r="838" ht="21.75" customHeight="1">
      <c r="A838" s="155"/>
      <c r="B838" s="64"/>
      <c r="C838" s="23"/>
      <c r="D838" s="23"/>
      <c r="E838" s="24"/>
      <c r="F838" s="25"/>
      <c r="G838" s="24"/>
      <c r="H838" s="26"/>
      <c r="I838" s="143"/>
      <c r="J838" s="144"/>
      <c r="K838" s="144"/>
      <c r="L838" s="17"/>
      <c r="M838" s="145"/>
      <c r="N838" s="144"/>
      <c r="O838" s="156"/>
      <c r="P838" s="156"/>
      <c r="Q838" s="144"/>
      <c r="R838" s="147"/>
    </row>
    <row r="839" ht="21.75" customHeight="1">
      <c r="A839" s="155"/>
      <c r="B839" s="64"/>
      <c r="C839" s="23"/>
      <c r="D839" s="23"/>
      <c r="E839" s="24"/>
      <c r="F839" s="25"/>
      <c r="G839" s="24"/>
      <c r="H839" s="26"/>
      <c r="I839" s="143"/>
      <c r="J839" s="144"/>
      <c r="K839" s="144"/>
      <c r="L839" s="17"/>
      <c r="M839" s="145"/>
      <c r="N839" s="144"/>
      <c r="O839" s="156"/>
      <c r="P839" s="156"/>
      <c r="Q839" s="144"/>
      <c r="R839" s="147"/>
    </row>
    <row r="840" ht="21.75" customHeight="1">
      <c r="A840" s="155"/>
      <c r="B840" s="64"/>
      <c r="C840" s="23"/>
      <c r="D840" s="23"/>
      <c r="E840" s="24"/>
      <c r="F840" s="25"/>
      <c r="G840" s="24"/>
      <c r="H840" s="26"/>
      <c r="I840" s="143"/>
      <c r="J840" s="144"/>
      <c r="K840" s="144"/>
      <c r="L840" s="17"/>
      <c r="M840" s="145"/>
      <c r="N840" s="144"/>
      <c r="O840" s="156"/>
      <c r="P840" s="156"/>
      <c r="Q840" s="144"/>
      <c r="R840" s="147"/>
    </row>
    <row r="841" ht="21.75" customHeight="1">
      <c r="A841" s="155"/>
      <c r="B841" s="64"/>
      <c r="C841" s="23"/>
      <c r="D841" s="23"/>
      <c r="E841" s="24"/>
      <c r="F841" s="25"/>
      <c r="G841" s="24"/>
      <c r="H841" s="26"/>
      <c r="I841" s="143"/>
      <c r="J841" s="144"/>
      <c r="K841" s="144"/>
      <c r="L841" s="17"/>
      <c r="M841" s="145"/>
      <c r="N841" s="144"/>
      <c r="O841" s="156"/>
      <c r="P841" s="156"/>
      <c r="Q841" s="144"/>
      <c r="R841" s="147"/>
    </row>
    <row r="842" ht="21.75" customHeight="1">
      <c r="A842" s="155"/>
      <c r="B842" s="64"/>
      <c r="C842" s="23"/>
      <c r="D842" s="23"/>
      <c r="E842" s="24"/>
      <c r="F842" s="25"/>
      <c r="G842" s="24"/>
      <c r="H842" s="26"/>
      <c r="I842" s="143"/>
      <c r="J842" s="144"/>
      <c r="K842" s="144"/>
      <c r="L842" s="17"/>
      <c r="M842" s="145"/>
      <c r="N842" s="144"/>
      <c r="O842" s="156"/>
      <c r="P842" s="156"/>
      <c r="Q842" s="144"/>
      <c r="R842" s="147"/>
    </row>
    <row r="843" ht="21.75" customHeight="1">
      <c r="A843" s="155"/>
      <c r="B843" s="64"/>
      <c r="C843" s="23"/>
      <c r="D843" s="23"/>
      <c r="E843" s="24"/>
      <c r="F843" s="25"/>
      <c r="G843" s="24"/>
      <c r="H843" s="26"/>
      <c r="I843" s="143"/>
      <c r="J843" s="144"/>
      <c r="K843" s="144"/>
      <c r="L843" s="17"/>
      <c r="M843" s="145"/>
      <c r="N843" s="144"/>
      <c r="O843" s="156"/>
      <c r="P843" s="156"/>
      <c r="Q843" s="144"/>
      <c r="R843" s="147"/>
    </row>
    <row r="844" ht="21.75" customHeight="1">
      <c r="A844" s="155"/>
      <c r="B844" s="64"/>
      <c r="C844" s="23"/>
      <c r="D844" s="23"/>
      <c r="E844" s="24"/>
      <c r="F844" s="25"/>
      <c r="G844" s="24"/>
      <c r="H844" s="26"/>
      <c r="I844" s="143"/>
      <c r="J844" s="144"/>
      <c r="K844" s="144"/>
      <c r="L844" s="17"/>
      <c r="M844" s="145"/>
      <c r="N844" s="144"/>
      <c r="O844" s="156"/>
      <c r="P844" s="156"/>
      <c r="Q844" s="144"/>
      <c r="R844" s="147"/>
    </row>
    <row r="845" ht="21.75" customHeight="1">
      <c r="A845" s="155"/>
      <c r="B845" s="64"/>
      <c r="C845" s="23"/>
      <c r="D845" s="23"/>
      <c r="E845" s="24"/>
      <c r="F845" s="25"/>
      <c r="G845" s="24"/>
      <c r="H845" s="26"/>
      <c r="I845" s="143"/>
      <c r="J845" s="144"/>
      <c r="K845" s="144"/>
      <c r="L845" s="17"/>
      <c r="M845" s="145"/>
      <c r="N845" s="144"/>
      <c r="O845" s="156"/>
      <c r="P845" s="156"/>
      <c r="Q845" s="144"/>
      <c r="R845" s="147"/>
    </row>
    <row r="846" ht="21.75" customHeight="1">
      <c r="A846" s="155"/>
      <c r="B846" s="64"/>
      <c r="C846" s="23"/>
      <c r="D846" s="23"/>
      <c r="E846" s="24"/>
      <c r="F846" s="25"/>
      <c r="G846" s="24"/>
      <c r="H846" s="26"/>
      <c r="I846" s="143"/>
      <c r="J846" s="144"/>
      <c r="K846" s="144"/>
      <c r="L846" s="17"/>
      <c r="M846" s="145"/>
      <c r="N846" s="144"/>
      <c r="O846" s="156"/>
      <c r="P846" s="156"/>
      <c r="Q846" s="144"/>
      <c r="R846" s="147"/>
    </row>
    <row r="847" ht="21.75" customHeight="1">
      <c r="A847" s="155"/>
      <c r="B847" s="64"/>
      <c r="C847" s="23"/>
      <c r="D847" s="23"/>
      <c r="E847" s="24"/>
      <c r="F847" s="25"/>
      <c r="G847" s="24"/>
      <c r="H847" s="26"/>
      <c r="I847" s="143"/>
      <c r="J847" s="144"/>
      <c r="K847" s="144"/>
      <c r="L847" s="17"/>
      <c r="M847" s="145"/>
      <c r="N847" s="144"/>
      <c r="O847" s="156"/>
      <c r="P847" s="156"/>
      <c r="Q847" s="144"/>
      <c r="R847" s="147"/>
    </row>
    <row r="848" ht="21.75" customHeight="1">
      <c r="A848" s="155"/>
      <c r="B848" s="64"/>
      <c r="C848" s="23"/>
      <c r="D848" s="23"/>
      <c r="E848" s="24"/>
      <c r="F848" s="25"/>
      <c r="G848" s="24"/>
      <c r="H848" s="26"/>
      <c r="I848" s="143"/>
      <c r="J848" s="144"/>
      <c r="K848" s="144"/>
      <c r="L848" s="17"/>
      <c r="M848" s="145"/>
      <c r="N848" s="144"/>
      <c r="O848" s="156"/>
      <c r="P848" s="156"/>
      <c r="Q848" s="144"/>
      <c r="R848" s="147"/>
    </row>
    <row r="849" ht="21.75" customHeight="1">
      <c r="A849" s="155"/>
      <c r="B849" s="64"/>
      <c r="C849" s="23"/>
      <c r="D849" s="23"/>
      <c r="E849" s="24"/>
      <c r="F849" s="25"/>
      <c r="G849" s="24"/>
      <c r="H849" s="26"/>
      <c r="I849" s="143"/>
      <c r="J849" s="144"/>
      <c r="K849" s="144"/>
      <c r="L849" s="17"/>
      <c r="M849" s="145"/>
      <c r="N849" s="144"/>
      <c r="O849" s="156"/>
      <c r="P849" s="156"/>
      <c r="Q849" s="144"/>
      <c r="R849" s="147"/>
    </row>
    <row r="850" ht="21.75" customHeight="1">
      <c r="A850" s="155"/>
      <c r="B850" s="64"/>
      <c r="C850" s="23"/>
      <c r="D850" s="23"/>
      <c r="E850" s="24"/>
      <c r="F850" s="25"/>
      <c r="G850" s="24"/>
      <c r="H850" s="26"/>
      <c r="I850" s="143"/>
      <c r="J850" s="144"/>
      <c r="K850" s="144"/>
      <c r="L850" s="17"/>
      <c r="M850" s="145"/>
      <c r="N850" s="144"/>
      <c r="O850" s="156"/>
      <c r="P850" s="156"/>
      <c r="Q850" s="144"/>
      <c r="R850" s="147"/>
    </row>
    <row r="851" ht="21.75" customHeight="1">
      <c r="A851" s="155"/>
      <c r="B851" s="64"/>
      <c r="C851" s="23"/>
      <c r="D851" s="23"/>
      <c r="E851" s="24"/>
      <c r="F851" s="25"/>
      <c r="G851" s="24"/>
      <c r="H851" s="26"/>
      <c r="I851" s="143"/>
      <c r="J851" s="144"/>
      <c r="K851" s="144"/>
      <c r="L851" s="17"/>
      <c r="M851" s="145"/>
      <c r="N851" s="144"/>
      <c r="O851" s="156"/>
      <c r="P851" s="156"/>
      <c r="Q851" s="144"/>
      <c r="R851" s="147"/>
    </row>
    <row r="852" ht="21.75" customHeight="1">
      <c r="A852" s="155"/>
      <c r="B852" s="64"/>
      <c r="C852" s="23"/>
      <c r="D852" s="23"/>
      <c r="E852" s="24"/>
      <c r="F852" s="25"/>
      <c r="G852" s="24"/>
      <c r="H852" s="26"/>
      <c r="I852" s="143"/>
      <c r="J852" s="144"/>
      <c r="K852" s="144"/>
      <c r="L852" s="17"/>
      <c r="M852" s="145"/>
      <c r="N852" s="144"/>
      <c r="O852" s="156"/>
      <c r="P852" s="156"/>
      <c r="Q852" s="144"/>
      <c r="R852" s="147"/>
    </row>
    <row r="853" ht="21.75" customHeight="1">
      <c r="A853" s="155"/>
      <c r="B853" s="64"/>
      <c r="C853" s="23"/>
      <c r="D853" s="23"/>
      <c r="E853" s="24"/>
      <c r="F853" s="25"/>
      <c r="G853" s="24"/>
      <c r="H853" s="26"/>
      <c r="I853" s="143"/>
      <c r="J853" s="144"/>
      <c r="K853" s="144"/>
      <c r="L853" s="17"/>
      <c r="M853" s="145"/>
      <c r="N853" s="144"/>
      <c r="O853" s="156"/>
      <c r="P853" s="156"/>
      <c r="Q853" s="144"/>
      <c r="R853" s="147"/>
    </row>
    <row r="854" ht="21.75" customHeight="1">
      <c r="A854" s="155"/>
      <c r="B854" s="64"/>
      <c r="C854" s="23"/>
      <c r="D854" s="23"/>
      <c r="E854" s="24"/>
      <c r="F854" s="25"/>
      <c r="G854" s="24"/>
      <c r="H854" s="26"/>
      <c r="I854" s="143"/>
      <c r="J854" s="144"/>
      <c r="K854" s="144"/>
      <c r="L854" s="17"/>
      <c r="M854" s="145"/>
      <c r="N854" s="144"/>
      <c r="O854" s="156"/>
      <c r="P854" s="156"/>
      <c r="Q854" s="144"/>
      <c r="R854" s="147"/>
    </row>
    <row r="855" ht="21.75" customHeight="1">
      <c r="A855" s="155"/>
      <c r="B855" s="64"/>
      <c r="C855" s="23"/>
      <c r="D855" s="23"/>
      <c r="E855" s="24"/>
      <c r="F855" s="25"/>
      <c r="G855" s="24"/>
      <c r="H855" s="26"/>
      <c r="I855" s="143"/>
      <c r="J855" s="144"/>
      <c r="K855" s="144"/>
      <c r="L855" s="17"/>
      <c r="M855" s="145"/>
      <c r="N855" s="144"/>
      <c r="O855" s="156"/>
      <c r="P855" s="156"/>
      <c r="Q855" s="144"/>
      <c r="R855" s="147"/>
    </row>
    <row r="856" ht="21.75" customHeight="1">
      <c r="A856" s="155"/>
      <c r="B856" s="64"/>
      <c r="C856" s="23"/>
      <c r="D856" s="23"/>
      <c r="E856" s="24"/>
      <c r="F856" s="25"/>
      <c r="G856" s="24"/>
      <c r="H856" s="26"/>
      <c r="I856" s="143"/>
      <c r="J856" s="144"/>
      <c r="K856" s="144"/>
      <c r="L856" s="17"/>
      <c r="M856" s="145"/>
      <c r="N856" s="144"/>
      <c r="O856" s="156"/>
      <c r="P856" s="156"/>
      <c r="Q856" s="144"/>
      <c r="R856" s="147"/>
    </row>
    <row r="857" ht="21.75" customHeight="1">
      <c r="A857" s="155"/>
      <c r="B857" s="64"/>
      <c r="C857" s="23"/>
      <c r="D857" s="23"/>
      <c r="E857" s="24"/>
      <c r="F857" s="25"/>
      <c r="G857" s="24"/>
      <c r="H857" s="26"/>
      <c r="I857" s="143"/>
      <c r="J857" s="144"/>
      <c r="K857" s="144"/>
      <c r="L857" s="17"/>
      <c r="M857" s="145"/>
      <c r="N857" s="144"/>
      <c r="O857" s="156"/>
      <c r="P857" s="156"/>
      <c r="Q857" s="144"/>
      <c r="R857" s="147"/>
    </row>
    <row r="858" ht="21.75" customHeight="1">
      <c r="A858" s="155"/>
      <c r="B858" s="64"/>
      <c r="C858" s="23"/>
      <c r="D858" s="23"/>
      <c r="E858" s="24"/>
      <c r="F858" s="25"/>
      <c r="G858" s="24"/>
      <c r="H858" s="26"/>
      <c r="I858" s="143"/>
      <c r="J858" s="144"/>
      <c r="K858" s="144"/>
      <c r="L858" s="17"/>
      <c r="M858" s="145"/>
      <c r="N858" s="144"/>
      <c r="O858" s="156"/>
      <c r="P858" s="156"/>
      <c r="Q858" s="144"/>
      <c r="R858" s="147"/>
    </row>
    <row r="859" ht="21.75" customHeight="1">
      <c r="A859" s="155"/>
      <c r="B859" s="64"/>
      <c r="C859" s="23"/>
      <c r="D859" s="23"/>
      <c r="E859" s="24"/>
      <c r="F859" s="25"/>
      <c r="G859" s="24"/>
      <c r="H859" s="26"/>
      <c r="I859" s="143"/>
      <c r="J859" s="144"/>
      <c r="K859" s="144"/>
      <c r="L859" s="17"/>
      <c r="M859" s="145"/>
      <c r="N859" s="144"/>
      <c r="O859" s="156"/>
      <c r="P859" s="156"/>
      <c r="Q859" s="144"/>
      <c r="R859" s="147"/>
    </row>
    <row r="860" ht="21.75" customHeight="1">
      <c r="A860" s="155"/>
      <c r="B860" s="64"/>
      <c r="C860" s="23"/>
      <c r="D860" s="23"/>
      <c r="E860" s="24"/>
      <c r="F860" s="25"/>
      <c r="G860" s="24"/>
      <c r="H860" s="26"/>
      <c r="I860" s="143"/>
      <c r="J860" s="144"/>
      <c r="K860" s="144"/>
      <c r="L860" s="17"/>
      <c r="M860" s="145"/>
      <c r="N860" s="144"/>
      <c r="O860" s="156"/>
      <c r="P860" s="156"/>
      <c r="Q860" s="144"/>
      <c r="R860" s="147"/>
    </row>
    <row r="861" ht="21.75" customHeight="1">
      <c r="A861" s="155"/>
      <c r="B861" s="64"/>
      <c r="C861" s="23"/>
      <c r="D861" s="23"/>
      <c r="E861" s="24"/>
      <c r="F861" s="25"/>
      <c r="G861" s="24"/>
      <c r="H861" s="26"/>
      <c r="I861" s="143"/>
      <c r="J861" s="144"/>
      <c r="K861" s="144"/>
      <c r="L861" s="17"/>
      <c r="M861" s="145"/>
      <c r="N861" s="144"/>
      <c r="O861" s="156"/>
      <c r="P861" s="156"/>
      <c r="Q861" s="144"/>
      <c r="R861" s="147"/>
    </row>
    <row r="862" ht="21.75" customHeight="1">
      <c r="A862" s="155"/>
      <c r="B862" s="64"/>
      <c r="C862" s="23"/>
      <c r="D862" s="23"/>
      <c r="E862" s="24"/>
      <c r="F862" s="25"/>
      <c r="G862" s="24"/>
      <c r="H862" s="26"/>
      <c r="I862" s="143"/>
      <c r="J862" s="144"/>
      <c r="K862" s="144"/>
      <c r="L862" s="17"/>
      <c r="M862" s="145"/>
      <c r="N862" s="144"/>
      <c r="O862" s="156"/>
      <c r="P862" s="156"/>
      <c r="Q862" s="144"/>
      <c r="R862" s="147"/>
    </row>
    <row r="863" ht="21.75" customHeight="1">
      <c r="A863" s="155"/>
      <c r="B863" s="64"/>
      <c r="C863" s="23"/>
      <c r="D863" s="23"/>
      <c r="E863" s="24"/>
      <c r="F863" s="25"/>
      <c r="G863" s="24"/>
      <c r="H863" s="26"/>
      <c r="I863" s="143"/>
      <c r="J863" s="144"/>
      <c r="K863" s="144"/>
      <c r="L863" s="17"/>
      <c r="M863" s="145"/>
      <c r="N863" s="144"/>
      <c r="O863" s="156"/>
      <c r="P863" s="156"/>
      <c r="Q863" s="144"/>
      <c r="R863" s="147"/>
    </row>
    <row r="864" ht="21.75" customHeight="1">
      <c r="A864" s="155"/>
      <c r="B864" s="64"/>
      <c r="C864" s="23"/>
      <c r="D864" s="23"/>
      <c r="E864" s="24"/>
      <c r="F864" s="25"/>
      <c r="G864" s="24"/>
      <c r="H864" s="26"/>
      <c r="I864" s="143"/>
      <c r="J864" s="144"/>
      <c r="K864" s="144"/>
      <c r="L864" s="17"/>
      <c r="M864" s="145"/>
      <c r="N864" s="144"/>
      <c r="O864" s="156"/>
      <c r="P864" s="156"/>
      <c r="Q864" s="144"/>
      <c r="R864" s="147"/>
    </row>
    <row r="865" ht="21.75" customHeight="1">
      <c r="A865" s="155"/>
      <c r="B865" s="64"/>
      <c r="C865" s="23"/>
      <c r="D865" s="23"/>
      <c r="E865" s="24"/>
      <c r="F865" s="25"/>
      <c r="G865" s="24"/>
      <c r="H865" s="26"/>
      <c r="I865" s="143"/>
      <c r="J865" s="144"/>
      <c r="K865" s="144"/>
      <c r="L865" s="17"/>
      <c r="M865" s="145"/>
      <c r="N865" s="144"/>
      <c r="O865" s="156"/>
      <c r="P865" s="156"/>
      <c r="Q865" s="144"/>
      <c r="R865" s="147"/>
    </row>
    <row r="866" ht="21.75" customHeight="1">
      <c r="A866" s="155"/>
      <c r="B866" s="64"/>
      <c r="C866" s="23"/>
      <c r="D866" s="23"/>
      <c r="E866" s="24"/>
      <c r="F866" s="25"/>
      <c r="G866" s="24"/>
      <c r="H866" s="26"/>
      <c r="I866" s="143"/>
      <c r="J866" s="144"/>
      <c r="K866" s="144"/>
      <c r="L866" s="17"/>
      <c r="M866" s="145"/>
      <c r="N866" s="144"/>
      <c r="O866" s="156"/>
      <c r="P866" s="156"/>
      <c r="Q866" s="144"/>
      <c r="R866" s="147"/>
    </row>
    <row r="867" ht="21.75" customHeight="1">
      <c r="A867" s="155"/>
      <c r="B867" s="64"/>
      <c r="C867" s="23"/>
      <c r="D867" s="23"/>
      <c r="E867" s="24"/>
      <c r="F867" s="25"/>
      <c r="G867" s="24"/>
      <c r="H867" s="26"/>
      <c r="I867" s="143"/>
      <c r="J867" s="144"/>
      <c r="K867" s="144"/>
      <c r="L867" s="17"/>
      <c r="M867" s="145"/>
      <c r="N867" s="144"/>
      <c r="O867" s="156"/>
      <c r="P867" s="156"/>
      <c r="Q867" s="144"/>
      <c r="R867" s="147"/>
    </row>
    <row r="868" ht="21.75" customHeight="1">
      <c r="A868" s="155"/>
      <c r="B868" s="64"/>
      <c r="C868" s="23"/>
      <c r="D868" s="23"/>
      <c r="E868" s="24"/>
      <c r="F868" s="25"/>
      <c r="G868" s="24"/>
      <c r="H868" s="26"/>
      <c r="I868" s="143"/>
      <c r="J868" s="144"/>
      <c r="K868" s="144"/>
      <c r="L868" s="17"/>
      <c r="M868" s="145"/>
      <c r="N868" s="144"/>
      <c r="O868" s="156"/>
      <c r="P868" s="156"/>
      <c r="Q868" s="144"/>
      <c r="R868" s="147"/>
    </row>
    <row r="869" ht="21.75" customHeight="1">
      <c r="A869" s="155"/>
      <c r="B869" s="64"/>
      <c r="C869" s="23"/>
      <c r="D869" s="23"/>
      <c r="E869" s="24"/>
      <c r="F869" s="25"/>
      <c r="G869" s="24"/>
      <c r="H869" s="26"/>
      <c r="I869" s="143"/>
      <c r="J869" s="144"/>
      <c r="K869" s="144"/>
      <c r="L869" s="17"/>
      <c r="M869" s="145"/>
      <c r="N869" s="144"/>
      <c r="O869" s="156"/>
      <c r="P869" s="156"/>
      <c r="Q869" s="144"/>
      <c r="R869" s="147"/>
    </row>
    <row r="870" ht="21.75" customHeight="1">
      <c r="A870" s="155"/>
      <c r="B870" s="64"/>
      <c r="C870" s="23"/>
      <c r="D870" s="23"/>
      <c r="E870" s="24"/>
      <c r="F870" s="25"/>
      <c r="G870" s="24"/>
      <c r="H870" s="26"/>
      <c r="I870" s="143"/>
      <c r="J870" s="144"/>
      <c r="K870" s="144"/>
      <c r="L870" s="17"/>
      <c r="M870" s="145"/>
      <c r="N870" s="144"/>
      <c r="O870" s="156"/>
      <c r="P870" s="156"/>
      <c r="Q870" s="144"/>
      <c r="R870" s="147"/>
    </row>
    <row r="871" ht="21.75" customHeight="1">
      <c r="A871" s="155"/>
      <c r="B871" s="64"/>
      <c r="C871" s="23"/>
      <c r="D871" s="23"/>
      <c r="E871" s="24"/>
      <c r="F871" s="25"/>
      <c r="G871" s="24"/>
      <c r="H871" s="26"/>
      <c r="I871" s="143"/>
      <c r="J871" s="144"/>
      <c r="K871" s="144"/>
      <c r="L871" s="17"/>
      <c r="M871" s="145"/>
      <c r="N871" s="144"/>
      <c r="O871" s="156"/>
      <c r="P871" s="156"/>
      <c r="Q871" s="144"/>
      <c r="R871" s="147"/>
    </row>
    <row r="872" ht="21.75" customHeight="1">
      <c r="A872" s="155"/>
      <c r="B872" s="64"/>
      <c r="C872" s="23"/>
      <c r="D872" s="23"/>
      <c r="E872" s="24"/>
      <c r="F872" s="25"/>
      <c r="G872" s="24"/>
      <c r="H872" s="26"/>
      <c r="I872" s="143"/>
      <c r="J872" s="144"/>
      <c r="K872" s="144"/>
      <c r="L872" s="17"/>
      <c r="M872" s="145"/>
      <c r="N872" s="144"/>
      <c r="O872" s="156"/>
      <c r="P872" s="156"/>
      <c r="Q872" s="144"/>
      <c r="R872" s="147"/>
    </row>
    <row r="873" ht="21.75" customHeight="1">
      <c r="A873" s="155"/>
      <c r="B873" s="64"/>
      <c r="C873" s="23"/>
      <c r="D873" s="23"/>
      <c r="E873" s="24"/>
      <c r="F873" s="25"/>
      <c r="G873" s="24"/>
      <c r="H873" s="26"/>
      <c r="I873" s="143"/>
      <c r="J873" s="144"/>
      <c r="K873" s="144"/>
      <c r="L873" s="17"/>
      <c r="M873" s="145"/>
      <c r="N873" s="144"/>
      <c r="O873" s="156"/>
      <c r="P873" s="156"/>
      <c r="Q873" s="144"/>
      <c r="R873" s="147"/>
    </row>
    <row r="874" ht="21.75" customHeight="1">
      <c r="A874" s="155"/>
      <c r="B874" s="64"/>
      <c r="C874" s="23"/>
      <c r="D874" s="23"/>
      <c r="E874" s="24"/>
      <c r="F874" s="25"/>
      <c r="G874" s="24"/>
      <c r="H874" s="26"/>
      <c r="I874" s="143"/>
      <c r="J874" s="144"/>
      <c r="K874" s="144"/>
      <c r="L874" s="17"/>
      <c r="M874" s="145"/>
      <c r="N874" s="144"/>
      <c r="O874" s="156"/>
      <c r="P874" s="156"/>
      <c r="Q874" s="144"/>
      <c r="R874" s="147"/>
    </row>
    <row r="875" ht="21.75" customHeight="1">
      <c r="A875" s="155"/>
      <c r="B875" s="64"/>
      <c r="C875" s="23"/>
      <c r="D875" s="23"/>
      <c r="E875" s="24"/>
      <c r="F875" s="25"/>
      <c r="G875" s="24"/>
      <c r="H875" s="26"/>
      <c r="I875" s="143"/>
      <c r="J875" s="144"/>
      <c r="K875" s="144"/>
      <c r="L875" s="17"/>
      <c r="M875" s="145"/>
      <c r="N875" s="144"/>
      <c r="O875" s="156"/>
      <c r="P875" s="156"/>
      <c r="Q875" s="144"/>
      <c r="R875" s="147"/>
    </row>
    <row r="876" ht="21.75" customHeight="1">
      <c r="A876" s="155"/>
      <c r="B876" s="64"/>
      <c r="C876" s="23"/>
      <c r="D876" s="23"/>
      <c r="E876" s="24"/>
      <c r="F876" s="25"/>
      <c r="G876" s="24"/>
      <c r="H876" s="26"/>
      <c r="I876" s="143"/>
      <c r="J876" s="144"/>
      <c r="K876" s="144"/>
      <c r="L876" s="17"/>
      <c r="M876" s="145"/>
      <c r="N876" s="144"/>
      <c r="O876" s="156"/>
      <c r="P876" s="156"/>
      <c r="Q876" s="144"/>
      <c r="R876" s="147"/>
    </row>
    <row r="877" ht="21.75" customHeight="1">
      <c r="A877" s="155"/>
      <c r="B877" s="64"/>
      <c r="C877" s="23"/>
      <c r="D877" s="23"/>
      <c r="E877" s="24"/>
      <c r="F877" s="25"/>
      <c r="G877" s="24"/>
      <c r="H877" s="26"/>
      <c r="I877" s="143"/>
      <c r="J877" s="144"/>
      <c r="K877" s="144"/>
      <c r="L877" s="17"/>
      <c r="M877" s="145"/>
      <c r="N877" s="144"/>
      <c r="O877" s="156"/>
      <c r="P877" s="156"/>
      <c r="Q877" s="144"/>
      <c r="R877" s="147"/>
    </row>
    <row r="878" ht="21.75" customHeight="1">
      <c r="A878" s="155"/>
      <c r="B878" s="64"/>
      <c r="C878" s="23"/>
      <c r="D878" s="23"/>
      <c r="E878" s="24"/>
      <c r="F878" s="25"/>
      <c r="G878" s="24"/>
      <c r="H878" s="26"/>
      <c r="I878" s="143"/>
      <c r="J878" s="144"/>
      <c r="K878" s="144"/>
      <c r="L878" s="17"/>
      <c r="M878" s="145"/>
      <c r="N878" s="144"/>
      <c r="O878" s="156"/>
      <c r="P878" s="156"/>
      <c r="Q878" s="144"/>
      <c r="R878" s="147"/>
    </row>
    <row r="879" ht="21.75" customHeight="1">
      <c r="A879" s="155"/>
      <c r="B879" s="64"/>
      <c r="C879" s="23"/>
      <c r="D879" s="23"/>
      <c r="E879" s="24"/>
      <c r="F879" s="25"/>
      <c r="G879" s="24"/>
      <c r="H879" s="26"/>
      <c r="I879" s="143"/>
      <c r="J879" s="144"/>
      <c r="K879" s="144"/>
      <c r="L879" s="17"/>
      <c r="M879" s="145"/>
      <c r="N879" s="144"/>
      <c r="O879" s="156"/>
      <c r="P879" s="156"/>
      <c r="Q879" s="144"/>
      <c r="R879" s="147"/>
    </row>
    <row r="880" ht="21.75" customHeight="1">
      <c r="A880" s="155"/>
      <c r="B880" s="64"/>
      <c r="C880" s="23"/>
      <c r="D880" s="23"/>
      <c r="E880" s="24"/>
      <c r="F880" s="25"/>
      <c r="G880" s="24"/>
      <c r="H880" s="26"/>
      <c r="I880" s="143"/>
      <c r="J880" s="144"/>
      <c r="K880" s="144"/>
      <c r="L880" s="17"/>
      <c r="M880" s="145"/>
      <c r="N880" s="144"/>
      <c r="O880" s="156"/>
      <c r="P880" s="156"/>
      <c r="Q880" s="144"/>
      <c r="R880" s="147"/>
    </row>
    <row r="881" ht="21.75" customHeight="1">
      <c r="A881" s="155"/>
      <c r="B881" s="64"/>
      <c r="C881" s="23"/>
      <c r="D881" s="23"/>
      <c r="E881" s="24"/>
      <c r="F881" s="25"/>
      <c r="G881" s="24"/>
      <c r="H881" s="26"/>
      <c r="I881" s="143"/>
      <c r="J881" s="144"/>
      <c r="K881" s="144"/>
      <c r="L881" s="17"/>
      <c r="M881" s="145"/>
      <c r="N881" s="144"/>
      <c r="O881" s="156"/>
      <c r="P881" s="156"/>
      <c r="Q881" s="144"/>
      <c r="R881" s="147"/>
    </row>
    <row r="882" ht="21.75" customHeight="1">
      <c r="A882" s="155"/>
      <c r="B882" s="64"/>
      <c r="C882" s="23"/>
      <c r="D882" s="23"/>
      <c r="E882" s="24"/>
      <c r="F882" s="25"/>
      <c r="G882" s="24"/>
      <c r="H882" s="26"/>
      <c r="I882" s="143"/>
      <c r="J882" s="144"/>
      <c r="K882" s="144"/>
      <c r="L882" s="17"/>
      <c r="M882" s="145"/>
      <c r="N882" s="144"/>
      <c r="O882" s="156"/>
      <c r="P882" s="156"/>
      <c r="Q882" s="144"/>
      <c r="R882" s="147"/>
    </row>
    <row r="883" ht="21.75" customHeight="1">
      <c r="A883" s="155"/>
      <c r="B883" s="64"/>
      <c r="C883" s="23"/>
      <c r="D883" s="23"/>
      <c r="E883" s="24"/>
      <c r="F883" s="25"/>
      <c r="G883" s="24"/>
      <c r="H883" s="26"/>
      <c r="I883" s="143"/>
      <c r="J883" s="144"/>
      <c r="K883" s="144"/>
      <c r="L883" s="17"/>
      <c r="M883" s="145"/>
      <c r="N883" s="144"/>
      <c r="O883" s="156"/>
      <c r="P883" s="156"/>
      <c r="Q883" s="144"/>
      <c r="R883" s="147"/>
    </row>
    <row r="884" ht="21.75" customHeight="1">
      <c r="A884" s="155"/>
      <c r="B884" s="64"/>
      <c r="C884" s="23"/>
      <c r="D884" s="23"/>
      <c r="E884" s="24"/>
      <c r="F884" s="25"/>
      <c r="G884" s="24"/>
      <c r="H884" s="26"/>
      <c r="I884" s="143"/>
      <c r="J884" s="144"/>
      <c r="K884" s="144"/>
      <c r="L884" s="17"/>
      <c r="M884" s="145"/>
      <c r="N884" s="144"/>
      <c r="O884" s="156"/>
      <c r="P884" s="156"/>
      <c r="Q884" s="144"/>
      <c r="R884" s="147"/>
    </row>
    <row r="885" ht="21.75" customHeight="1">
      <c r="A885" s="155"/>
      <c r="B885" s="64"/>
      <c r="C885" s="23"/>
      <c r="D885" s="23"/>
      <c r="E885" s="24"/>
      <c r="F885" s="25"/>
      <c r="G885" s="24"/>
      <c r="H885" s="26"/>
      <c r="I885" s="143"/>
      <c r="J885" s="144"/>
      <c r="K885" s="144"/>
      <c r="L885" s="17"/>
      <c r="M885" s="145"/>
      <c r="N885" s="144"/>
      <c r="O885" s="156"/>
      <c r="P885" s="156"/>
      <c r="Q885" s="144"/>
      <c r="R885" s="147"/>
    </row>
    <row r="886" ht="21.75" customHeight="1">
      <c r="A886" s="155"/>
      <c r="B886" s="64"/>
      <c r="C886" s="23"/>
      <c r="D886" s="23"/>
      <c r="E886" s="24"/>
      <c r="F886" s="25"/>
      <c r="G886" s="24"/>
      <c r="H886" s="26"/>
      <c r="I886" s="143"/>
      <c r="J886" s="144"/>
      <c r="K886" s="144"/>
      <c r="L886" s="17"/>
      <c r="M886" s="145"/>
      <c r="N886" s="144"/>
      <c r="O886" s="156"/>
      <c r="P886" s="156"/>
      <c r="Q886" s="144"/>
      <c r="R886" s="147"/>
    </row>
    <row r="887" ht="21.75" customHeight="1">
      <c r="A887" s="155"/>
      <c r="B887" s="64"/>
      <c r="C887" s="23"/>
      <c r="D887" s="23"/>
      <c r="E887" s="24"/>
      <c r="F887" s="25"/>
      <c r="G887" s="24"/>
      <c r="H887" s="26"/>
      <c r="I887" s="143"/>
      <c r="J887" s="144"/>
      <c r="K887" s="144"/>
      <c r="L887" s="17"/>
      <c r="M887" s="145"/>
      <c r="N887" s="144"/>
      <c r="O887" s="156"/>
      <c r="P887" s="156"/>
      <c r="Q887" s="144"/>
      <c r="R887" s="147"/>
    </row>
    <row r="888" ht="21.75" customHeight="1">
      <c r="A888" s="155"/>
      <c r="B888" s="64"/>
      <c r="C888" s="23"/>
      <c r="D888" s="23"/>
      <c r="E888" s="24"/>
      <c r="F888" s="25"/>
      <c r="G888" s="24"/>
      <c r="H888" s="26"/>
      <c r="I888" s="143"/>
      <c r="J888" s="144"/>
      <c r="K888" s="144"/>
      <c r="L888" s="17"/>
      <c r="M888" s="145"/>
      <c r="N888" s="144"/>
      <c r="O888" s="156"/>
      <c r="P888" s="156"/>
      <c r="Q888" s="144"/>
      <c r="R888" s="147"/>
    </row>
    <row r="889" ht="21.75" customHeight="1">
      <c r="A889" s="155"/>
      <c r="B889" s="64"/>
      <c r="C889" s="23"/>
      <c r="D889" s="23"/>
      <c r="E889" s="24"/>
      <c r="F889" s="25"/>
      <c r="G889" s="24"/>
      <c r="H889" s="26"/>
      <c r="I889" s="143"/>
      <c r="J889" s="144"/>
      <c r="K889" s="144"/>
      <c r="L889" s="17"/>
      <c r="M889" s="145"/>
      <c r="N889" s="144"/>
      <c r="O889" s="156"/>
      <c r="P889" s="156"/>
      <c r="Q889" s="144"/>
      <c r="R889" s="147"/>
    </row>
    <row r="890" ht="21.75" customHeight="1">
      <c r="A890" s="155"/>
      <c r="B890" s="64"/>
      <c r="C890" s="23"/>
      <c r="D890" s="23"/>
      <c r="E890" s="24"/>
      <c r="F890" s="25"/>
      <c r="G890" s="24"/>
      <c r="H890" s="26"/>
      <c r="I890" s="143"/>
      <c r="J890" s="144"/>
      <c r="K890" s="144"/>
      <c r="L890" s="17"/>
      <c r="M890" s="145"/>
      <c r="N890" s="144"/>
      <c r="O890" s="156"/>
      <c r="P890" s="156"/>
      <c r="Q890" s="144"/>
      <c r="R890" s="147"/>
    </row>
    <row r="891" ht="21.75" customHeight="1">
      <c r="A891" s="155"/>
      <c r="B891" s="64"/>
      <c r="C891" s="23"/>
      <c r="D891" s="23"/>
      <c r="E891" s="24"/>
      <c r="F891" s="25"/>
      <c r="G891" s="24"/>
      <c r="H891" s="26"/>
      <c r="I891" s="143"/>
      <c r="J891" s="144"/>
      <c r="K891" s="144"/>
      <c r="L891" s="17"/>
      <c r="M891" s="145"/>
      <c r="N891" s="144"/>
      <c r="O891" s="156"/>
      <c r="P891" s="156"/>
      <c r="Q891" s="144"/>
      <c r="R891" s="147"/>
    </row>
    <row r="892" ht="21.75" customHeight="1">
      <c r="A892" s="155"/>
      <c r="B892" s="64"/>
      <c r="C892" s="23"/>
      <c r="D892" s="23"/>
      <c r="E892" s="24"/>
      <c r="F892" s="25"/>
      <c r="G892" s="24"/>
      <c r="H892" s="26"/>
      <c r="I892" s="143"/>
      <c r="J892" s="144"/>
      <c r="K892" s="144"/>
      <c r="L892" s="17"/>
      <c r="M892" s="145"/>
      <c r="N892" s="144"/>
      <c r="O892" s="156"/>
      <c r="P892" s="156"/>
      <c r="Q892" s="144"/>
      <c r="R892" s="147"/>
    </row>
    <row r="893" ht="21.75" customHeight="1">
      <c r="A893" s="155"/>
      <c r="B893" s="64"/>
      <c r="C893" s="23"/>
      <c r="D893" s="23"/>
      <c r="E893" s="24"/>
      <c r="F893" s="25"/>
      <c r="G893" s="24"/>
      <c r="H893" s="26"/>
      <c r="I893" s="143"/>
      <c r="J893" s="144"/>
      <c r="K893" s="144"/>
      <c r="L893" s="17"/>
      <c r="M893" s="145"/>
      <c r="N893" s="144"/>
      <c r="O893" s="156"/>
      <c r="P893" s="156"/>
      <c r="Q893" s="144"/>
      <c r="R893" s="147"/>
    </row>
    <row r="894" ht="21.75" customHeight="1">
      <c r="A894" s="155"/>
      <c r="B894" s="64"/>
      <c r="C894" s="23"/>
      <c r="D894" s="23"/>
      <c r="E894" s="24"/>
      <c r="F894" s="25"/>
      <c r="G894" s="24"/>
      <c r="H894" s="26"/>
      <c r="I894" s="143"/>
      <c r="J894" s="144"/>
      <c r="K894" s="144"/>
      <c r="L894" s="17"/>
      <c r="M894" s="145"/>
      <c r="N894" s="144"/>
      <c r="O894" s="156"/>
      <c r="P894" s="156"/>
      <c r="Q894" s="144"/>
      <c r="R894" s="147"/>
    </row>
    <row r="895" ht="21.75" customHeight="1">
      <c r="A895" s="155"/>
      <c r="B895" s="64"/>
      <c r="C895" s="23"/>
      <c r="D895" s="23"/>
      <c r="E895" s="24"/>
      <c r="F895" s="25"/>
      <c r="G895" s="24"/>
      <c r="H895" s="26"/>
      <c r="I895" s="143"/>
      <c r="J895" s="144"/>
      <c r="K895" s="144"/>
      <c r="L895" s="17"/>
      <c r="M895" s="145"/>
      <c r="N895" s="144"/>
      <c r="O895" s="156"/>
      <c r="P895" s="156"/>
      <c r="Q895" s="144"/>
      <c r="R895" s="147"/>
    </row>
    <row r="896" ht="21.75" customHeight="1">
      <c r="A896" s="155"/>
      <c r="B896" s="64"/>
      <c r="C896" s="23"/>
      <c r="D896" s="23"/>
      <c r="E896" s="24"/>
      <c r="F896" s="25"/>
      <c r="G896" s="24"/>
      <c r="H896" s="26"/>
      <c r="I896" s="143"/>
      <c r="J896" s="144"/>
      <c r="K896" s="144"/>
      <c r="L896" s="17"/>
      <c r="M896" s="145"/>
      <c r="N896" s="144"/>
      <c r="O896" s="156"/>
      <c r="P896" s="156"/>
      <c r="Q896" s="144"/>
      <c r="R896" s="147"/>
    </row>
    <row r="897" ht="21.75" customHeight="1">
      <c r="A897" s="155"/>
      <c r="B897" s="64"/>
      <c r="C897" s="23"/>
      <c r="D897" s="23"/>
      <c r="E897" s="24"/>
      <c r="F897" s="25"/>
      <c r="G897" s="24"/>
      <c r="H897" s="26"/>
      <c r="I897" s="143"/>
      <c r="J897" s="144"/>
      <c r="K897" s="144"/>
      <c r="L897" s="17"/>
      <c r="M897" s="145"/>
      <c r="N897" s="144"/>
      <c r="O897" s="156"/>
      <c r="P897" s="156"/>
      <c r="Q897" s="144"/>
      <c r="R897" s="147"/>
    </row>
    <row r="898" ht="21.75" customHeight="1">
      <c r="A898" s="155"/>
      <c r="B898" s="64"/>
      <c r="C898" s="23"/>
      <c r="D898" s="23"/>
      <c r="E898" s="24"/>
      <c r="F898" s="25"/>
      <c r="G898" s="24"/>
      <c r="H898" s="26"/>
      <c r="I898" s="143"/>
      <c r="J898" s="144"/>
      <c r="K898" s="144"/>
      <c r="L898" s="17"/>
      <c r="M898" s="145"/>
      <c r="N898" s="144"/>
      <c r="O898" s="156"/>
      <c r="P898" s="156"/>
      <c r="Q898" s="144"/>
      <c r="R898" s="147"/>
    </row>
    <row r="899" ht="21.75" customHeight="1">
      <c r="A899" s="155"/>
      <c r="B899" s="64"/>
      <c r="C899" s="23"/>
      <c r="D899" s="23"/>
      <c r="E899" s="24"/>
      <c r="F899" s="25"/>
      <c r="G899" s="24"/>
      <c r="H899" s="26"/>
      <c r="I899" s="143"/>
      <c r="J899" s="144"/>
      <c r="K899" s="144"/>
      <c r="L899" s="17"/>
      <c r="M899" s="145"/>
      <c r="N899" s="144"/>
      <c r="O899" s="156"/>
      <c r="P899" s="156"/>
      <c r="Q899" s="144"/>
      <c r="R899" s="147"/>
    </row>
    <row r="900" ht="21.75" customHeight="1">
      <c r="A900" s="155"/>
      <c r="B900" s="64"/>
      <c r="C900" s="23"/>
      <c r="D900" s="23"/>
      <c r="E900" s="24"/>
      <c r="F900" s="25"/>
      <c r="G900" s="24"/>
      <c r="H900" s="26"/>
      <c r="I900" s="143"/>
      <c r="J900" s="144"/>
      <c r="K900" s="144"/>
      <c r="L900" s="17"/>
      <c r="M900" s="145"/>
      <c r="N900" s="144"/>
      <c r="O900" s="156"/>
      <c r="P900" s="156"/>
      <c r="Q900" s="144"/>
      <c r="R900" s="147"/>
    </row>
    <row r="901" ht="21.75" customHeight="1">
      <c r="A901" s="155"/>
      <c r="B901" s="64"/>
      <c r="C901" s="23"/>
      <c r="D901" s="23"/>
      <c r="E901" s="24"/>
      <c r="F901" s="25"/>
      <c r="G901" s="24"/>
      <c r="H901" s="26"/>
      <c r="I901" s="143"/>
      <c r="J901" s="144"/>
      <c r="K901" s="144"/>
      <c r="L901" s="17"/>
      <c r="M901" s="145"/>
      <c r="N901" s="144"/>
      <c r="O901" s="156"/>
      <c r="P901" s="156"/>
      <c r="Q901" s="144"/>
      <c r="R901" s="147"/>
    </row>
    <row r="902" ht="21.75" customHeight="1">
      <c r="A902" s="155"/>
      <c r="B902" s="64"/>
      <c r="C902" s="23"/>
      <c r="D902" s="23"/>
      <c r="E902" s="24"/>
      <c r="F902" s="25"/>
      <c r="G902" s="24"/>
      <c r="H902" s="26"/>
      <c r="I902" s="143"/>
      <c r="J902" s="144"/>
      <c r="K902" s="144"/>
      <c r="L902" s="17"/>
      <c r="M902" s="145"/>
      <c r="N902" s="144"/>
      <c r="O902" s="156"/>
      <c r="P902" s="156"/>
      <c r="Q902" s="144"/>
      <c r="R902" s="147"/>
    </row>
    <row r="903" ht="21.75" customHeight="1">
      <c r="A903" s="155"/>
      <c r="B903" s="64"/>
      <c r="C903" s="23"/>
      <c r="D903" s="23"/>
      <c r="E903" s="24"/>
      <c r="F903" s="25"/>
      <c r="G903" s="24"/>
      <c r="H903" s="26"/>
      <c r="I903" s="143"/>
      <c r="J903" s="144"/>
      <c r="K903" s="144"/>
      <c r="L903" s="17"/>
      <c r="M903" s="145"/>
      <c r="N903" s="144"/>
      <c r="O903" s="156"/>
      <c r="P903" s="156"/>
      <c r="Q903" s="144"/>
      <c r="R903" s="147"/>
    </row>
    <row r="904" ht="21.75" customHeight="1">
      <c r="A904" s="155"/>
      <c r="B904" s="64"/>
      <c r="C904" s="23"/>
      <c r="D904" s="23"/>
      <c r="E904" s="24"/>
      <c r="F904" s="25"/>
      <c r="G904" s="24"/>
      <c r="H904" s="26"/>
      <c r="I904" s="143"/>
      <c r="J904" s="144"/>
      <c r="K904" s="144"/>
      <c r="L904" s="17"/>
      <c r="M904" s="145"/>
      <c r="N904" s="144"/>
      <c r="O904" s="156"/>
      <c r="P904" s="156"/>
      <c r="Q904" s="144"/>
      <c r="R904" s="147"/>
    </row>
    <row r="905" ht="21.75" customHeight="1">
      <c r="A905" s="155"/>
      <c r="B905" s="64"/>
      <c r="C905" s="23"/>
      <c r="D905" s="23"/>
      <c r="E905" s="24"/>
      <c r="F905" s="25"/>
      <c r="G905" s="24"/>
      <c r="H905" s="26"/>
      <c r="I905" s="143"/>
      <c r="J905" s="144"/>
      <c r="K905" s="144"/>
      <c r="L905" s="17"/>
      <c r="M905" s="145"/>
      <c r="N905" s="144"/>
      <c r="O905" s="156"/>
      <c r="P905" s="156"/>
      <c r="Q905" s="144"/>
      <c r="R905" s="147"/>
    </row>
    <row r="906" ht="21.75" customHeight="1">
      <c r="A906" s="155"/>
      <c r="B906" s="64"/>
      <c r="C906" s="23"/>
      <c r="D906" s="23"/>
      <c r="E906" s="24"/>
      <c r="F906" s="25"/>
      <c r="G906" s="24"/>
      <c r="H906" s="26"/>
      <c r="I906" s="143"/>
      <c r="J906" s="144"/>
      <c r="K906" s="144"/>
      <c r="L906" s="17"/>
      <c r="M906" s="145"/>
      <c r="N906" s="144"/>
      <c r="O906" s="156"/>
      <c r="P906" s="156"/>
      <c r="Q906" s="144"/>
      <c r="R906" s="147"/>
    </row>
    <row r="907" ht="21.75" customHeight="1">
      <c r="A907" s="155"/>
      <c r="B907" s="64"/>
      <c r="C907" s="23"/>
      <c r="D907" s="23"/>
      <c r="E907" s="24"/>
      <c r="F907" s="25"/>
      <c r="G907" s="24"/>
      <c r="H907" s="26"/>
      <c r="I907" s="143"/>
      <c r="J907" s="144"/>
      <c r="K907" s="144"/>
      <c r="L907" s="17"/>
      <c r="M907" s="145"/>
      <c r="N907" s="144"/>
      <c r="O907" s="156"/>
      <c r="P907" s="156"/>
      <c r="Q907" s="144"/>
      <c r="R907" s="147"/>
    </row>
    <row r="908" ht="21.75" customHeight="1">
      <c r="A908" s="155"/>
      <c r="B908" s="64"/>
      <c r="C908" s="23"/>
      <c r="D908" s="23"/>
      <c r="E908" s="24"/>
      <c r="F908" s="25"/>
      <c r="G908" s="24"/>
      <c r="H908" s="26"/>
      <c r="I908" s="143"/>
      <c r="J908" s="144"/>
      <c r="K908" s="144"/>
      <c r="L908" s="17"/>
      <c r="M908" s="145"/>
      <c r="N908" s="144"/>
      <c r="O908" s="156"/>
      <c r="P908" s="156"/>
      <c r="Q908" s="144"/>
      <c r="R908" s="147"/>
    </row>
    <row r="909" ht="21.75" customHeight="1">
      <c r="A909" s="155"/>
      <c r="B909" s="64"/>
      <c r="C909" s="23"/>
      <c r="D909" s="23"/>
      <c r="E909" s="24"/>
      <c r="F909" s="25"/>
      <c r="G909" s="24"/>
      <c r="H909" s="26"/>
      <c r="I909" s="143"/>
      <c r="J909" s="144"/>
      <c r="K909" s="144"/>
      <c r="L909" s="17"/>
      <c r="M909" s="145"/>
      <c r="N909" s="144"/>
      <c r="O909" s="156"/>
      <c r="P909" s="156"/>
      <c r="Q909" s="144"/>
      <c r="R909" s="147"/>
    </row>
    <row r="910" ht="21.75" customHeight="1">
      <c r="A910" s="155"/>
      <c r="B910" s="64"/>
      <c r="C910" s="23"/>
      <c r="D910" s="23"/>
      <c r="E910" s="24"/>
      <c r="F910" s="25"/>
      <c r="G910" s="24"/>
      <c r="H910" s="26"/>
      <c r="I910" s="143"/>
      <c r="J910" s="144"/>
      <c r="K910" s="144"/>
      <c r="L910" s="17"/>
      <c r="M910" s="145"/>
      <c r="N910" s="144"/>
      <c r="O910" s="156"/>
      <c r="P910" s="156"/>
      <c r="Q910" s="144"/>
      <c r="R910" s="147"/>
    </row>
    <row r="911" ht="21.75" customHeight="1">
      <c r="A911" s="155"/>
      <c r="B911" s="64"/>
      <c r="C911" s="23"/>
      <c r="D911" s="23"/>
      <c r="E911" s="24"/>
      <c r="F911" s="25"/>
      <c r="G911" s="24"/>
      <c r="H911" s="26"/>
      <c r="I911" s="143"/>
      <c r="J911" s="144"/>
      <c r="K911" s="144"/>
      <c r="L911" s="17"/>
      <c r="M911" s="145"/>
      <c r="N911" s="144"/>
      <c r="O911" s="156"/>
      <c r="P911" s="156"/>
      <c r="Q911" s="144"/>
      <c r="R911" s="147"/>
    </row>
    <row r="912" ht="21.75" customHeight="1">
      <c r="A912" s="155"/>
      <c r="B912" s="64"/>
      <c r="C912" s="23"/>
      <c r="D912" s="23"/>
      <c r="E912" s="24"/>
      <c r="F912" s="25"/>
      <c r="G912" s="24"/>
      <c r="H912" s="26"/>
      <c r="I912" s="143"/>
      <c r="J912" s="144"/>
      <c r="K912" s="144"/>
      <c r="L912" s="17"/>
      <c r="M912" s="145"/>
      <c r="N912" s="144"/>
      <c r="O912" s="156"/>
      <c r="P912" s="156"/>
      <c r="Q912" s="144"/>
      <c r="R912" s="147"/>
    </row>
    <row r="913" ht="21.75" customHeight="1">
      <c r="A913" s="155"/>
      <c r="B913" s="64"/>
      <c r="C913" s="23"/>
      <c r="D913" s="23"/>
      <c r="E913" s="24"/>
      <c r="F913" s="25"/>
      <c r="G913" s="24"/>
      <c r="H913" s="26"/>
      <c r="I913" s="143"/>
      <c r="J913" s="144"/>
      <c r="K913" s="144"/>
      <c r="L913" s="17"/>
      <c r="M913" s="145"/>
      <c r="N913" s="144"/>
      <c r="O913" s="156"/>
      <c r="P913" s="156"/>
      <c r="Q913" s="144"/>
      <c r="R913" s="147"/>
    </row>
    <row r="914" ht="21.75" customHeight="1">
      <c r="A914" s="155"/>
      <c r="B914" s="64"/>
      <c r="C914" s="23"/>
      <c r="D914" s="23"/>
      <c r="E914" s="24"/>
      <c r="F914" s="25"/>
      <c r="G914" s="24"/>
      <c r="H914" s="26"/>
      <c r="I914" s="143"/>
      <c r="J914" s="144"/>
      <c r="K914" s="144"/>
      <c r="L914" s="17"/>
      <c r="M914" s="145"/>
      <c r="N914" s="144"/>
      <c r="O914" s="156"/>
      <c r="P914" s="156"/>
      <c r="Q914" s="144"/>
      <c r="R914" s="147"/>
    </row>
    <row r="915" ht="21.75" customHeight="1">
      <c r="A915" s="155"/>
      <c r="B915" s="64"/>
      <c r="C915" s="23"/>
      <c r="D915" s="23"/>
      <c r="E915" s="24"/>
      <c r="F915" s="25"/>
      <c r="G915" s="24"/>
      <c r="H915" s="26"/>
      <c r="I915" s="143"/>
      <c r="J915" s="144"/>
      <c r="K915" s="144"/>
      <c r="L915" s="17"/>
      <c r="M915" s="145"/>
      <c r="N915" s="144"/>
      <c r="O915" s="156"/>
      <c r="P915" s="156"/>
      <c r="Q915" s="144"/>
      <c r="R915" s="147"/>
    </row>
    <row r="916" ht="21.75" customHeight="1">
      <c r="A916" s="155"/>
      <c r="B916" s="64"/>
      <c r="C916" s="23"/>
      <c r="D916" s="23"/>
      <c r="E916" s="24"/>
      <c r="F916" s="25"/>
      <c r="G916" s="24"/>
      <c r="H916" s="26"/>
      <c r="I916" s="143"/>
      <c r="J916" s="144"/>
      <c r="K916" s="144"/>
      <c r="L916" s="17"/>
      <c r="M916" s="145"/>
      <c r="N916" s="144"/>
      <c r="O916" s="156"/>
      <c r="P916" s="156"/>
      <c r="Q916" s="144"/>
      <c r="R916" s="147"/>
    </row>
    <row r="917" ht="21.75" customHeight="1">
      <c r="A917" s="155"/>
      <c r="B917" s="64"/>
      <c r="C917" s="23"/>
      <c r="D917" s="23"/>
      <c r="E917" s="24"/>
      <c r="F917" s="25"/>
      <c r="G917" s="24"/>
      <c r="H917" s="26"/>
      <c r="I917" s="143"/>
      <c r="J917" s="144"/>
      <c r="K917" s="144"/>
      <c r="L917" s="17"/>
      <c r="M917" s="145"/>
      <c r="N917" s="144"/>
      <c r="O917" s="156"/>
      <c r="P917" s="156"/>
      <c r="Q917" s="144"/>
      <c r="R917" s="147"/>
    </row>
    <row r="918" ht="21.75" customHeight="1">
      <c r="A918" s="155"/>
      <c r="B918" s="64"/>
      <c r="C918" s="23"/>
      <c r="D918" s="23"/>
      <c r="E918" s="24"/>
      <c r="F918" s="25"/>
      <c r="G918" s="24"/>
      <c r="H918" s="26"/>
      <c r="I918" s="143"/>
      <c r="J918" s="144"/>
      <c r="K918" s="144"/>
      <c r="L918" s="17"/>
      <c r="M918" s="145"/>
      <c r="N918" s="144"/>
      <c r="O918" s="156"/>
      <c r="P918" s="156"/>
      <c r="Q918" s="144"/>
      <c r="R918" s="147"/>
    </row>
    <row r="919" ht="21.75" customHeight="1">
      <c r="A919" s="155"/>
      <c r="B919" s="64"/>
      <c r="C919" s="23"/>
      <c r="D919" s="23"/>
      <c r="E919" s="24"/>
      <c r="F919" s="25"/>
      <c r="G919" s="24"/>
      <c r="H919" s="26"/>
      <c r="I919" s="143"/>
      <c r="J919" s="144"/>
      <c r="K919" s="144"/>
      <c r="L919" s="17"/>
      <c r="M919" s="145"/>
      <c r="N919" s="144"/>
      <c r="O919" s="156"/>
      <c r="P919" s="156"/>
      <c r="Q919" s="144"/>
      <c r="R919" s="147"/>
    </row>
    <row r="920" ht="21.75" customHeight="1">
      <c r="A920" s="155"/>
      <c r="B920" s="64"/>
      <c r="C920" s="23"/>
      <c r="D920" s="23"/>
      <c r="E920" s="24"/>
      <c r="F920" s="25"/>
      <c r="G920" s="24"/>
      <c r="H920" s="26"/>
      <c r="I920" s="143"/>
      <c r="J920" s="144"/>
      <c r="K920" s="144"/>
      <c r="L920" s="17"/>
      <c r="M920" s="145"/>
      <c r="N920" s="144"/>
      <c r="O920" s="156"/>
      <c r="P920" s="156"/>
      <c r="Q920" s="144"/>
      <c r="R920" s="147"/>
    </row>
    <row r="921" ht="21.75" customHeight="1">
      <c r="A921" s="155"/>
      <c r="B921" s="64"/>
      <c r="C921" s="23"/>
      <c r="D921" s="23"/>
      <c r="E921" s="24"/>
      <c r="F921" s="25"/>
      <c r="G921" s="24"/>
      <c r="H921" s="26"/>
      <c r="I921" s="143"/>
      <c r="J921" s="144"/>
      <c r="K921" s="144"/>
      <c r="L921" s="17"/>
      <c r="M921" s="145"/>
      <c r="N921" s="144"/>
      <c r="O921" s="156"/>
      <c r="P921" s="156"/>
      <c r="Q921" s="144"/>
      <c r="R921" s="147"/>
    </row>
    <row r="922" ht="21.75" customHeight="1">
      <c r="A922" s="155"/>
      <c r="B922" s="64"/>
      <c r="C922" s="23"/>
      <c r="D922" s="23"/>
      <c r="E922" s="24"/>
      <c r="F922" s="25"/>
      <c r="G922" s="24"/>
      <c r="H922" s="26"/>
      <c r="I922" s="143"/>
      <c r="J922" s="144"/>
      <c r="K922" s="144"/>
      <c r="L922" s="17"/>
      <c r="M922" s="145"/>
      <c r="N922" s="144"/>
      <c r="O922" s="156"/>
      <c r="P922" s="156"/>
      <c r="Q922" s="144"/>
      <c r="R922" s="147"/>
    </row>
    <row r="923" ht="21.75" customHeight="1">
      <c r="A923" s="155"/>
      <c r="B923" s="64"/>
      <c r="C923" s="23"/>
      <c r="D923" s="23"/>
      <c r="E923" s="24"/>
      <c r="F923" s="25"/>
      <c r="G923" s="24"/>
      <c r="H923" s="26"/>
      <c r="I923" s="143"/>
      <c r="J923" s="144"/>
      <c r="K923" s="144"/>
      <c r="L923" s="17"/>
      <c r="M923" s="145"/>
      <c r="N923" s="144"/>
      <c r="O923" s="156"/>
      <c r="P923" s="156"/>
      <c r="Q923" s="144"/>
      <c r="R923" s="147"/>
    </row>
    <row r="924" ht="21.75" customHeight="1">
      <c r="A924" s="155"/>
      <c r="B924" s="64"/>
      <c r="C924" s="23"/>
      <c r="D924" s="23"/>
      <c r="E924" s="24"/>
      <c r="F924" s="25"/>
      <c r="G924" s="24"/>
      <c r="H924" s="26"/>
      <c r="I924" s="143"/>
      <c r="J924" s="144"/>
      <c r="K924" s="144"/>
      <c r="L924" s="17"/>
      <c r="M924" s="145"/>
      <c r="N924" s="144"/>
      <c r="O924" s="156"/>
      <c r="P924" s="156"/>
      <c r="Q924" s="144"/>
      <c r="R924" s="147"/>
    </row>
    <row r="925" ht="21.75" customHeight="1">
      <c r="A925" s="155"/>
      <c r="B925" s="64"/>
      <c r="C925" s="23"/>
      <c r="D925" s="23"/>
      <c r="E925" s="24"/>
      <c r="F925" s="25"/>
      <c r="G925" s="24"/>
      <c r="H925" s="26"/>
      <c r="I925" s="143"/>
      <c r="J925" s="144"/>
      <c r="K925" s="144"/>
      <c r="L925" s="17"/>
      <c r="M925" s="145"/>
      <c r="N925" s="144"/>
      <c r="O925" s="156"/>
      <c r="P925" s="156"/>
      <c r="Q925" s="144"/>
      <c r="R925" s="147"/>
    </row>
    <row r="926" ht="21.75" customHeight="1">
      <c r="A926" s="155"/>
      <c r="B926" s="64"/>
      <c r="C926" s="23"/>
      <c r="D926" s="23"/>
      <c r="E926" s="24"/>
      <c r="F926" s="25"/>
      <c r="G926" s="24"/>
      <c r="H926" s="26"/>
      <c r="I926" s="143"/>
      <c r="J926" s="144"/>
      <c r="K926" s="144"/>
      <c r="L926" s="17"/>
      <c r="M926" s="145"/>
      <c r="N926" s="144"/>
      <c r="O926" s="156"/>
      <c r="P926" s="156"/>
      <c r="Q926" s="144"/>
      <c r="R926" s="147"/>
    </row>
    <row r="927" ht="21.75" customHeight="1">
      <c r="A927" s="155"/>
      <c r="B927" s="64"/>
      <c r="C927" s="23"/>
      <c r="D927" s="23"/>
      <c r="E927" s="24"/>
      <c r="F927" s="25"/>
      <c r="G927" s="24"/>
      <c r="H927" s="26"/>
      <c r="I927" s="143"/>
      <c r="J927" s="144"/>
      <c r="K927" s="144"/>
      <c r="L927" s="17"/>
      <c r="M927" s="145"/>
      <c r="N927" s="144"/>
      <c r="O927" s="156"/>
      <c r="P927" s="156"/>
      <c r="Q927" s="144"/>
      <c r="R927" s="147"/>
    </row>
    <row r="928" ht="21.75" customHeight="1">
      <c r="A928" s="155"/>
      <c r="B928" s="64"/>
      <c r="C928" s="23"/>
      <c r="D928" s="23"/>
      <c r="E928" s="24"/>
      <c r="F928" s="25"/>
      <c r="G928" s="24"/>
      <c r="H928" s="26"/>
      <c r="I928" s="143"/>
      <c r="J928" s="144"/>
      <c r="K928" s="144"/>
      <c r="L928" s="17"/>
      <c r="M928" s="145"/>
      <c r="N928" s="144"/>
      <c r="O928" s="156"/>
      <c r="P928" s="156"/>
      <c r="Q928" s="144"/>
      <c r="R928" s="147"/>
    </row>
    <row r="929" ht="21.75" customHeight="1">
      <c r="A929" s="155"/>
      <c r="B929" s="64"/>
      <c r="C929" s="23"/>
      <c r="D929" s="23"/>
      <c r="E929" s="24"/>
      <c r="F929" s="25"/>
      <c r="G929" s="24"/>
      <c r="H929" s="26"/>
      <c r="I929" s="143"/>
      <c r="J929" s="144"/>
      <c r="K929" s="144"/>
      <c r="L929" s="17"/>
      <c r="M929" s="145"/>
      <c r="N929" s="144"/>
      <c r="O929" s="156"/>
      <c r="P929" s="156"/>
      <c r="Q929" s="144"/>
      <c r="R929" s="147"/>
    </row>
    <row r="930" ht="21.75" customHeight="1">
      <c r="A930" s="155"/>
      <c r="B930" s="64"/>
      <c r="C930" s="23"/>
      <c r="D930" s="23"/>
      <c r="E930" s="24"/>
      <c r="F930" s="25"/>
      <c r="G930" s="24"/>
      <c r="H930" s="26"/>
      <c r="I930" s="143"/>
      <c r="J930" s="144"/>
      <c r="K930" s="144"/>
      <c r="L930" s="17"/>
      <c r="M930" s="145"/>
      <c r="N930" s="144"/>
      <c r="O930" s="156"/>
      <c r="P930" s="156"/>
      <c r="Q930" s="144"/>
      <c r="R930" s="147"/>
    </row>
    <row r="931" ht="21.75" customHeight="1">
      <c r="A931" s="155"/>
      <c r="B931" s="64"/>
      <c r="C931" s="23"/>
      <c r="D931" s="23"/>
      <c r="E931" s="24"/>
      <c r="F931" s="25"/>
      <c r="G931" s="24"/>
      <c r="H931" s="26"/>
      <c r="I931" s="143"/>
      <c r="J931" s="144"/>
      <c r="K931" s="144"/>
      <c r="L931" s="17"/>
      <c r="M931" s="145"/>
      <c r="N931" s="144"/>
      <c r="O931" s="156"/>
      <c r="P931" s="156"/>
      <c r="Q931" s="144"/>
      <c r="R931" s="147"/>
    </row>
    <row r="932" ht="21.75" customHeight="1">
      <c r="A932" s="155"/>
      <c r="B932" s="64"/>
      <c r="C932" s="23"/>
      <c r="D932" s="23"/>
      <c r="E932" s="24"/>
      <c r="F932" s="25"/>
      <c r="G932" s="24"/>
      <c r="H932" s="26"/>
      <c r="I932" s="143"/>
      <c r="J932" s="144"/>
      <c r="K932" s="144"/>
      <c r="L932" s="17"/>
      <c r="M932" s="145"/>
      <c r="N932" s="144"/>
      <c r="O932" s="156"/>
      <c r="P932" s="156"/>
      <c r="Q932" s="144"/>
      <c r="R932" s="147"/>
    </row>
    <row r="933" ht="21.75" customHeight="1">
      <c r="A933" s="155"/>
      <c r="B933" s="64"/>
      <c r="C933" s="23"/>
      <c r="D933" s="23"/>
      <c r="E933" s="24"/>
      <c r="F933" s="25"/>
      <c r="G933" s="24"/>
      <c r="H933" s="26"/>
      <c r="I933" s="143"/>
      <c r="J933" s="144"/>
      <c r="K933" s="144"/>
      <c r="L933" s="17"/>
      <c r="M933" s="145"/>
      <c r="N933" s="144"/>
      <c r="O933" s="156"/>
      <c r="P933" s="156"/>
      <c r="Q933" s="144"/>
      <c r="R933" s="147"/>
    </row>
    <row r="934" ht="21.75" customHeight="1">
      <c r="A934" s="155"/>
      <c r="B934" s="64"/>
      <c r="C934" s="23"/>
      <c r="D934" s="23"/>
      <c r="E934" s="24"/>
      <c r="F934" s="25"/>
      <c r="G934" s="24"/>
      <c r="H934" s="26"/>
      <c r="I934" s="143"/>
      <c r="J934" s="144"/>
      <c r="K934" s="144"/>
      <c r="L934" s="17"/>
      <c r="M934" s="145"/>
      <c r="N934" s="144"/>
      <c r="O934" s="156"/>
      <c r="P934" s="156"/>
      <c r="Q934" s="144"/>
      <c r="R934" s="147"/>
    </row>
    <row r="935" ht="21.75" customHeight="1">
      <c r="A935" s="155"/>
      <c r="B935" s="64"/>
      <c r="C935" s="23"/>
      <c r="D935" s="23"/>
      <c r="E935" s="24"/>
      <c r="F935" s="25"/>
      <c r="G935" s="24"/>
      <c r="H935" s="26"/>
      <c r="I935" s="143"/>
      <c r="J935" s="144"/>
      <c r="K935" s="144"/>
      <c r="L935" s="17"/>
      <c r="M935" s="145"/>
      <c r="N935" s="144"/>
      <c r="O935" s="156"/>
      <c r="P935" s="156"/>
      <c r="Q935" s="144"/>
      <c r="R935" s="147"/>
    </row>
    <row r="936" ht="21.75" customHeight="1">
      <c r="A936" s="155"/>
      <c r="B936" s="64"/>
      <c r="C936" s="23"/>
      <c r="D936" s="23"/>
      <c r="E936" s="24"/>
      <c r="F936" s="25"/>
      <c r="G936" s="24"/>
      <c r="H936" s="26"/>
      <c r="I936" s="143"/>
      <c r="J936" s="144"/>
      <c r="K936" s="144"/>
      <c r="L936" s="17"/>
      <c r="M936" s="145"/>
      <c r="N936" s="144"/>
      <c r="O936" s="156"/>
      <c r="P936" s="156"/>
      <c r="Q936" s="144"/>
      <c r="R936" s="147"/>
    </row>
    <row r="937" ht="21.75" customHeight="1">
      <c r="A937" s="155"/>
      <c r="B937" s="64"/>
      <c r="C937" s="23"/>
      <c r="D937" s="23"/>
      <c r="E937" s="24"/>
      <c r="F937" s="25"/>
      <c r="G937" s="24"/>
      <c r="H937" s="26"/>
      <c r="I937" s="143"/>
      <c r="J937" s="144"/>
      <c r="K937" s="144"/>
      <c r="L937" s="17"/>
      <c r="M937" s="145"/>
      <c r="N937" s="144"/>
      <c r="O937" s="156"/>
      <c r="P937" s="156"/>
      <c r="Q937" s="144"/>
      <c r="R937" s="147"/>
    </row>
    <row r="938" ht="21.75" customHeight="1">
      <c r="A938" s="155"/>
      <c r="B938" s="64"/>
      <c r="C938" s="23"/>
      <c r="D938" s="23"/>
      <c r="E938" s="24"/>
      <c r="F938" s="25"/>
      <c r="G938" s="24"/>
      <c r="H938" s="26"/>
      <c r="I938" s="143"/>
      <c r="J938" s="144"/>
      <c r="K938" s="144"/>
      <c r="L938" s="17"/>
      <c r="M938" s="145"/>
      <c r="N938" s="144"/>
      <c r="O938" s="156"/>
      <c r="P938" s="156"/>
      <c r="Q938" s="144"/>
      <c r="R938" s="147"/>
    </row>
    <row r="939" ht="21.75" customHeight="1">
      <c r="A939" s="155"/>
      <c r="B939" s="64"/>
      <c r="C939" s="23"/>
      <c r="D939" s="23"/>
      <c r="E939" s="24"/>
      <c r="F939" s="25"/>
      <c r="G939" s="24"/>
      <c r="H939" s="26"/>
      <c r="I939" s="143"/>
      <c r="J939" s="144"/>
      <c r="K939" s="144"/>
      <c r="L939" s="17"/>
      <c r="M939" s="145"/>
      <c r="N939" s="144"/>
      <c r="O939" s="156"/>
      <c r="P939" s="156"/>
      <c r="Q939" s="144"/>
      <c r="R939" s="147"/>
    </row>
    <row r="940" ht="21.75" customHeight="1">
      <c r="A940" s="155"/>
      <c r="B940" s="64"/>
      <c r="C940" s="23"/>
      <c r="D940" s="23"/>
      <c r="E940" s="24"/>
      <c r="F940" s="25"/>
      <c r="G940" s="24"/>
      <c r="H940" s="26"/>
      <c r="I940" s="143"/>
      <c r="J940" s="144"/>
      <c r="K940" s="144"/>
      <c r="L940" s="17"/>
      <c r="M940" s="145"/>
      <c r="N940" s="144"/>
      <c r="O940" s="156"/>
      <c r="P940" s="156"/>
      <c r="Q940" s="144"/>
      <c r="R940" s="147"/>
    </row>
    <row r="941" ht="21.75" customHeight="1">
      <c r="A941" s="155"/>
      <c r="B941" s="64"/>
      <c r="C941" s="23"/>
      <c r="D941" s="23"/>
      <c r="E941" s="24"/>
      <c r="F941" s="25"/>
      <c r="G941" s="24"/>
      <c r="H941" s="26"/>
      <c r="I941" s="143"/>
      <c r="J941" s="144"/>
      <c r="K941" s="144"/>
      <c r="L941" s="17"/>
      <c r="M941" s="145"/>
      <c r="N941" s="144"/>
      <c r="O941" s="156"/>
      <c r="P941" s="156"/>
      <c r="Q941" s="144"/>
      <c r="R941" s="147"/>
    </row>
    <row r="942" ht="21.75" customHeight="1">
      <c r="A942" s="155"/>
      <c r="B942" s="64"/>
      <c r="C942" s="23"/>
      <c r="D942" s="23"/>
      <c r="E942" s="24"/>
      <c r="F942" s="25"/>
      <c r="G942" s="24"/>
      <c r="H942" s="26"/>
      <c r="I942" s="143"/>
      <c r="J942" s="144"/>
      <c r="K942" s="144"/>
      <c r="L942" s="17"/>
      <c r="M942" s="145"/>
      <c r="N942" s="144"/>
      <c r="O942" s="156"/>
      <c r="P942" s="156"/>
      <c r="Q942" s="144"/>
      <c r="R942" s="147"/>
    </row>
    <row r="943" ht="21.75" customHeight="1">
      <c r="A943" s="155"/>
      <c r="B943" s="64"/>
      <c r="C943" s="23"/>
      <c r="D943" s="23"/>
      <c r="E943" s="24"/>
      <c r="F943" s="25"/>
      <c r="G943" s="24"/>
      <c r="H943" s="26"/>
      <c r="I943" s="143"/>
      <c r="J943" s="144"/>
      <c r="K943" s="144"/>
      <c r="L943" s="17"/>
      <c r="M943" s="145"/>
      <c r="N943" s="144"/>
      <c r="O943" s="156"/>
      <c r="P943" s="156"/>
      <c r="Q943" s="144"/>
      <c r="R943" s="147"/>
    </row>
    <row r="944" ht="21.75" customHeight="1">
      <c r="A944" s="155"/>
      <c r="B944" s="64"/>
      <c r="C944" s="23"/>
      <c r="D944" s="23"/>
      <c r="E944" s="24"/>
      <c r="F944" s="25"/>
      <c r="G944" s="24"/>
      <c r="H944" s="26"/>
      <c r="I944" s="143"/>
      <c r="J944" s="144"/>
      <c r="K944" s="144"/>
      <c r="L944" s="17"/>
      <c r="M944" s="145"/>
      <c r="N944" s="144"/>
      <c r="O944" s="156"/>
      <c r="P944" s="156"/>
      <c r="Q944" s="144"/>
      <c r="R944" s="147"/>
    </row>
    <row r="945" ht="21.75" customHeight="1">
      <c r="A945" s="155"/>
      <c r="B945" s="64"/>
      <c r="C945" s="23"/>
      <c r="D945" s="23"/>
      <c r="E945" s="24"/>
      <c r="F945" s="25"/>
      <c r="G945" s="24"/>
      <c r="H945" s="26"/>
      <c r="I945" s="143"/>
      <c r="J945" s="144"/>
      <c r="K945" s="144"/>
      <c r="L945" s="17"/>
      <c r="M945" s="145"/>
      <c r="N945" s="144"/>
      <c r="O945" s="156"/>
      <c r="P945" s="156"/>
      <c r="Q945" s="144"/>
      <c r="R945" s="147"/>
    </row>
    <row r="946" ht="21.75" customHeight="1">
      <c r="A946" s="155"/>
      <c r="B946" s="64"/>
      <c r="C946" s="23"/>
      <c r="D946" s="23"/>
      <c r="E946" s="24"/>
      <c r="F946" s="25"/>
      <c r="G946" s="24"/>
      <c r="H946" s="26"/>
      <c r="I946" s="143"/>
      <c r="J946" s="144"/>
      <c r="K946" s="144"/>
      <c r="L946" s="17"/>
      <c r="M946" s="145"/>
      <c r="N946" s="144"/>
      <c r="O946" s="156"/>
      <c r="P946" s="156"/>
      <c r="Q946" s="144"/>
      <c r="R946" s="147"/>
    </row>
    <row r="947" ht="21.75" customHeight="1">
      <c r="A947" s="155"/>
      <c r="B947" s="64"/>
      <c r="C947" s="23"/>
      <c r="D947" s="23"/>
      <c r="E947" s="24"/>
      <c r="F947" s="25"/>
      <c r="G947" s="24"/>
      <c r="H947" s="26"/>
      <c r="I947" s="143"/>
      <c r="J947" s="144"/>
      <c r="K947" s="144"/>
      <c r="L947" s="17"/>
      <c r="M947" s="145"/>
      <c r="N947" s="144"/>
      <c r="O947" s="156"/>
      <c r="P947" s="156"/>
      <c r="Q947" s="144"/>
      <c r="R947" s="147"/>
    </row>
    <row r="948" ht="21.75" customHeight="1">
      <c r="A948" s="155"/>
      <c r="B948" s="64"/>
      <c r="C948" s="23"/>
      <c r="D948" s="23"/>
      <c r="E948" s="24"/>
      <c r="F948" s="25"/>
      <c r="G948" s="24"/>
      <c r="H948" s="26"/>
      <c r="I948" s="143"/>
      <c r="J948" s="144"/>
      <c r="K948" s="144"/>
      <c r="L948" s="17"/>
      <c r="M948" s="145"/>
      <c r="N948" s="144"/>
      <c r="O948" s="156"/>
      <c r="P948" s="156"/>
      <c r="Q948" s="144"/>
      <c r="R948" s="147"/>
    </row>
    <row r="949" ht="21.75" customHeight="1">
      <c r="A949" s="155"/>
      <c r="B949" s="64"/>
      <c r="C949" s="23"/>
      <c r="D949" s="23"/>
      <c r="E949" s="24"/>
      <c r="F949" s="25"/>
      <c r="G949" s="24"/>
      <c r="H949" s="26"/>
      <c r="I949" s="143"/>
      <c r="J949" s="144"/>
      <c r="K949" s="144"/>
      <c r="L949" s="17"/>
      <c r="M949" s="145"/>
      <c r="N949" s="144"/>
      <c r="O949" s="156"/>
      <c r="P949" s="156"/>
      <c r="Q949" s="144"/>
      <c r="R949" s="147"/>
    </row>
    <row r="950" ht="21.75" customHeight="1">
      <c r="A950" s="155"/>
      <c r="B950" s="64"/>
      <c r="C950" s="23"/>
      <c r="D950" s="23"/>
      <c r="E950" s="24"/>
      <c r="F950" s="25"/>
      <c r="G950" s="24"/>
      <c r="H950" s="26"/>
      <c r="I950" s="143"/>
      <c r="J950" s="144"/>
      <c r="K950" s="144"/>
      <c r="L950" s="17"/>
      <c r="M950" s="145"/>
      <c r="N950" s="144"/>
      <c r="O950" s="156"/>
      <c r="P950" s="156"/>
      <c r="Q950" s="144"/>
      <c r="R950" s="147"/>
    </row>
  </sheetData>
  <mergeCells count="1">
    <mergeCell ref="C2:D2"/>
  </mergeCells>
  <conditionalFormatting sqref="E3:E950">
    <cfRule type="containsText" dxfId="9" priority="1" operator="containsText" text="Shorts / Reels">
      <formula>NOT(ISERROR(SEARCH(("Shorts / Reels"),(E3))))</formula>
    </cfRule>
  </conditionalFormatting>
  <conditionalFormatting sqref="E3:E950">
    <cfRule type="containsText" dxfId="10" priority="2" operator="containsText" text="Youtube Video">
      <formula>NOT(ISERROR(SEARCH(("Youtube Video"),(E3))))</formula>
    </cfRule>
  </conditionalFormatting>
  <conditionalFormatting sqref="E3:E950">
    <cfRule type="containsText" dxfId="11" priority="3" operator="containsText" text="Instagram Post">
      <formula>NOT(ISERROR(SEARCH(("Instagram Post"),(E3))))</formula>
    </cfRule>
  </conditionalFormatting>
  <conditionalFormatting sqref="E3:E950">
    <cfRule type="containsText" dxfId="12" priority="4" operator="containsText" text="Tweet">
      <formula>NOT(ISERROR(SEARCH(("Tweet"),(E3))))</formula>
    </cfRule>
  </conditionalFormatting>
  <conditionalFormatting sqref="G3:G950">
    <cfRule type="containsText" dxfId="13" priority="5" operator="containsText" text="Critical">
      <formula>NOT(ISERROR(SEARCH(("Critical"),(G3))))</formula>
    </cfRule>
  </conditionalFormatting>
  <conditionalFormatting sqref="G3:G950">
    <cfRule type="containsText" dxfId="14" priority="6" operator="containsText" text="High">
      <formula>NOT(ISERROR(SEARCH(("High"),(G3))))</formula>
    </cfRule>
  </conditionalFormatting>
  <conditionalFormatting sqref="G3:G950">
    <cfRule type="containsText" dxfId="15" priority="7" operator="containsText" text="Medium">
      <formula>NOT(ISERROR(SEARCH(("Medium"),(G3))))</formula>
    </cfRule>
  </conditionalFormatting>
  <conditionalFormatting sqref="G3:G950">
    <cfRule type="containsText" dxfId="16" priority="8" operator="containsText" text="Low">
      <formula>NOT(ISERROR(SEARCH(("Low"),(G3))))</formula>
    </cfRule>
  </conditionalFormatting>
  <conditionalFormatting sqref="E3:E950">
    <cfRule type="containsText" dxfId="17" priority="9" operator="containsText" text="Done">
      <formula>NOT(ISERROR(SEARCH(("Done"),(E3))))</formula>
    </cfRule>
  </conditionalFormatting>
  <conditionalFormatting sqref="E3:E950">
    <cfRule type="containsText" dxfId="18" priority="10" operator="containsText" text="Working On it">
      <formula>NOT(ISERROR(SEARCH(("Working On it"),(E3))))</formula>
    </cfRule>
  </conditionalFormatting>
  <conditionalFormatting sqref="E3:E950">
    <cfRule type="containsText" dxfId="4" priority="11" operator="containsText" text="On Hold">
      <formula>NOT(ISERROR(SEARCH(("On Hold"),(E3))))</formula>
    </cfRule>
  </conditionalFormatting>
  <conditionalFormatting sqref="E3:E950">
    <cfRule type="containsText" dxfId="19" priority="12" operator="containsText" text="In Review">
      <formula>NOT(ISERROR(SEARCH(("In Review"),(E3))))</formula>
    </cfRule>
  </conditionalFormatting>
  <dataValidations>
    <dataValidation type="list" allowBlank="1" showErrorMessage="1" sqref="F3:F950">
      <formula1>Data_Validation!$D$2:$D$15</formula1>
    </dataValidation>
    <dataValidation type="list" allowBlank="1" showErrorMessage="1" sqref="E21:E32 E95:E100 E102:E107">
      <formula1>Data_Validation!$A$2:$A$15</formula1>
    </dataValidation>
    <dataValidation type="list" allowBlank="1" showErrorMessage="1" sqref="G3 G12 G20 G33 G39 G43 G48 G56 G59 G65 G73 G78 G94 G101 G108 G116 G124:G950">
      <formula1>Data_Validation!$C$2:$C$5</formula1>
    </dataValidation>
    <dataValidation type="list" allowBlank="1" showErrorMessage="1" sqref="A3:A950">
      <formula1>Data_Validation!$E$16:$E$28</formula1>
    </dataValidation>
    <dataValidation type="list" allowBlank="1" showErrorMessage="1" sqref="E4:E11 E13:E19 E34:E38 E40:E42 E44:E47 E49:E55 E57:E58 E60:E64 E66:E72 E74:E77 E79:E93 E109:E115 E117:E123">
      <formula1>Data_Validation!$A$2:$A$15</formula1>
    </dataValidation>
    <dataValidation type="list" allowBlank="1" showErrorMessage="1" sqref="E3 E12 E20 E33 E39 E43 E48 E56 E59 E65 E73 E78 E94 E101 E108 E116 E124:E950">
      <formula1>Data_Validation!$F$2:$F$15</formula1>
    </dataValidation>
  </dataValidations>
  <hyperlinks>
    <hyperlink r:id="rId2" ref="G26"/>
    <hyperlink r:id="rId3" ref="G60"/>
    <hyperlink r:id="rId4" ref="G66"/>
    <hyperlink r:id="rId5" ref="G81"/>
    <hyperlink r:id="rId6" ref="G82"/>
    <hyperlink r:id="rId7" ref="G83"/>
    <hyperlink r:id="rId8" ref="G87"/>
    <hyperlink r:id="rId9" ref="G90"/>
    <hyperlink r:id="rId10" ref="G102"/>
    <hyperlink r:id="rId11" ref="G103"/>
  </hyperlinks>
  <drawing r:id="rId12"/>
  <legacyDrawing r:id="rId13"/>
  <tableParts count="1">
    <tablePart r:id="rId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6E677"/>
    <outlinePr summaryBelow="0" summaryRight="0"/>
  </sheetPr>
  <sheetViews>
    <sheetView workbookViewId="0"/>
  </sheetViews>
  <sheetFormatPr customHeight="1" defaultColWidth="12.63" defaultRowHeight="15.75"/>
  <cols>
    <col customWidth="1" min="1" max="1" width="3.13"/>
    <col customWidth="1" min="2" max="2" width="13.75"/>
    <col customWidth="1" min="3" max="3" width="16.63"/>
    <col customWidth="1" min="4" max="4" width="13.75"/>
    <col customWidth="1" min="5" max="5" width="39.13"/>
    <col customWidth="1" min="6" max="6" width="16.5"/>
    <col customWidth="1" min="7" max="7" width="18.25"/>
    <col customWidth="1" min="8" max="9" width="17.0"/>
    <col customWidth="1" min="10" max="10" width="2.25"/>
    <col customWidth="1" min="11" max="17" width="35.0"/>
    <col customWidth="1" min="18" max="18" width="2.13"/>
  </cols>
  <sheetData>
    <row r="1" ht="16.5" customHeight="1">
      <c r="A1" s="157"/>
      <c r="B1" s="158"/>
      <c r="C1" s="21"/>
      <c r="D1" s="25"/>
      <c r="E1" s="159" t="s">
        <v>1303</v>
      </c>
      <c r="F1" s="160" t="s">
        <v>48</v>
      </c>
      <c r="G1" s="160"/>
      <c r="H1" s="161"/>
      <c r="I1" s="161"/>
      <c r="J1" s="157"/>
      <c r="K1" s="162" t="s">
        <v>1304</v>
      </c>
      <c r="L1" s="163" t="s">
        <v>18</v>
      </c>
      <c r="M1" s="164" t="str">
        <f>VLOOKUP(L1, Data_Validation!E:F, 2, FALSE)</f>
        <v>MVP</v>
      </c>
      <c r="N1" s="165"/>
      <c r="O1" s="166"/>
      <c r="P1" s="165"/>
      <c r="Q1" s="165"/>
      <c r="R1" s="165"/>
      <c r="S1" s="161"/>
      <c r="T1" s="161"/>
      <c r="U1" s="161"/>
      <c r="V1" s="161"/>
    </row>
    <row r="2" ht="23.25" customHeight="1">
      <c r="A2" s="157"/>
      <c r="B2" s="158"/>
      <c r="C2" s="167"/>
      <c r="D2" s="168"/>
      <c r="E2" s="159" t="s">
        <v>1305</v>
      </c>
      <c r="F2" s="169">
        <v>45243.0</v>
      </c>
      <c r="G2" s="160"/>
      <c r="H2" s="161"/>
      <c r="I2" s="161"/>
      <c r="J2" s="157"/>
      <c r="K2" s="162" t="s">
        <v>1306</v>
      </c>
      <c r="L2" s="170">
        <f>today()</f>
        <v>45240</v>
      </c>
      <c r="M2" s="165"/>
      <c r="N2" s="165"/>
      <c r="O2" s="166"/>
      <c r="P2" s="165"/>
      <c r="Q2" s="165"/>
      <c r="R2" s="165"/>
      <c r="S2" s="161"/>
      <c r="T2" s="161"/>
      <c r="U2" s="161"/>
      <c r="V2" s="161"/>
    </row>
    <row r="3" ht="11.25" customHeight="1">
      <c r="A3" s="157"/>
      <c r="B3" s="157"/>
      <c r="C3" s="157"/>
      <c r="D3" s="157"/>
      <c r="E3" s="157"/>
      <c r="F3" s="157"/>
      <c r="G3" s="157"/>
      <c r="H3" s="157"/>
      <c r="I3" s="157"/>
      <c r="J3" s="157"/>
      <c r="K3" s="157"/>
      <c r="L3" s="157"/>
      <c r="M3" s="157"/>
      <c r="N3" s="157"/>
      <c r="O3" s="157"/>
      <c r="P3" s="157"/>
      <c r="Q3" s="157"/>
      <c r="R3" s="157"/>
      <c r="S3" s="157"/>
      <c r="T3" s="157"/>
      <c r="U3" s="157"/>
      <c r="V3" s="157"/>
    </row>
    <row r="4" ht="25.5" customHeight="1">
      <c r="A4" s="157"/>
      <c r="B4" s="171" t="s">
        <v>955</v>
      </c>
      <c r="C4" s="172" t="s">
        <v>0</v>
      </c>
      <c r="D4" s="172" t="s">
        <v>1307</v>
      </c>
      <c r="E4" s="172" t="s">
        <v>1308</v>
      </c>
      <c r="F4" s="172" t="s">
        <v>1309</v>
      </c>
      <c r="G4" s="172" t="s">
        <v>1310</v>
      </c>
      <c r="H4" s="172" t="s">
        <v>1311</v>
      </c>
      <c r="I4" s="173" t="s">
        <v>1312</v>
      </c>
      <c r="J4" s="157"/>
      <c r="K4" s="174">
        <f t="shared" ref="K4:Q4" si="1">K5</f>
        <v>45238</v>
      </c>
      <c r="L4" s="174">
        <f t="shared" si="1"/>
        <v>45239</v>
      </c>
      <c r="M4" s="174">
        <f t="shared" si="1"/>
        <v>45240</v>
      </c>
      <c r="N4" s="174">
        <f t="shared" si="1"/>
        <v>45241</v>
      </c>
      <c r="O4" s="174">
        <f t="shared" si="1"/>
        <v>45242</v>
      </c>
      <c r="P4" s="174">
        <f t="shared" si="1"/>
        <v>45243</v>
      </c>
      <c r="Q4" s="174">
        <f t="shared" si="1"/>
        <v>45244</v>
      </c>
      <c r="R4" s="157"/>
      <c r="S4" s="161"/>
      <c r="T4" s="161"/>
      <c r="U4" s="161"/>
      <c r="V4" s="161"/>
    </row>
    <row r="5" ht="27.75" customHeight="1">
      <c r="A5" s="157"/>
      <c r="B5" s="175" t="str">
        <f>IFERROR(__xludf.DUMMYFUNCTION("ARRAYFORMULA(IFERROR(VLOOKUP(REGEXEXTRACT(C5, ""-(\w+)-""), {Data_Validation!$F$16:$F$29, Data_Validation!$E$16:$E$29}, 2, FALSE), """"))
"),"TheMVP")</f>
        <v>TheMVP</v>
      </c>
      <c r="C5" s="176" t="str">
        <f>IFERROR(__xludf.DUMMYFUNCTION("QUERY(Data_Validation!X:AB, 
""SELECT X 
WHERE X IS NOT NULL 
AND AA = '"" &amp; $F$1 &amp; ""' 
AND Y &lt;&gt; 'Done'
AND Z &lt;= date '"" &amp; TEXT(F2, ""yyyy-MM-dd"") &amp; ""'"", 
0)"),"CC-MVP-89.04")</f>
        <v>CC-MVP-89.04</v>
      </c>
      <c r="D5" s="176" t="str">
        <f>IFERROR(__xludf.DUMMYFUNCTION("IFERROR(REGEXEXTRACT(C5, ""^[A-Z]+-[A-Z]+-"") &amp; TEXT(VALUE(REGEXEXTRACT(C5, ""-(\d+)\."")), ""00""), """")"),"CC-MVP-89")</f>
        <v>CC-MVP-89</v>
      </c>
      <c r="E5" s="177" t="str">
        <f>IFERROR(VLOOKUP(D5, Content_Creation!B:D, 2, FALSE), IFERROR(VLOOKUP(D5, Project_Management!B:D, 2, FALSE), ""))
&amp; " - "
&amp; IFERROR(VLOOKUP(D5, Content_Creation!B:E, 4, FALSE), IFERROR(VLOOKUP(D5, Project_Management!B:E, 4, FALSE), ""))</f>
        <v>Client Reviews - MasterCut - YT Video</v>
      </c>
      <c r="F5" s="176" t="str">
        <f>IFERROR(
    VLOOKUP(C5:C15, Content_Creation!B:D, 3, FALSE),
    IFERROR(VLOOKUP($C$5:$C$15, Project_Management!B:D, 3, FALSE),"")
  )</f>
        <v>Edit</v>
      </c>
      <c r="G5" s="178" t="str">
        <f>IFERROR(VLOOKUP(C5, Data_Validation!X:Y, 2, FALSE), "")</f>
        <v>Not Started</v>
      </c>
      <c r="H5" s="179">
        <f>IFERROR(VLOOKUP(C5, Content_Creation!B:H, 7, FALSE), IFERROR(VLOOKUP(C5, Project_Management!B:H, 7, FALSE), ""))</f>
        <v>45240</v>
      </c>
      <c r="I5" s="180">
        <f>IFERROR(VLOOKUP(D5, Content_Creation!B:H, 7, FALSE), IFERROR(VLOOKUP(D5, Project_Management!B:H, 7, FALSE), ""))</f>
        <v>45246</v>
      </c>
      <c r="J5" s="157"/>
      <c r="K5" s="181">
        <f t="shared" ref="K5:L5" si="2">L5-1</f>
        <v>45238</v>
      </c>
      <c r="L5" s="181">
        <f t="shared" si="2"/>
        <v>45239</v>
      </c>
      <c r="M5" s="181">
        <f>L2</f>
        <v>45240</v>
      </c>
      <c r="N5" s="181">
        <f t="shared" ref="N5:Q5" si="3">M5+1</f>
        <v>45241</v>
      </c>
      <c r="O5" s="181">
        <f t="shared" si="3"/>
        <v>45242</v>
      </c>
      <c r="P5" s="181">
        <f t="shared" si="3"/>
        <v>45243</v>
      </c>
      <c r="Q5" s="181">
        <f t="shared" si="3"/>
        <v>45244</v>
      </c>
      <c r="R5" s="157"/>
      <c r="S5" s="182"/>
      <c r="T5" s="182"/>
      <c r="U5" s="182"/>
      <c r="V5" s="182"/>
    </row>
    <row r="6" ht="27.75" customHeight="1">
      <c r="A6" s="157"/>
      <c r="B6" s="175" t="str">
        <f>IFERROR(__xludf.DUMMYFUNCTION("ARRAYFORMULA(IFERROR(VLOOKUP(REGEXEXTRACT(C6, ""-(\w+)-""), {Data_Validation!$F$16:$F$29, Data_Validation!$E$16:$E$29}, 2, FALSE), """"))
"),"Colorful Tech")</f>
        <v>Colorful Tech</v>
      </c>
      <c r="C6" s="176" t="str">
        <f>IFERROR(__xludf.DUMMYFUNCTION("""COMPUTED_VALUE"""),"CC-CTH-10.06")</f>
        <v>CC-CTH-10.06</v>
      </c>
      <c r="D6" s="176" t="str">
        <f>IFERROR(__xludf.DUMMYFUNCTION("IFERROR(REGEXEXTRACT(C6, ""^[A-Z]+-[A-Z]+-"") &amp; TEXT(VALUE(REGEXEXTRACT(C6, ""-(\d+)\."")), ""00""), """")"),"CC-CTH-10")</f>
        <v>CC-CTH-10</v>
      </c>
      <c r="E6" s="177" t="str">
        <f>IFERROR(VLOOKUP(D6, Content_Creation!B:D, 2, FALSE), IFERROR(VLOOKUP(D6, Project_Management!B:D, 2, FALSE), ""))
&amp; " - "
&amp; IFERROR(VLOOKUP(D6, Content_Creation!B:E, 4, FALSE), IFERROR(VLOOKUP(D6, Project_Management!B:E, 4, FALSE), ""))</f>
        <v>iGame Center Introduction - Shorts</v>
      </c>
      <c r="F6" s="176" t="str">
        <f>IFERROR(
    VLOOKUP(C6:C16, Content_Creation!B:D, 3, FALSE),
    IFERROR(VLOOKUP($C$5:$C$15, Project_Management!B:D, 3, FALSE),"")
  )</f>
        <v>Edit</v>
      </c>
      <c r="G6" s="178" t="str">
        <f>IFERROR(VLOOKUP(C6, Data_Validation!X:Y, 2, FALSE), "")</f>
        <v>In Review</v>
      </c>
      <c r="H6" s="179">
        <f>IFERROR(VLOOKUP(C6, Content_Creation!B:H, 7, FALSE), IFERROR(VLOOKUP(C6, Project_Management!B:H, 7, FALSE), ""))</f>
        <v>45240</v>
      </c>
      <c r="I6" s="180">
        <f>IFERROR(VLOOKUP(D6, Content_Creation!B:H, 7, FALSE), IFERROR(VLOOKUP(D6, Project_Management!B:H, 7, FALSE), ""))</f>
        <v>45241</v>
      </c>
      <c r="J6" s="157"/>
      <c r="K6" s="183" t="str">
        <f>IFERROR(__xludf.DUMMYFUNCTION("IFERROR(QUERY(Content_Creation!3:647, ""Select U Where C &lt;&gt; '' AND B LIKE '%""&amp;$M$1&amp;""%' AND H=Date '""&amp;text(K$5, ""yyyy-mm-dd"")&amp;""'""), ""-"")"),"#REF!")</f>
        <v>#REF!</v>
      </c>
      <c r="L6" s="183" t="str">
        <f>IFERROR(__xludf.DUMMYFUNCTION("IFERROR(QUERY(Content_Creation!3:647, ""Select U Where C &lt;&gt; '' AND B LIKE '%""&amp;$M$1&amp;""%' AND H=Date '""&amp;text(L$5, ""yyyy-mm-dd"")&amp;""'""), ""-"")"),"TrueNAS Setup - Blog")</f>
        <v>TrueNAS Setup - Blog</v>
      </c>
      <c r="M6" s="183" t="str">
        <f>IFERROR(__xludf.DUMMYFUNCTION("IFERROR(QUERY(Content_Creation!3:647, ""Select U Where C &lt;&gt; '' AND B LIKE '%""&amp;$M$1&amp;""%' AND H=Date '""&amp;text(M$5, ""yyyy-mm-dd"")&amp;""'""), ""-"")"),"Stock Trading Setup - Linkedin")</f>
        <v>Stock Trading Setup - Linkedin</v>
      </c>
      <c r="N6" s="183" t="str">
        <f>IFERROR(__xludf.DUMMYFUNCTION("IFERROR(QUERY(Content_Creation!3:647, ""Select U Where C &lt;&gt; '' AND B LIKE '%""&amp;$M$1&amp;""%' AND H=Date '""&amp;text(N$5, ""yyyy-mm-dd"")&amp;""'""), ""-"")"),"Nvidia L40s - YT Video")</f>
        <v>Nvidia L40s - YT Video</v>
      </c>
      <c r="O6" s="183" t="str">
        <f>IFERROR(__xludf.DUMMYFUNCTION("IFERROR(QUERY(Content_Creation!3:647, ""Select U Where C &lt;&gt; '' AND B LIKE '%""&amp;$M$1&amp;""%' AND H=Date '""&amp;text(O$5, ""yyyy-mm-dd"")&amp;""'""), ""-"")"),"12 Lakh GPU - Nvidia L40s - Shorts")</f>
        <v>12 Lakh GPU - Nvidia L40s - Shorts</v>
      </c>
      <c r="P6" s="183" t="str">
        <f>IFERROR(__xludf.DUMMYFUNCTION("IFERROR(QUERY(Content_Creation!3:647, ""Select U Where C &lt;&gt; '' AND B LIKE '%""&amp;$M$1&amp;""%' AND H=Date '""&amp;text(P$5, ""yyyy-mm-dd"")&amp;""'""), ""-"")"),"TrueNAS Setup Revamp - Blog")</f>
        <v>TrueNAS Setup Revamp - Blog</v>
      </c>
      <c r="Q6" s="183" t="str">
        <f>IFERROR(__xludf.DUMMYFUNCTION("IFERROR(QUERY(Content_Creation!3:647, ""Select U Where C &lt;&gt; '' AND B LIKE '%""&amp;$M$1&amp;""%' AND H=Date '""&amp;text(Q$5, ""yyyy-mm-dd"")&amp;""'""), ""-"")"),"AMD vs Intel - with GPUs - YT Video")</f>
        <v>AMD vs Intel - with GPUs - YT Video</v>
      </c>
      <c r="R6" s="157"/>
      <c r="S6" s="184"/>
      <c r="T6" s="184"/>
      <c r="U6" s="184"/>
      <c r="V6" s="184"/>
    </row>
    <row r="7" ht="27.75" customHeight="1">
      <c r="A7" s="157"/>
      <c r="B7" s="175" t="str">
        <f>IFERROR(__xludf.DUMMYFUNCTION("ARRAYFORMULA(IFERROR(VLOOKUP(REGEXEXTRACT(C7, ""-(\w+)-""), {Data_Validation!$F$16:$F$29, Data_Validation!$E$16:$E$29}, 2, FALSE), """"))
"),"Colorful Tech")</f>
        <v>Colorful Tech</v>
      </c>
      <c r="C7" s="176" t="str">
        <f>IFERROR(__xludf.DUMMYFUNCTION("""COMPUTED_VALUE"""),"CC-CTH-15.05")</f>
        <v>CC-CTH-15.05</v>
      </c>
      <c r="D7" s="176" t="str">
        <f>IFERROR(__xludf.DUMMYFUNCTION("IFERROR(REGEXEXTRACT(C7, ""^[A-Z]+-[A-Z]+-"") &amp; TEXT(VALUE(REGEXEXTRACT(C7, ""-(\d+)\."")), ""00""), """")"),"CC-CTH-15")</f>
        <v>CC-CTH-15</v>
      </c>
      <c r="E7" s="177" t="str">
        <f>IFERROR(VLOOKUP(D7, Content_Creation!B:D, 2, FALSE), IFERROR(VLOOKUP(D7, Project_Management!B:D, 2, FALSE), ""))
&amp; " - "
&amp; IFERROR(VLOOKUP(D7, Content_Creation!B:E, 4, FALSE), IFERROR(VLOOKUP(D7, Project_Management!B:E, 4, FALSE), ""))</f>
        <v>POV: you bought your first GPU - Shorts</v>
      </c>
      <c r="F7" s="176" t="str">
        <f>IFERROR(
    VLOOKUP(C7:C17, Content_Creation!B:D, 3, FALSE),
    IFERROR(VLOOKUP($C$5:$C$15, Project_Management!B:D, 3, FALSE),"")
  )</f>
        <v>Edit</v>
      </c>
      <c r="G7" s="178" t="str">
        <f>IFERROR(VLOOKUP(C7, Data_Validation!X:Y, 2, FALSE), "")</f>
        <v>In Review</v>
      </c>
      <c r="H7" s="179">
        <f>IFERROR(VLOOKUP(C7, Content_Creation!B:H, 7, FALSE), IFERROR(VLOOKUP(C7, Project_Management!B:H, 7, FALSE), ""))</f>
        <v>45240</v>
      </c>
      <c r="I7" s="180">
        <f>IFERROR(VLOOKUP(D7, Content_Creation!B:H, 7, FALSE), IFERROR(VLOOKUP(D7, Project_Management!B:H, 7, FALSE), ""))</f>
        <v>45243</v>
      </c>
      <c r="J7" s="157"/>
      <c r="K7" s="183"/>
      <c r="L7" s="183" t="str">
        <f>IFERROR(__xludf.DUMMYFUNCTION("""COMPUTED_VALUE"""),"Ryzen + Radeon - All AMD - Shorts")</f>
        <v>Ryzen + Radeon - All AMD - Shorts</v>
      </c>
      <c r="M7" s="185" t="str">
        <f>IFERROR(__xludf.DUMMYFUNCTION("""COMPUTED_VALUE"""),"8K Gaming - RTX 4090 - Shorts")</f>
        <v>8K Gaming - RTX 4090 - Shorts</v>
      </c>
      <c r="N7" s="183" t="str">
        <f>IFERROR(__xludf.DUMMYFUNCTION("""COMPUTED_VALUE"""),"Build Photo - L40s Server - Insta")</f>
        <v>Build Photo - L40s Server - Insta</v>
      </c>
      <c r="O7" s="183"/>
      <c r="P7" s="183" t="str">
        <f>IFERROR(__xludf.DUMMYFUNCTION("""COMPUTED_VALUE"""),"Custom PC for VFX Worflow - Linkedin")</f>
        <v>Custom PC for VFX Worflow - Linkedin</v>
      </c>
      <c r="Q7" s="183" t="str">
        <f>IFERROR(__xludf.DUMMYFUNCTION("""COMPUTED_VALUE"""),"Build Photo - 2x 4090 - Insta")</f>
        <v>Build Photo - 2x 4090 - Insta</v>
      </c>
      <c r="R7" s="157"/>
      <c r="S7" s="184"/>
      <c r="T7" s="184"/>
      <c r="U7" s="184"/>
      <c r="V7" s="184"/>
    </row>
    <row r="8" ht="27.75" customHeight="1">
      <c r="A8" s="157"/>
      <c r="B8" s="175" t="str">
        <f>IFERROR(__xludf.DUMMYFUNCTION("ARRAYFORMULA(IFERROR(VLOOKUP(REGEXEXTRACT(C8, ""-(\w+)-""), {Data_Validation!$F$16:$F$29, Data_Validation!$E$16:$E$29}, 2, FALSE), """"))
"),"Picture This!")</f>
        <v>Picture This!</v>
      </c>
      <c r="C8" s="176" t="str">
        <f>IFERROR(__xludf.DUMMYFUNCTION("""COMPUTED_VALUE"""),"PM-PTS-05.08")</f>
        <v>PM-PTS-05.08</v>
      </c>
      <c r="D8" s="176" t="str">
        <f>IFERROR(__xludf.DUMMYFUNCTION("IFERROR(REGEXEXTRACT(C8, ""^[A-Z]+-[A-Z]+-"") &amp; TEXT(VALUE(REGEXEXTRACT(C8, ""-(\d+)\."")), ""00""), """")"),"PM-PTS-05")</f>
        <v>PM-PTS-05</v>
      </c>
      <c r="E8" s="177" t="str">
        <f>IFERROR(VLOOKUP(D8, Content_Creation!B:D, 2, FALSE), IFERROR(VLOOKUP(D8, Project_Management!B:D, 2, FALSE), ""))
&amp; " - "
&amp; IFERROR(VLOOKUP(D8, Content_Creation!B:E, 4, FALSE), IFERROR(VLOOKUP(D8, Project_Management!B:E, 4, FALSE), ""))</f>
        <v>Picture This- AdHoc - Website</v>
      </c>
      <c r="F8" s="176" t="str">
        <f>IFERROR(
    VLOOKUP(C8:C18, Content_Creation!B:D, 3, FALSE),
    IFERROR(VLOOKUP($C$5:$C$15, Project_Management!B:D, 3, FALSE),"")
  )</f>
        <v>Redesign Website</v>
      </c>
      <c r="G8" s="178" t="str">
        <f>IFERROR(VLOOKUP(C8, Data_Validation!X:Y, 2, FALSE), "")</f>
        <v>Not Started</v>
      </c>
      <c r="H8" s="179">
        <f>IFERROR(VLOOKUP(C8, Content_Creation!B:H, 7, FALSE), IFERROR(VLOOKUP(C8, Project_Management!B:H, 7, FALSE), ""))</f>
        <v>45240</v>
      </c>
      <c r="I8" s="180">
        <f>IFERROR(VLOOKUP(D8, Content_Creation!B:H, 7, FALSE), IFERROR(VLOOKUP(D8, Project_Management!B:H, 7, FALSE), ""))</f>
        <v>45241</v>
      </c>
      <c r="J8" s="157"/>
      <c r="K8" s="183"/>
      <c r="L8" s="183" t="str">
        <f>IFERROR(__xludf.DUMMYFUNCTION("""COMPUTED_VALUE"""),"Build Photo - H9 White + iGame - Insta")</f>
        <v>Build Photo - H9 White + iGame - Insta</v>
      </c>
      <c r="M8" s="185"/>
      <c r="N8" s="183" t="str">
        <f>IFERROR(__xludf.DUMMYFUNCTION("""COMPUTED_VALUE"""),"Idea Pending - Tweet")</f>
        <v>Idea Pending - Tweet</v>
      </c>
      <c r="O8" s="183"/>
      <c r="P8" s="183" t="str">
        <f>IFERROR(__xludf.DUMMYFUNCTION("""COMPUTED_VALUE"""),"G613 Keyboard - Logi Offer - Shorts")</f>
        <v>G613 Keyboard - Logi Offer - Shorts</v>
      </c>
      <c r="Q8" s="183" t="str">
        <f>IFERROR(__xludf.DUMMYFUNCTION("""COMPUTED_VALUE"""),"G335 Headset - Logi Offer - Shorts")</f>
        <v>G335 Headset - Logi Offer - Shorts</v>
      </c>
      <c r="R8" s="157"/>
      <c r="S8" s="184"/>
      <c r="T8" s="184"/>
      <c r="U8" s="184"/>
      <c r="V8" s="184"/>
    </row>
    <row r="9" ht="27.75" customHeight="1">
      <c r="A9" s="157"/>
      <c r="B9" s="175" t="str">
        <f>IFERROR(__xludf.DUMMYFUNCTION("ARRAYFORMULA(IFERROR(VLOOKUP(REGEXEXTRACT(C9, ""-(\w+)-""), {Data_Validation!$F$16:$F$29, Data_Validation!$E$16:$E$29}, 2, FALSE), """"))
"),"TheMVP")</f>
        <v>TheMVP</v>
      </c>
      <c r="C9" s="176" t="str">
        <f>IFERROR(__xludf.DUMMYFUNCTION("""COMPUTED_VALUE"""),"CC-MVP-81.04")</f>
        <v>CC-MVP-81.04</v>
      </c>
      <c r="D9" s="176" t="str">
        <f>IFERROR(__xludf.DUMMYFUNCTION("IFERROR(REGEXEXTRACT(C9, ""^[A-Z]+-[A-Z]+-"") &amp; TEXT(VALUE(REGEXEXTRACT(C9, ""-(\d+)\."")), ""00""), """")"),"CC-MVP-81")</f>
        <v>CC-MVP-81</v>
      </c>
      <c r="E9" s="177" t="str">
        <f>IFERROR(VLOOKUP(D9, Content_Creation!B:D, 2, FALSE), IFERROR(VLOOKUP(D9, Project_Management!B:D, 2, FALSE), ""))
&amp; " - "
&amp; IFERROR(VLOOKUP(D9, Content_Creation!B:E, 4, FALSE), IFERROR(VLOOKUP(D9, Project_Management!B:E, 4, FALSE), ""))</f>
        <v>Build Photo - L40s Server - Insta</v>
      </c>
      <c r="F9" s="176" t="str">
        <f>IFERROR(
    VLOOKUP(C9:C19, Content_Creation!B:D, 3, FALSE),
    IFERROR(VLOOKUP($C$5:$C$15, Project_Management!B:D, 3, FALSE),"")
  )</f>
        <v>Upload</v>
      </c>
      <c r="G9" s="178" t="str">
        <f>IFERROR(VLOOKUP(C9, Data_Validation!X:Y, 2, FALSE), "")</f>
        <v>Not Started</v>
      </c>
      <c r="H9" s="179">
        <f>IFERROR(VLOOKUP(C9, Content_Creation!B:H, 7, FALSE), IFERROR(VLOOKUP(C9, Project_Management!B:H, 7, FALSE), ""))</f>
        <v>45241</v>
      </c>
      <c r="I9" s="180">
        <f>IFERROR(VLOOKUP(D9, Content_Creation!B:H, 7, FALSE), IFERROR(VLOOKUP(D9, Project_Management!B:H, 7, FALSE), ""))</f>
        <v>45241</v>
      </c>
      <c r="J9" s="157"/>
      <c r="K9" s="183"/>
      <c r="L9" s="183"/>
      <c r="M9" s="185"/>
      <c r="N9" s="183"/>
      <c r="O9" s="183"/>
      <c r="P9" s="183"/>
      <c r="Q9" s="183" t="str">
        <f>IFERROR(__xludf.DUMMYFUNCTION("""COMPUTED_VALUE"""),"Idea Pending - Tweet")</f>
        <v>Idea Pending - Tweet</v>
      </c>
      <c r="R9" s="157"/>
      <c r="S9" s="184"/>
      <c r="T9" s="184"/>
      <c r="U9" s="184"/>
      <c r="V9" s="184"/>
    </row>
    <row r="10" ht="27.75" customHeight="1">
      <c r="A10" s="157"/>
      <c r="B10" s="175" t="str">
        <f>IFERROR(__xludf.DUMMYFUNCTION("ARRAYFORMULA(IFERROR(VLOOKUP(REGEXEXTRACT(C10, ""-(\w+)-""), {Data_Validation!$F$16:$F$29, Data_Validation!$E$16:$E$29}, 2, FALSE), """"))
"),"Colorful Tech")</f>
        <v>Colorful Tech</v>
      </c>
      <c r="C10" s="176" t="str">
        <f>IFERROR(__xludf.DUMMYFUNCTION("""COMPUTED_VALUE"""),"CC-CTH-10.07")</f>
        <v>CC-CTH-10.07</v>
      </c>
      <c r="D10" s="176" t="str">
        <f>IFERROR(__xludf.DUMMYFUNCTION("IFERROR(REGEXEXTRACT(C10, ""^[A-Z]+-[A-Z]+-"") &amp; TEXT(VALUE(REGEXEXTRACT(C10, ""-(\d+)\."")), ""00""), """")"),"CC-CTH-10")</f>
        <v>CC-CTH-10</v>
      </c>
      <c r="E10" s="177" t="str">
        <f>IFERROR(VLOOKUP(D10, Content_Creation!B:D, 2, FALSE), IFERROR(VLOOKUP(D10, Project_Management!B:D, 2, FALSE), ""))
&amp; " - "
&amp; IFERROR(VLOOKUP(D10, Content_Creation!B:E, 4, FALSE), IFERROR(VLOOKUP(D10, Project_Management!B:E, 4, FALSE), ""))</f>
        <v>iGame Center Introduction - Shorts</v>
      </c>
      <c r="F10" s="176" t="str">
        <f>IFERROR(
    VLOOKUP(C10:C20, Content_Creation!B:D, 3, FALSE),
    IFERROR(VLOOKUP($C$5:$C$15, Project_Management!B:D, 3, FALSE),"")
  )</f>
        <v>Upload</v>
      </c>
      <c r="G10" s="178" t="str">
        <f>IFERROR(VLOOKUP(C10, Data_Validation!X:Y, 2, FALSE), "")</f>
        <v>Not Started</v>
      </c>
      <c r="H10" s="179">
        <f>IFERROR(VLOOKUP(C10, Content_Creation!B:H, 7, FALSE), IFERROR(VLOOKUP(C10, Project_Management!B:H, 7, FALSE), ""))</f>
        <v>45241</v>
      </c>
      <c r="I10" s="180">
        <f>IFERROR(VLOOKUP(D10, Content_Creation!B:H, 7, FALSE), IFERROR(VLOOKUP(D10, Project_Management!B:H, 7, FALSE), ""))</f>
        <v>45241</v>
      </c>
      <c r="J10" s="157"/>
      <c r="K10" s="183"/>
      <c r="L10" s="183"/>
      <c r="M10" s="185"/>
      <c r="N10" s="183"/>
      <c r="O10" s="183"/>
      <c r="P10" s="183"/>
      <c r="Q10" s="183"/>
      <c r="R10" s="157"/>
      <c r="S10" s="184"/>
      <c r="T10" s="184"/>
      <c r="U10" s="184"/>
      <c r="V10" s="184"/>
    </row>
    <row r="11" ht="27.75" customHeight="1">
      <c r="A11" s="157"/>
      <c r="B11" s="175" t="str">
        <f>IFERROR(__xludf.DUMMYFUNCTION("ARRAYFORMULA(IFERROR(VLOOKUP(REGEXEXTRACT(C11, ""-(\w+)-""), {Data_Validation!$F$16:$F$29, Data_Validation!$E$16:$E$29}, 2, FALSE), """"))
"),"Colorful Tech")</f>
        <v>Colorful Tech</v>
      </c>
      <c r="C11" s="176" t="str">
        <f>IFERROR(__xludf.DUMMYFUNCTION("""COMPUTED_VALUE"""),"CC-CTH-18.02")</f>
        <v>CC-CTH-18.02</v>
      </c>
      <c r="D11" s="176" t="str">
        <f>IFERROR(__xludf.DUMMYFUNCTION("IFERROR(REGEXEXTRACT(C11, ""^[A-Z]+-[A-Z]+-"") &amp; TEXT(VALUE(REGEXEXTRACT(C11, ""-(\d+)\."")), ""00""), """")"),"CC-CTH-18")</f>
        <v>CC-CTH-18</v>
      </c>
      <c r="E11" s="177" t="str">
        <f>IFERROR(VLOOKUP(D11, Content_Creation!B:D, 2, FALSE), IFERROR(VLOOKUP(D11, Project_Management!B:D, 2, FALSE), ""))
&amp; " - "
&amp; IFERROR(VLOOKUP(D11, Content_Creation!B:E, 4, FALSE), IFERROR(VLOOKUP(D11, Project_Management!B:E, 4, FALSE), ""))</f>
        <v>How to Upgrade your GPU - Shorts</v>
      </c>
      <c r="F11" s="176" t="str">
        <f>IFERROR(
    VLOOKUP(C11:C21, Content_Creation!B:D, 3, FALSE),
    IFERROR(VLOOKUP($C$5:$C$15, Project_Management!B:D, 3, FALSE),"")
  )</f>
        <v>Voiceover</v>
      </c>
      <c r="G11" s="178" t="str">
        <f>IFERROR(VLOOKUP(C11, Data_Validation!X:Y, 2, FALSE), "")</f>
        <v>Not Started</v>
      </c>
      <c r="H11" s="179">
        <f>IFERROR(VLOOKUP(C11, Content_Creation!B:H, 7, FALSE), IFERROR(VLOOKUP(C11, Project_Management!B:H, 7, FALSE), ""))</f>
        <v>45241</v>
      </c>
      <c r="I11" s="180">
        <f>IFERROR(VLOOKUP(D11, Content_Creation!B:H, 7, FALSE), IFERROR(VLOOKUP(D11, Project_Management!B:H, 7, FALSE), ""))</f>
        <v>45246</v>
      </c>
      <c r="J11" s="157"/>
      <c r="K11" s="162" t="s">
        <v>1304</v>
      </c>
      <c r="L11" s="186" t="s">
        <v>829</v>
      </c>
      <c r="M11" s="164" t="str">
        <f>VLOOKUP(L11, Data_Validation!E:F, 2, FALSE)</f>
        <v>INN</v>
      </c>
      <c r="N11" s="165"/>
      <c r="O11" s="166"/>
      <c r="P11" s="165"/>
      <c r="Q11" s="165"/>
      <c r="R11" s="157"/>
      <c r="S11" s="184"/>
      <c r="T11" s="184"/>
      <c r="U11" s="184"/>
      <c r="V11" s="184"/>
    </row>
    <row r="12" ht="27.75" customHeight="1">
      <c r="A12" s="157"/>
      <c r="B12" s="175" t="str">
        <f>IFERROR(__xludf.DUMMYFUNCTION("ARRAYFORMULA(IFERROR(VLOOKUP(REGEXEXTRACT(C12, ""-(\w+)-""), {Data_Validation!$F$16:$F$29, Data_Validation!$E$16:$E$29}, 2, FALSE), """"))
"),"Picture This!")</f>
        <v>Picture This!</v>
      </c>
      <c r="C12" s="176" t="str">
        <f>IFERROR(__xludf.DUMMYFUNCTION("""COMPUTED_VALUE"""),"PM-PTS-07.07")</f>
        <v>PM-PTS-07.07</v>
      </c>
      <c r="D12" s="176" t="str">
        <f>IFERROR(__xludf.DUMMYFUNCTION("IFERROR(REGEXEXTRACT(C12, ""^[A-Z]+-[A-Z]+-"") &amp; TEXT(VALUE(REGEXEXTRACT(C12, ""-(\d+)\."")), ""00""), """")"),"PM-PTS-07")</f>
        <v>PM-PTS-07</v>
      </c>
      <c r="E12" s="177" t="str">
        <f>IFERROR(VLOOKUP(D12, Content_Creation!B:D, 2, FALSE), IFERROR(VLOOKUP(D12, Project_Management!B:D, 2, FALSE), ""))
&amp; " - "
&amp; IFERROR(VLOOKUP(D12, Content_Creation!B:E, 4, FALSE), IFERROR(VLOOKUP(D12, Project_Management!B:E, 4, FALSE), ""))</f>
        <v>SP-100 - Chipkol - Video</v>
      </c>
      <c r="F12" s="176" t="str">
        <f>IFERROR(
    VLOOKUP(C12:C22, Content_Creation!B:D, 3, FALSE),
    IFERROR(VLOOKUP($C$5:$C$15, Project_Management!B:D, 3, FALSE),"")
  )</f>
        <v>Deliver</v>
      </c>
      <c r="G12" s="178" t="str">
        <f>IFERROR(VLOOKUP(C12, Data_Validation!X:Y, 2, FALSE), "")</f>
        <v>On Hold</v>
      </c>
      <c r="H12" s="179">
        <f>IFERROR(VLOOKUP(C12, Content_Creation!B:H, 7, FALSE), IFERROR(VLOOKUP(C12, Project_Management!B:H, 7, FALSE), ""))</f>
        <v>45241</v>
      </c>
      <c r="I12" s="180">
        <f>IFERROR(VLOOKUP(D12, Content_Creation!B:H, 7, FALSE), IFERROR(VLOOKUP(D12, Project_Management!B:H, 7, FALSE), ""))</f>
        <v>45241</v>
      </c>
      <c r="J12" s="157"/>
      <c r="K12" s="183" t="str">
        <f>IFERROR(__xludf.DUMMYFUNCTION("IFERROR(QUERY(Content_Creation!4:653, ""Select U Where C &lt;&gt; '' AND B LIKE '%""&amp;$M$1&amp;""%' AND H=Date '""&amp;text($M$11, ""yyyy-mm-dd"")&amp;""'""), ""-"")"),"-")</f>
        <v>-</v>
      </c>
      <c r="L12" s="183" t="str">
        <f>IFERROR(__xludf.DUMMYFUNCTION("IFERROR(QUERY(Content_Creation!4:653, ""Select U Where C &lt;&gt; '' AND B LIKE '%""&amp;$M$1&amp;""%' AND H=Date '""&amp;text($M$11, ""yyyy-mm-dd"")&amp;""'""), ""-"")"),"-")</f>
        <v>-</v>
      </c>
      <c r="M12" s="183" t="str">
        <f>IFERROR(__xludf.DUMMYFUNCTION("IFERROR(QUERY(Content_Creation!4:653, ""Select U Where C &lt;&gt; '' AND B LIKE '%""&amp;$M$1&amp;""%' AND H=Date '""&amp;text($M$11, ""yyyy-mm-dd"")&amp;""'""), ""-"")"),"-")</f>
        <v>-</v>
      </c>
      <c r="N12" s="183" t="str">
        <f>IFERROR(__xludf.DUMMYFUNCTION("IFERROR(QUERY(Content_Creation!4:653, ""Select U Where C &lt;&gt; '' AND B LIKE '%""&amp;$M$1&amp;""%' AND H=Date '""&amp;text($M$11, ""yyyy-mm-dd"")&amp;""'""), ""-"")"),"-")</f>
        <v>-</v>
      </c>
      <c r="O12" s="183" t="str">
        <f>IFERROR(__xludf.DUMMYFUNCTION("IFERROR(QUERY(Content_Creation!4:653, ""Select U Where C &lt;&gt; '' AND B LIKE '%""&amp;$M$1&amp;""%' AND H=Date '""&amp;text($M$11, ""yyyy-mm-dd"")&amp;""'""), ""-"")"),"-")</f>
        <v>-</v>
      </c>
      <c r="P12" s="183" t="str">
        <f>IFERROR(__xludf.DUMMYFUNCTION("IFERROR(QUERY(Content_Creation!4:653, ""Select U Where C &lt;&gt; '' AND B LIKE '%""&amp;$M$1&amp;""%' AND H=Date '""&amp;text($M$11, ""yyyy-mm-dd"")&amp;""'""), ""-"")"),"-")</f>
        <v>-</v>
      </c>
      <c r="Q12" s="183" t="str">
        <f>IFERROR(__xludf.DUMMYFUNCTION("IFERROR(QUERY(Content_Creation!4:653, ""Select U Where C &lt;&gt; '' AND B LIKE '%""&amp;$M$1&amp;""%' AND H=Date '""&amp;text($M$11, ""yyyy-mm-dd"")&amp;""'""), ""-"")"),"-")</f>
        <v>-</v>
      </c>
      <c r="R12" s="157"/>
      <c r="S12" s="184"/>
      <c r="T12" s="184"/>
      <c r="U12" s="184"/>
      <c r="V12" s="184"/>
    </row>
    <row r="13" ht="27.75" customHeight="1">
      <c r="A13" s="157"/>
      <c r="B13" s="175" t="str">
        <f>IFERROR(__xludf.DUMMYFUNCTION("ARRAYFORMULA(IFERROR(VLOOKUP(REGEXEXTRACT(C13, ""-(\w+)-""), {Data_Validation!$F$16:$F$29, Data_Validation!$E$16:$E$29}, 2, FALSE), """"))
"),"Picture This!")</f>
        <v>Picture This!</v>
      </c>
      <c r="C13" s="176" t="str">
        <f>IFERROR(__xludf.DUMMYFUNCTION("""COMPUTED_VALUE"""),"PM-PTS-08.03")</f>
        <v>PM-PTS-08.03</v>
      </c>
      <c r="D13" s="176" t="str">
        <f>IFERROR(__xludf.DUMMYFUNCTION("IFERROR(REGEXEXTRACT(C13, ""^[A-Z]+-[A-Z]+-"") &amp; TEXT(VALUE(REGEXEXTRACT(C13, ""-(\d+)\."")), ""00""), """")"),"PM-PTS-08")</f>
        <v>PM-PTS-08</v>
      </c>
      <c r="E13" s="177" t="str">
        <f>IFERROR(VLOOKUP(D13, Content_Creation!B:D, 2, FALSE), IFERROR(VLOOKUP(D13, Project_Management!B:D, 2, FALSE), ""))
&amp; " - "
&amp; IFERROR(VLOOKUP(D13, Content_Creation!B:E, 4, FALSE), IFERROR(VLOOKUP(D13, Project_Management!B:E, 4, FALSE), ""))</f>
        <v>AFK Geeks - Video</v>
      </c>
      <c r="F13" s="176" t="str">
        <f>IFERROR(
    VLOOKUP(C13:C23, Content_Creation!B:D, 3, FALSE),
    IFERROR(VLOOKUP($C$5:$C$15, Project_Management!B:D, 3, FALSE),"")
  )</f>
        <v>Script Deliver</v>
      </c>
      <c r="G13" s="178" t="str">
        <f>IFERROR(VLOOKUP(C13, Data_Validation!X:Y, 2, FALSE), "")</f>
        <v>Not Started</v>
      </c>
      <c r="H13" s="179">
        <f>IFERROR(VLOOKUP(C13, Content_Creation!B:H, 7, FALSE), IFERROR(VLOOKUP(C13, Project_Management!B:H, 7, FALSE), ""))</f>
        <v>45241</v>
      </c>
      <c r="I13" s="180">
        <f>IFERROR(VLOOKUP(D13, Content_Creation!B:H, 7, FALSE), IFERROR(VLOOKUP(D13, Project_Management!B:H, 7, FALSE), ""))</f>
        <v>45241</v>
      </c>
      <c r="J13" s="157"/>
      <c r="K13" s="183"/>
      <c r="L13" s="183"/>
      <c r="M13" s="185"/>
      <c r="N13" s="183"/>
      <c r="O13" s="183"/>
      <c r="P13" s="183"/>
      <c r="Q13" s="183"/>
      <c r="R13" s="157"/>
      <c r="S13" s="184"/>
      <c r="T13" s="184"/>
      <c r="U13" s="184"/>
      <c r="V13" s="184"/>
    </row>
    <row r="14" ht="27.75" customHeight="1">
      <c r="A14" s="157"/>
      <c r="B14" s="175" t="str">
        <f>IFERROR(__xludf.DUMMYFUNCTION("ARRAYFORMULA(IFERROR(VLOOKUP(REGEXEXTRACT(C14, ""-(\w+)-""), {Data_Validation!$F$16:$F$29, Data_Validation!$E$16:$E$29}, 2, FALSE), """"))
"),"Picture This!")</f>
        <v>Picture This!</v>
      </c>
      <c r="C14" s="176" t="str">
        <f>IFERROR(__xludf.DUMMYFUNCTION("""COMPUTED_VALUE"""),"PM-PTS-08.04")</f>
        <v>PM-PTS-08.04</v>
      </c>
      <c r="D14" s="176" t="str">
        <f>IFERROR(__xludf.DUMMYFUNCTION("IFERROR(REGEXEXTRACT(C14, ""^[A-Z]+-[A-Z]+-"") &amp; TEXT(VALUE(REGEXEXTRACT(C14, ""-(\d+)\."")), ""00""), """")"),"PM-PTS-08")</f>
        <v>PM-PTS-08</v>
      </c>
      <c r="E14" s="177" t="str">
        <f>IFERROR(VLOOKUP(D14, Content_Creation!B:D, 2, FALSE), IFERROR(VLOOKUP(D14, Project_Management!B:D, 2, FALSE), ""))
&amp; " - "
&amp; IFERROR(VLOOKUP(D14, Content_Creation!B:E, 4, FALSE), IFERROR(VLOOKUP(D14, Project_Management!B:E, 4, FALSE), ""))</f>
        <v>AFK Geeks - Video</v>
      </c>
      <c r="F14" s="176" t="str">
        <f>IFERROR(
    VLOOKUP(C14:C24, Content_Creation!B:D, 3, FALSE),
    IFERROR(VLOOKUP($C$5:$C$15, Project_Management!B:D, 3, FALSE),"")
  )</f>
        <v>Edit Deliver </v>
      </c>
      <c r="G14" s="178" t="str">
        <f>IFERROR(VLOOKUP(C14, Data_Validation!X:Y, 2, FALSE), "")</f>
        <v>Not Started</v>
      </c>
      <c r="H14" s="179">
        <f>IFERROR(VLOOKUP(C14, Content_Creation!B:H, 7, FALSE), IFERROR(VLOOKUP(C14, Project_Management!B:H, 7, FALSE), ""))</f>
        <v>45241</v>
      </c>
      <c r="I14" s="180">
        <f>IFERROR(VLOOKUP(D14, Content_Creation!B:H, 7, FALSE), IFERROR(VLOOKUP(D14, Project_Management!B:H, 7, FALSE), ""))</f>
        <v>45241</v>
      </c>
      <c r="J14" s="157"/>
      <c r="K14" s="183"/>
      <c r="L14" s="183"/>
      <c r="M14" s="185"/>
      <c r="N14" s="183"/>
      <c r="O14" s="183"/>
      <c r="P14" s="183"/>
      <c r="Q14" s="183"/>
      <c r="R14" s="157"/>
      <c r="S14" s="184"/>
      <c r="T14" s="184"/>
      <c r="U14" s="184"/>
      <c r="V14" s="184"/>
    </row>
    <row r="15" ht="27.75" customHeight="1">
      <c r="A15" s="157"/>
      <c r="B15" s="175" t="str">
        <f>IFERROR(__xludf.DUMMYFUNCTION("ARRAYFORMULA(IFERROR(VLOOKUP(REGEXEXTRACT(C15, ""-(\w+)-""), {Data_Validation!$F$16:$F$29, Data_Validation!$E$16:$E$29}, 2, FALSE), """"))
"),"Colorful Tech")</f>
        <v>Colorful Tech</v>
      </c>
      <c r="C15" s="176" t="str">
        <f>IFERROR(__xludf.DUMMYFUNCTION("""COMPUTED_VALUE"""),"CC-CTH-16.04")</f>
        <v>CC-CTH-16.04</v>
      </c>
      <c r="D15" s="176" t="str">
        <f>IFERROR(__xludf.DUMMYFUNCTION("IFERROR(REGEXEXTRACT(C15, ""^[A-Z]+-[A-Z]+-"") &amp; TEXT(VALUE(REGEXEXTRACT(C15, ""-(\d+)\."")), ""00""), """")"),"CC-CTH-16")</f>
        <v>CC-CTH-16</v>
      </c>
      <c r="E15" s="177" t="str">
        <f>IFERROR(VLOOKUP(D15, Content_Creation!B:D, 2, FALSE), IFERROR(VLOOKUP(D15, Project_Management!B:D, 2, FALSE), ""))
&amp; " - "
&amp; IFERROR(VLOOKUP(D15, Content_Creation!B:E, 4, FALSE), IFERROR(VLOOKUP(D15, Project_Management!B:E, 4, FALSE), ""))</f>
        <v>Diwali Post - Insta</v>
      </c>
      <c r="F15" s="176" t="str">
        <f>IFERROR(
    VLOOKUP(C15:C25, Content_Creation!B:D, 3, FALSE),
    IFERROR(VLOOKUP($C$5:$C$15, Project_Management!B:D, 3, FALSE),"")
  )</f>
        <v>Upload</v>
      </c>
      <c r="G15" s="178" t="str">
        <f>IFERROR(VLOOKUP(C15, Data_Validation!X:Y, 2, FALSE), "")</f>
        <v>Not Started</v>
      </c>
      <c r="H15" s="179">
        <f>IFERROR(VLOOKUP(C15, Content_Creation!B:H, 7, FALSE), IFERROR(VLOOKUP(C15, Project_Management!B:H, 7, FALSE), ""))</f>
        <v>45242</v>
      </c>
      <c r="I15" s="180">
        <f>IFERROR(VLOOKUP(D15, Content_Creation!B:H, 7, FALSE), IFERROR(VLOOKUP(D15, Project_Management!B:H, 7, FALSE), ""))</f>
        <v>45242</v>
      </c>
      <c r="J15" s="157"/>
      <c r="K15" s="183"/>
      <c r="L15" s="183"/>
      <c r="M15" s="185"/>
      <c r="N15" s="183"/>
      <c r="O15" s="183"/>
      <c r="P15" s="183"/>
      <c r="Q15" s="183"/>
      <c r="R15" s="157"/>
      <c r="S15" s="184"/>
      <c r="T15" s="184"/>
      <c r="U15" s="184"/>
      <c r="V15" s="184"/>
    </row>
    <row r="16" ht="27.75" customHeight="1">
      <c r="A16" s="157"/>
      <c r="B16" s="175" t="str">
        <f>IFERROR(__xludf.DUMMYFUNCTION("ARRAYFORMULA(IFERROR(VLOOKUP(REGEXEXTRACT(C16, ""-(\w+)-""), {Data_Validation!$F$16:$F$29, Data_Validation!$E$16:$E$29}, 2, FALSE), """"))
"),"Colorful Tech")</f>
        <v>Colorful Tech</v>
      </c>
      <c r="C16" s="176" t="str">
        <f>IFERROR(__xludf.DUMMYFUNCTION("""COMPUTED_VALUE"""),"CC-CTH-15.07")</f>
        <v>CC-CTH-15.07</v>
      </c>
      <c r="D16" s="176" t="str">
        <f>IFERROR(__xludf.DUMMYFUNCTION("IFERROR(REGEXEXTRACT(C16, ""^[A-Z]+-[A-Z]+-"") &amp; TEXT(VALUE(REGEXEXTRACT(C16, ""-(\d+)\."")), ""00""), """")"),"CC-CTH-15")</f>
        <v>CC-CTH-15</v>
      </c>
      <c r="E16" s="177" t="str">
        <f>IFERROR(VLOOKUP(D16, Content_Creation!B:D, 2, FALSE), IFERROR(VLOOKUP(D16, Project_Management!B:D, 2, FALSE), ""))
&amp; " - "
&amp; IFERROR(VLOOKUP(D16, Content_Creation!B:E, 4, FALSE), IFERROR(VLOOKUP(D16, Project_Management!B:E, 4, FALSE), ""))</f>
        <v>POV: you bought your first GPU - Shorts</v>
      </c>
      <c r="F16" s="176" t="str">
        <f>IFERROR(
    VLOOKUP(C16:C26, Content_Creation!B:D, 3, FALSE),
    IFERROR(VLOOKUP($C$5:$C$15, Project_Management!B:D, 3, FALSE),"")
  )</f>
        <v>Upload</v>
      </c>
      <c r="G16" s="178" t="str">
        <f>IFERROR(VLOOKUP(C16, Data_Validation!X:Y, 2, FALSE), "")</f>
        <v>Not Started</v>
      </c>
      <c r="H16" s="179">
        <f>IFERROR(VLOOKUP(C16, Content_Creation!B:H, 7, FALSE), IFERROR(VLOOKUP(C16, Project_Management!B:H, 7, FALSE), ""))</f>
        <v>45243</v>
      </c>
      <c r="I16" s="180">
        <f>IFERROR(VLOOKUP(D16, Content_Creation!B:H, 7, FALSE), IFERROR(VLOOKUP(D16, Project_Management!B:H, 7, FALSE), ""))</f>
        <v>45243</v>
      </c>
      <c r="J16" s="157"/>
      <c r="K16" s="161"/>
      <c r="L16" s="161"/>
      <c r="M16" s="161"/>
      <c r="N16" s="161"/>
      <c r="O16" s="161"/>
      <c r="P16" s="161"/>
      <c r="Q16" s="161"/>
      <c r="R16" s="157"/>
      <c r="S16" s="161"/>
      <c r="T16" s="161"/>
      <c r="U16" s="161"/>
      <c r="V16" s="161"/>
    </row>
    <row r="17" ht="27.75" customHeight="1">
      <c r="A17" s="157"/>
      <c r="B17" s="175" t="str">
        <f>IFERROR(__xludf.DUMMYFUNCTION("ARRAYFORMULA(IFERROR(VLOOKUP(REGEXEXTRACT(C17, ""-(\w+)-""), {Data_Validation!$F$16:$F$29, Data_Validation!$E$16:$E$29}, 2, FALSE), """"))
"),"Colorful Tech")</f>
        <v>Colorful Tech</v>
      </c>
      <c r="C17" s="176" t="str">
        <f>IFERROR(__xludf.DUMMYFUNCTION("""COMPUTED_VALUE"""),"CC-CTH-18.04")</f>
        <v>CC-CTH-18.04</v>
      </c>
      <c r="D17" s="176" t="str">
        <f>IFERROR(__xludf.DUMMYFUNCTION("IFERROR(REGEXEXTRACT(C17, ""^[A-Z]+-[A-Z]+-"") &amp; TEXT(VALUE(REGEXEXTRACT(C17, ""-(\d+)\."")), ""00""), """")"),"CC-CTH-18")</f>
        <v>CC-CTH-18</v>
      </c>
      <c r="E17" s="177" t="str">
        <f>IFERROR(VLOOKUP(D17, Content_Creation!B:D, 2, FALSE), IFERROR(VLOOKUP(D17, Project_Management!B:D, 2, FALSE), ""))
&amp; " - "
&amp; IFERROR(VLOOKUP(D17, Content_Creation!B:E, 4, FALSE), IFERROR(VLOOKUP(D17, Project_Management!B:E, 4, FALSE), ""))</f>
        <v>How to Upgrade your GPU - Shorts</v>
      </c>
      <c r="F17" s="176" t="str">
        <f>IFERROR(
    VLOOKUP(C17:C27, Content_Creation!B:D, 3, FALSE),
    IFERROR(VLOOKUP($C$5:$C$15, Project_Management!B:D, 3, FALSE),"")
  )</f>
        <v>Edit</v>
      </c>
      <c r="G17" s="178" t="str">
        <f>IFERROR(VLOOKUP(C17, Data_Validation!X:Y, 2, FALSE), "")</f>
        <v>Not Started</v>
      </c>
      <c r="H17" s="179">
        <f>IFERROR(VLOOKUP(C17, Content_Creation!B:H, 7, FALSE), IFERROR(VLOOKUP(C17, Project_Management!B:H, 7, FALSE), ""))</f>
        <v>45243</v>
      </c>
      <c r="I17" s="180">
        <f>IFERROR(VLOOKUP(D17, Content_Creation!B:H, 7, FALSE), IFERROR(VLOOKUP(D17, Project_Management!B:H, 7, FALSE), ""))</f>
        <v>45246</v>
      </c>
      <c r="J17" s="157"/>
      <c r="K17" s="161"/>
      <c r="L17" s="161"/>
      <c r="M17" s="161"/>
      <c r="N17" s="161"/>
      <c r="O17" s="161"/>
      <c r="P17" s="161"/>
      <c r="Q17" s="161"/>
      <c r="R17" s="157"/>
      <c r="S17" s="161"/>
      <c r="T17" s="161"/>
      <c r="U17" s="161"/>
      <c r="V17" s="161"/>
    </row>
    <row r="18" ht="27.75" customHeight="1">
      <c r="A18" s="157"/>
      <c r="B18" s="175" t="str">
        <f>IFERROR(__xludf.DUMMYFUNCTION("ARRAYFORMULA(IFERROR(VLOOKUP(REGEXEXTRACT(C18, ""-(\w+)-""), {Data_Validation!$F$16:$F$29, Data_Validation!$E$16:$E$29}, 2, FALSE), """"))
"),"Colorful Tech")</f>
        <v>Colorful Tech</v>
      </c>
      <c r="C18" s="176" t="str">
        <f>IFERROR(__xludf.DUMMYFUNCTION("""COMPUTED_VALUE"""),"CC-CTH-20.02")</f>
        <v>CC-CTH-20.02</v>
      </c>
      <c r="D18" s="176" t="str">
        <f>IFERROR(__xludf.DUMMYFUNCTION("IFERROR(REGEXEXTRACT(C18, ""^[A-Z]+-[A-Z]+-"") &amp; TEXT(VALUE(REGEXEXTRACT(C18, ""-(\d+)\."")), ""00""), """")"),"CC-CTH-20")</f>
        <v>CC-CTH-20</v>
      </c>
      <c r="E18" s="177" t="str">
        <f>IFERROR(VLOOKUP(D18, Content_Creation!B:D, 2, FALSE), IFERROR(VLOOKUP(D18, Project_Management!B:D, 2, FALSE), ""))
&amp; " - "
&amp; IFERROR(VLOOKUP(D18, Content_Creation!B:E, 4, FALSE), IFERROR(VLOOKUP(D18, Project_Management!B:E, 4, FALSE), ""))</f>
        <v>When can you upgrade your GPU - Shorts</v>
      </c>
      <c r="F18" s="176" t="str">
        <f>IFERROR(
    VLOOKUP(C18:C28, Content_Creation!B:D, 3, FALSE),
    IFERROR(VLOOKUP($C$5:$C$15, Project_Management!B:D, 3, FALSE),"")
  )</f>
        <v>Voiceover</v>
      </c>
      <c r="G18" s="178" t="str">
        <f>IFERROR(VLOOKUP(C18, Data_Validation!X:Y, 2, FALSE), "")</f>
        <v>Not Started</v>
      </c>
      <c r="H18" s="179">
        <f>IFERROR(VLOOKUP(C18, Content_Creation!B:H, 7, FALSE), IFERROR(VLOOKUP(C18, Project_Management!B:H, 7, FALSE), ""))</f>
        <v>45243</v>
      </c>
      <c r="I18" s="180">
        <f>IFERROR(VLOOKUP(D18, Content_Creation!B:H, 7, FALSE), IFERROR(VLOOKUP(D18, Project_Management!B:H, 7, FALSE), ""))</f>
        <v>45248</v>
      </c>
      <c r="J18" s="157"/>
      <c r="K18" s="161"/>
      <c r="L18" s="161"/>
      <c r="M18" s="161"/>
      <c r="N18" s="161"/>
      <c r="O18" s="161"/>
      <c r="P18" s="161"/>
      <c r="Q18" s="161"/>
      <c r="R18" s="157"/>
      <c r="S18" s="161"/>
      <c r="T18" s="161"/>
      <c r="U18" s="161"/>
      <c r="V18" s="161"/>
    </row>
    <row r="19" ht="27.75" customHeight="1">
      <c r="A19" s="157"/>
      <c r="B19" s="175" t="str">
        <f>IFERROR(__xludf.DUMMYFUNCTION("ARRAYFORMULA(IFERROR(VLOOKUP(REGEXEXTRACT(C19, ""-(\w+)-""), {Data_Validation!$F$16:$F$29, Data_Validation!$E$16:$E$29}, 2, FALSE), """"))
"),"")</f>
        <v/>
      </c>
      <c r="C19" s="176"/>
      <c r="D19" s="176" t="str">
        <f>IFERROR(__xludf.DUMMYFUNCTION("IFERROR(REGEXEXTRACT(C19, ""^[A-Z]+-[A-Z]+-"") &amp; TEXT(VALUE(REGEXEXTRACT(C19, ""-(\d+)\."")), ""00""), """")"),"")</f>
        <v/>
      </c>
      <c r="E19" s="177" t="str">
        <f>IFERROR(VLOOKUP(D19, Content_Creation!B:D, 2, FALSE), IFERROR(VLOOKUP(D19, Project_Management!B:D, 2, FALSE), ""))
&amp; " - "
&amp; IFERROR(VLOOKUP(D19, Content_Creation!B:E, 4, FALSE), IFERROR(VLOOKUP(D19, Project_Management!B:E, 4, FALSE), ""))</f>
        <v> - </v>
      </c>
      <c r="F19" s="176" t="str">
        <f>IFERROR(
    VLOOKUP(C19:C29, Content_Creation!B:D, 3, FALSE),
    IFERROR(VLOOKUP($C$5:$C$15, Project_Management!B:D, 3, FALSE),"")
  )</f>
        <v/>
      </c>
      <c r="G19" s="178" t="str">
        <f>IFERROR(VLOOKUP(C19, Data_Validation!X:Y, 2, FALSE), "")</f>
        <v/>
      </c>
      <c r="H19" s="179" t="str">
        <f>IFERROR(VLOOKUP(C19, Content_Creation!B:H, 7, FALSE), IFERROR(VLOOKUP(C19, Project_Management!B:H, 7, FALSE), ""))</f>
        <v/>
      </c>
      <c r="I19" s="180" t="str">
        <f>IFERROR(VLOOKUP(D19, Content_Creation!B:H, 7, FALSE), IFERROR(VLOOKUP(D19, Project_Management!B:H, 7, FALSE), ""))</f>
        <v/>
      </c>
      <c r="J19" s="157"/>
      <c r="K19" s="161"/>
      <c r="L19" s="161"/>
      <c r="M19" s="161"/>
      <c r="N19" s="161"/>
      <c r="O19" s="161"/>
      <c r="P19" s="161"/>
      <c r="Q19" s="161"/>
      <c r="R19" s="157"/>
      <c r="S19" s="161"/>
      <c r="T19" s="161"/>
      <c r="U19" s="161"/>
      <c r="V19" s="161"/>
    </row>
    <row r="20" ht="27.75" customHeight="1">
      <c r="A20" s="157"/>
      <c r="B20" s="175" t="str">
        <f>IFERROR(__xludf.DUMMYFUNCTION("ARRAYFORMULA(IFERROR(VLOOKUP(REGEXEXTRACT(C20, ""-(\w+)-""), {Data_Validation!$F$16:$F$29, Data_Validation!$E$16:$E$29}, 2, FALSE), """"))
"),"")</f>
        <v/>
      </c>
      <c r="C20" s="176"/>
      <c r="D20" s="176" t="str">
        <f>IFERROR(__xludf.DUMMYFUNCTION("IFERROR(REGEXEXTRACT(C20, ""^[A-Z]+-[A-Z]+-"") &amp; TEXT(VALUE(REGEXEXTRACT(C20, ""-(\d+)\."")), ""00""), """")"),"")</f>
        <v/>
      </c>
      <c r="E20" s="177" t="str">
        <f>IFERROR(VLOOKUP(D20, Content_Creation!B:D, 2, FALSE), IFERROR(VLOOKUP(D20, Project_Management!B:D, 2, FALSE), ""))
&amp; " - "
&amp; IFERROR(VLOOKUP(D20, Content_Creation!B:E, 4, FALSE), IFERROR(VLOOKUP(D20, Project_Management!B:E, 4, FALSE), ""))</f>
        <v> - </v>
      </c>
      <c r="F20" s="176" t="str">
        <f>IFERROR(
    VLOOKUP(C20:C30, Content_Creation!B:D, 3, FALSE),
    IFERROR(VLOOKUP($C$5:$C$15, Project_Management!B:D, 3, FALSE),"")
  )</f>
        <v/>
      </c>
      <c r="G20" s="178" t="str">
        <f>IFERROR(VLOOKUP(C20, Data_Validation!X:Y, 2, FALSE), "")</f>
        <v/>
      </c>
      <c r="H20" s="179" t="str">
        <f>IFERROR(VLOOKUP(C20, Content_Creation!B:H, 7, FALSE), IFERROR(VLOOKUP(C20, Project_Management!B:H, 7, FALSE), ""))</f>
        <v/>
      </c>
      <c r="I20" s="180" t="str">
        <f>IFERROR(VLOOKUP(D20, Content_Creation!B:H, 7, FALSE), IFERROR(VLOOKUP(D20, Project_Management!B:H, 7, FALSE), ""))</f>
        <v/>
      </c>
      <c r="J20" s="157"/>
      <c r="K20" s="161"/>
      <c r="L20" s="161"/>
      <c r="M20" s="161"/>
      <c r="N20" s="161"/>
      <c r="O20" s="161"/>
      <c r="P20" s="161"/>
      <c r="Q20" s="161"/>
      <c r="R20" s="157"/>
      <c r="S20" s="161"/>
      <c r="T20" s="161"/>
      <c r="U20" s="161"/>
      <c r="V20" s="161"/>
    </row>
    <row r="21" ht="27.75" customHeight="1">
      <c r="A21" s="157"/>
      <c r="B21" s="175" t="str">
        <f>IFERROR(__xludf.DUMMYFUNCTION("ARRAYFORMULA(IFERROR(VLOOKUP(REGEXEXTRACT(C21, ""-(\w+)-""), {Data_Validation!$F$16:$F$29, Data_Validation!$E$16:$E$29}, 2, FALSE), """"))
"),"")</f>
        <v/>
      </c>
      <c r="C21" s="176"/>
      <c r="D21" s="176" t="str">
        <f>IFERROR(__xludf.DUMMYFUNCTION("IFERROR(REGEXEXTRACT(C21, ""^[A-Z]+-[A-Z]+-"") &amp; TEXT(VALUE(REGEXEXTRACT(C21, ""-(\d+)\."")), ""00""), """")"),"")</f>
        <v/>
      </c>
      <c r="E21" s="177" t="str">
        <f>IFERROR(VLOOKUP(D21, Content_Creation!B:D, 2, FALSE), IFERROR(VLOOKUP(D21, Project_Management!B:D, 2, FALSE), ""))
&amp; " - "
&amp; IFERROR(VLOOKUP(D21, Content_Creation!B:E, 4, FALSE), IFERROR(VLOOKUP(D21, Project_Management!B:E, 4, FALSE), ""))</f>
        <v> - </v>
      </c>
      <c r="F21" s="176" t="str">
        <f>IFERROR(
    VLOOKUP(C21:C31, Content_Creation!B:D, 3, FALSE),
    IFERROR(VLOOKUP($C$5:$C$15, Project_Management!B:D, 3, FALSE),"")
  )</f>
        <v/>
      </c>
      <c r="G21" s="178" t="str">
        <f>IFERROR(VLOOKUP(C21, Data_Validation!X:Y, 2, FALSE), "")</f>
        <v/>
      </c>
      <c r="H21" s="179" t="str">
        <f>IFERROR(VLOOKUP(C21, Content_Creation!B:H, 7, FALSE), IFERROR(VLOOKUP(C21, Project_Management!B:H, 7, FALSE), ""))</f>
        <v/>
      </c>
      <c r="I21" s="180" t="str">
        <f>IFERROR(VLOOKUP(D21, Content_Creation!B:H, 7, FALSE), IFERROR(VLOOKUP(D21, Project_Management!B:H, 7, FALSE), ""))</f>
        <v/>
      </c>
      <c r="J21" s="157"/>
      <c r="K21" s="161"/>
      <c r="L21" s="161"/>
      <c r="M21" s="161"/>
      <c r="N21" s="161"/>
      <c r="O21" s="161"/>
      <c r="P21" s="161"/>
      <c r="Q21" s="161"/>
      <c r="R21" s="157"/>
      <c r="S21" s="161"/>
      <c r="T21" s="161"/>
      <c r="U21" s="161"/>
      <c r="V21" s="161"/>
    </row>
    <row r="22" ht="27.75" customHeight="1">
      <c r="A22" s="157"/>
      <c r="B22" s="175" t="str">
        <f>IFERROR(__xludf.DUMMYFUNCTION("ARRAYFORMULA(IFERROR(VLOOKUP(REGEXEXTRACT(C22, ""-(\w+)-""), {Data_Validation!$F$16:$F$29, Data_Validation!$E$16:$E$29}, 2, FALSE), """"))
"),"")</f>
        <v/>
      </c>
      <c r="C22" s="176"/>
      <c r="D22" s="176" t="str">
        <f>IFERROR(__xludf.DUMMYFUNCTION("IFERROR(REGEXEXTRACT(C22, ""^[A-Z]+-[A-Z]+-"") &amp; TEXT(VALUE(REGEXEXTRACT(C22, ""-(\d+)\."")), ""00""), """")"),"")</f>
        <v/>
      </c>
      <c r="E22" s="177" t="str">
        <f>IFERROR(VLOOKUP(D22, Content_Creation!B:D, 2, FALSE), IFERROR(VLOOKUP(D22, Project_Management!B:D, 2, FALSE), ""))
&amp; " - "
&amp; IFERROR(VLOOKUP(D22, Content_Creation!B:E, 4, FALSE), IFERROR(VLOOKUP(D22, Project_Management!B:E, 4, FALSE), ""))</f>
        <v> - </v>
      </c>
      <c r="F22" s="176" t="str">
        <f>IFERROR(
    VLOOKUP(C22:C32, Content_Creation!B:D, 3, FALSE),
    IFERROR(VLOOKUP($C$5:$C$15, Project_Management!B:D, 3, FALSE),"")
  )</f>
        <v/>
      </c>
      <c r="G22" s="178" t="str">
        <f>IFERROR(VLOOKUP(C22, Data_Validation!X:Y, 2, FALSE), "")</f>
        <v/>
      </c>
      <c r="H22" s="179" t="str">
        <f>IFERROR(VLOOKUP(C22, Content_Creation!B:H, 7, FALSE), IFERROR(VLOOKUP(C22, Project_Management!B:H, 7, FALSE), ""))</f>
        <v/>
      </c>
      <c r="I22" s="180" t="str">
        <f>IFERROR(VLOOKUP(D22, Content_Creation!B:H, 7, FALSE), IFERROR(VLOOKUP(D22, Project_Management!B:H, 7, FALSE), ""))</f>
        <v/>
      </c>
      <c r="J22" s="157"/>
      <c r="K22" s="161"/>
      <c r="L22" s="161"/>
      <c r="M22" s="161"/>
      <c r="N22" s="161"/>
      <c r="O22" s="161"/>
      <c r="P22" s="161"/>
      <c r="Q22" s="161"/>
      <c r="R22" s="161"/>
      <c r="S22" s="161"/>
      <c r="T22" s="161"/>
      <c r="U22" s="161"/>
      <c r="V22" s="161"/>
    </row>
    <row r="23" ht="27.75" customHeight="1">
      <c r="A23" s="157"/>
      <c r="B23" s="175" t="str">
        <f>IFERROR(__xludf.DUMMYFUNCTION("ARRAYFORMULA(IFERROR(VLOOKUP(REGEXEXTRACT(C23, ""-(\w+)-""), {Data_Validation!$F$16:$F$29, Data_Validation!$E$16:$E$29}, 2, FALSE), """"))
"),"")</f>
        <v/>
      </c>
      <c r="C23" s="176"/>
      <c r="D23" s="176" t="str">
        <f>IFERROR(__xludf.DUMMYFUNCTION("IFERROR(REGEXEXTRACT(C23, ""^[A-Z]+-[A-Z]+-"") &amp; TEXT(VALUE(REGEXEXTRACT(C23, ""-(\d+)\."")), ""00""), """")"),"")</f>
        <v/>
      </c>
      <c r="E23" s="177" t="str">
        <f>IFERROR(VLOOKUP(D23, Content_Creation!B:D, 2, FALSE), IFERROR(VLOOKUP(D23, Project_Management!B:D, 2, FALSE), ""))
&amp; " - "
&amp; IFERROR(VLOOKUP(D23, Content_Creation!B:E, 4, FALSE), IFERROR(VLOOKUP(D23, Project_Management!B:E, 4, FALSE), ""))</f>
        <v> - </v>
      </c>
      <c r="F23" s="176" t="str">
        <f>IFERROR(
    VLOOKUP(C23:C33, Content_Creation!B:D, 3, FALSE),
    IFERROR(VLOOKUP($C$5:$C$15, Project_Management!B:D, 3, FALSE),"")
  )</f>
        <v/>
      </c>
      <c r="G23" s="178" t="str">
        <f>IFERROR(VLOOKUP(C23, Data_Validation!X:Y, 2, FALSE), "")</f>
        <v/>
      </c>
      <c r="H23" s="179" t="str">
        <f>IFERROR(VLOOKUP(C23, Content_Creation!B:H, 7, FALSE), IFERROR(VLOOKUP(C23, Project_Management!B:H, 7, FALSE), ""))</f>
        <v/>
      </c>
      <c r="I23" s="180" t="str">
        <f>IFERROR(VLOOKUP(D23, Content_Creation!B:H, 7, FALSE), IFERROR(VLOOKUP(D23, Project_Management!B:H, 7, FALSE), ""))</f>
        <v/>
      </c>
      <c r="J23" s="157"/>
      <c r="K23" s="161"/>
      <c r="L23" s="161"/>
      <c r="M23" s="161"/>
      <c r="N23" s="161"/>
      <c r="O23" s="161"/>
      <c r="P23" s="161"/>
      <c r="Q23" s="161"/>
      <c r="R23" s="161"/>
      <c r="S23" s="161"/>
      <c r="T23" s="161"/>
      <c r="U23" s="161"/>
      <c r="V23" s="161"/>
    </row>
    <row r="24" ht="27.75" customHeight="1">
      <c r="A24" s="157"/>
      <c r="B24" s="187" t="str">
        <f>IFERROR(__xludf.DUMMYFUNCTION("ARRAYFORMULA(IFERROR(VLOOKUP(REGEXEXTRACT(C24, ""-(\w+)-""), {Data_Validation!$F$16:$F$29, Data_Validation!$E$16:$E$29}, 2, FALSE), """"))
"),"")</f>
        <v/>
      </c>
      <c r="C24" s="188"/>
      <c r="D24" s="188" t="str">
        <f>IFERROR(__xludf.DUMMYFUNCTION("IFERROR(REGEXEXTRACT(C24, ""^[A-Z]+-[A-Z]+-"") &amp; TEXT(VALUE(REGEXEXTRACT(C24, ""-(\d+)\."")), ""00""), """")"),"")</f>
        <v/>
      </c>
      <c r="E24" s="189" t="str">
        <f>IFERROR(VLOOKUP(D24, Content_Creation!B:D, 2, FALSE), IFERROR(VLOOKUP(D24, Project_Management!B:D, 2, FALSE), ""))
&amp; " - "
&amp; IFERROR(VLOOKUP(D24, Content_Creation!B:E, 4, FALSE), IFERROR(VLOOKUP(D24, Project_Management!B:E, 4, FALSE), ""))</f>
        <v> - </v>
      </c>
      <c r="F24" s="188" t="str">
        <f>IFERROR(
    VLOOKUP(C24:C34, Content_Creation!B:D, 3, FALSE),
    IFERROR(VLOOKUP($C$5:$C$15, Project_Management!B:D, 3, FALSE),"")
  )</f>
        <v/>
      </c>
      <c r="G24" s="190" t="str">
        <f>IFERROR(VLOOKUP(C24, Data_Validation!X:Y, 2, FALSE), "")</f>
        <v/>
      </c>
      <c r="H24" s="191" t="str">
        <f>IFERROR(VLOOKUP(C24, Content_Creation!B:H, 7, FALSE), IFERROR(VLOOKUP(C24, Project_Management!B:H, 7, FALSE), ""))</f>
        <v/>
      </c>
      <c r="I24" s="192" t="str">
        <f>IFERROR(VLOOKUP(D24, Content_Creation!B:H, 7, FALSE), IFERROR(VLOOKUP(D24, Project_Management!B:H, 7, FALSE), ""))</f>
        <v/>
      </c>
      <c r="J24" s="157"/>
      <c r="K24" s="161"/>
      <c r="L24" s="161"/>
      <c r="M24" s="161"/>
      <c r="N24" s="161"/>
      <c r="O24" s="161"/>
      <c r="P24" s="161"/>
      <c r="Q24" s="161"/>
      <c r="R24" s="161"/>
      <c r="S24" s="161"/>
      <c r="T24" s="161"/>
      <c r="U24" s="161"/>
      <c r="V24" s="161"/>
    </row>
    <row r="25">
      <c r="A25" s="157"/>
      <c r="B25" s="161"/>
      <c r="C25" s="193"/>
      <c r="D25" s="161"/>
      <c r="E25" s="193"/>
      <c r="F25" s="161"/>
      <c r="G25" s="161"/>
      <c r="H25" s="161"/>
      <c r="I25" s="161"/>
      <c r="J25" s="157"/>
      <c r="K25" s="161"/>
      <c r="L25" s="161"/>
      <c r="M25" s="161"/>
      <c r="N25" s="161"/>
      <c r="O25" s="161"/>
      <c r="P25" s="161"/>
      <c r="Q25" s="161"/>
      <c r="R25" s="161"/>
      <c r="S25" s="161"/>
      <c r="T25" s="161"/>
      <c r="U25" s="161"/>
      <c r="V25" s="161"/>
    </row>
    <row r="26">
      <c r="A26" s="157"/>
      <c r="B26" s="161"/>
      <c r="C26" s="193"/>
      <c r="D26" s="161"/>
      <c r="E26" s="193"/>
      <c r="F26" s="161"/>
      <c r="G26" s="161"/>
      <c r="H26" s="161"/>
      <c r="I26" s="161"/>
      <c r="J26" s="157"/>
      <c r="K26" s="161"/>
      <c r="L26" s="161"/>
      <c r="M26" s="161"/>
      <c r="N26" s="161"/>
      <c r="O26" s="161"/>
      <c r="P26" s="161"/>
      <c r="Q26" s="161"/>
      <c r="R26" s="161"/>
      <c r="S26" s="161"/>
      <c r="T26" s="161"/>
      <c r="U26" s="161"/>
      <c r="V26" s="161"/>
    </row>
    <row r="27">
      <c r="A27" s="157"/>
      <c r="B27" s="161"/>
      <c r="C27" s="193"/>
      <c r="D27" s="161"/>
      <c r="E27" s="193"/>
      <c r="F27" s="161"/>
      <c r="G27" s="161"/>
      <c r="H27" s="161"/>
      <c r="I27" s="161"/>
      <c r="J27" s="157"/>
      <c r="K27" s="161"/>
      <c r="L27" s="161"/>
      <c r="M27" s="161"/>
      <c r="N27" s="161"/>
      <c r="O27" s="161"/>
      <c r="P27" s="161"/>
      <c r="Q27" s="161"/>
      <c r="R27" s="161"/>
      <c r="S27" s="161"/>
      <c r="T27" s="161"/>
      <c r="U27" s="161"/>
      <c r="V27" s="161"/>
    </row>
    <row r="28">
      <c r="A28" s="157"/>
      <c r="B28" s="161"/>
      <c r="C28" s="193"/>
      <c r="D28" s="161"/>
      <c r="E28" s="193"/>
      <c r="F28" s="161"/>
      <c r="G28" s="161"/>
      <c r="H28" s="161"/>
      <c r="I28" s="161"/>
      <c r="J28" s="157"/>
      <c r="K28" s="161"/>
      <c r="L28" s="161"/>
      <c r="M28" s="161"/>
      <c r="N28" s="161"/>
      <c r="O28" s="161"/>
      <c r="P28" s="161"/>
      <c r="Q28" s="161"/>
      <c r="R28" s="161"/>
      <c r="S28" s="161"/>
      <c r="T28" s="161"/>
      <c r="U28" s="161"/>
      <c r="V28" s="161"/>
    </row>
    <row r="29">
      <c r="A29" s="157"/>
      <c r="B29" s="161"/>
      <c r="C29" s="193"/>
      <c r="D29" s="161"/>
      <c r="E29" s="193"/>
      <c r="F29" s="161"/>
      <c r="G29" s="161"/>
      <c r="H29" s="161"/>
      <c r="I29" s="161"/>
      <c r="J29" s="157"/>
      <c r="K29" s="161"/>
      <c r="L29" s="161"/>
      <c r="M29" s="161"/>
      <c r="N29" s="161"/>
      <c r="O29" s="161"/>
      <c r="P29" s="161"/>
      <c r="Q29" s="161"/>
      <c r="R29" s="161"/>
      <c r="S29" s="161"/>
      <c r="T29" s="161"/>
      <c r="U29" s="161"/>
      <c r="V29" s="161"/>
    </row>
    <row r="30">
      <c r="A30" s="157"/>
      <c r="B30" s="161"/>
      <c r="C30" s="193"/>
      <c r="D30" s="161"/>
      <c r="E30" s="193"/>
      <c r="F30" s="161"/>
      <c r="G30" s="161"/>
      <c r="H30" s="161"/>
      <c r="I30" s="161"/>
      <c r="J30" s="157"/>
      <c r="K30" s="161"/>
      <c r="L30" s="161"/>
      <c r="M30" s="161"/>
      <c r="N30" s="161"/>
      <c r="O30" s="161"/>
      <c r="P30" s="161"/>
      <c r="Q30" s="161"/>
      <c r="R30" s="161"/>
      <c r="S30" s="161"/>
      <c r="T30" s="161"/>
      <c r="U30" s="161"/>
      <c r="V30" s="161"/>
    </row>
    <row r="31">
      <c r="A31" s="157"/>
      <c r="B31" s="161"/>
      <c r="C31" s="193"/>
      <c r="D31" s="161"/>
      <c r="E31" s="193"/>
      <c r="F31" s="161"/>
      <c r="G31" s="161"/>
      <c r="H31" s="161"/>
      <c r="I31" s="161"/>
      <c r="J31" s="157"/>
      <c r="K31" s="161"/>
      <c r="L31" s="161"/>
      <c r="M31" s="161"/>
      <c r="N31" s="161"/>
      <c r="O31" s="161"/>
      <c r="P31" s="161"/>
      <c r="Q31" s="161"/>
      <c r="R31" s="161"/>
      <c r="S31" s="161"/>
      <c r="T31" s="161"/>
      <c r="U31" s="161"/>
      <c r="V31" s="161"/>
    </row>
    <row r="32">
      <c r="A32" s="157"/>
      <c r="B32" s="161"/>
      <c r="C32" s="193"/>
      <c r="D32" s="161"/>
      <c r="E32" s="193"/>
      <c r="F32" s="161"/>
      <c r="G32" s="161"/>
      <c r="H32" s="161"/>
      <c r="I32" s="161"/>
      <c r="J32" s="157"/>
      <c r="K32" s="161"/>
      <c r="L32" s="161"/>
      <c r="M32" s="161"/>
      <c r="N32" s="161"/>
      <c r="O32" s="161"/>
      <c r="P32" s="161"/>
      <c r="Q32" s="161"/>
      <c r="R32" s="161"/>
      <c r="S32" s="161"/>
      <c r="T32" s="161"/>
      <c r="U32" s="161"/>
      <c r="V32" s="161"/>
    </row>
    <row r="33">
      <c r="A33" s="157"/>
      <c r="B33" s="161"/>
      <c r="C33" s="193"/>
      <c r="D33" s="161"/>
      <c r="E33" s="193"/>
      <c r="F33" s="161"/>
      <c r="G33" s="161"/>
      <c r="H33" s="161"/>
      <c r="I33" s="161"/>
      <c r="J33" s="157"/>
      <c r="K33" s="161"/>
      <c r="L33" s="161"/>
      <c r="M33" s="161"/>
      <c r="N33" s="161"/>
      <c r="O33" s="161"/>
      <c r="P33" s="161"/>
      <c r="Q33" s="161"/>
      <c r="R33" s="161"/>
      <c r="S33" s="161"/>
      <c r="T33" s="161"/>
      <c r="U33" s="161"/>
      <c r="V33" s="161"/>
    </row>
    <row r="34">
      <c r="A34" s="157"/>
      <c r="B34" s="161"/>
      <c r="C34" s="193"/>
      <c r="D34" s="161"/>
      <c r="E34" s="193"/>
      <c r="F34" s="161"/>
      <c r="G34" s="161"/>
      <c r="H34" s="161"/>
      <c r="I34" s="161"/>
      <c r="J34" s="157"/>
      <c r="K34" s="161"/>
      <c r="L34" s="161"/>
      <c r="M34" s="161"/>
      <c r="N34" s="161"/>
      <c r="O34" s="161"/>
      <c r="P34" s="161"/>
      <c r="Q34" s="161"/>
      <c r="R34" s="161"/>
      <c r="S34" s="161"/>
      <c r="T34" s="161"/>
      <c r="U34" s="161"/>
      <c r="V34" s="161"/>
    </row>
    <row r="35">
      <c r="A35" s="157"/>
      <c r="B35" s="161"/>
      <c r="C35" s="193"/>
      <c r="D35" s="161"/>
      <c r="E35" s="193"/>
      <c r="F35" s="161"/>
      <c r="G35" s="161"/>
      <c r="H35" s="161"/>
      <c r="I35" s="161"/>
      <c r="J35" s="157"/>
      <c r="K35" s="161"/>
      <c r="L35" s="161"/>
      <c r="M35" s="161"/>
      <c r="N35" s="161"/>
      <c r="O35" s="161"/>
      <c r="P35" s="161"/>
      <c r="Q35" s="161"/>
      <c r="R35" s="161"/>
      <c r="S35" s="161"/>
      <c r="T35" s="161"/>
      <c r="U35" s="161"/>
      <c r="V35" s="161"/>
    </row>
    <row r="36">
      <c r="A36" s="157"/>
      <c r="B36" s="161"/>
      <c r="C36" s="193"/>
      <c r="D36" s="161"/>
      <c r="E36" s="193"/>
      <c r="F36" s="161"/>
      <c r="G36" s="161"/>
      <c r="H36" s="161"/>
      <c r="I36" s="161"/>
      <c r="J36" s="157"/>
      <c r="K36" s="161"/>
      <c r="L36" s="161"/>
      <c r="M36" s="161"/>
      <c r="N36" s="161"/>
      <c r="O36" s="161"/>
      <c r="P36" s="161"/>
      <c r="Q36" s="161"/>
      <c r="R36" s="161"/>
      <c r="S36" s="161"/>
      <c r="T36" s="161"/>
      <c r="U36" s="161"/>
      <c r="V36" s="161"/>
    </row>
    <row r="37">
      <c r="A37" s="157"/>
      <c r="B37" s="161"/>
      <c r="C37" s="193"/>
      <c r="D37" s="161"/>
      <c r="E37" s="193"/>
      <c r="F37" s="161"/>
      <c r="G37" s="161"/>
      <c r="H37" s="161"/>
      <c r="I37" s="161"/>
      <c r="J37" s="157"/>
      <c r="K37" s="161"/>
      <c r="L37" s="161"/>
      <c r="M37" s="161"/>
      <c r="N37" s="161"/>
      <c r="O37" s="161"/>
      <c r="P37" s="161"/>
      <c r="Q37" s="161"/>
      <c r="R37" s="161"/>
      <c r="S37" s="161"/>
      <c r="T37" s="161"/>
      <c r="U37" s="161"/>
      <c r="V37" s="161"/>
    </row>
    <row r="38">
      <c r="A38" s="157"/>
      <c r="B38" s="161"/>
      <c r="C38" s="193"/>
      <c r="D38" s="161"/>
      <c r="E38" s="193"/>
      <c r="F38" s="161"/>
      <c r="G38" s="161"/>
      <c r="H38" s="161"/>
      <c r="I38" s="161"/>
      <c r="J38" s="157"/>
      <c r="K38" s="161"/>
      <c r="L38" s="161"/>
      <c r="M38" s="161"/>
      <c r="N38" s="161"/>
      <c r="O38" s="161"/>
      <c r="P38" s="161"/>
      <c r="Q38" s="161"/>
      <c r="R38" s="161"/>
      <c r="S38" s="161"/>
      <c r="T38" s="161"/>
      <c r="U38" s="161"/>
      <c r="V38" s="161"/>
    </row>
    <row r="39">
      <c r="A39" s="157"/>
      <c r="B39" s="161"/>
      <c r="C39" s="193"/>
      <c r="D39" s="161"/>
      <c r="E39" s="193"/>
      <c r="F39" s="161"/>
      <c r="G39" s="161"/>
      <c r="H39" s="161"/>
      <c r="I39" s="161"/>
      <c r="J39" s="157"/>
      <c r="K39" s="161"/>
      <c r="L39" s="161"/>
      <c r="M39" s="161"/>
      <c r="N39" s="161"/>
      <c r="O39" s="161"/>
      <c r="P39" s="161"/>
      <c r="Q39" s="161"/>
      <c r="R39" s="161"/>
      <c r="S39" s="161"/>
      <c r="T39" s="161"/>
      <c r="U39" s="161"/>
      <c r="V39" s="161"/>
    </row>
    <row r="40">
      <c r="A40" s="157"/>
      <c r="B40" s="161"/>
      <c r="C40" s="193"/>
      <c r="D40" s="161"/>
      <c r="E40" s="193"/>
      <c r="F40" s="161"/>
      <c r="G40" s="161"/>
      <c r="H40" s="161"/>
      <c r="I40" s="161"/>
      <c r="J40" s="157"/>
      <c r="K40" s="161"/>
      <c r="L40" s="161"/>
      <c r="M40" s="161"/>
      <c r="N40" s="161"/>
      <c r="O40" s="161"/>
      <c r="P40" s="161"/>
      <c r="Q40" s="161"/>
      <c r="R40" s="161"/>
      <c r="S40" s="161"/>
      <c r="T40" s="161"/>
      <c r="U40" s="161"/>
      <c r="V40" s="161"/>
    </row>
    <row r="41">
      <c r="A41" s="157"/>
      <c r="B41" s="161"/>
      <c r="C41" s="193"/>
      <c r="D41" s="161"/>
      <c r="E41" s="193"/>
      <c r="F41" s="161"/>
      <c r="G41" s="161"/>
      <c r="H41" s="161"/>
      <c r="I41" s="161"/>
      <c r="J41" s="157"/>
      <c r="K41" s="161"/>
      <c r="L41" s="161"/>
      <c r="M41" s="161"/>
      <c r="N41" s="161"/>
      <c r="O41" s="161"/>
      <c r="P41" s="161"/>
      <c r="Q41" s="161"/>
      <c r="R41" s="161"/>
      <c r="S41" s="161"/>
      <c r="T41" s="161"/>
      <c r="U41" s="161"/>
      <c r="V41" s="161"/>
    </row>
    <row r="42">
      <c r="A42" s="157"/>
      <c r="B42" s="161"/>
      <c r="C42" s="193"/>
      <c r="D42" s="161"/>
      <c r="E42" s="193"/>
      <c r="F42" s="161"/>
      <c r="G42" s="161"/>
      <c r="H42" s="161"/>
      <c r="I42" s="161"/>
      <c r="J42" s="157"/>
      <c r="K42" s="161"/>
      <c r="L42" s="161"/>
      <c r="M42" s="161"/>
      <c r="N42" s="161"/>
      <c r="O42" s="161"/>
      <c r="P42" s="161"/>
      <c r="Q42" s="161"/>
      <c r="R42" s="161"/>
      <c r="S42" s="161"/>
      <c r="T42" s="161"/>
      <c r="U42" s="161"/>
      <c r="V42" s="161"/>
    </row>
    <row r="43">
      <c r="A43" s="157"/>
      <c r="B43" s="161"/>
      <c r="C43" s="193"/>
      <c r="D43" s="161"/>
      <c r="E43" s="193"/>
      <c r="F43" s="161"/>
      <c r="G43" s="161"/>
      <c r="H43" s="161"/>
      <c r="I43" s="161"/>
      <c r="J43" s="157"/>
      <c r="K43" s="161"/>
      <c r="L43" s="161"/>
      <c r="M43" s="161"/>
      <c r="N43" s="161"/>
      <c r="O43" s="161"/>
      <c r="P43" s="161"/>
      <c r="Q43" s="161"/>
      <c r="R43" s="161"/>
      <c r="S43" s="161"/>
      <c r="T43" s="161"/>
      <c r="U43" s="161"/>
      <c r="V43" s="161"/>
    </row>
    <row r="44">
      <c r="A44" s="157"/>
      <c r="B44" s="161"/>
      <c r="C44" s="193"/>
      <c r="D44" s="161"/>
      <c r="E44" s="193"/>
      <c r="F44" s="161"/>
      <c r="G44" s="161"/>
      <c r="H44" s="161"/>
      <c r="I44" s="161"/>
      <c r="J44" s="157"/>
      <c r="K44" s="161"/>
      <c r="L44" s="161"/>
      <c r="M44" s="161"/>
      <c r="N44" s="161"/>
      <c r="O44" s="161"/>
      <c r="P44" s="161"/>
      <c r="Q44" s="161"/>
      <c r="R44" s="161"/>
      <c r="S44" s="161"/>
      <c r="T44" s="161"/>
      <c r="U44" s="161"/>
      <c r="V44" s="161"/>
    </row>
    <row r="45">
      <c r="A45" s="157"/>
      <c r="B45" s="161"/>
      <c r="C45" s="193"/>
      <c r="D45" s="161"/>
      <c r="E45" s="193"/>
      <c r="F45" s="161"/>
      <c r="G45" s="161"/>
      <c r="H45" s="161"/>
      <c r="I45" s="161"/>
      <c r="J45" s="157"/>
      <c r="K45" s="161"/>
      <c r="L45" s="161"/>
      <c r="M45" s="161"/>
      <c r="N45" s="161"/>
      <c r="O45" s="161"/>
      <c r="P45" s="161"/>
      <c r="Q45" s="161"/>
      <c r="R45" s="161"/>
      <c r="S45" s="161"/>
      <c r="T45" s="161"/>
      <c r="U45" s="161"/>
      <c r="V45" s="161"/>
    </row>
    <row r="46">
      <c r="A46" s="157"/>
      <c r="B46" s="161"/>
      <c r="C46" s="193"/>
      <c r="D46" s="161"/>
      <c r="E46" s="193"/>
      <c r="F46" s="161"/>
      <c r="G46" s="161"/>
      <c r="H46" s="161"/>
      <c r="I46" s="161"/>
      <c r="J46" s="157"/>
      <c r="K46" s="161"/>
      <c r="L46" s="161"/>
      <c r="M46" s="161"/>
      <c r="N46" s="161"/>
      <c r="O46" s="161"/>
      <c r="P46" s="161"/>
      <c r="Q46" s="161"/>
      <c r="R46" s="161"/>
      <c r="S46" s="161"/>
      <c r="T46" s="161"/>
      <c r="U46" s="161"/>
      <c r="V46" s="161"/>
    </row>
    <row r="47">
      <c r="A47" s="157"/>
      <c r="B47" s="161"/>
      <c r="C47" s="193"/>
      <c r="D47" s="161"/>
      <c r="E47" s="193"/>
      <c r="F47" s="161"/>
      <c r="G47" s="161"/>
      <c r="H47" s="161"/>
      <c r="I47" s="161"/>
      <c r="J47" s="157"/>
      <c r="K47" s="161"/>
      <c r="L47" s="161"/>
      <c r="M47" s="161"/>
      <c r="N47" s="161"/>
      <c r="O47" s="161"/>
      <c r="P47" s="161"/>
      <c r="Q47" s="161"/>
      <c r="R47" s="161"/>
      <c r="S47" s="161"/>
      <c r="T47" s="161"/>
      <c r="U47" s="161"/>
      <c r="V47" s="161"/>
    </row>
    <row r="48">
      <c r="A48" s="157"/>
      <c r="B48" s="161"/>
      <c r="C48" s="193"/>
      <c r="D48" s="161"/>
      <c r="E48" s="193"/>
      <c r="F48" s="161"/>
      <c r="G48" s="161"/>
      <c r="H48" s="161"/>
      <c r="I48" s="161"/>
      <c r="J48" s="157"/>
      <c r="K48" s="161"/>
      <c r="L48" s="161"/>
      <c r="M48" s="161"/>
      <c r="N48" s="161"/>
      <c r="O48" s="161"/>
      <c r="P48" s="161"/>
      <c r="Q48" s="161"/>
      <c r="R48" s="161"/>
      <c r="S48" s="161"/>
      <c r="T48" s="161"/>
      <c r="U48" s="161"/>
      <c r="V48" s="161"/>
    </row>
    <row r="49">
      <c r="A49" s="157"/>
      <c r="B49" s="161"/>
      <c r="C49" s="193"/>
      <c r="D49" s="161"/>
      <c r="E49" s="193"/>
      <c r="F49" s="161"/>
      <c r="G49" s="161"/>
      <c r="H49" s="161"/>
      <c r="I49" s="161"/>
      <c r="J49" s="157"/>
      <c r="K49" s="161"/>
      <c r="L49" s="161"/>
      <c r="M49" s="161"/>
      <c r="N49" s="161"/>
      <c r="O49" s="161"/>
      <c r="P49" s="161"/>
      <c r="Q49" s="161"/>
      <c r="R49" s="161"/>
      <c r="S49" s="161"/>
      <c r="T49" s="161"/>
      <c r="U49" s="161"/>
      <c r="V49" s="161"/>
    </row>
    <row r="50">
      <c r="A50" s="157"/>
      <c r="B50" s="161"/>
      <c r="C50" s="193"/>
      <c r="D50" s="161"/>
      <c r="E50" s="193"/>
      <c r="F50" s="161"/>
      <c r="G50" s="161"/>
      <c r="H50" s="161"/>
      <c r="I50" s="161"/>
      <c r="J50" s="157"/>
      <c r="K50" s="161"/>
      <c r="L50" s="161"/>
      <c r="M50" s="161"/>
      <c r="N50" s="161"/>
      <c r="O50" s="161"/>
      <c r="P50" s="161"/>
      <c r="Q50" s="161"/>
      <c r="R50" s="161"/>
      <c r="S50" s="161"/>
      <c r="T50" s="161"/>
      <c r="U50" s="161"/>
      <c r="V50" s="161"/>
    </row>
    <row r="51">
      <c r="A51" s="157"/>
      <c r="B51" s="161"/>
      <c r="C51" s="193"/>
      <c r="D51" s="161"/>
      <c r="E51" s="193"/>
      <c r="F51" s="161"/>
      <c r="G51" s="161"/>
      <c r="H51" s="161"/>
      <c r="I51" s="161"/>
      <c r="J51" s="157"/>
      <c r="K51" s="161"/>
      <c r="L51" s="161"/>
      <c r="M51" s="161"/>
      <c r="N51" s="161"/>
      <c r="O51" s="161"/>
      <c r="P51" s="161"/>
      <c r="Q51" s="161"/>
      <c r="R51" s="161"/>
      <c r="S51" s="161"/>
      <c r="T51" s="161"/>
      <c r="U51" s="161"/>
      <c r="V51" s="161"/>
    </row>
    <row r="52">
      <c r="A52" s="157"/>
      <c r="B52" s="161"/>
      <c r="C52" s="193"/>
      <c r="D52" s="161"/>
      <c r="E52" s="193"/>
      <c r="F52" s="161"/>
      <c r="G52" s="161"/>
      <c r="H52" s="161"/>
      <c r="I52" s="161"/>
      <c r="J52" s="157"/>
      <c r="K52" s="161"/>
      <c r="L52" s="161"/>
      <c r="M52" s="161"/>
      <c r="N52" s="161"/>
      <c r="O52" s="161"/>
      <c r="P52" s="161"/>
      <c r="Q52" s="161"/>
      <c r="R52" s="161"/>
      <c r="S52" s="161"/>
      <c r="T52" s="161"/>
      <c r="U52" s="161"/>
      <c r="V52" s="161"/>
    </row>
    <row r="53">
      <c r="A53" s="157"/>
      <c r="B53" s="161"/>
      <c r="C53" s="193"/>
      <c r="D53" s="161"/>
      <c r="E53" s="193"/>
      <c r="F53" s="161"/>
      <c r="G53" s="161"/>
      <c r="H53" s="161"/>
      <c r="I53" s="161"/>
      <c r="J53" s="157"/>
      <c r="K53" s="161"/>
      <c r="L53" s="161"/>
      <c r="M53" s="161"/>
      <c r="N53" s="161"/>
      <c r="O53" s="161"/>
      <c r="P53" s="161"/>
      <c r="Q53" s="161"/>
      <c r="R53" s="161"/>
      <c r="S53" s="161"/>
      <c r="T53" s="161"/>
      <c r="U53" s="161"/>
      <c r="V53" s="161"/>
    </row>
    <row r="54">
      <c r="A54" s="157"/>
      <c r="B54" s="161"/>
      <c r="C54" s="193"/>
      <c r="D54" s="161"/>
      <c r="E54" s="193"/>
      <c r="F54" s="161"/>
      <c r="G54" s="161"/>
      <c r="H54" s="161"/>
      <c r="I54" s="161"/>
      <c r="J54" s="157"/>
      <c r="K54" s="161"/>
      <c r="L54" s="161"/>
      <c r="M54" s="161"/>
      <c r="N54" s="161"/>
      <c r="O54" s="161"/>
      <c r="P54" s="161"/>
      <c r="Q54" s="161"/>
      <c r="R54" s="161"/>
      <c r="S54" s="161"/>
      <c r="T54" s="161"/>
      <c r="U54" s="161"/>
      <c r="V54" s="161"/>
    </row>
    <row r="55">
      <c r="A55" s="157"/>
      <c r="B55" s="161"/>
      <c r="C55" s="193"/>
      <c r="D55" s="161"/>
      <c r="E55" s="193"/>
      <c r="F55" s="161"/>
      <c r="G55" s="161"/>
      <c r="H55" s="161"/>
      <c r="I55" s="161"/>
      <c r="J55" s="157"/>
      <c r="K55" s="161"/>
      <c r="L55" s="161"/>
      <c r="M55" s="161"/>
      <c r="N55" s="161"/>
      <c r="O55" s="161"/>
      <c r="P55" s="161"/>
      <c r="Q55" s="161"/>
      <c r="R55" s="161"/>
      <c r="S55" s="161"/>
      <c r="T55" s="161"/>
      <c r="U55" s="161"/>
      <c r="V55" s="161"/>
    </row>
    <row r="56">
      <c r="A56" s="157"/>
      <c r="B56" s="161"/>
      <c r="C56" s="193"/>
      <c r="D56" s="161"/>
      <c r="E56" s="193"/>
      <c r="F56" s="161"/>
      <c r="G56" s="161"/>
      <c r="H56" s="161"/>
      <c r="I56" s="161"/>
      <c r="J56" s="157"/>
      <c r="K56" s="161"/>
      <c r="L56" s="161"/>
      <c r="M56" s="161"/>
      <c r="N56" s="161"/>
      <c r="O56" s="161"/>
      <c r="P56" s="161"/>
      <c r="Q56" s="161"/>
      <c r="R56" s="161"/>
      <c r="S56" s="161"/>
      <c r="T56" s="161"/>
      <c r="U56" s="161"/>
      <c r="V56" s="161"/>
    </row>
    <row r="57">
      <c r="A57" s="157"/>
      <c r="B57" s="161"/>
      <c r="C57" s="193"/>
      <c r="D57" s="161"/>
      <c r="E57" s="193"/>
      <c r="F57" s="161"/>
      <c r="G57" s="161"/>
      <c r="H57" s="161"/>
      <c r="I57" s="161"/>
      <c r="J57" s="157"/>
      <c r="K57" s="161"/>
      <c r="L57" s="161"/>
      <c r="M57" s="161"/>
      <c r="N57" s="161"/>
      <c r="O57" s="161"/>
      <c r="P57" s="161"/>
      <c r="Q57" s="161"/>
      <c r="R57" s="161"/>
      <c r="S57" s="161"/>
      <c r="T57" s="161"/>
      <c r="U57" s="161"/>
      <c r="V57" s="161"/>
    </row>
    <row r="58">
      <c r="A58" s="157"/>
      <c r="B58" s="161"/>
      <c r="C58" s="193"/>
      <c r="D58" s="161"/>
      <c r="E58" s="193"/>
      <c r="F58" s="161"/>
      <c r="G58" s="161"/>
      <c r="H58" s="161"/>
      <c r="I58" s="161"/>
      <c r="J58" s="157"/>
      <c r="K58" s="161"/>
      <c r="L58" s="161"/>
      <c r="M58" s="161"/>
      <c r="N58" s="161"/>
      <c r="O58" s="161"/>
      <c r="P58" s="161"/>
      <c r="Q58" s="161"/>
      <c r="R58" s="161"/>
      <c r="S58" s="161"/>
      <c r="T58" s="161"/>
      <c r="U58" s="161"/>
      <c r="V58" s="161"/>
    </row>
    <row r="59">
      <c r="A59" s="157"/>
      <c r="B59" s="161"/>
      <c r="C59" s="193"/>
      <c r="D59" s="161"/>
      <c r="E59" s="193"/>
      <c r="F59" s="161"/>
      <c r="G59" s="161"/>
      <c r="H59" s="161"/>
      <c r="I59" s="161"/>
      <c r="J59" s="157"/>
      <c r="K59" s="161"/>
      <c r="L59" s="161"/>
      <c r="M59" s="161"/>
      <c r="N59" s="161"/>
      <c r="O59" s="161"/>
      <c r="P59" s="161"/>
      <c r="Q59" s="161"/>
      <c r="R59" s="161"/>
      <c r="S59" s="161"/>
      <c r="T59" s="161"/>
      <c r="U59" s="161"/>
      <c r="V59" s="161"/>
    </row>
    <row r="60">
      <c r="A60" s="157"/>
      <c r="B60" s="161"/>
      <c r="C60" s="193"/>
      <c r="D60" s="161"/>
      <c r="E60" s="193"/>
      <c r="F60" s="161"/>
      <c r="G60" s="161"/>
      <c r="H60" s="161"/>
      <c r="I60" s="161"/>
      <c r="J60" s="157"/>
      <c r="K60" s="161"/>
      <c r="L60" s="161"/>
      <c r="M60" s="161"/>
      <c r="N60" s="161"/>
      <c r="O60" s="161"/>
      <c r="P60" s="161"/>
      <c r="Q60" s="161"/>
      <c r="R60" s="161"/>
      <c r="S60" s="161"/>
      <c r="T60" s="161"/>
      <c r="U60" s="161"/>
      <c r="V60" s="161"/>
    </row>
    <row r="61">
      <c r="A61" s="157"/>
      <c r="B61" s="161"/>
      <c r="C61" s="193"/>
      <c r="D61" s="161"/>
      <c r="E61" s="193"/>
      <c r="F61" s="161"/>
      <c r="G61" s="161"/>
      <c r="H61" s="161"/>
      <c r="I61" s="161"/>
      <c r="J61" s="157"/>
      <c r="K61" s="161"/>
      <c r="L61" s="161"/>
      <c r="M61" s="161"/>
      <c r="N61" s="161"/>
      <c r="O61" s="161"/>
      <c r="P61" s="161"/>
      <c r="Q61" s="161"/>
      <c r="R61" s="161"/>
      <c r="S61" s="161"/>
      <c r="T61" s="161"/>
      <c r="U61" s="161"/>
      <c r="V61" s="161"/>
    </row>
    <row r="62">
      <c r="A62" s="157"/>
      <c r="B62" s="161"/>
      <c r="C62" s="193"/>
      <c r="D62" s="161"/>
      <c r="E62" s="193"/>
      <c r="F62" s="161"/>
      <c r="G62" s="161"/>
      <c r="H62" s="161"/>
      <c r="I62" s="161"/>
      <c r="J62" s="157"/>
      <c r="K62" s="161"/>
      <c r="L62" s="161"/>
      <c r="M62" s="161"/>
      <c r="N62" s="161"/>
      <c r="O62" s="161"/>
      <c r="P62" s="161"/>
      <c r="Q62" s="161"/>
      <c r="R62" s="161"/>
      <c r="S62" s="161"/>
      <c r="T62" s="161"/>
      <c r="U62" s="161"/>
      <c r="V62" s="161"/>
    </row>
    <row r="63">
      <c r="A63" s="157"/>
      <c r="B63" s="161"/>
      <c r="C63" s="193"/>
      <c r="D63" s="161"/>
      <c r="E63" s="193"/>
      <c r="F63" s="161"/>
      <c r="G63" s="161"/>
      <c r="H63" s="161"/>
      <c r="I63" s="161"/>
      <c r="J63" s="157"/>
      <c r="K63" s="161"/>
      <c r="L63" s="161"/>
      <c r="M63" s="161"/>
      <c r="N63" s="161"/>
      <c r="O63" s="161"/>
      <c r="P63" s="161"/>
      <c r="Q63" s="161"/>
      <c r="R63" s="161"/>
      <c r="S63" s="161"/>
      <c r="T63" s="161"/>
      <c r="U63" s="161"/>
      <c r="V63" s="161"/>
    </row>
    <row r="64">
      <c r="A64" s="157"/>
      <c r="B64" s="161"/>
      <c r="C64" s="193"/>
      <c r="D64" s="161"/>
      <c r="E64" s="193"/>
      <c r="F64" s="161"/>
      <c r="G64" s="161"/>
      <c r="H64" s="161"/>
      <c r="I64" s="161"/>
      <c r="J64" s="157"/>
      <c r="K64" s="161"/>
      <c r="L64" s="161"/>
      <c r="M64" s="161"/>
      <c r="N64" s="161"/>
      <c r="O64" s="161"/>
      <c r="P64" s="161"/>
      <c r="Q64" s="161"/>
      <c r="R64" s="161"/>
      <c r="S64" s="161"/>
      <c r="T64" s="161"/>
      <c r="U64" s="161"/>
      <c r="V64" s="161"/>
    </row>
    <row r="65">
      <c r="A65" s="157"/>
      <c r="B65" s="161"/>
      <c r="C65" s="193"/>
      <c r="D65" s="161"/>
      <c r="E65" s="193"/>
      <c r="F65" s="161"/>
      <c r="G65" s="161"/>
      <c r="H65" s="161"/>
      <c r="I65" s="161"/>
      <c r="J65" s="157"/>
      <c r="K65" s="161"/>
      <c r="L65" s="161"/>
      <c r="M65" s="161"/>
      <c r="N65" s="161"/>
      <c r="O65" s="161"/>
      <c r="P65" s="161"/>
      <c r="Q65" s="161"/>
      <c r="R65" s="161"/>
      <c r="S65" s="161"/>
      <c r="T65" s="161"/>
      <c r="U65" s="161"/>
      <c r="V65" s="161"/>
    </row>
    <row r="66">
      <c r="A66" s="157"/>
      <c r="B66" s="161"/>
      <c r="C66" s="193"/>
      <c r="D66" s="161"/>
      <c r="E66" s="193"/>
      <c r="F66" s="161"/>
      <c r="G66" s="161"/>
      <c r="H66" s="161"/>
      <c r="I66" s="161"/>
      <c r="J66" s="157"/>
      <c r="K66" s="161"/>
      <c r="L66" s="161"/>
      <c r="M66" s="161"/>
      <c r="N66" s="161"/>
      <c r="O66" s="161"/>
      <c r="P66" s="161"/>
      <c r="Q66" s="161"/>
      <c r="R66" s="161"/>
      <c r="S66" s="161"/>
      <c r="T66" s="161"/>
      <c r="U66" s="161"/>
      <c r="V66" s="161"/>
    </row>
    <row r="67">
      <c r="A67" s="157"/>
      <c r="B67" s="161"/>
      <c r="C67" s="193"/>
      <c r="D67" s="161"/>
      <c r="E67" s="193"/>
      <c r="F67" s="161"/>
      <c r="G67" s="161"/>
      <c r="H67" s="161"/>
      <c r="I67" s="161"/>
      <c r="J67" s="157"/>
      <c r="K67" s="161"/>
      <c r="L67" s="161"/>
      <c r="M67" s="161"/>
      <c r="N67" s="161"/>
      <c r="O67" s="161"/>
      <c r="P67" s="161"/>
      <c r="Q67" s="161"/>
      <c r="R67" s="161"/>
      <c r="S67" s="161"/>
      <c r="T67" s="161"/>
      <c r="U67" s="161"/>
      <c r="V67" s="161"/>
    </row>
    <row r="68">
      <c r="A68" s="157"/>
      <c r="B68" s="161"/>
      <c r="C68" s="193"/>
      <c r="D68" s="161"/>
      <c r="E68" s="193"/>
      <c r="F68" s="161"/>
      <c r="G68" s="161"/>
      <c r="H68" s="161"/>
      <c r="I68" s="161"/>
      <c r="J68" s="157"/>
      <c r="K68" s="161"/>
      <c r="L68" s="161"/>
      <c r="M68" s="161"/>
      <c r="N68" s="161"/>
      <c r="O68" s="161"/>
      <c r="P68" s="161"/>
      <c r="Q68" s="161"/>
      <c r="R68" s="161"/>
      <c r="S68" s="161"/>
      <c r="T68" s="161"/>
      <c r="U68" s="161"/>
      <c r="V68" s="161"/>
    </row>
    <row r="69">
      <c r="A69" s="157"/>
      <c r="B69" s="161"/>
      <c r="C69" s="193"/>
      <c r="D69" s="161"/>
      <c r="E69" s="193"/>
      <c r="F69" s="161"/>
      <c r="G69" s="161"/>
      <c r="H69" s="161"/>
      <c r="I69" s="161"/>
      <c r="J69" s="157"/>
      <c r="K69" s="161"/>
      <c r="L69" s="161"/>
      <c r="M69" s="161"/>
      <c r="N69" s="161"/>
      <c r="O69" s="161"/>
      <c r="P69" s="161"/>
      <c r="Q69" s="161"/>
      <c r="R69" s="161"/>
      <c r="S69" s="161"/>
      <c r="T69" s="161"/>
      <c r="U69" s="161"/>
      <c r="V69" s="161"/>
    </row>
    <row r="70">
      <c r="A70" s="157"/>
      <c r="B70" s="161"/>
      <c r="C70" s="193"/>
      <c r="D70" s="161"/>
      <c r="E70" s="193"/>
      <c r="F70" s="161"/>
      <c r="G70" s="161"/>
      <c r="H70" s="161"/>
      <c r="I70" s="161"/>
      <c r="J70" s="157"/>
      <c r="K70" s="161"/>
      <c r="L70" s="161"/>
      <c r="M70" s="161"/>
      <c r="N70" s="161"/>
      <c r="O70" s="161"/>
      <c r="P70" s="161"/>
      <c r="Q70" s="161"/>
      <c r="R70" s="161"/>
      <c r="S70" s="161"/>
      <c r="T70" s="161"/>
      <c r="U70" s="161"/>
      <c r="V70" s="161"/>
    </row>
    <row r="71">
      <c r="A71" s="157"/>
      <c r="B71" s="161"/>
      <c r="C71" s="193"/>
      <c r="D71" s="161"/>
      <c r="E71" s="193"/>
      <c r="F71" s="161"/>
      <c r="G71" s="161"/>
      <c r="H71" s="161"/>
      <c r="I71" s="161"/>
      <c r="J71" s="157"/>
      <c r="K71" s="161"/>
      <c r="L71" s="161"/>
      <c r="M71" s="161"/>
      <c r="N71" s="161"/>
      <c r="O71" s="161"/>
      <c r="P71" s="161"/>
      <c r="Q71" s="161"/>
      <c r="R71" s="161"/>
      <c r="S71" s="161"/>
      <c r="T71" s="161"/>
      <c r="U71" s="161"/>
      <c r="V71" s="161"/>
    </row>
    <row r="72">
      <c r="A72" s="157"/>
      <c r="B72" s="161"/>
      <c r="C72" s="193"/>
      <c r="D72" s="161"/>
      <c r="E72" s="193"/>
      <c r="F72" s="161"/>
      <c r="G72" s="161"/>
      <c r="H72" s="161"/>
      <c r="I72" s="161"/>
      <c r="J72" s="157"/>
      <c r="K72" s="161"/>
      <c r="L72" s="161"/>
      <c r="M72" s="161"/>
      <c r="N72" s="161"/>
      <c r="O72" s="161"/>
      <c r="P72" s="161"/>
      <c r="Q72" s="161"/>
      <c r="R72" s="161"/>
      <c r="S72" s="161"/>
      <c r="T72" s="161"/>
      <c r="U72" s="161"/>
      <c r="V72" s="161"/>
    </row>
    <row r="73">
      <c r="A73" s="157"/>
      <c r="B73" s="161"/>
      <c r="C73" s="193"/>
      <c r="D73" s="161"/>
      <c r="E73" s="193"/>
      <c r="F73" s="161"/>
      <c r="G73" s="161"/>
      <c r="H73" s="161"/>
      <c r="I73" s="161"/>
      <c r="J73" s="157"/>
      <c r="K73" s="161"/>
      <c r="L73" s="161"/>
      <c r="M73" s="161"/>
      <c r="N73" s="161"/>
      <c r="O73" s="161"/>
      <c r="P73" s="161"/>
      <c r="Q73" s="161"/>
      <c r="R73" s="161"/>
      <c r="S73" s="161"/>
      <c r="T73" s="161"/>
      <c r="U73" s="161"/>
      <c r="V73" s="161"/>
    </row>
    <row r="74">
      <c r="A74" s="157"/>
      <c r="B74" s="161"/>
      <c r="C74" s="193"/>
      <c r="D74" s="161"/>
      <c r="E74" s="193"/>
      <c r="F74" s="161"/>
      <c r="G74" s="161"/>
      <c r="H74" s="161"/>
      <c r="I74" s="161"/>
      <c r="J74" s="157"/>
      <c r="K74" s="161"/>
      <c r="L74" s="161"/>
      <c r="M74" s="161"/>
      <c r="N74" s="161"/>
      <c r="O74" s="161"/>
      <c r="P74" s="161"/>
      <c r="Q74" s="161"/>
      <c r="R74" s="161"/>
      <c r="S74" s="161"/>
      <c r="T74" s="161"/>
      <c r="U74" s="161"/>
      <c r="V74" s="161"/>
    </row>
    <row r="75">
      <c r="A75" s="157"/>
      <c r="B75" s="161"/>
      <c r="C75" s="193"/>
      <c r="D75" s="161"/>
      <c r="E75" s="193"/>
      <c r="F75" s="161"/>
      <c r="G75" s="161"/>
      <c r="H75" s="161"/>
      <c r="I75" s="161"/>
      <c r="J75" s="157"/>
      <c r="K75" s="161"/>
      <c r="L75" s="161"/>
      <c r="M75" s="161"/>
      <c r="N75" s="161"/>
      <c r="O75" s="161"/>
      <c r="P75" s="161"/>
      <c r="Q75" s="161"/>
      <c r="R75" s="161"/>
      <c r="S75" s="161"/>
      <c r="T75" s="161"/>
      <c r="U75" s="161"/>
      <c r="V75" s="161"/>
    </row>
    <row r="76">
      <c r="A76" s="157"/>
      <c r="B76" s="161"/>
      <c r="C76" s="193"/>
      <c r="D76" s="161"/>
      <c r="E76" s="193"/>
      <c r="F76" s="161"/>
      <c r="G76" s="161"/>
      <c r="H76" s="161"/>
      <c r="I76" s="161"/>
      <c r="J76" s="157"/>
      <c r="K76" s="161"/>
      <c r="L76" s="161"/>
      <c r="M76" s="161"/>
      <c r="N76" s="161"/>
      <c r="O76" s="161"/>
      <c r="P76" s="161"/>
      <c r="Q76" s="161"/>
      <c r="R76" s="161"/>
      <c r="S76" s="161"/>
      <c r="T76" s="161"/>
      <c r="U76" s="161"/>
      <c r="V76" s="161"/>
    </row>
    <row r="77">
      <c r="A77" s="157"/>
      <c r="B77" s="161"/>
      <c r="C77" s="193"/>
      <c r="D77" s="161"/>
      <c r="E77" s="193"/>
      <c r="F77" s="161"/>
      <c r="G77" s="161"/>
      <c r="H77" s="161"/>
      <c r="I77" s="161"/>
      <c r="J77" s="157"/>
      <c r="K77" s="161"/>
      <c r="L77" s="161"/>
      <c r="M77" s="161"/>
      <c r="N77" s="161"/>
      <c r="O77" s="161"/>
      <c r="P77" s="161"/>
      <c r="Q77" s="161"/>
      <c r="R77" s="161"/>
      <c r="S77" s="161"/>
      <c r="T77" s="161"/>
      <c r="U77" s="161"/>
      <c r="V77" s="161"/>
    </row>
    <row r="78">
      <c r="A78" s="157"/>
      <c r="B78" s="161"/>
      <c r="C78" s="193"/>
      <c r="D78" s="161"/>
      <c r="E78" s="193"/>
      <c r="F78" s="161"/>
      <c r="G78" s="161"/>
      <c r="H78" s="161"/>
      <c r="I78" s="161"/>
      <c r="J78" s="157"/>
      <c r="K78" s="161"/>
      <c r="L78" s="161"/>
      <c r="M78" s="161"/>
      <c r="N78" s="161"/>
      <c r="O78" s="161"/>
      <c r="P78" s="161"/>
      <c r="Q78" s="161"/>
      <c r="R78" s="161"/>
      <c r="S78" s="161"/>
      <c r="T78" s="161"/>
      <c r="U78" s="161"/>
      <c r="V78" s="161"/>
    </row>
    <row r="79">
      <c r="A79" s="157"/>
      <c r="B79" s="161"/>
      <c r="C79" s="193"/>
      <c r="D79" s="161"/>
      <c r="E79" s="193"/>
      <c r="F79" s="161"/>
      <c r="G79" s="161"/>
      <c r="H79" s="161"/>
      <c r="I79" s="161"/>
      <c r="J79" s="157"/>
      <c r="K79" s="161"/>
      <c r="L79" s="161"/>
      <c r="M79" s="161"/>
      <c r="N79" s="161"/>
      <c r="O79" s="161"/>
      <c r="P79" s="161"/>
      <c r="Q79" s="161"/>
      <c r="R79" s="161"/>
      <c r="S79" s="161"/>
      <c r="T79" s="161"/>
      <c r="U79" s="161"/>
      <c r="V79" s="161"/>
    </row>
    <row r="80">
      <c r="A80" s="157"/>
      <c r="B80" s="161"/>
      <c r="C80" s="193"/>
      <c r="D80" s="161"/>
      <c r="E80" s="193"/>
      <c r="F80" s="161"/>
      <c r="G80" s="161"/>
      <c r="H80" s="161"/>
      <c r="I80" s="161"/>
      <c r="J80" s="157"/>
      <c r="K80" s="161"/>
      <c r="L80" s="161"/>
      <c r="M80" s="161"/>
      <c r="N80" s="161"/>
      <c r="O80" s="161"/>
      <c r="P80" s="161"/>
      <c r="Q80" s="161"/>
      <c r="R80" s="161"/>
      <c r="S80" s="161"/>
      <c r="T80" s="161"/>
      <c r="U80" s="161"/>
      <c r="V80" s="161"/>
    </row>
    <row r="81">
      <c r="A81" s="157"/>
      <c r="B81" s="161"/>
      <c r="C81" s="193"/>
      <c r="D81" s="161"/>
      <c r="E81" s="193"/>
      <c r="F81" s="161"/>
      <c r="G81" s="161"/>
      <c r="H81" s="161"/>
      <c r="I81" s="161"/>
      <c r="J81" s="157"/>
      <c r="K81" s="161"/>
      <c r="L81" s="161"/>
      <c r="M81" s="161"/>
      <c r="N81" s="161"/>
      <c r="O81" s="161"/>
      <c r="P81" s="161"/>
      <c r="Q81" s="161"/>
      <c r="R81" s="161"/>
      <c r="S81" s="161"/>
      <c r="T81" s="161"/>
      <c r="U81" s="161"/>
      <c r="V81" s="161"/>
    </row>
    <row r="82">
      <c r="A82" s="157"/>
      <c r="B82" s="161"/>
      <c r="C82" s="193"/>
      <c r="D82" s="161"/>
      <c r="E82" s="193"/>
      <c r="F82" s="161"/>
      <c r="G82" s="161"/>
      <c r="H82" s="161"/>
      <c r="I82" s="161"/>
      <c r="J82" s="157"/>
      <c r="K82" s="161"/>
      <c r="L82" s="161"/>
      <c r="M82" s="161"/>
      <c r="N82" s="161"/>
      <c r="O82" s="161"/>
      <c r="P82" s="161"/>
      <c r="Q82" s="161"/>
      <c r="R82" s="161"/>
      <c r="S82" s="161"/>
      <c r="T82" s="161"/>
      <c r="U82" s="161"/>
      <c r="V82" s="161"/>
    </row>
    <row r="83">
      <c r="A83" s="157"/>
      <c r="B83" s="161"/>
      <c r="C83" s="193"/>
      <c r="D83" s="161"/>
      <c r="E83" s="193"/>
      <c r="F83" s="161"/>
      <c r="G83" s="161"/>
      <c r="H83" s="161"/>
      <c r="I83" s="161"/>
      <c r="J83" s="157"/>
      <c r="K83" s="161"/>
      <c r="L83" s="161"/>
      <c r="M83" s="161"/>
      <c r="N83" s="161"/>
      <c r="O83" s="161"/>
      <c r="P83" s="161"/>
      <c r="Q83" s="161"/>
      <c r="R83" s="161"/>
      <c r="S83" s="161"/>
      <c r="T83" s="161"/>
      <c r="U83" s="161"/>
      <c r="V83" s="161"/>
    </row>
    <row r="84">
      <c r="A84" s="157"/>
      <c r="B84" s="161"/>
      <c r="C84" s="193"/>
      <c r="D84" s="161"/>
      <c r="E84" s="193"/>
      <c r="F84" s="161"/>
      <c r="G84" s="161"/>
      <c r="H84" s="161"/>
      <c r="I84" s="161"/>
      <c r="J84" s="157"/>
      <c r="K84" s="161"/>
      <c r="L84" s="161"/>
      <c r="M84" s="161"/>
      <c r="N84" s="161"/>
      <c r="O84" s="161"/>
      <c r="P84" s="161"/>
      <c r="Q84" s="161"/>
      <c r="R84" s="161"/>
      <c r="S84" s="161"/>
      <c r="T84" s="161"/>
      <c r="U84" s="161"/>
      <c r="V84" s="161"/>
    </row>
    <row r="85">
      <c r="A85" s="157"/>
      <c r="B85" s="161"/>
      <c r="C85" s="193"/>
      <c r="D85" s="161"/>
      <c r="E85" s="193"/>
      <c r="F85" s="161"/>
      <c r="G85" s="161"/>
      <c r="H85" s="161"/>
      <c r="I85" s="161"/>
      <c r="J85" s="157"/>
      <c r="K85" s="161"/>
      <c r="L85" s="161"/>
      <c r="M85" s="161"/>
      <c r="N85" s="161"/>
      <c r="O85" s="161"/>
      <c r="P85" s="161"/>
      <c r="Q85" s="161"/>
      <c r="R85" s="161"/>
      <c r="S85" s="161"/>
      <c r="T85" s="161"/>
      <c r="U85" s="161"/>
      <c r="V85" s="161"/>
    </row>
    <row r="86">
      <c r="A86" s="157"/>
      <c r="B86" s="161"/>
      <c r="C86" s="193"/>
      <c r="D86" s="161"/>
      <c r="E86" s="193"/>
      <c r="F86" s="161"/>
      <c r="G86" s="161"/>
      <c r="H86" s="161"/>
      <c r="I86" s="161"/>
      <c r="J86" s="157"/>
      <c r="K86" s="161"/>
      <c r="L86" s="161"/>
      <c r="M86" s="161"/>
      <c r="N86" s="161"/>
      <c r="O86" s="161"/>
      <c r="P86" s="161"/>
      <c r="Q86" s="161"/>
      <c r="R86" s="161"/>
      <c r="S86" s="161"/>
      <c r="T86" s="161"/>
      <c r="U86" s="161"/>
      <c r="V86" s="161"/>
    </row>
    <row r="87">
      <c r="A87" s="157"/>
      <c r="B87" s="161"/>
      <c r="C87" s="193"/>
      <c r="D87" s="161"/>
      <c r="E87" s="193"/>
      <c r="F87" s="161"/>
      <c r="G87" s="161"/>
      <c r="H87" s="161"/>
      <c r="I87" s="161"/>
      <c r="J87" s="157"/>
      <c r="K87" s="161"/>
      <c r="L87" s="161"/>
      <c r="M87" s="161"/>
      <c r="N87" s="161"/>
      <c r="O87" s="161"/>
      <c r="P87" s="161"/>
      <c r="Q87" s="161"/>
      <c r="R87" s="161"/>
      <c r="S87" s="161"/>
      <c r="T87" s="161"/>
      <c r="U87" s="161"/>
      <c r="V87" s="161"/>
    </row>
    <row r="88">
      <c r="A88" s="157"/>
      <c r="B88" s="161"/>
      <c r="C88" s="193"/>
      <c r="D88" s="161"/>
      <c r="E88" s="193"/>
      <c r="F88" s="161"/>
      <c r="G88" s="161"/>
      <c r="H88" s="161"/>
      <c r="I88" s="161"/>
      <c r="J88" s="157"/>
      <c r="K88" s="161"/>
      <c r="L88" s="161"/>
      <c r="M88" s="161"/>
      <c r="N88" s="161"/>
      <c r="O88" s="161"/>
      <c r="P88" s="161"/>
      <c r="Q88" s="161"/>
      <c r="R88" s="161"/>
      <c r="S88" s="161"/>
      <c r="T88" s="161"/>
      <c r="U88" s="161"/>
      <c r="V88" s="161"/>
    </row>
    <row r="89">
      <c r="A89" s="157"/>
      <c r="B89" s="161"/>
      <c r="C89" s="193"/>
      <c r="D89" s="161"/>
      <c r="E89" s="193"/>
      <c r="F89" s="161"/>
      <c r="G89" s="161"/>
      <c r="H89" s="161"/>
      <c r="I89" s="161"/>
      <c r="J89" s="157"/>
      <c r="K89" s="161"/>
      <c r="L89" s="161"/>
      <c r="M89" s="161"/>
      <c r="N89" s="161"/>
      <c r="O89" s="161"/>
      <c r="P89" s="161"/>
      <c r="Q89" s="161"/>
      <c r="R89" s="161"/>
      <c r="S89" s="161"/>
      <c r="T89" s="161"/>
      <c r="U89" s="161"/>
      <c r="V89" s="161"/>
    </row>
    <row r="90">
      <c r="A90" s="157"/>
      <c r="B90" s="161"/>
      <c r="C90" s="193"/>
      <c r="D90" s="161"/>
      <c r="E90" s="193"/>
      <c r="F90" s="161"/>
      <c r="G90" s="161"/>
      <c r="H90" s="161"/>
      <c r="I90" s="161"/>
      <c r="J90" s="157"/>
      <c r="K90" s="161"/>
      <c r="L90" s="161"/>
      <c r="M90" s="161"/>
      <c r="N90" s="161"/>
      <c r="O90" s="161"/>
      <c r="P90" s="161"/>
      <c r="Q90" s="161"/>
      <c r="R90" s="161"/>
      <c r="S90" s="161"/>
      <c r="T90" s="161"/>
      <c r="U90" s="161"/>
      <c r="V90" s="161"/>
    </row>
    <row r="91">
      <c r="A91" s="157"/>
      <c r="B91" s="161"/>
      <c r="C91" s="193"/>
      <c r="D91" s="161"/>
      <c r="E91" s="193"/>
      <c r="F91" s="161"/>
      <c r="G91" s="161"/>
      <c r="H91" s="161"/>
      <c r="I91" s="161"/>
      <c r="J91" s="157"/>
      <c r="K91" s="161"/>
      <c r="L91" s="161"/>
      <c r="M91" s="161"/>
      <c r="N91" s="161"/>
      <c r="O91" s="161"/>
      <c r="P91" s="161"/>
      <c r="Q91" s="161"/>
      <c r="R91" s="161"/>
      <c r="S91" s="161"/>
      <c r="T91" s="161"/>
      <c r="U91" s="161"/>
      <c r="V91" s="161"/>
    </row>
    <row r="92">
      <c r="A92" s="157"/>
      <c r="B92" s="161"/>
      <c r="C92" s="193"/>
      <c r="D92" s="161"/>
      <c r="E92" s="193"/>
      <c r="F92" s="161"/>
      <c r="G92" s="161"/>
      <c r="H92" s="161"/>
      <c r="I92" s="161"/>
      <c r="J92" s="157"/>
      <c r="K92" s="161"/>
      <c r="L92" s="161"/>
      <c r="M92" s="161"/>
      <c r="N92" s="161"/>
      <c r="O92" s="161"/>
      <c r="P92" s="161"/>
      <c r="Q92" s="161"/>
      <c r="R92" s="161"/>
      <c r="S92" s="161"/>
      <c r="T92" s="161"/>
      <c r="U92" s="161"/>
      <c r="V92" s="161"/>
    </row>
    <row r="93">
      <c r="A93" s="157"/>
      <c r="B93" s="161"/>
      <c r="C93" s="193"/>
      <c r="D93" s="161"/>
      <c r="E93" s="193"/>
      <c r="F93" s="161"/>
      <c r="G93" s="161"/>
      <c r="H93" s="161"/>
      <c r="I93" s="161"/>
      <c r="J93" s="157"/>
      <c r="K93" s="161"/>
      <c r="L93" s="161"/>
      <c r="M93" s="161"/>
      <c r="N93" s="161"/>
      <c r="O93" s="161"/>
      <c r="P93" s="161"/>
      <c r="Q93" s="161"/>
      <c r="R93" s="161"/>
      <c r="S93" s="161"/>
      <c r="T93" s="161"/>
      <c r="U93" s="161"/>
      <c r="V93" s="161"/>
    </row>
    <row r="94">
      <c r="A94" s="157"/>
      <c r="B94" s="161"/>
      <c r="C94" s="193"/>
      <c r="D94" s="161"/>
      <c r="E94" s="193"/>
      <c r="F94" s="161"/>
      <c r="G94" s="161"/>
      <c r="H94" s="161"/>
      <c r="I94" s="161"/>
      <c r="J94" s="157"/>
      <c r="K94" s="161"/>
      <c r="L94" s="161"/>
      <c r="M94" s="161"/>
      <c r="N94" s="161"/>
      <c r="O94" s="161"/>
      <c r="P94" s="161"/>
      <c r="Q94" s="161"/>
      <c r="R94" s="161"/>
      <c r="S94" s="161"/>
      <c r="T94" s="161"/>
      <c r="U94" s="161"/>
      <c r="V94" s="161"/>
    </row>
    <row r="95">
      <c r="A95" s="157"/>
      <c r="B95" s="161"/>
      <c r="C95" s="193"/>
      <c r="D95" s="161"/>
      <c r="E95" s="193"/>
      <c r="F95" s="161"/>
      <c r="G95" s="161"/>
      <c r="H95" s="161"/>
      <c r="I95" s="161"/>
      <c r="J95" s="157"/>
      <c r="K95" s="161"/>
      <c r="L95" s="161"/>
      <c r="M95" s="161"/>
      <c r="N95" s="161"/>
      <c r="O95" s="161"/>
      <c r="P95" s="161"/>
      <c r="Q95" s="161"/>
      <c r="R95" s="161"/>
      <c r="S95" s="161"/>
      <c r="T95" s="161"/>
      <c r="U95" s="161"/>
      <c r="V95" s="161"/>
    </row>
    <row r="96">
      <c r="A96" s="157"/>
      <c r="B96" s="161"/>
      <c r="C96" s="193"/>
      <c r="D96" s="161"/>
      <c r="E96" s="193"/>
      <c r="F96" s="161"/>
      <c r="G96" s="161"/>
      <c r="H96" s="161"/>
      <c r="I96" s="161"/>
      <c r="J96" s="157"/>
      <c r="K96" s="161"/>
      <c r="L96" s="161"/>
      <c r="M96" s="161"/>
      <c r="N96" s="161"/>
      <c r="O96" s="161"/>
      <c r="P96" s="161"/>
      <c r="Q96" s="161"/>
      <c r="R96" s="161"/>
      <c r="S96" s="161"/>
      <c r="T96" s="161"/>
      <c r="U96" s="161"/>
      <c r="V96" s="161"/>
    </row>
    <row r="97">
      <c r="A97" s="157"/>
      <c r="B97" s="161"/>
      <c r="C97" s="193"/>
      <c r="D97" s="161"/>
      <c r="E97" s="193"/>
      <c r="F97" s="161"/>
      <c r="G97" s="161"/>
      <c r="H97" s="161"/>
      <c r="I97" s="161"/>
      <c r="J97" s="157"/>
      <c r="K97" s="161"/>
      <c r="L97" s="161"/>
      <c r="M97" s="161"/>
      <c r="N97" s="161"/>
      <c r="O97" s="161"/>
      <c r="P97" s="161"/>
      <c r="Q97" s="161"/>
      <c r="R97" s="161"/>
      <c r="S97" s="161"/>
      <c r="T97" s="161"/>
      <c r="U97" s="161"/>
      <c r="V97" s="161"/>
    </row>
    <row r="98">
      <c r="A98" s="157"/>
      <c r="B98" s="161"/>
      <c r="C98" s="193"/>
      <c r="D98" s="161"/>
      <c r="E98" s="193"/>
      <c r="F98" s="161"/>
      <c r="G98" s="161"/>
      <c r="H98" s="161"/>
      <c r="I98" s="161"/>
      <c r="J98" s="157"/>
      <c r="K98" s="161"/>
      <c r="L98" s="161"/>
      <c r="M98" s="161"/>
      <c r="N98" s="161"/>
      <c r="O98" s="161"/>
      <c r="P98" s="161"/>
      <c r="Q98" s="161"/>
      <c r="R98" s="161"/>
      <c r="S98" s="161"/>
      <c r="T98" s="161"/>
      <c r="U98" s="161"/>
      <c r="V98" s="161"/>
    </row>
    <row r="99">
      <c r="A99" s="157"/>
      <c r="B99" s="161"/>
      <c r="C99" s="193"/>
      <c r="D99" s="161"/>
      <c r="E99" s="193"/>
      <c r="F99" s="161"/>
      <c r="G99" s="161"/>
      <c r="H99" s="161"/>
      <c r="I99" s="161"/>
      <c r="J99" s="157"/>
      <c r="K99" s="161"/>
      <c r="L99" s="161"/>
      <c r="M99" s="161"/>
      <c r="N99" s="161"/>
      <c r="O99" s="161"/>
      <c r="P99" s="161"/>
      <c r="Q99" s="161"/>
      <c r="R99" s="161"/>
      <c r="S99" s="161"/>
      <c r="T99" s="161"/>
      <c r="U99" s="161"/>
      <c r="V99" s="161"/>
    </row>
    <row r="100">
      <c r="A100" s="157"/>
      <c r="B100" s="161"/>
      <c r="C100" s="193"/>
      <c r="D100" s="161"/>
      <c r="E100" s="193"/>
      <c r="F100" s="161"/>
      <c r="G100" s="161"/>
      <c r="H100" s="161"/>
      <c r="I100" s="161"/>
      <c r="J100" s="157"/>
      <c r="K100" s="161"/>
      <c r="L100" s="161"/>
      <c r="M100" s="161"/>
      <c r="N100" s="161"/>
      <c r="O100" s="161"/>
      <c r="P100" s="161"/>
      <c r="Q100" s="161"/>
      <c r="R100" s="161"/>
      <c r="S100" s="161"/>
      <c r="T100" s="161"/>
      <c r="U100" s="161"/>
      <c r="V100" s="161"/>
    </row>
    <row r="101">
      <c r="A101" s="157"/>
      <c r="B101" s="161"/>
      <c r="C101" s="193"/>
      <c r="D101" s="161"/>
      <c r="E101" s="193"/>
      <c r="F101" s="161"/>
      <c r="G101" s="161"/>
      <c r="H101" s="161"/>
      <c r="I101" s="161"/>
      <c r="J101" s="157"/>
      <c r="K101" s="161"/>
      <c r="L101" s="161"/>
      <c r="M101" s="161"/>
      <c r="N101" s="161"/>
      <c r="O101" s="161"/>
      <c r="P101" s="161"/>
      <c r="Q101" s="161"/>
      <c r="R101" s="161"/>
      <c r="S101" s="161"/>
      <c r="T101" s="161"/>
      <c r="U101" s="161"/>
      <c r="V101" s="161"/>
    </row>
    <row r="102">
      <c r="A102" s="157"/>
      <c r="B102" s="161"/>
      <c r="C102" s="193"/>
      <c r="D102" s="161"/>
      <c r="E102" s="193"/>
      <c r="F102" s="161"/>
      <c r="G102" s="161"/>
      <c r="H102" s="161"/>
      <c r="I102" s="161"/>
      <c r="J102" s="157"/>
      <c r="K102" s="161"/>
      <c r="L102" s="161"/>
      <c r="M102" s="161"/>
      <c r="N102" s="161"/>
      <c r="O102" s="161"/>
      <c r="P102" s="161"/>
      <c r="Q102" s="161"/>
      <c r="R102" s="161"/>
      <c r="S102" s="161"/>
      <c r="T102" s="161"/>
      <c r="U102" s="161"/>
      <c r="V102" s="161"/>
    </row>
    <row r="103">
      <c r="A103" s="157"/>
      <c r="B103" s="161"/>
      <c r="C103" s="193"/>
      <c r="D103" s="161"/>
      <c r="E103" s="193"/>
      <c r="F103" s="161"/>
      <c r="G103" s="161"/>
      <c r="H103" s="161"/>
      <c r="I103" s="161"/>
      <c r="J103" s="157"/>
      <c r="K103" s="161"/>
      <c r="L103" s="161"/>
      <c r="M103" s="161"/>
      <c r="N103" s="161"/>
      <c r="O103" s="161"/>
      <c r="P103" s="161"/>
      <c r="Q103" s="161"/>
      <c r="R103" s="161"/>
      <c r="S103" s="161"/>
      <c r="T103" s="161"/>
      <c r="U103" s="161"/>
      <c r="V103" s="161"/>
    </row>
    <row r="104">
      <c r="A104" s="157"/>
      <c r="B104" s="161"/>
      <c r="C104" s="193"/>
      <c r="D104" s="161"/>
      <c r="E104" s="193"/>
      <c r="F104" s="161"/>
      <c r="G104" s="161"/>
      <c r="H104" s="161"/>
      <c r="I104" s="161"/>
      <c r="J104" s="157"/>
      <c r="K104" s="161"/>
      <c r="L104" s="161"/>
      <c r="M104" s="161"/>
      <c r="N104" s="161"/>
      <c r="O104" s="161"/>
      <c r="P104" s="161"/>
      <c r="Q104" s="161"/>
      <c r="R104" s="161"/>
      <c r="S104" s="161"/>
      <c r="T104" s="161"/>
      <c r="U104" s="161"/>
      <c r="V104" s="161"/>
    </row>
    <row r="105">
      <c r="A105" s="157"/>
      <c r="B105" s="161"/>
      <c r="C105" s="193"/>
      <c r="D105" s="161"/>
      <c r="E105" s="193"/>
      <c r="F105" s="161"/>
      <c r="G105" s="161"/>
      <c r="H105" s="161"/>
      <c r="I105" s="161"/>
      <c r="J105" s="157"/>
      <c r="K105" s="161"/>
      <c r="L105" s="161"/>
      <c r="M105" s="161"/>
      <c r="N105" s="161"/>
      <c r="O105" s="161"/>
      <c r="P105" s="161"/>
      <c r="Q105" s="161"/>
      <c r="R105" s="161"/>
      <c r="S105" s="161"/>
      <c r="T105" s="161"/>
      <c r="U105" s="161"/>
      <c r="V105" s="161"/>
    </row>
    <row r="106">
      <c r="A106" s="157"/>
      <c r="B106" s="161"/>
      <c r="C106" s="193"/>
      <c r="D106" s="161"/>
      <c r="E106" s="193"/>
      <c r="F106" s="161"/>
      <c r="G106" s="161"/>
      <c r="H106" s="161"/>
      <c r="I106" s="161"/>
      <c r="J106" s="157"/>
      <c r="K106" s="161"/>
      <c r="L106" s="161"/>
      <c r="M106" s="161"/>
      <c r="N106" s="161"/>
      <c r="O106" s="161"/>
      <c r="P106" s="161"/>
      <c r="Q106" s="161"/>
      <c r="R106" s="161"/>
      <c r="S106" s="161"/>
      <c r="T106" s="161"/>
      <c r="U106" s="161"/>
      <c r="V106" s="161"/>
    </row>
    <row r="107">
      <c r="A107" s="157"/>
      <c r="B107" s="161"/>
      <c r="C107" s="193"/>
      <c r="D107" s="161"/>
      <c r="E107" s="193"/>
      <c r="F107" s="161"/>
      <c r="G107" s="161"/>
      <c r="H107" s="161"/>
      <c r="I107" s="161"/>
      <c r="J107" s="157"/>
      <c r="K107" s="161"/>
      <c r="L107" s="161"/>
      <c r="M107" s="161"/>
      <c r="N107" s="161"/>
      <c r="O107" s="161"/>
      <c r="P107" s="161"/>
      <c r="Q107" s="161"/>
      <c r="R107" s="161"/>
      <c r="S107" s="161"/>
      <c r="T107" s="161"/>
      <c r="U107" s="161"/>
      <c r="V107" s="161"/>
    </row>
    <row r="108">
      <c r="A108" s="157"/>
      <c r="B108" s="161"/>
      <c r="C108" s="193"/>
      <c r="D108" s="161"/>
      <c r="E108" s="193"/>
      <c r="F108" s="161"/>
      <c r="G108" s="161"/>
      <c r="H108" s="161"/>
      <c r="I108" s="161"/>
      <c r="J108" s="157"/>
      <c r="K108" s="161"/>
      <c r="L108" s="161"/>
      <c r="M108" s="161"/>
      <c r="N108" s="161"/>
      <c r="O108" s="161"/>
      <c r="P108" s="161"/>
      <c r="Q108" s="161"/>
      <c r="R108" s="161"/>
      <c r="S108" s="161"/>
      <c r="T108" s="161"/>
      <c r="U108" s="161"/>
      <c r="V108" s="161"/>
    </row>
    <row r="109">
      <c r="A109" s="157"/>
      <c r="B109" s="161"/>
      <c r="C109" s="193"/>
      <c r="D109" s="161"/>
      <c r="E109" s="193"/>
      <c r="F109" s="161"/>
      <c r="G109" s="161"/>
      <c r="H109" s="161"/>
      <c r="I109" s="161"/>
      <c r="J109" s="157"/>
      <c r="K109" s="161"/>
      <c r="L109" s="161"/>
      <c r="M109" s="161"/>
      <c r="N109" s="161"/>
      <c r="O109" s="161"/>
      <c r="P109" s="161"/>
      <c r="Q109" s="161"/>
      <c r="R109" s="161"/>
      <c r="S109" s="161"/>
      <c r="T109" s="161"/>
      <c r="U109" s="161"/>
      <c r="V109" s="161"/>
    </row>
    <row r="110">
      <c r="A110" s="157"/>
      <c r="B110" s="161"/>
      <c r="C110" s="193"/>
      <c r="D110" s="161"/>
      <c r="E110" s="193"/>
      <c r="F110" s="161"/>
      <c r="G110" s="161"/>
      <c r="H110" s="161"/>
      <c r="I110" s="161"/>
      <c r="J110" s="157"/>
      <c r="K110" s="161"/>
      <c r="L110" s="161"/>
      <c r="M110" s="161"/>
      <c r="N110" s="161"/>
      <c r="O110" s="161"/>
      <c r="P110" s="161"/>
      <c r="Q110" s="161"/>
      <c r="R110" s="161"/>
      <c r="S110" s="161"/>
      <c r="T110" s="161"/>
      <c r="U110" s="161"/>
      <c r="V110" s="161"/>
    </row>
    <row r="111">
      <c r="A111" s="157"/>
      <c r="B111" s="161"/>
      <c r="C111" s="193"/>
      <c r="D111" s="161"/>
      <c r="E111" s="193"/>
      <c r="F111" s="161"/>
      <c r="G111" s="161"/>
      <c r="H111" s="161"/>
      <c r="I111" s="161"/>
      <c r="J111" s="157"/>
      <c r="K111" s="161"/>
      <c r="L111" s="161"/>
      <c r="M111" s="161"/>
      <c r="N111" s="161"/>
      <c r="O111" s="161"/>
      <c r="P111" s="161"/>
      <c r="Q111" s="161"/>
      <c r="R111" s="161"/>
      <c r="S111" s="161"/>
      <c r="T111" s="161"/>
      <c r="U111" s="161"/>
      <c r="V111" s="161"/>
    </row>
    <row r="112">
      <c r="A112" s="157"/>
      <c r="B112" s="161"/>
      <c r="C112" s="193"/>
      <c r="D112" s="161"/>
      <c r="E112" s="193"/>
      <c r="F112" s="161"/>
      <c r="G112" s="161"/>
      <c r="H112" s="161"/>
      <c r="I112" s="161"/>
      <c r="J112" s="157"/>
      <c r="K112" s="161"/>
      <c r="L112" s="161"/>
      <c r="M112" s="161"/>
      <c r="N112" s="161"/>
      <c r="O112" s="161"/>
      <c r="P112" s="161"/>
      <c r="Q112" s="161"/>
      <c r="R112" s="161"/>
      <c r="S112" s="161"/>
      <c r="T112" s="161"/>
      <c r="U112" s="161"/>
      <c r="V112" s="161"/>
    </row>
    <row r="113">
      <c r="A113" s="157"/>
      <c r="B113" s="161"/>
      <c r="C113" s="193"/>
      <c r="D113" s="161"/>
      <c r="E113" s="193"/>
      <c r="F113" s="161"/>
      <c r="G113" s="161"/>
      <c r="H113" s="161"/>
      <c r="I113" s="161"/>
      <c r="J113" s="157"/>
      <c r="K113" s="161"/>
      <c r="L113" s="161"/>
      <c r="M113" s="161"/>
      <c r="N113" s="161"/>
      <c r="O113" s="161"/>
      <c r="P113" s="161"/>
      <c r="Q113" s="161"/>
      <c r="R113" s="161"/>
      <c r="S113" s="161"/>
      <c r="T113" s="161"/>
      <c r="U113" s="161"/>
      <c r="V113" s="161"/>
    </row>
    <row r="114">
      <c r="A114" s="157"/>
      <c r="B114" s="161"/>
      <c r="C114" s="193"/>
      <c r="D114" s="161"/>
      <c r="E114" s="193"/>
      <c r="F114" s="161"/>
      <c r="G114" s="161"/>
      <c r="H114" s="161"/>
      <c r="I114" s="161"/>
      <c r="J114" s="157"/>
      <c r="K114" s="161"/>
      <c r="L114" s="161"/>
      <c r="M114" s="161"/>
      <c r="N114" s="161"/>
      <c r="O114" s="161"/>
      <c r="P114" s="161"/>
      <c r="Q114" s="161"/>
      <c r="R114" s="161"/>
      <c r="S114" s="161"/>
      <c r="T114" s="161"/>
      <c r="U114" s="161"/>
      <c r="V114" s="161"/>
    </row>
    <row r="115">
      <c r="A115" s="157"/>
      <c r="B115" s="161"/>
      <c r="C115" s="193"/>
      <c r="D115" s="161"/>
      <c r="E115" s="193"/>
      <c r="F115" s="161"/>
      <c r="G115" s="161"/>
      <c r="H115" s="161"/>
      <c r="I115" s="161"/>
      <c r="J115" s="157"/>
      <c r="K115" s="161"/>
      <c r="L115" s="161"/>
      <c r="M115" s="161"/>
      <c r="N115" s="161"/>
      <c r="O115" s="161"/>
      <c r="P115" s="161"/>
      <c r="Q115" s="161"/>
      <c r="R115" s="161"/>
      <c r="S115" s="161"/>
      <c r="T115" s="161"/>
      <c r="U115" s="161"/>
      <c r="V115" s="161"/>
    </row>
    <row r="116">
      <c r="A116" s="157"/>
      <c r="B116" s="161"/>
      <c r="C116" s="193"/>
      <c r="D116" s="161"/>
      <c r="E116" s="193"/>
      <c r="F116" s="161"/>
      <c r="G116" s="161"/>
      <c r="H116" s="161"/>
      <c r="I116" s="161"/>
      <c r="J116" s="157"/>
      <c r="K116" s="161"/>
      <c r="L116" s="161"/>
      <c r="M116" s="161"/>
      <c r="N116" s="161"/>
      <c r="O116" s="161"/>
      <c r="P116" s="161"/>
      <c r="Q116" s="161"/>
      <c r="R116" s="161"/>
      <c r="S116" s="161"/>
      <c r="T116" s="161"/>
      <c r="U116" s="161"/>
      <c r="V116" s="161"/>
    </row>
    <row r="117">
      <c r="A117" s="157"/>
      <c r="B117" s="161"/>
      <c r="C117" s="193"/>
      <c r="D117" s="161"/>
      <c r="E117" s="193"/>
      <c r="F117" s="161"/>
      <c r="G117" s="161"/>
      <c r="H117" s="161"/>
      <c r="I117" s="161"/>
      <c r="J117" s="157"/>
      <c r="K117" s="161"/>
      <c r="L117" s="161"/>
      <c r="M117" s="161"/>
      <c r="N117" s="161"/>
      <c r="O117" s="161"/>
      <c r="P117" s="161"/>
      <c r="Q117" s="161"/>
      <c r="R117" s="161"/>
      <c r="S117" s="161"/>
      <c r="T117" s="161"/>
      <c r="U117" s="161"/>
      <c r="V117" s="161"/>
    </row>
    <row r="118">
      <c r="A118" s="157"/>
      <c r="B118" s="161"/>
      <c r="C118" s="193"/>
      <c r="D118" s="161"/>
      <c r="E118" s="193"/>
      <c r="F118" s="161"/>
      <c r="G118" s="161"/>
      <c r="H118" s="161"/>
      <c r="I118" s="161"/>
      <c r="J118" s="157"/>
      <c r="K118" s="161"/>
      <c r="L118" s="161"/>
      <c r="M118" s="161"/>
      <c r="N118" s="161"/>
      <c r="O118" s="161"/>
      <c r="P118" s="161"/>
      <c r="Q118" s="161"/>
      <c r="R118" s="161"/>
      <c r="S118" s="161"/>
      <c r="T118" s="161"/>
      <c r="U118" s="161"/>
      <c r="V118" s="161"/>
    </row>
    <row r="119">
      <c r="A119" s="157"/>
      <c r="B119" s="161"/>
      <c r="C119" s="193"/>
      <c r="D119" s="161"/>
      <c r="E119" s="193"/>
      <c r="F119" s="161"/>
      <c r="G119" s="161"/>
      <c r="H119" s="161"/>
      <c r="I119" s="161"/>
      <c r="J119" s="157"/>
      <c r="K119" s="161"/>
      <c r="L119" s="161"/>
      <c r="M119" s="161"/>
      <c r="N119" s="161"/>
      <c r="O119" s="161"/>
      <c r="P119" s="161"/>
      <c r="Q119" s="161"/>
      <c r="R119" s="161"/>
      <c r="S119" s="161"/>
      <c r="T119" s="161"/>
      <c r="U119" s="161"/>
      <c r="V119" s="161"/>
    </row>
    <row r="120">
      <c r="A120" s="157"/>
      <c r="B120" s="161"/>
      <c r="C120" s="193"/>
      <c r="D120" s="161"/>
      <c r="E120" s="193"/>
      <c r="F120" s="161"/>
      <c r="G120" s="161"/>
      <c r="H120" s="161"/>
      <c r="I120" s="161"/>
      <c r="J120" s="157"/>
      <c r="K120" s="161"/>
      <c r="L120" s="161"/>
      <c r="M120" s="161"/>
      <c r="N120" s="161"/>
      <c r="O120" s="161"/>
      <c r="P120" s="161"/>
      <c r="Q120" s="161"/>
      <c r="R120" s="161"/>
      <c r="S120" s="161"/>
      <c r="T120" s="161"/>
      <c r="U120" s="161"/>
      <c r="V120" s="161"/>
    </row>
    <row r="121">
      <c r="A121" s="157"/>
      <c r="B121" s="161"/>
      <c r="C121" s="193"/>
      <c r="D121" s="161"/>
      <c r="E121" s="193"/>
      <c r="F121" s="161"/>
      <c r="G121" s="161"/>
      <c r="H121" s="161"/>
      <c r="I121" s="161"/>
      <c r="J121" s="157"/>
      <c r="K121" s="161"/>
      <c r="L121" s="161"/>
      <c r="M121" s="161"/>
      <c r="N121" s="161"/>
      <c r="O121" s="161"/>
      <c r="P121" s="161"/>
      <c r="Q121" s="161"/>
      <c r="R121" s="161"/>
      <c r="S121" s="161"/>
      <c r="T121" s="161"/>
      <c r="U121" s="161"/>
      <c r="V121" s="161"/>
    </row>
    <row r="122">
      <c r="A122" s="157"/>
      <c r="B122" s="161"/>
      <c r="C122" s="193"/>
      <c r="D122" s="161"/>
      <c r="E122" s="193"/>
      <c r="F122" s="161"/>
      <c r="G122" s="161"/>
      <c r="H122" s="161"/>
      <c r="I122" s="161"/>
      <c r="J122" s="157"/>
      <c r="K122" s="161"/>
      <c r="L122" s="161"/>
      <c r="M122" s="161"/>
      <c r="N122" s="161"/>
      <c r="O122" s="161"/>
      <c r="P122" s="161"/>
      <c r="Q122" s="161"/>
      <c r="R122" s="161"/>
      <c r="S122" s="161"/>
      <c r="T122" s="161"/>
      <c r="U122" s="161"/>
      <c r="V122" s="161"/>
    </row>
    <row r="123">
      <c r="A123" s="157"/>
      <c r="B123" s="161"/>
      <c r="C123" s="193"/>
      <c r="D123" s="161"/>
      <c r="E123" s="193"/>
      <c r="F123" s="161"/>
      <c r="G123" s="161"/>
      <c r="H123" s="161"/>
      <c r="I123" s="161"/>
      <c r="J123" s="157"/>
      <c r="K123" s="161"/>
      <c r="L123" s="161"/>
      <c r="M123" s="161"/>
      <c r="N123" s="161"/>
      <c r="O123" s="161"/>
      <c r="P123" s="161"/>
      <c r="Q123" s="161"/>
      <c r="R123" s="161"/>
      <c r="S123" s="161"/>
      <c r="T123" s="161"/>
      <c r="U123" s="161"/>
      <c r="V123" s="161"/>
    </row>
    <row r="124">
      <c r="A124" s="157"/>
      <c r="B124" s="161"/>
      <c r="C124" s="193"/>
      <c r="D124" s="161"/>
      <c r="E124" s="193"/>
      <c r="F124" s="161"/>
      <c r="G124" s="161"/>
      <c r="H124" s="161"/>
      <c r="I124" s="161"/>
      <c r="J124" s="157"/>
      <c r="K124" s="161"/>
      <c r="L124" s="161"/>
      <c r="M124" s="161"/>
      <c r="N124" s="161"/>
      <c r="O124" s="161"/>
      <c r="P124" s="161"/>
      <c r="Q124" s="161"/>
      <c r="R124" s="161"/>
      <c r="S124" s="161"/>
      <c r="T124" s="161"/>
      <c r="U124" s="161"/>
      <c r="V124" s="161"/>
    </row>
    <row r="125">
      <c r="A125" s="157"/>
      <c r="B125" s="161"/>
      <c r="C125" s="193"/>
      <c r="D125" s="161"/>
      <c r="E125" s="193"/>
      <c r="F125" s="161"/>
      <c r="G125" s="161"/>
      <c r="H125" s="161"/>
      <c r="I125" s="161"/>
      <c r="J125" s="157"/>
      <c r="K125" s="161"/>
      <c r="L125" s="161"/>
      <c r="M125" s="161"/>
      <c r="N125" s="161"/>
      <c r="O125" s="161"/>
      <c r="P125" s="161"/>
      <c r="Q125" s="161"/>
      <c r="R125" s="161"/>
      <c r="S125" s="161"/>
      <c r="T125" s="161"/>
      <c r="U125" s="161"/>
      <c r="V125" s="161"/>
    </row>
    <row r="126">
      <c r="A126" s="157"/>
      <c r="B126" s="161"/>
      <c r="C126" s="193"/>
      <c r="D126" s="161"/>
      <c r="E126" s="193"/>
      <c r="F126" s="161"/>
      <c r="G126" s="161"/>
      <c r="H126" s="161"/>
      <c r="I126" s="161"/>
      <c r="J126" s="157"/>
      <c r="K126" s="161"/>
      <c r="L126" s="161"/>
      <c r="M126" s="161"/>
      <c r="N126" s="161"/>
      <c r="O126" s="161"/>
      <c r="P126" s="161"/>
      <c r="Q126" s="161"/>
      <c r="R126" s="161"/>
      <c r="S126" s="161"/>
      <c r="T126" s="161"/>
      <c r="U126" s="161"/>
      <c r="V126" s="161"/>
    </row>
    <row r="127">
      <c r="A127" s="157"/>
      <c r="B127" s="161"/>
      <c r="C127" s="193"/>
      <c r="D127" s="161"/>
      <c r="E127" s="193"/>
      <c r="F127" s="161"/>
      <c r="G127" s="161"/>
      <c r="H127" s="161"/>
      <c r="I127" s="161"/>
      <c r="J127" s="157"/>
      <c r="K127" s="161"/>
      <c r="L127" s="161"/>
      <c r="M127" s="161"/>
      <c r="N127" s="161"/>
      <c r="O127" s="161"/>
      <c r="P127" s="161"/>
      <c r="Q127" s="161"/>
      <c r="R127" s="161"/>
      <c r="S127" s="161"/>
      <c r="T127" s="161"/>
      <c r="U127" s="161"/>
      <c r="V127" s="161"/>
    </row>
    <row r="128">
      <c r="A128" s="157"/>
      <c r="B128" s="161"/>
      <c r="C128" s="193"/>
      <c r="D128" s="161"/>
      <c r="E128" s="193"/>
      <c r="F128" s="161"/>
      <c r="G128" s="161"/>
      <c r="H128" s="161"/>
      <c r="I128" s="161"/>
      <c r="J128" s="157"/>
      <c r="K128" s="161"/>
      <c r="L128" s="161"/>
      <c r="M128" s="161"/>
      <c r="N128" s="161"/>
      <c r="O128" s="161"/>
      <c r="P128" s="161"/>
      <c r="Q128" s="161"/>
      <c r="R128" s="161"/>
      <c r="S128" s="161"/>
      <c r="T128" s="161"/>
      <c r="U128" s="161"/>
      <c r="V128" s="161"/>
    </row>
    <row r="129">
      <c r="A129" s="157"/>
      <c r="B129" s="161"/>
      <c r="C129" s="193"/>
      <c r="D129" s="161"/>
      <c r="E129" s="193"/>
      <c r="F129" s="161"/>
      <c r="G129" s="161"/>
      <c r="H129" s="161"/>
      <c r="I129" s="161"/>
      <c r="J129" s="157"/>
      <c r="K129" s="161"/>
      <c r="L129" s="161"/>
      <c r="M129" s="161"/>
      <c r="N129" s="161"/>
      <c r="O129" s="161"/>
      <c r="P129" s="161"/>
      <c r="Q129" s="161"/>
      <c r="R129" s="161"/>
      <c r="S129" s="161"/>
      <c r="T129" s="161"/>
      <c r="U129" s="161"/>
      <c r="V129" s="161"/>
    </row>
    <row r="130">
      <c r="A130" s="157"/>
      <c r="B130" s="161"/>
      <c r="C130" s="193"/>
      <c r="D130" s="161"/>
      <c r="E130" s="193"/>
      <c r="F130" s="161"/>
      <c r="G130" s="161"/>
      <c r="H130" s="161"/>
      <c r="I130" s="161"/>
      <c r="J130" s="157"/>
      <c r="K130" s="161"/>
      <c r="L130" s="161"/>
      <c r="M130" s="161"/>
      <c r="N130" s="161"/>
      <c r="O130" s="161"/>
      <c r="P130" s="161"/>
      <c r="Q130" s="161"/>
      <c r="R130" s="161"/>
      <c r="S130" s="161"/>
      <c r="T130" s="161"/>
      <c r="U130" s="161"/>
      <c r="V130" s="161"/>
    </row>
    <row r="131">
      <c r="A131" s="157"/>
      <c r="B131" s="161"/>
      <c r="C131" s="193"/>
      <c r="D131" s="161"/>
      <c r="E131" s="193"/>
      <c r="F131" s="161"/>
      <c r="G131" s="161"/>
      <c r="H131" s="161"/>
      <c r="I131" s="161"/>
      <c r="J131" s="157"/>
      <c r="K131" s="161"/>
      <c r="L131" s="161"/>
      <c r="M131" s="161"/>
      <c r="N131" s="161"/>
      <c r="O131" s="161"/>
      <c r="P131" s="161"/>
      <c r="Q131" s="161"/>
      <c r="R131" s="161"/>
      <c r="S131" s="161"/>
      <c r="T131" s="161"/>
      <c r="U131" s="161"/>
      <c r="V131" s="161"/>
    </row>
    <row r="132">
      <c r="A132" s="157"/>
      <c r="B132" s="161"/>
      <c r="C132" s="193"/>
      <c r="D132" s="161"/>
      <c r="E132" s="193"/>
      <c r="F132" s="161"/>
      <c r="G132" s="161"/>
      <c r="H132" s="161"/>
      <c r="I132" s="161"/>
      <c r="J132" s="157"/>
      <c r="K132" s="161"/>
      <c r="L132" s="161"/>
      <c r="M132" s="161"/>
      <c r="N132" s="161"/>
      <c r="O132" s="161"/>
      <c r="P132" s="161"/>
      <c r="Q132" s="161"/>
      <c r="R132" s="161"/>
      <c r="S132" s="161"/>
      <c r="T132" s="161"/>
      <c r="U132" s="161"/>
      <c r="V132" s="161"/>
    </row>
    <row r="133">
      <c r="A133" s="157"/>
      <c r="B133" s="161"/>
      <c r="C133" s="193"/>
      <c r="D133" s="161"/>
      <c r="E133" s="193"/>
      <c r="F133" s="161"/>
      <c r="G133" s="161"/>
      <c r="H133" s="161"/>
      <c r="I133" s="161"/>
      <c r="J133" s="157"/>
      <c r="K133" s="161"/>
      <c r="L133" s="161"/>
      <c r="M133" s="161"/>
      <c r="N133" s="161"/>
      <c r="O133" s="161"/>
      <c r="P133" s="161"/>
      <c r="Q133" s="161"/>
      <c r="R133" s="161"/>
      <c r="S133" s="161"/>
      <c r="T133" s="161"/>
      <c r="U133" s="161"/>
      <c r="V133" s="161"/>
    </row>
    <row r="134">
      <c r="A134" s="157"/>
      <c r="B134" s="161"/>
      <c r="C134" s="193"/>
      <c r="D134" s="161"/>
      <c r="E134" s="193"/>
      <c r="F134" s="161"/>
      <c r="G134" s="161"/>
      <c r="H134" s="161"/>
      <c r="I134" s="161"/>
      <c r="J134" s="157"/>
      <c r="K134" s="161"/>
      <c r="L134" s="161"/>
      <c r="M134" s="161"/>
      <c r="N134" s="161"/>
      <c r="O134" s="161"/>
      <c r="P134" s="161"/>
      <c r="Q134" s="161"/>
      <c r="R134" s="161"/>
      <c r="S134" s="161"/>
      <c r="T134" s="161"/>
      <c r="U134" s="161"/>
      <c r="V134" s="161"/>
    </row>
    <row r="135">
      <c r="A135" s="157"/>
      <c r="B135" s="161"/>
      <c r="C135" s="193"/>
      <c r="D135" s="161"/>
      <c r="E135" s="193"/>
      <c r="F135" s="161"/>
      <c r="G135" s="161"/>
      <c r="H135" s="161"/>
      <c r="I135" s="161"/>
      <c r="J135" s="157"/>
      <c r="K135" s="161"/>
      <c r="L135" s="161"/>
      <c r="M135" s="161"/>
      <c r="N135" s="161"/>
      <c r="O135" s="161"/>
      <c r="P135" s="161"/>
      <c r="Q135" s="161"/>
      <c r="R135" s="161"/>
      <c r="S135" s="161"/>
      <c r="T135" s="161"/>
      <c r="U135" s="161"/>
      <c r="V135" s="161"/>
    </row>
    <row r="136">
      <c r="A136" s="157"/>
      <c r="B136" s="161"/>
      <c r="C136" s="193"/>
      <c r="D136" s="161"/>
      <c r="E136" s="193"/>
      <c r="F136" s="161"/>
      <c r="G136" s="161"/>
      <c r="H136" s="161"/>
      <c r="I136" s="161"/>
      <c r="J136" s="157"/>
      <c r="K136" s="161"/>
      <c r="L136" s="161"/>
      <c r="M136" s="161"/>
      <c r="N136" s="161"/>
      <c r="O136" s="161"/>
      <c r="P136" s="161"/>
      <c r="Q136" s="161"/>
      <c r="R136" s="161"/>
      <c r="S136" s="161"/>
      <c r="T136" s="161"/>
      <c r="U136" s="161"/>
      <c r="V136" s="161"/>
    </row>
    <row r="137">
      <c r="A137" s="157"/>
      <c r="B137" s="161"/>
      <c r="C137" s="193"/>
      <c r="D137" s="161"/>
      <c r="E137" s="193"/>
      <c r="F137" s="161"/>
      <c r="G137" s="161"/>
      <c r="H137" s="161"/>
      <c r="I137" s="161"/>
      <c r="J137" s="157"/>
      <c r="K137" s="161"/>
      <c r="L137" s="161"/>
      <c r="M137" s="161"/>
      <c r="N137" s="161"/>
      <c r="O137" s="161"/>
      <c r="P137" s="161"/>
      <c r="Q137" s="161"/>
      <c r="R137" s="161"/>
      <c r="S137" s="161"/>
      <c r="T137" s="161"/>
      <c r="U137" s="161"/>
      <c r="V137" s="161"/>
    </row>
    <row r="138">
      <c r="A138" s="157"/>
      <c r="B138" s="161"/>
      <c r="C138" s="193"/>
      <c r="D138" s="161"/>
      <c r="E138" s="193"/>
      <c r="F138" s="161"/>
      <c r="G138" s="161"/>
      <c r="H138" s="161"/>
      <c r="I138" s="161"/>
      <c r="J138" s="157"/>
      <c r="K138" s="161"/>
      <c r="L138" s="161"/>
      <c r="M138" s="161"/>
      <c r="N138" s="161"/>
      <c r="O138" s="161"/>
      <c r="P138" s="161"/>
      <c r="Q138" s="161"/>
      <c r="R138" s="161"/>
      <c r="S138" s="161"/>
      <c r="T138" s="161"/>
      <c r="U138" s="161"/>
      <c r="V138" s="161"/>
    </row>
    <row r="139">
      <c r="A139" s="157"/>
      <c r="B139" s="161"/>
      <c r="C139" s="193"/>
      <c r="D139" s="161"/>
      <c r="E139" s="193"/>
      <c r="F139" s="161"/>
      <c r="G139" s="161"/>
      <c r="H139" s="161"/>
      <c r="I139" s="161"/>
      <c r="J139" s="157"/>
      <c r="K139" s="161"/>
      <c r="L139" s="161"/>
      <c r="M139" s="161"/>
      <c r="N139" s="161"/>
      <c r="O139" s="161"/>
      <c r="P139" s="161"/>
      <c r="Q139" s="161"/>
      <c r="R139" s="161"/>
      <c r="S139" s="161"/>
      <c r="T139" s="161"/>
      <c r="U139" s="161"/>
      <c r="V139" s="161"/>
    </row>
    <row r="140">
      <c r="A140" s="157"/>
      <c r="B140" s="161"/>
      <c r="C140" s="193"/>
      <c r="D140" s="161"/>
      <c r="E140" s="193"/>
      <c r="F140" s="161"/>
      <c r="G140" s="161"/>
      <c r="H140" s="161"/>
      <c r="I140" s="161"/>
      <c r="J140" s="157"/>
      <c r="K140" s="161"/>
      <c r="L140" s="161"/>
      <c r="M140" s="161"/>
      <c r="N140" s="161"/>
      <c r="O140" s="161"/>
      <c r="P140" s="161"/>
      <c r="Q140" s="161"/>
      <c r="R140" s="161"/>
      <c r="S140" s="161"/>
      <c r="T140" s="161"/>
      <c r="U140" s="161"/>
      <c r="V140" s="161"/>
    </row>
    <row r="141">
      <c r="A141" s="157"/>
      <c r="B141" s="161"/>
      <c r="C141" s="193"/>
      <c r="D141" s="161"/>
      <c r="E141" s="193"/>
      <c r="F141" s="161"/>
      <c r="G141" s="161"/>
      <c r="H141" s="161"/>
      <c r="I141" s="161"/>
      <c r="J141" s="157"/>
      <c r="K141" s="161"/>
      <c r="L141" s="161"/>
      <c r="M141" s="161"/>
      <c r="N141" s="161"/>
      <c r="O141" s="161"/>
      <c r="P141" s="161"/>
      <c r="Q141" s="161"/>
      <c r="R141" s="161"/>
      <c r="S141" s="161"/>
      <c r="T141" s="161"/>
      <c r="U141" s="161"/>
      <c r="V141" s="161"/>
    </row>
    <row r="142">
      <c r="A142" s="157"/>
      <c r="B142" s="161"/>
      <c r="C142" s="193"/>
      <c r="D142" s="161"/>
      <c r="E142" s="193"/>
      <c r="F142" s="161"/>
      <c r="G142" s="161"/>
      <c r="H142" s="161"/>
      <c r="I142" s="161"/>
      <c r="J142" s="157"/>
      <c r="K142" s="161"/>
      <c r="L142" s="161"/>
      <c r="M142" s="161"/>
      <c r="N142" s="161"/>
      <c r="O142" s="161"/>
      <c r="P142" s="161"/>
      <c r="Q142" s="161"/>
      <c r="R142" s="161"/>
      <c r="S142" s="161"/>
      <c r="T142" s="161"/>
      <c r="U142" s="161"/>
      <c r="V142" s="161"/>
    </row>
    <row r="143">
      <c r="A143" s="157"/>
      <c r="B143" s="161"/>
      <c r="C143" s="193"/>
      <c r="D143" s="161"/>
      <c r="E143" s="193"/>
      <c r="F143" s="161"/>
      <c r="G143" s="161"/>
      <c r="H143" s="161"/>
      <c r="I143" s="161"/>
      <c r="J143" s="157"/>
      <c r="K143" s="161"/>
      <c r="L143" s="161"/>
      <c r="M143" s="161"/>
      <c r="N143" s="161"/>
      <c r="O143" s="161"/>
      <c r="P143" s="161"/>
      <c r="Q143" s="161"/>
      <c r="R143" s="161"/>
      <c r="S143" s="161"/>
      <c r="T143" s="161"/>
      <c r="U143" s="161"/>
      <c r="V143" s="161"/>
    </row>
    <row r="144">
      <c r="A144" s="157"/>
      <c r="B144" s="161"/>
      <c r="C144" s="193"/>
      <c r="D144" s="161"/>
      <c r="E144" s="193"/>
      <c r="F144" s="161"/>
      <c r="G144" s="161"/>
      <c r="H144" s="161"/>
      <c r="I144" s="161"/>
      <c r="J144" s="157"/>
      <c r="K144" s="161"/>
      <c r="L144" s="161"/>
      <c r="M144" s="161"/>
      <c r="N144" s="161"/>
      <c r="O144" s="161"/>
      <c r="P144" s="161"/>
      <c r="Q144" s="161"/>
      <c r="R144" s="161"/>
      <c r="S144" s="161"/>
      <c r="T144" s="161"/>
      <c r="U144" s="161"/>
      <c r="V144" s="161"/>
    </row>
    <row r="145">
      <c r="A145" s="157"/>
      <c r="B145" s="161"/>
      <c r="C145" s="193"/>
      <c r="D145" s="161"/>
      <c r="E145" s="193"/>
      <c r="F145" s="161"/>
      <c r="G145" s="161"/>
      <c r="H145" s="161"/>
      <c r="I145" s="161"/>
      <c r="J145" s="157"/>
      <c r="K145" s="161"/>
      <c r="L145" s="161"/>
      <c r="M145" s="161"/>
      <c r="N145" s="161"/>
      <c r="O145" s="161"/>
      <c r="P145" s="161"/>
      <c r="Q145" s="161"/>
      <c r="R145" s="161"/>
      <c r="S145" s="161"/>
      <c r="T145" s="161"/>
      <c r="U145" s="161"/>
      <c r="V145" s="161"/>
    </row>
    <row r="146">
      <c r="A146" s="157"/>
      <c r="B146" s="161"/>
      <c r="C146" s="193"/>
      <c r="D146" s="161"/>
      <c r="E146" s="193"/>
      <c r="F146" s="161"/>
      <c r="G146" s="161"/>
      <c r="H146" s="161"/>
      <c r="I146" s="161"/>
      <c r="J146" s="157"/>
      <c r="K146" s="161"/>
      <c r="L146" s="161"/>
      <c r="M146" s="161"/>
      <c r="N146" s="161"/>
      <c r="O146" s="161"/>
      <c r="P146" s="161"/>
      <c r="Q146" s="161"/>
      <c r="R146" s="161"/>
      <c r="S146" s="161"/>
      <c r="T146" s="161"/>
      <c r="U146" s="161"/>
      <c r="V146" s="161"/>
    </row>
    <row r="147">
      <c r="A147" s="157"/>
      <c r="B147" s="161"/>
      <c r="C147" s="193"/>
      <c r="D147" s="161"/>
      <c r="E147" s="193"/>
      <c r="F147" s="161"/>
      <c r="G147" s="161"/>
      <c r="H147" s="161"/>
      <c r="I147" s="161"/>
      <c r="J147" s="157"/>
      <c r="K147" s="161"/>
      <c r="L147" s="161"/>
      <c r="M147" s="161"/>
      <c r="N147" s="161"/>
      <c r="O147" s="161"/>
      <c r="P147" s="161"/>
      <c r="Q147" s="161"/>
      <c r="R147" s="161"/>
      <c r="S147" s="161"/>
      <c r="T147" s="161"/>
      <c r="U147" s="161"/>
      <c r="V147" s="161"/>
    </row>
    <row r="148">
      <c r="A148" s="157"/>
      <c r="B148" s="161"/>
      <c r="C148" s="193"/>
      <c r="D148" s="161"/>
      <c r="E148" s="193"/>
      <c r="F148" s="161"/>
      <c r="G148" s="161"/>
      <c r="H148" s="161"/>
      <c r="I148" s="161"/>
      <c r="J148" s="157"/>
      <c r="K148" s="161"/>
      <c r="L148" s="161"/>
      <c r="M148" s="161"/>
      <c r="N148" s="161"/>
      <c r="O148" s="161"/>
      <c r="P148" s="161"/>
      <c r="Q148" s="161"/>
      <c r="R148" s="161"/>
      <c r="S148" s="161"/>
      <c r="T148" s="161"/>
      <c r="U148" s="161"/>
      <c r="V148" s="161"/>
    </row>
    <row r="149">
      <c r="A149" s="157"/>
      <c r="B149" s="161"/>
      <c r="C149" s="193"/>
      <c r="D149" s="161"/>
      <c r="E149" s="193"/>
      <c r="F149" s="161"/>
      <c r="G149" s="161"/>
      <c r="H149" s="161"/>
      <c r="I149" s="161"/>
      <c r="J149" s="157"/>
      <c r="K149" s="161"/>
      <c r="L149" s="161"/>
      <c r="M149" s="161"/>
      <c r="N149" s="161"/>
      <c r="O149" s="161"/>
      <c r="P149" s="161"/>
      <c r="Q149" s="161"/>
      <c r="R149" s="161"/>
      <c r="S149" s="161"/>
      <c r="T149" s="161"/>
      <c r="U149" s="161"/>
      <c r="V149" s="161"/>
    </row>
    <row r="150">
      <c r="A150" s="157"/>
      <c r="B150" s="161"/>
      <c r="C150" s="193"/>
      <c r="D150" s="161"/>
      <c r="E150" s="193"/>
      <c r="F150" s="161"/>
      <c r="G150" s="161"/>
      <c r="H150" s="161"/>
      <c r="I150" s="161"/>
      <c r="J150" s="157"/>
      <c r="K150" s="161"/>
      <c r="L150" s="161"/>
      <c r="M150" s="161"/>
      <c r="N150" s="161"/>
      <c r="O150" s="161"/>
      <c r="P150" s="161"/>
      <c r="Q150" s="161"/>
      <c r="R150" s="161"/>
      <c r="S150" s="161"/>
      <c r="T150" s="161"/>
      <c r="U150" s="161"/>
      <c r="V150" s="161"/>
    </row>
    <row r="151">
      <c r="A151" s="157"/>
      <c r="B151" s="161"/>
      <c r="C151" s="193"/>
      <c r="D151" s="161"/>
      <c r="E151" s="193"/>
      <c r="F151" s="161"/>
      <c r="G151" s="161"/>
      <c r="H151" s="161"/>
      <c r="I151" s="161"/>
      <c r="J151" s="157"/>
      <c r="K151" s="161"/>
      <c r="L151" s="161"/>
      <c r="M151" s="161"/>
      <c r="N151" s="161"/>
      <c r="O151" s="161"/>
      <c r="P151" s="161"/>
      <c r="Q151" s="161"/>
      <c r="R151" s="161"/>
      <c r="S151" s="161"/>
      <c r="T151" s="161"/>
      <c r="U151" s="161"/>
      <c r="V151" s="161"/>
    </row>
    <row r="152">
      <c r="A152" s="157"/>
      <c r="B152" s="161"/>
      <c r="C152" s="193"/>
      <c r="D152" s="161"/>
      <c r="E152" s="193"/>
      <c r="F152" s="161"/>
      <c r="G152" s="161"/>
      <c r="H152" s="161"/>
      <c r="I152" s="161"/>
      <c r="J152" s="157"/>
      <c r="K152" s="161"/>
      <c r="L152" s="161"/>
      <c r="M152" s="161"/>
      <c r="N152" s="161"/>
      <c r="O152" s="161"/>
      <c r="P152" s="161"/>
      <c r="Q152" s="161"/>
      <c r="R152" s="161"/>
      <c r="S152" s="161"/>
      <c r="T152" s="161"/>
      <c r="U152" s="161"/>
      <c r="V152" s="161"/>
    </row>
    <row r="153">
      <c r="A153" s="157"/>
      <c r="B153" s="161"/>
      <c r="C153" s="193"/>
      <c r="D153" s="161"/>
      <c r="E153" s="193"/>
      <c r="F153" s="161"/>
      <c r="G153" s="161"/>
      <c r="H153" s="161"/>
      <c r="I153" s="161"/>
      <c r="J153" s="157"/>
      <c r="K153" s="161"/>
      <c r="L153" s="161"/>
      <c r="M153" s="161"/>
      <c r="N153" s="161"/>
      <c r="O153" s="161"/>
      <c r="P153" s="161"/>
      <c r="Q153" s="161"/>
      <c r="R153" s="161"/>
      <c r="S153" s="161"/>
      <c r="T153" s="161"/>
      <c r="U153" s="161"/>
      <c r="V153" s="161"/>
    </row>
    <row r="154">
      <c r="A154" s="157"/>
      <c r="B154" s="161"/>
      <c r="C154" s="193"/>
      <c r="D154" s="161"/>
      <c r="E154" s="193"/>
      <c r="F154" s="161"/>
      <c r="G154" s="161"/>
      <c r="H154" s="161"/>
      <c r="I154" s="161"/>
      <c r="J154" s="157"/>
      <c r="K154" s="161"/>
      <c r="L154" s="161"/>
      <c r="M154" s="161"/>
      <c r="N154" s="161"/>
      <c r="O154" s="161"/>
      <c r="P154" s="161"/>
      <c r="Q154" s="161"/>
      <c r="R154" s="161"/>
      <c r="S154" s="161"/>
      <c r="T154" s="161"/>
      <c r="U154" s="161"/>
      <c r="V154" s="161"/>
    </row>
    <row r="155">
      <c r="A155" s="157"/>
      <c r="B155" s="161"/>
      <c r="C155" s="193"/>
      <c r="D155" s="161"/>
      <c r="E155" s="193"/>
      <c r="F155" s="161"/>
      <c r="G155" s="161"/>
      <c r="H155" s="161"/>
      <c r="I155" s="161"/>
      <c r="J155" s="157"/>
      <c r="K155" s="161"/>
      <c r="L155" s="161"/>
      <c r="M155" s="161"/>
      <c r="N155" s="161"/>
      <c r="O155" s="161"/>
      <c r="P155" s="161"/>
      <c r="Q155" s="161"/>
      <c r="R155" s="161"/>
      <c r="S155" s="161"/>
      <c r="T155" s="161"/>
      <c r="U155" s="161"/>
      <c r="V155" s="161"/>
    </row>
    <row r="156">
      <c r="A156" s="157"/>
      <c r="B156" s="161"/>
      <c r="C156" s="193"/>
      <c r="D156" s="161"/>
      <c r="E156" s="193"/>
      <c r="F156" s="161"/>
      <c r="G156" s="161"/>
      <c r="H156" s="161"/>
      <c r="I156" s="161"/>
      <c r="J156" s="157"/>
      <c r="K156" s="161"/>
      <c r="L156" s="161"/>
      <c r="M156" s="161"/>
      <c r="N156" s="161"/>
      <c r="O156" s="161"/>
      <c r="P156" s="161"/>
      <c r="Q156" s="161"/>
      <c r="R156" s="161"/>
      <c r="S156" s="161"/>
      <c r="T156" s="161"/>
      <c r="U156" s="161"/>
      <c r="V156" s="161"/>
    </row>
    <row r="157">
      <c r="A157" s="157"/>
      <c r="B157" s="161"/>
      <c r="C157" s="193"/>
      <c r="D157" s="161"/>
      <c r="E157" s="193"/>
      <c r="F157" s="161"/>
      <c r="G157" s="161"/>
      <c r="H157" s="161"/>
      <c r="I157" s="161"/>
      <c r="J157" s="157"/>
      <c r="K157" s="161"/>
      <c r="L157" s="161"/>
      <c r="M157" s="161"/>
      <c r="N157" s="161"/>
      <c r="O157" s="161"/>
      <c r="P157" s="161"/>
      <c r="Q157" s="161"/>
      <c r="R157" s="161"/>
      <c r="S157" s="161"/>
      <c r="T157" s="161"/>
      <c r="U157" s="161"/>
      <c r="V157" s="161"/>
    </row>
    <row r="158">
      <c r="A158" s="157"/>
      <c r="B158" s="161"/>
      <c r="C158" s="193"/>
      <c r="D158" s="161"/>
      <c r="E158" s="193"/>
      <c r="F158" s="161"/>
      <c r="G158" s="161"/>
      <c r="H158" s="161"/>
      <c r="I158" s="161"/>
      <c r="J158" s="157"/>
      <c r="K158" s="161"/>
      <c r="L158" s="161"/>
      <c r="M158" s="161"/>
      <c r="N158" s="161"/>
      <c r="O158" s="161"/>
      <c r="P158" s="161"/>
      <c r="Q158" s="161"/>
      <c r="R158" s="161"/>
      <c r="S158" s="161"/>
      <c r="T158" s="161"/>
      <c r="U158" s="161"/>
      <c r="V158" s="161"/>
    </row>
    <row r="159">
      <c r="A159" s="157"/>
      <c r="B159" s="161"/>
      <c r="C159" s="193"/>
      <c r="D159" s="161"/>
      <c r="E159" s="193"/>
      <c r="F159" s="161"/>
      <c r="G159" s="161"/>
      <c r="H159" s="161"/>
      <c r="I159" s="161"/>
      <c r="J159" s="157"/>
      <c r="K159" s="161"/>
      <c r="L159" s="161"/>
      <c r="M159" s="161"/>
      <c r="N159" s="161"/>
      <c r="O159" s="161"/>
      <c r="P159" s="161"/>
      <c r="Q159" s="161"/>
      <c r="R159" s="161"/>
      <c r="S159" s="161"/>
      <c r="T159" s="161"/>
      <c r="U159" s="161"/>
      <c r="V159" s="161"/>
    </row>
    <row r="160">
      <c r="A160" s="157"/>
      <c r="B160" s="161"/>
      <c r="C160" s="193"/>
      <c r="D160" s="161"/>
      <c r="E160" s="193"/>
      <c r="F160" s="161"/>
      <c r="G160" s="161"/>
      <c r="H160" s="161"/>
      <c r="I160" s="161"/>
      <c r="J160" s="157"/>
      <c r="K160" s="161"/>
      <c r="L160" s="161"/>
      <c r="M160" s="161"/>
      <c r="N160" s="161"/>
      <c r="O160" s="161"/>
      <c r="P160" s="161"/>
      <c r="Q160" s="161"/>
      <c r="R160" s="161"/>
      <c r="S160" s="161"/>
      <c r="T160" s="161"/>
      <c r="U160" s="161"/>
      <c r="V160" s="161"/>
    </row>
    <row r="161">
      <c r="A161" s="157"/>
      <c r="B161" s="161"/>
      <c r="C161" s="193"/>
      <c r="D161" s="161"/>
      <c r="E161" s="193"/>
      <c r="F161" s="161"/>
      <c r="G161" s="161"/>
      <c r="H161" s="161"/>
      <c r="I161" s="161"/>
      <c r="J161" s="157"/>
      <c r="K161" s="161"/>
      <c r="L161" s="161"/>
      <c r="M161" s="161"/>
      <c r="N161" s="161"/>
      <c r="O161" s="161"/>
      <c r="P161" s="161"/>
      <c r="Q161" s="161"/>
      <c r="R161" s="161"/>
      <c r="S161" s="161"/>
      <c r="T161" s="161"/>
      <c r="U161" s="161"/>
      <c r="V161" s="161"/>
    </row>
    <row r="162">
      <c r="A162" s="157"/>
      <c r="B162" s="161"/>
      <c r="C162" s="193"/>
      <c r="D162" s="161"/>
      <c r="E162" s="193"/>
      <c r="F162" s="161"/>
      <c r="G162" s="161"/>
      <c r="H162" s="161"/>
      <c r="I162" s="161"/>
      <c r="J162" s="157"/>
      <c r="K162" s="161"/>
      <c r="L162" s="161"/>
      <c r="M162" s="161"/>
      <c r="N162" s="161"/>
      <c r="O162" s="161"/>
      <c r="P162" s="161"/>
      <c r="Q162" s="161"/>
      <c r="R162" s="161"/>
      <c r="S162" s="161"/>
      <c r="T162" s="161"/>
      <c r="U162" s="161"/>
      <c r="V162" s="161"/>
    </row>
    <row r="163">
      <c r="A163" s="157"/>
      <c r="B163" s="161"/>
      <c r="C163" s="193"/>
      <c r="D163" s="161"/>
      <c r="E163" s="193"/>
      <c r="F163" s="161"/>
      <c r="G163" s="161"/>
      <c r="H163" s="161"/>
      <c r="I163" s="161"/>
      <c r="J163" s="157"/>
      <c r="K163" s="161"/>
      <c r="L163" s="161"/>
      <c r="M163" s="161"/>
      <c r="N163" s="161"/>
      <c r="O163" s="161"/>
      <c r="P163" s="161"/>
      <c r="Q163" s="161"/>
      <c r="R163" s="161"/>
      <c r="S163" s="161"/>
      <c r="T163" s="161"/>
      <c r="U163" s="161"/>
      <c r="V163" s="161"/>
    </row>
    <row r="164">
      <c r="A164" s="157"/>
      <c r="B164" s="161"/>
      <c r="C164" s="193"/>
      <c r="D164" s="161"/>
      <c r="E164" s="193"/>
      <c r="F164" s="161"/>
      <c r="G164" s="161"/>
      <c r="H164" s="161"/>
      <c r="I164" s="161"/>
      <c r="J164" s="157"/>
      <c r="K164" s="161"/>
      <c r="L164" s="161"/>
      <c r="M164" s="161"/>
      <c r="N164" s="161"/>
      <c r="O164" s="161"/>
      <c r="P164" s="161"/>
      <c r="Q164" s="161"/>
      <c r="R164" s="161"/>
      <c r="S164" s="161"/>
      <c r="T164" s="161"/>
      <c r="U164" s="161"/>
      <c r="V164" s="161"/>
    </row>
    <row r="165">
      <c r="A165" s="157"/>
      <c r="B165" s="161"/>
      <c r="C165" s="193"/>
      <c r="D165" s="161"/>
      <c r="E165" s="193"/>
      <c r="F165" s="161"/>
      <c r="G165" s="161"/>
      <c r="H165" s="161"/>
      <c r="I165" s="161"/>
      <c r="J165" s="157"/>
      <c r="K165" s="161"/>
      <c r="L165" s="161"/>
      <c r="M165" s="161"/>
      <c r="N165" s="161"/>
      <c r="O165" s="161"/>
      <c r="P165" s="161"/>
      <c r="Q165" s="161"/>
      <c r="R165" s="161"/>
      <c r="S165" s="161"/>
      <c r="T165" s="161"/>
      <c r="U165" s="161"/>
      <c r="V165" s="161"/>
    </row>
    <row r="166">
      <c r="A166" s="157"/>
      <c r="B166" s="161"/>
      <c r="C166" s="193"/>
      <c r="D166" s="161"/>
      <c r="E166" s="193"/>
      <c r="F166" s="161"/>
      <c r="G166" s="161"/>
      <c r="H166" s="161"/>
      <c r="I166" s="161"/>
      <c r="J166" s="157"/>
      <c r="K166" s="161"/>
      <c r="L166" s="161"/>
      <c r="M166" s="161"/>
      <c r="N166" s="161"/>
      <c r="O166" s="161"/>
      <c r="P166" s="161"/>
      <c r="Q166" s="161"/>
      <c r="R166" s="161"/>
      <c r="S166" s="161"/>
      <c r="T166" s="161"/>
      <c r="U166" s="161"/>
      <c r="V166" s="161"/>
    </row>
    <row r="167">
      <c r="A167" s="157"/>
      <c r="B167" s="161"/>
      <c r="C167" s="193"/>
      <c r="D167" s="161"/>
      <c r="E167" s="193"/>
      <c r="F167" s="161"/>
      <c r="G167" s="161"/>
      <c r="H167" s="161"/>
      <c r="I167" s="161"/>
      <c r="J167" s="157"/>
      <c r="K167" s="161"/>
      <c r="L167" s="161"/>
      <c r="M167" s="161"/>
      <c r="N167" s="161"/>
      <c r="O167" s="161"/>
      <c r="P167" s="161"/>
      <c r="Q167" s="161"/>
      <c r="R167" s="161"/>
      <c r="S167" s="161"/>
      <c r="T167" s="161"/>
      <c r="U167" s="161"/>
      <c r="V167" s="161"/>
    </row>
    <row r="168">
      <c r="A168" s="157"/>
      <c r="B168" s="161"/>
      <c r="C168" s="193"/>
      <c r="D168" s="161"/>
      <c r="E168" s="193"/>
      <c r="F168" s="161"/>
      <c r="G168" s="161"/>
      <c r="H168" s="161"/>
      <c r="I168" s="161"/>
      <c r="J168" s="157"/>
      <c r="K168" s="161"/>
      <c r="L168" s="161"/>
      <c r="M168" s="161"/>
      <c r="N168" s="161"/>
      <c r="O168" s="161"/>
      <c r="P168" s="161"/>
      <c r="Q168" s="161"/>
      <c r="R168" s="161"/>
      <c r="S168" s="161"/>
      <c r="T168" s="161"/>
      <c r="U168" s="161"/>
      <c r="V168" s="161"/>
    </row>
    <row r="169">
      <c r="A169" s="157"/>
      <c r="B169" s="161"/>
      <c r="C169" s="193"/>
      <c r="D169" s="161"/>
      <c r="E169" s="193"/>
      <c r="F169" s="161"/>
      <c r="G169" s="161"/>
      <c r="H169" s="161"/>
      <c r="I169" s="161"/>
      <c r="J169" s="157"/>
      <c r="K169" s="161"/>
      <c r="L169" s="161"/>
      <c r="M169" s="161"/>
      <c r="N169" s="161"/>
      <c r="O169" s="161"/>
      <c r="P169" s="161"/>
      <c r="Q169" s="161"/>
      <c r="R169" s="161"/>
      <c r="S169" s="161"/>
      <c r="T169" s="161"/>
      <c r="U169" s="161"/>
      <c r="V169" s="161"/>
    </row>
    <row r="170">
      <c r="A170" s="157"/>
      <c r="B170" s="161"/>
      <c r="C170" s="193"/>
      <c r="D170" s="161"/>
      <c r="E170" s="193"/>
      <c r="F170" s="161"/>
      <c r="G170" s="161"/>
      <c r="H170" s="161"/>
      <c r="I170" s="161"/>
      <c r="J170" s="157"/>
      <c r="K170" s="161"/>
      <c r="L170" s="161"/>
      <c r="M170" s="161"/>
      <c r="N170" s="161"/>
      <c r="O170" s="161"/>
      <c r="P170" s="161"/>
      <c r="Q170" s="161"/>
      <c r="R170" s="161"/>
      <c r="S170" s="161"/>
      <c r="T170" s="161"/>
      <c r="U170" s="161"/>
      <c r="V170" s="161"/>
    </row>
    <row r="171">
      <c r="A171" s="157"/>
      <c r="B171" s="161"/>
      <c r="C171" s="193"/>
      <c r="D171" s="161"/>
      <c r="E171" s="193"/>
      <c r="F171" s="161"/>
      <c r="G171" s="161"/>
      <c r="H171" s="161"/>
      <c r="I171" s="161"/>
      <c r="J171" s="157"/>
      <c r="K171" s="161"/>
      <c r="L171" s="161"/>
      <c r="M171" s="161"/>
      <c r="N171" s="161"/>
      <c r="O171" s="161"/>
      <c r="P171" s="161"/>
      <c r="Q171" s="161"/>
      <c r="R171" s="161"/>
      <c r="S171" s="161"/>
      <c r="T171" s="161"/>
      <c r="U171" s="161"/>
      <c r="V171" s="161"/>
    </row>
    <row r="172">
      <c r="A172" s="157"/>
      <c r="B172" s="161"/>
      <c r="C172" s="193"/>
      <c r="D172" s="161"/>
      <c r="E172" s="193"/>
      <c r="F172" s="161"/>
      <c r="G172" s="161"/>
      <c r="H172" s="161"/>
      <c r="I172" s="161"/>
      <c r="J172" s="157"/>
      <c r="K172" s="161"/>
      <c r="L172" s="161"/>
      <c r="M172" s="161"/>
      <c r="N172" s="161"/>
      <c r="O172" s="161"/>
      <c r="P172" s="161"/>
      <c r="Q172" s="161"/>
      <c r="R172" s="161"/>
      <c r="S172" s="161"/>
      <c r="T172" s="161"/>
      <c r="U172" s="161"/>
      <c r="V172" s="161"/>
    </row>
    <row r="173">
      <c r="A173" s="157"/>
      <c r="B173" s="161"/>
      <c r="C173" s="193"/>
      <c r="D173" s="161"/>
      <c r="E173" s="193"/>
      <c r="F173" s="161"/>
      <c r="G173" s="161"/>
      <c r="H173" s="161"/>
      <c r="I173" s="161"/>
      <c r="J173" s="157"/>
      <c r="K173" s="161"/>
      <c r="L173" s="161"/>
      <c r="M173" s="161"/>
      <c r="N173" s="161"/>
      <c r="O173" s="161"/>
      <c r="P173" s="161"/>
      <c r="Q173" s="161"/>
      <c r="R173" s="161"/>
      <c r="S173" s="161"/>
      <c r="T173" s="161"/>
      <c r="U173" s="161"/>
      <c r="V173" s="161"/>
    </row>
    <row r="174">
      <c r="A174" s="157"/>
      <c r="B174" s="161"/>
      <c r="C174" s="193"/>
      <c r="D174" s="161"/>
      <c r="E174" s="193"/>
      <c r="F174" s="161"/>
      <c r="G174" s="161"/>
      <c r="H174" s="161"/>
      <c r="I174" s="161"/>
      <c r="J174" s="157"/>
      <c r="K174" s="161"/>
      <c r="L174" s="161"/>
      <c r="M174" s="161"/>
      <c r="N174" s="161"/>
      <c r="O174" s="161"/>
      <c r="P174" s="161"/>
      <c r="Q174" s="161"/>
      <c r="R174" s="161"/>
      <c r="S174" s="161"/>
      <c r="T174" s="161"/>
      <c r="U174" s="161"/>
      <c r="V174" s="161"/>
    </row>
    <row r="175">
      <c r="A175" s="157"/>
      <c r="B175" s="161"/>
      <c r="C175" s="193"/>
      <c r="D175" s="161"/>
      <c r="E175" s="193"/>
      <c r="F175" s="161"/>
      <c r="G175" s="161"/>
      <c r="H175" s="161"/>
      <c r="I175" s="161"/>
      <c r="J175" s="157"/>
      <c r="K175" s="161"/>
      <c r="L175" s="161"/>
      <c r="M175" s="161"/>
      <c r="N175" s="161"/>
      <c r="O175" s="161"/>
      <c r="P175" s="161"/>
      <c r="Q175" s="161"/>
      <c r="R175" s="161"/>
      <c r="S175" s="161"/>
      <c r="T175" s="161"/>
      <c r="U175" s="161"/>
      <c r="V175" s="161"/>
    </row>
    <row r="176">
      <c r="A176" s="157"/>
      <c r="B176" s="161"/>
      <c r="C176" s="193"/>
      <c r="D176" s="161"/>
      <c r="E176" s="193"/>
      <c r="F176" s="161"/>
      <c r="G176" s="161"/>
      <c r="H176" s="161"/>
      <c r="I176" s="161"/>
      <c r="J176" s="157"/>
      <c r="K176" s="161"/>
      <c r="L176" s="161"/>
      <c r="M176" s="161"/>
      <c r="N176" s="161"/>
      <c r="O176" s="161"/>
      <c r="P176" s="161"/>
      <c r="Q176" s="161"/>
      <c r="R176" s="161"/>
      <c r="S176" s="161"/>
      <c r="T176" s="161"/>
      <c r="U176" s="161"/>
      <c r="V176" s="161"/>
    </row>
    <row r="177">
      <c r="A177" s="157"/>
      <c r="B177" s="161"/>
      <c r="C177" s="193"/>
      <c r="D177" s="161"/>
      <c r="E177" s="193"/>
      <c r="F177" s="161"/>
      <c r="G177" s="161"/>
      <c r="H177" s="161"/>
      <c r="I177" s="161"/>
      <c r="J177" s="157"/>
      <c r="K177" s="161"/>
      <c r="L177" s="161"/>
      <c r="M177" s="161"/>
      <c r="N177" s="161"/>
      <c r="O177" s="161"/>
      <c r="P177" s="161"/>
      <c r="Q177" s="161"/>
      <c r="R177" s="161"/>
      <c r="S177" s="161"/>
      <c r="T177" s="161"/>
      <c r="U177" s="161"/>
      <c r="V177" s="161"/>
    </row>
    <row r="178">
      <c r="A178" s="157"/>
      <c r="B178" s="161"/>
      <c r="C178" s="193"/>
      <c r="D178" s="161"/>
      <c r="E178" s="193"/>
      <c r="F178" s="161"/>
      <c r="G178" s="161"/>
      <c r="H178" s="161"/>
      <c r="I178" s="161"/>
      <c r="J178" s="157"/>
      <c r="K178" s="161"/>
      <c r="L178" s="161"/>
      <c r="M178" s="161"/>
      <c r="N178" s="161"/>
      <c r="O178" s="161"/>
      <c r="P178" s="161"/>
      <c r="Q178" s="161"/>
      <c r="R178" s="161"/>
      <c r="S178" s="161"/>
      <c r="T178" s="161"/>
      <c r="U178" s="161"/>
      <c r="V178" s="161"/>
    </row>
    <row r="179">
      <c r="A179" s="157"/>
      <c r="B179" s="161"/>
      <c r="C179" s="193"/>
      <c r="D179" s="161"/>
      <c r="E179" s="193"/>
      <c r="F179" s="161"/>
      <c r="G179" s="161"/>
      <c r="H179" s="161"/>
      <c r="I179" s="161"/>
      <c r="J179" s="157"/>
      <c r="K179" s="161"/>
      <c r="L179" s="161"/>
      <c r="M179" s="161"/>
      <c r="N179" s="161"/>
      <c r="O179" s="161"/>
      <c r="P179" s="161"/>
      <c r="Q179" s="161"/>
      <c r="R179" s="161"/>
      <c r="S179" s="161"/>
      <c r="T179" s="161"/>
      <c r="U179" s="161"/>
      <c r="V179" s="161"/>
    </row>
    <row r="180">
      <c r="A180" s="157"/>
      <c r="B180" s="161"/>
      <c r="C180" s="193"/>
      <c r="D180" s="161"/>
      <c r="E180" s="193"/>
      <c r="F180" s="161"/>
      <c r="G180" s="161"/>
      <c r="H180" s="161"/>
      <c r="I180" s="161"/>
      <c r="J180" s="157"/>
      <c r="K180" s="161"/>
      <c r="L180" s="161"/>
      <c r="M180" s="161"/>
      <c r="N180" s="161"/>
      <c r="O180" s="161"/>
      <c r="P180" s="161"/>
      <c r="Q180" s="161"/>
      <c r="R180" s="161"/>
      <c r="S180" s="161"/>
      <c r="T180" s="161"/>
      <c r="U180" s="161"/>
      <c r="V180" s="161"/>
    </row>
    <row r="181">
      <c r="A181" s="157"/>
      <c r="B181" s="161"/>
      <c r="C181" s="193"/>
      <c r="D181" s="161"/>
      <c r="E181" s="193"/>
      <c r="F181" s="161"/>
      <c r="G181" s="161"/>
      <c r="H181" s="161"/>
      <c r="I181" s="161"/>
      <c r="J181" s="157"/>
      <c r="K181" s="161"/>
      <c r="L181" s="161"/>
      <c r="M181" s="161"/>
      <c r="N181" s="161"/>
      <c r="O181" s="161"/>
      <c r="P181" s="161"/>
      <c r="Q181" s="161"/>
      <c r="R181" s="161"/>
      <c r="S181" s="161"/>
      <c r="T181" s="161"/>
      <c r="U181" s="161"/>
      <c r="V181" s="161"/>
    </row>
    <row r="182">
      <c r="A182" s="157"/>
      <c r="B182" s="161"/>
      <c r="C182" s="193"/>
      <c r="D182" s="161"/>
      <c r="E182" s="193"/>
      <c r="F182" s="161"/>
      <c r="G182" s="161"/>
      <c r="H182" s="161"/>
      <c r="I182" s="161"/>
      <c r="J182" s="157"/>
      <c r="K182" s="161"/>
      <c r="L182" s="161"/>
      <c r="M182" s="161"/>
      <c r="N182" s="161"/>
      <c r="O182" s="161"/>
      <c r="P182" s="161"/>
      <c r="Q182" s="161"/>
      <c r="R182" s="161"/>
      <c r="S182" s="161"/>
      <c r="T182" s="161"/>
      <c r="U182" s="161"/>
      <c r="V182" s="161"/>
    </row>
    <row r="183">
      <c r="A183" s="157"/>
      <c r="B183" s="161"/>
      <c r="C183" s="193"/>
      <c r="D183" s="161"/>
      <c r="E183" s="193"/>
      <c r="F183" s="161"/>
      <c r="G183" s="161"/>
      <c r="H183" s="161"/>
      <c r="I183" s="161"/>
      <c r="J183" s="157"/>
      <c r="K183" s="161"/>
      <c r="L183" s="161"/>
      <c r="M183" s="161"/>
      <c r="N183" s="161"/>
      <c r="O183" s="161"/>
      <c r="P183" s="161"/>
      <c r="Q183" s="161"/>
      <c r="R183" s="161"/>
      <c r="S183" s="161"/>
      <c r="T183" s="161"/>
      <c r="U183" s="161"/>
      <c r="V183" s="161"/>
    </row>
    <row r="184">
      <c r="A184" s="157"/>
      <c r="B184" s="161"/>
      <c r="C184" s="193"/>
      <c r="D184" s="161"/>
      <c r="E184" s="193"/>
      <c r="F184" s="161"/>
      <c r="G184" s="161"/>
      <c r="H184" s="161"/>
      <c r="I184" s="161"/>
      <c r="J184" s="157"/>
      <c r="K184" s="161"/>
      <c r="L184" s="161"/>
      <c r="M184" s="161"/>
      <c r="N184" s="161"/>
      <c r="O184" s="161"/>
      <c r="P184" s="161"/>
      <c r="Q184" s="161"/>
      <c r="R184" s="161"/>
      <c r="S184" s="161"/>
      <c r="T184" s="161"/>
      <c r="U184" s="161"/>
      <c r="V184" s="161"/>
    </row>
    <row r="185">
      <c r="A185" s="157"/>
      <c r="B185" s="161"/>
      <c r="C185" s="193"/>
      <c r="D185" s="161"/>
      <c r="E185" s="193"/>
      <c r="F185" s="161"/>
      <c r="G185" s="161"/>
      <c r="H185" s="161"/>
      <c r="I185" s="161"/>
      <c r="J185" s="157"/>
      <c r="K185" s="161"/>
      <c r="L185" s="161"/>
      <c r="M185" s="161"/>
      <c r="N185" s="161"/>
      <c r="O185" s="161"/>
      <c r="P185" s="161"/>
      <c r="Q185" s="161"/>
      <c r="R185" s="161"/>
      <c r="S185" s="161"/>
      <c r="T185" s="161"/>
      <c r="U185" s="161"/>
      <c r="V185" s="161"/>
    </row>
    <row r="186">
      <c r="A186" s="157"/>
      <c r="B186" s="161"/>
      <c r="C186" s="193"/>
      <c r="D186" s="161"/>
      <c r="E186" s="193"/>
      <c r="F186" s="161"/>
      <c r="G186" s="161"/>
      <c r="H186" s="161"/>
      <c r="I186" s="161"/>
      <c r="J186" s="157"/>
      <c r="K186" s="161"/>
      <c r="L186" s="161"/>
      <c r="M186" s="161"/>
      <c r="N186" s="161"/>
      <c r="O186" s="161"/>
      <c r="P186" s="161"/>
      <c r="Q186" s="161"/>
      <c r="R186" s="161"/>
      <c r="S186" s="161"/>
      <c r="T186" s="161"/>
      <c r="U186" s="161"/>
      <c r="V186" s="161"/>
    </row>
    <row r="187">
      <c r="A187" s="157"/>
      <c r="B187" s="161"/>
      <c r="C187" s="193"/>
      <c r="D187" s="161"/>
      <c r="E187" s="193"/>
      <c r="F187" s="161"/>
      <c r="G187" s="161"/>
      <c r="H187" s="161"/>
      <c r="I187" s="161"/>
      <c r="J187" s="157"/>
      <c r="K187" s="161"/>
      <c r="L187" s="161"/>
      <c r="M187" s="161"/>
      <c r="N187" s="161"/>
      <c r="O187" s="161"/>
      <c r="P187" s="161"/>
      <c r="Q187" s="161"/>
      <c r="R187" s="161"/>
      <c r="S187" s="161"/>
      <c r="T187" s="161"/>
      <c r="U187" s="161"/>
      <c r="V187" s="161"/>
    </row>
    <row r="188">
      <c r="A188" s="157"/>
      <c r="B188" s="161"/>
      <c r="C188" s="193"/>
      <c r="D188" s="161"/>
      <c r="E188" s="193"/>
      <c r="F188" s="161"/>
      <c r="G188" s="161"/>
      <c r="H188" s="161"/>
      <c r="I188" s="161"/>
      <c r="J188" s="157"/>
      <c r="K188" s="161"/>
      <c r="L188" s="161"/>
      <c r="M188" s="161"/>
      <c r="N188" s="161"/>
      <c r="O188" s="161"/>
      <c r="P188" s="161"/>
      <c r="Q188" s="161"/>
      <c r="R188" s="161"/>
      <c r="S188" s="161"/>
      <c r="T188" s="161"/>
      <c r="U188" s="161"/>
      <c r="V188" s="161"/>
    </row>
    <row r="189">
      <c r="A189" s="157"/>
      <c r="B189" s="161"/>
      <c r="C189" s="193"/>
      <c r="D189" s="161"/>
      <c r="E189" s="193"/>
      <c r="F189" s="161"/>
      <c r="G189" s="161"/>
      <c r="H189" s="161"/>
      <c r="I189" s="161"/>
      <c r="J189" s="157"/>
      <c r="K189" s="161"/>
      <c r="L189" s="161"/>
      <c r="M189" s="161"/>
      <c r="N189" s="161"/>
      <c r="O189" s="161"/>
      <c r="P189" s="161"/>
      <c r="Q189" s="161"/>
      <c r="R189" s="161"/>
      <c r="S189" s="161"/>
      <c r="T189" s="161"/>
      <c r="U189" s="161"/>
      <c r="V189" s="161"/>
    </row>
    <row r="190">
      <c r="A190" s="157"/>
      <c r="B190" s="161"/>
      <c r="C190" s="193"/>
      <c r="D190" s="161"/>
      <c r="E190" s="193"/>
      <c r="F190" s="161"/>
      <c r="G190" s="161"/>
      <c r="H190" s="161"/>
      <c r="I190" s="161"/>
      <c r="J190" s="157"/>
      <c r="K190" s="161"/>
      <c r="L190" s="161"/>
      <c r="M190" s="161"/>
      <c r="N190" s="161"/>
      <c r="O190" s="161"/>
      <c r="P190" s="161"/>
      <c r="Q190" s="161"/>
      <c r="R190" s="161"/>
      <c r="S190" s="161"/>
      <c r="T190" s="161"/>
      <c r="U190" s="161"/>
      <c r="V190" s="161"/>
    </row>
    <row r="191">
      <c r="A191" s="157"/>
      <c r="B191" s="161"/>
      <c r="C191" s="193"/>
      <c r="D191" s="161"/>
      <c r="E191" s="193"/>
      <c r="F191" s="161"/>
      <c r="G191" s="161"/>
      <c r="H191" s="161"/>
      <c r="I191" s="161"/>
      <c r="J191" s="157"/>
      <c r="K191" s="161"/>
      <c r="L191" s="161"/>
      <c r="M191" s="161"/>
      <c r="N191" s="161"/>
      <c r="O191" s="161"/>
      <c r="P191" s="161"/>
      <c r="Q191" s="161"/>
      <c r="R191" s="161"/>
      <c r="S191" s="161"/>
      <c r="T191" s="161"/>
      <c r="U191" s="161"/>
      <c r="V191" s="161"/>
    </row>
    <row r="192">
      <c r="A192" s="157"/>
      <c r="B192" s="161"/>
      <c r="C192" s="193"/>
      <c r="D192" s="161"/>
      <c r="E192" s="193"/>
      <c r="F192" s="161"/>
      <c r="G192" s="161"/>
      <c r="H192" s="161"/>
      <c r="I192" s="161"/>
      <c r="J192" s="157"/>
      <c r="K192" s="161"/>
      <c r="L192" s="161"/>
      <c r="M192" s="161"/>
      <c r="N192" s="161"/>
      <c r="O192" s="161"/>
      <c r="P192" s="161"/>
      <c r="Q192" s="161"/>
      <c r="R192" s="161"/>
      <c r="S192" s="161"/>
      <c r="T192" s="161"/>
      <c r="U192" s="161"/>
      <c r="V192" s="161"/>
    </row>
    <row r="193">
      <c r="A193" s="157"/>
      <c r="B193" s="161"/>
      <c r="C193" s="193"/>
      <c r="D193" s="161"/>
      <c r="E193" s="193"/>
      <c r="F193" s="161"/>
      <c r="G193" s="161"/>
      <c r="H193" s="161"/>
      <c r="I193" s="161"/>
      <c r="J193" s="157"/>
      <c r="K193" s="161"/>
      <c r="L193" s="161"/>
      <c r="M193" s="161"/>
      <c r="N193" s="161"/>
      <c r="O193" s="161"/>
      <c r="P193" s="161"/>
      <c r="Q193" s="161"/>
      <c r="R193" s="161"/>
      <c r="S193" s="161"/>
      <c r="T193" s="161"/>
      <c r="U193" s="161"/>
      <c r="V193" s="161"/>
    </row>
    <row r="194">
      <c r="A194" s="157"/>
      <c r="B194" s="161"/>
      <c r="C194" s="193"/>
      <c r="D194" s="161"/>
      <c r="E194" s="193"/>
      <c r="F194" s="161"/>
      <c r="G194" s="161"/>
      <c r="H194" s="161"/>
      <c r="I194" s="161"/>
      <c r="J194" s="157"/>
      <c r="K194" s="161"/>
      <c r="L194" s="161"/>
      <c r="M194" s="161"/>
      <c r="N194" s="161"/>
      <c r="O194" s="161"/>
      <c r="P194" s="161"/>
      <c r="Q194" s="161"/>
      <c r="R194" s="161"/>
      <c r="S194" s="161"/>
      <c r="T194" s="161"/>
      <c r="U194" s="161"/>
      <c r="V194" s="161"/>
    </row>
    <row r="195">
      <c r="A195" s="157"/>
      <c r="B195" s="161"/>
      <c r="C195" s="193"/>
      <c r="D195" s="161"/>
      <c r="E195" s="193"/>
      <c r="F195" s="161"/>
      <c r="G195" s="161"/>
      <c r="H195" s="161"/>
      <c r="I195" s="161"/>
      <c r="J195" s="157"/>
      <c r="K195" s="161"/>
      <c r="L195" s="161"/>
      <c r="M195" s="161"/>
      <c r="N195" s="161"/>
      <c r="O195" s="161"/>
      <c r="P195" s="161"/>
      <c r="Q195" s="161"/>
      <c r="R195" s="161"/>
      <c r="S195" s="161"/>
      <c r="T195" s="161"/>
      <c r="U195" s="161"/>
      <c r="V195" s="161"/>
    </row>
    <row r="196">
      <c r="A196" s="157"/>
      <c r="B196" s="161"/>
      <c r="C196" s="193"/>
      <c r="D196" s="161"/>
      <c r="E196" s="193"/>
      <c r="F196" s="161"/>
      <c r="G196" s="161"/>
      <c r="H196" s="161"/>
      <c r="I196" s="161"/>
      <c r="J196" s="157"/>
      <c r="K196" s="161"/>
      <c r="L196" s="161"/>
      <c r="M196" s="161"/>
      <c r="N196" s="161"/>
      <c r="O196" s="161"/>
      <c r="P196" s="161"/>
      <c r="Q196" s="161"/>
      <c r="R196" s="161"/>
      <c r="S196" s="161"/>
      <c r="T196" s="161"/>
      <c r="U196" s="161"/>
      <c r="V196" s="161"/>
    </row>
    <row r="197">
      <c r="A197" s="157"/>
      <c r="B197" s="161"/>
      <c r="C197" s="193"/>
      <c r="D197" s="161"/>
      <c r="E197" s="193"/>
      <c r="F197" s="161"/>
      <c r="G197" s="161"/>
      <c r="H197" s="161"/>
      <c r="I197" s="161"/>
      <c r="J197" s="157"/>
      <c r="K197" s="161"/>
      <c r="L197" s="161"/>
      <c r="M197" s="161"/>
      <c r="N197" s="161"/>
      <c r="O197" s="161"/>
      <c r="P197" s="161"/>
      <c r="Q197" s="161"/>
      <c r="R197" s="161"/>
      <c r="S197" s="161"/>
      <c r="T197" s="161"/>
      <c r="U197" s="161"/>
      <c r="V197" s="161"/>
    </row>
    <row r="198">
      <c r="A198" s="157"/>
      <c r="B198" s="161"/>
      <c r="C198" s="193"/>
      <c r="D198" s="161"/>
      <c r="E198" s="193"/>
      <c r="F198" s="161"/>
      <c r="G198" s="161"/>
      <c r="H198" s="161"/>
      <c r="I198" s="161"/>
      <c r="J198" s="157"/>
      <c r="K198" s="161"/>
      <c r="L198" s="161"/>
      <c r="M198" s="161"/>
      <c r="N198" s="161"/>
      <c r="O198" s="161"/>
      <c r="P198" s="161"/>
      <c r="Q198" s="161"/>
      <c r="R198" s="161"/>
      <c r="S198" s="161"/>
      <c r="T198" s="161"/>
      <c r="U198" s="161"/>
      <c r="V198" s="161"/>
    </row>
    <row r="199">
      <c r="A199" s="157"/>
      <c r="B199" s="161"/>
      <c r="C199" s="193"/>
      <c r="D199" s="161"/>
      <c r="E199" s="193"/>
      <c r="F199" s="161"/>
      <c r="G199" s="161"/>
      <c r="H199" s="161"/>
      <c r="I199" s="161"/>
      <c r="J199" s="157"/>
      <c r="K199" s="161"/>
      <c r="L199" s="161"/>
      <c r="M199" s="161"/>
      <c r="N199" s="161"/>
      <c r="O199" s="161"/>
      <c r="P199" s="161"/>
      <c r="Q199" s="161"/>
      <c r="R199" s="161"/>
      <c r="S199" s="161"/>
      <c r="T199" s="161"/>
      <c r="U199" s="161"/>
      <c r="V199" s="161"/>
    </row>
    <row r="200">
      <c r="A200" s="157"/>
      <c r="B200" s="161"/>
      <c r="C200" s="193"/>
      <c r="D200" s="161"/>
      <c r="E200" s="193"/>
      <c r="F200" s="161"/>
      <c r="G200" s="161"/>
      <c r="H200" s="161"/>
      <c r="I200" s="161"/>
      <c r="J200" s="157"/>
      <c r="K200" s="161"/>
      <c r="L200" s="161"/>
      <c r="M200" s="161"/>
      <c r="N200" s="161"/>
      <c r="O200" s="161"/>
      <c r="P200" s="161"/>
      <c r="Q200" s="161"/>
      <c r="R200" s="161"/>
      <c r="S200" s="161"/>
      <c r="T200" s="161"/>
      <c r="U200" s="161"/>
      <c r="V200" s="161"/>
    </row>
    <row r="201">
      <c r="A201" s="157"/>
      <c r="B201" s="161"/>
      <c r="C201" s="193"/>
      <c r="D201" s="161"/>
      <c r="E201" s="193"/>
      <c r="F201" s="161"/>
      <c r="G201" s="161"/>
      <c r="H201" s="161"/>
      <c r="I201" s="161"/>
      <c r="J201" s="157"/>
      <c r="K201" s="161"/>
      <c r="L201" s="161"/>
      <c r="M201" s="161"/>
      <c r="N201" s="161"/>
      <c r="O201" s="161"/>
      <c r="P201" s="161"/>
      <c r="Q201" s="161"/>
      <c r="R201" s="161"/>
      <c r="S201" s="161"/>
      <c r="T201" s="161"/>
      <c r="U201" s="161"/>
      <c r="V201" s="161"/>
    </row>
    <row r="202">
      <c r="A202" s="157"/>
      <c r="B202" s="161"/>
      <c r="C202" s="193"/>
      <c r="D202" s="161"/>
      <c r="E202" s="193"/>
      <c r="F202" s="161"/>
      <c r="G202" s="161"/>
      <c r="H202" s="161"/>
      <c r="I202" s="161"/>
      <c r="J202" s="157"/>
      <c r="K202" s="161"/>
      <c r="L202" s="161"/>
      <c r="M202" s="161"/>
      <c r="N202" s="161"/>
      <c r="O202" s="161"/>
      <c r="P202" s="161"/>
      <c r="Q202" s="161"/>
      <c r="R202" s="161"/>
      <c r="S202" s="161"/>
      <c r="T202" s="161"/>
      <c r="U202" s="161"/>
      <c r="V202" s="161"/>
    </row>
    <row r="203">
      <c r="A203" s="157"/>
      <c r="B203" s="161"/>
      <c r="C203" s="193"/>
      <c r="D203" s="161"/>
      <c r="E203" s="193"/>
      <c r="F203" s="161"/>
      <c r="G203" s="161"/>
      <c r="H203" s="161"/>
      <c r="I203" s="161"/>
      <c r="J203" s="157"/>
      <c r="K203" s="161"/>
      <c r="L203" s="161"/>
      <c r="M203" s="161"/>
      <c r="N203" s="161"/>
      <c r="O203" s="161"/>
      <c r="P203" s="161"/>
      <c r="Q203" s="161"/>
      <c r="R203" s="161"/>
      <c r="S203" s="161"/>
      <c r="T203" s="161"/>
      <c r="U203" s="161"/>
      <c r="V203" s="161"/>
    </row>
    <row r="204">
      <c r="A204" s="157"/>
      <c r="B204" s="161"/>
      <c r="C204" s="193"/>
      <c r="D204" s="161"/>
      <c r="E204" s="193"/>
      <c r="F204" s="161"/>
      <c r="G204" s="161"/>
      <c r="H204" s="161"/>
      <c r="I204" s="161"/>
      <c r="J204" s="157"/>
      <c r="K204" s="161"/>
      <c r="L204" s="161"/>
      <c r="M204" s="161"/>
      <c r="N204" s="161"/>
      <c r="O204" s="161"/>
      <c r="P204" s="161"/>
      <c r="Q204" s="161"/>
      <c r="R204" s="161"/>
      <c r="S204" s="161"/>
      <c r="T204" s="161"/>
      <c r="U204" s="161"/>
      <c r="V204" s="161"/>
    </row>
    <row r="205">
      <c r="A205" s="157"/>
      <c r="B205" s="161"/>
      <c r="C205" s="193"/>
      <c r="D205" s="161"/>
      <c r="E205" s="193"/>
      <c r="F205" s="161"/>
      <c r="G205" s="161"/>
      <c r="H205" s="161"/>
      <c r="I205" s="161"/>
      <c r="J205" s="157"/>
      <c r="K205" s="161"/>
      <c r="L205" s="161"/>
      <c r="M205" s="161"/>
      <c r="N205" s="161"/>
      <c r="O205" s="161"/>
      <c r="P205" s="161"/>
      <c r="Q205" s="161"/>
      <c r="R205" s="161"/>
      <c r="S205" s="161"/>
      <c r="T205" s="161"/>
      <c r="U205" s="161"/>
      <c r="V205" s="161"/>
    </row>
    <row r="206">
      <c r="A206" s="157"/>
      <c r="B206" s="161"/>
      <c r="C206" s="193"/>
      <c r="D206" s="161"/>
      <c r="E206" s="193"/>
      <c r="F206" s="161"/>
      <c r="G206" s="161"/>
      <c r="H206" s="161"/>
      <c r="I206" s="161"/>
      <c r="J206" s="157"/>
      <c r="K206" s="161"/>
      <c r="L206" s="161"/>
      <c r="M206" s="161"/>
      <c r="N206" s="161"/>
      <c r="O206" s="161"/>
      <c r="P206" s="161"/>
      <c r="Q206" s="161"/>
      <c r="R206" s="161"/>
      <c r="S206" s="161"/>
      <c r="T206" s="161"/>
      <c r="U206" s="161"/>
      <c r="V206" s="161"/>
    </row>
    <row r="207">
      <c r="A207" s="157"/>
      <c r="B207" s="161"/>
      <c r="C207" s="193"/>
      <c r="D207" s="161"/>
      <c r="E207" s="193"/>
      <c r="F207" s="161"/>
      <c r="G207" s="161"/>
      <c r="H207" s="161"/>
      <c r="I207" s="161"/>
      <c r="J207" s="157"/>
      <c r="K207" s="161"/>
      <c r="L207" s="161"/>
      <c r="M207" s="161"/>
      <c r="N207" s="161"/>
      <c r="O207" s="161"/>
      <c r="P207" s="161"/>
      <c r="Q207" s="161"/>
      <c r="R207" s="161"/>
      <c r="S207" s="161"/>
      <c r="T207" s="161"/>
      <c r="U207" s="161"/>
      <c r="V207" s="161"/>
    </row>
    <row r="208">
      <c r="A208" s="157"/>
      <c r="B208" s="161"/>
      <c r="C208" s="193"/>
      <c r="D208" s="161"/>
      <c r="E208" s="193"/>
      <c r="F208" s="161"/>
      <c r="G208" s="161"/>
      <c r="H208" s="161"/>
      <c r="I208" s="161"/>
      <c r="J208" s="157"/>
      <c r="K208" s="161"/>
      <c r="L208" s="161"/>
      <c r="M208" s="161"/>
      <c r="N208" s="161"/>
      <c r="O208" s="161"/>
      <c r="P208" s="161"/>
      <c r="Q208" s="161"/>
      <c r="R208" s="161"/>
      <c r="S208" s="161"/>
      <c r="T208" s="161"/>
      <c r="U208" s="161"/>
      <c r="V208" s="161"/>
    </row>
    <row r="209">
      <c r="A209" s="157"/>
      <c r="B209" s="161"/>
      <c r="C209" s="193"/>
      <c r="D209" s="161"/>
      <c r="E209" s="193"/>
      <c r="F209" s="161"/>
      <c r="G209" s="161"/>
      <c r="H209" s="161"/>
      <c r="I209" s="161"/>
      <c r="J209" s="157"/>
      <c r="K209" s="161"/>
      <c r="L209" s="161"/>
      <c r="M209" s="161"/>
      <c r="N209" s="161"/>
      <c r="O209" s="161"/>
      <c r="P209" s="161"/>
      <c r="Q209" s="161"/>
      <c r="R209" s="161"/>
      <c r="S209" s="161"/>
      <c r="T209" s="161"/>
      <c r="U209" s="161"/>
      <c r="V209" s="161"/>
    </row>
    <row r="210">
      <c r="A210" s="157"/>
      <c r="B210" s="161"/>
      <c r="C210" s="193"/>
      <c r="D210" s="161"/>
      <c r="E210" s="193"/>
      <c r="F210" s="161"/>
      <c r="G210" s="161"/>
      <c r="H210" s="161"/>
      <c r="I210" s="161"/>
      <c r="J210" s="157"/>
      <c r="K210" s="161"/>
      <c r="L210" s="161"/>
      <c r="M210" s="161"/>
      <c r="N210" s="161"/>
      <c r="O210" s="161"/>
      <c r="P210" s="161"/>
      <c r="Q210" s="161"/>
      <c r="R210" s="161"/>
      <c r="S210" s="161"/>
      <c r="T210" s="161"/>
      <c r="U210" s="161"/>
      <c r="V210" s="161"/>
    </row>
    <row r="211">
      <c r="A211" s="157"/>
      <c r="B211" s="161"/>
      <c r="C211" s="193"/>
      <c r="D211" s="161"/>
      <c r="E211" s="193"/>
      <c r="F211" s="161"/>
      <c r="G211" s="161"/>
      <c r="H211" s="161"/>
      <c r="I211" s="161"/>
      <c r="J211" s="157"/>
      <c r="K211" s="161"/>
      <c r="L211" s="161"/>
      <c r="M211" s="161"/>
      <c r="N211" s="161"/>
      <c r="O211" s="161"/>
      <c r="P211" s="161"/>
      <c r="Q211" s="161"/>
      <c r="R211" s="161"/>
      <c r="S211" s="161"/>
      <c r="T211" s="161"/>
      <c r="U211" s="161"/>
      <c r="V211" s="161"/>
    </row>
    <row r="212">
      <c r="A212" s="157"/>
      <c r="B212" s="161"/>
      <c r="C212" s="193"/>
      <c r="D212" s="161"/>
      <c r="E212" s="193"/>
      <c r="F212" s="161"/>
      <c r="G212" s="161"/>
      <c r="H212" s="161"/>
      <c r="I212" s="161"/>
      <c r="J212" s="157"/>
      <c r="K212" s="161"/>
      <c r="L212" s="161"/>
      <c r="M212" s="161"/>
      <c r="N212" s="161"/>
      <c r="O212" s="161"/>
      <c r="P212" s="161"/>
      <c r="Q212" s="161"/>
      <c r="R212" s="161"/>
      <c r="S212" s="161"/>
      <c r="T212" s="161"/>
      <c r="U212" s="161"/>
      <c r="V212" s="161"/>
    </row>
    <row r="213">
      <c r="A213" s="157"/>
      <c r="B213" s="161"/>
      <c r="C213" s="193"/>
      <c r="D213" s="161"/>
      <c r="E213" s="193"/>
      <c r="F213" s="161"/>
      <c r="G213" s="161"/>
      <c r="H213" s="161"/>
      <c r="I213" s="161"/>
      <c r="J213" s="157"/>
      <c r="K213" s="161"/>
      <c r="L213" s="161"/>
      <c r="M213" s="161"/>
      <c r="N213" s="161"/>
      <c r="O213" s="161"/>
      <c r="P213" s="161"/>
      <c r="Q213" s="161"/>
      <c r="R213" s="161"/>
      <c r="S213" s="161"/>
      <c r="T213" s="161"/>
      <c r="U213" s="161"/>
      <c r="V213" s="161"/>
    </row>
    <row r="214">
      <c r="A214" s="157"/>
      <c r="B214" s="161"/>
      <c r="C214" s="193"/>
      <c r="D214" s="161"/>
      <c r="E214" s="193"/>
      <c r="F214" s="161"/>
      <c r="G214" s="161"/>
      <c r="H214" s="161"/>
      <c r="I214" s="161"/>
      <c r="J214" s="157"/>
      <c r="K214" s="161"/>
      <c r="L214" s="161"/>
      <c r="M214" s="161"/>
      <c r="N214" s="161"/>
      <c r="O214" s="161"/>
      <c r="P214" s="161"/>
      <c r="Q214" s="161"/>
      <c r="R214" s="161"/>
      <c r="S214" s="161"/>
      <c r="T214" s="161"/>
      <c r="U214" s="161"/>
      <c r="V214" s="161"/>
    </row>
    <row r="215">
      <c r="A215" s="157"/>
      <c r="B215" s="161"/>
      <c r="C215" s="193"/>
      <c r="D215" s="161"/>
      <c r="E215" s="193"/>
      <c r="F215" s="161"/>
      <c r="G215" s="161"/>
      <c r="H215" s="161"/>
      <c r="I215" s="161"/>
      <c r="J215" s="157"/>
      <c r="K215" s="161"/>
      <c r="L215" s="161"/>
      <c r="M215" s="161"/>
      <c r="N215" s="161"/>
      <c r="O215" s="161"/>
      <c r="P215" s="161"/>
      <c r="Q215" s="161"/>
      <c r="R215" s="161"/>
      <c r="S215" s="161"/>
      <c r="T215" s="161"/>
      <c r="U215" s="161"/>
      <c r="V215" s="161"/>
    </row>
    <row r="216">
      <c r="A216" s="157"/>
      <c r="B216" s="161"/>
      <c r="C216" s="193"/>
      <c r="D216" s="161"/>
      <c r="E216" s="193"/>
      <c r="F216" s="161"/>
      <c r="G216" s="161"/>
      <c r="H216" s="161"/>
      <c r="I216" s="161"/>
      <c r="J216" s="157"/>
      <c r="K216" s="161"/>
      <c r="L216" s="161"/>
      <c r="M216" s="161"/>
      <c r="N216" s="161"/>
      <c r="O216" s="161"/>
      <c r="P216" s="161"/>
      <c r="Q216" s="161"/>
      <c r="R216" s="161"/>
      <c r="S216" s="161"/>
      <c r="T216" s="161"/>
      <c r="U216" s="161"/>
      <c r="V216" s="161"/>
    </row>
    <row r="217">
      <c r="A217" s="157"/>
      <c r="B217" s="161"/>
      <c r="C217" s="193"/>
      <c r="D217" s="161"/>
      <c r="E217" s="193"/>
      <c r="F217" s="161"/>
      <c r="G217" s="161"/>
      <c r="H217" s="161"/>
      <c r="I217" s="161"/>
      <c r="J217" s="157"/>
      <c r="K217" s="161"/>
      <c r="L217" s="161"/>
      <c r="M217" s="161"/>
      <c r="N217" s="161"/>
      <c r="O217" s="161"/>
      <c r="P217" s="161"/>
      <c r="Q217" s="161"/>
      <c r="R217" s="161"/>
      <c r="S217" s="161"/>
      <c r="T217" s="161"/>
      <c r="U217" s="161"/>
      <c r="V217" s="161"/>
    </row>
    <row r="218">
      <c r="A218" s="157"/>
      <c r="B218" s="161"/>
      <c r="C218" s="193"/>
      <c r="D218" s="161"/>
      <c r="E218" s="193"/>
      <c r="F218" s="161"/>
      <c r="G218" s="161"/>
      <c r="H218" s="161"/>
      <c r="I218" s="161"/>
      <c r="J218" s="157"/>
      <c r="K218" s="161"/>
      <c r="L218" s="161"/>
      <c r="M218" s="161"/>
      <c r="N218" s="161"/>
      <c r="O218" s="161"/>
      <c r="P218" s="161"/>
      <c r="Q218" s="161"/>
      <c r="R218" s="161"/>
      <c r="S218" s="161"/>
      <c r="T218" s="161"/>
      <c r="U218" s="161"/>
      <c r="V218" s="161"/>
    </row>
    <row r="219">
      <c r="A219" s="157"/>
      <c r="B219" s="161"/>
      <c r="C219" s="193"/>
      <c r="D219" s="161"/>
      <c r="E219" s="193"/>
      <c r="F219" s="161"/>
      <c r="G219" s="161"/>
      <c r="H219" s="161"/>
      <c r="I219" s="161"/>
      <c r="J219" s="157"/>
      <c r="K219" s="161"/>
      <c r="L219" s="161"/>
      <c r="M219" s="161"/>
      <c r="N219" s="161"/>
      <c r="O219" s="161"/>
      <c r="P219" s="161"/>
      <c r="Q219" s="161"/>
      <c r="R219" s="161"/>
      <c r="S219" s="161"/>
      <c r="T219" s="161"/>
      <c r="U219" s="161"/>
      <c r="V219" s="161"/>
    </row>
    <row r="220">
      <c r="A220" s="157"/>
      <c r="B220" s="161"/>
      <c r="C220" s="193"/>
      <c r="D220" s="161"/>
      <c r="E220" s="193"/>
      <c r="F220" s="161"/>
      <c r="G220" s="161"/>
      <c r="H220" s="161"/>
      <c r="I220" s="161"/>
      <c r="J220" s="157"/>
      <c r="K220" s="161"/>
      <c r="L220" s="161"/>
      <c r="M220" s="161"/>
      <c r="N220" s="161"/>
      <c r="O220" s="161"/>
      <c r="P220" s="161"/>
      <c r="Q220" s="161"/>
      <c r="R220" s="161"/>
      <c r="S220" s="161"/>
      <c r="T220" s="161"/>
      <c r="U220" s="161"/>
      <c r="V220" s="161"/>
    </row>
    <row r="221">
      <c r="A221" s="157"/>
      <c r="B221" s="161"/>
      <c r="C221" s="193"/>
      <c r="D221" s="161"/>
      <c r="E221" s="193"/>
      <c r="F221" s="161"/>
      <c r="G221" s="161"/>
      <c r="H221" s="161"/>
      <c r="I221" s="161"/>
      <c r="J221" s="157"/>
      <c r="K221" s="161"/>
      <c r="L221" s="161"/>
      <c r="M221" s="161"/>
      <c r="N221" s="161"/>
      <c r="O221" s="161"/>
      <c r="P221" s="161"/>
      <c r="Q221" s="161"/>
      <c r="R221" s="161"/>
      <c r="S221" s="161"/>
      <c r="T221" s="161"/>
      <c r="U221" s="161"/>
      <c r="V221" s="161"/>
    </row>
    <row r="222">
      <c r="A222" s="157"/>
      <c r="B222" s="161"/>
      <c r="C222" s="193"/>
      <c r="D222" s="161"/>
      <c r="E222" s="193"/>
      <c r="F222" s="161"/>
      <c r="G222" s="161"/>
      <c r="H222" s="161"/>
      <c r="I222" s="161"/>
      <c r="J222" s="157"/>
      <c r="K222" s="161"/>
      <c r="L222" s="161"/>
      <c r="M222" s="161"/>
      <c r="N222" s="161"/>
      <c r="O222" s="161"/>
      <c r="P222" s="161"/>
      <c r="Q222" s="161"/>
      <c r="R222" s="161"/>
      <c r="S222" s="161"/>
      <c r="T222" s="161"/>
      <c r="U222" s="161"/>
      <c r="V222" s="161"/>
    </row>
    <row r="223">
      <c r="A223" s="157"/>
      <c r="B223" s="161"/>
      <c r="C223" s="193"/>
      <c r="D223" s="161"/>
      <c r="E223" s="193"/>
      <c r="F223" s="161"/>
      <c r="G223" s="161"/>
      <c r="H223" s="161"/>
      <c r="I223" s="161"/>
      <c r="J223" s="157"/>
      <c r="K223" s="161"/>
      <c r="L223" s="161"/>
      <c r="M223" s="161"/>
      <c r="N223" s="161"/>
      <c r="O223" s="161"/>
      <c r="P223" s="161"/>
      <c r="Q223" s="161"/>
      <c r="R223" s="161"/>
      <c r="S223" s="161"/>
      <c r="T223" s="161"/>
      <c r="U223" s="161"/>
      <c r="V223" s="161"/>
    </row>
    <row r="224">
      <c r="A224" s="157"/>
      <c r="B224" s="161"/>
      <c r="C224" s="193"/>
      <c r="D224" s="161"/>
      <c r="E224" s="193"/>
      <c r="F224" s="161"/>
      <c r="G224" s="161"/>
      <c r="H224" s="161"/>
      <c r="I224" s="161"/>
      <c r="J224" s="157"/>
      <c r="K224" s="161"/>
      <c r="L224" s="161"/>
      <c r="M224" s="161"/>
      <c r="N224" s="161"/>
      <c r="O224" s="161"/>
      <c r="P224" s="161"/>
      <c r="Q224" s="161"/>
      <c r="R224" s="161"/>
      <c r="S224" s="161"/>
      <c r="T224" s="161"/>
      <c r="U224" s="161"/>
      <c r="V224" s="161"/>
    </row>
    <row r="225">
      <c r="A225" s="157"/>
      <c r="B225" s="161"/>
      <c r="C225" s="193"/>
      <c r="D225" s="161"/>
      <c r="E225" s="193"/>
      <c r="F225" s="161"/>
      <c r="G225" s="161"/>
      <c r="H225" s="161"/>
      <c r="I225" s="161"/>
      <c r="J225" s="157"/>
      <c r="K225" s="161"/>
      <c r="L225" s="161"/>
      <c r="M225" s="161"/>
      <c r="N225" s="161"/>
      <c r="O225" s="161"/>
      <c r="P225" s="161"/>
      <c r="Q225" s="161"/>
      <c r="R225" s="161"/>
      <c r="S225" s="161"/>
      <c r="T225" s="161"/>
      <c r="U225" s="161"/>
      <c r="V225" s="161"/>
    </row>
    <row r="226">
      <c r="A226" s="157"/>
      <c r="B226" s="161"/>
      <c r="C226" s="193"/>
      <c r="D226" s="161"/>
      <c r="E226" s="193"/>
      <c r="F226" s="161"/>
      <c r="G226" s="161"/>
      <c r="H226" s="161"/>
      <c r="I226" s="161"/>
      <c r="J226" s="157"/>
      <c r="K226" s="161"/>
      <c r="L226" s="161"/>
      <c r="M226" s="161"/>
      <c r="N226" s="161"/>
      <c r="O226" s="161"/>
      <c r="P226" s="161"/>
      <c r="Q226" s="161"/>
      <c r="R226" s="161"/>
      <c r="S226" s="161"/>
      <c r="T226" s="161"/>
      <c r="U226" s="161"/>
      <c r="V226" s="161"/>
    </row>
    <row r="227">
      <c r="A227" s="157"/>
      <c r="B227" s="161"/>
      <c r="C227" s="193"/>
      <c r="D227" s="161"/>
      <c r="E227" s="193"/>
      <c r="F227" s="161"/>
      <c r="G227" s="161"/>
      <c r="H227" s="161"/>
      <c r="I227" s="161"/>
      <c r="J227" s="157"/>
      <c r="K227" s="161"/>
      <c r="L227" s="161"/>
      <c r="M227" s="161"/>
      <c r="N227" s="161"/>
      <c r="O227" s="161"/>
      <c r="P227" s="161"/>
      <c r="Q227" s="161"/>
      <c r="R227" s="161"/>
      <c r="S227" s="161"/>
      <c r="T227" s="161"/>
      <c r="U227" s="161"/>
      <c r="V227" s="161"/>
    </row>
    <row r="228">
      <c r="A228" s="157"/>
      <c r="B228" s="161"/>
      <c r="C228" s="193"/>
      <c r="D228" s="161"/>
      <c r="E228" s="193"/>
      <c r="F228" s="161"/>
      <c r="G228" s="161"/>
      <c r="H228" s="161"/>
      <c r="I228" s="161"/>
      <c r="J228" s="157"/>
      <c r="K228" s="161"/>
      <c r="L228" s="161"/>
      <c r="M228" s="161"/>
      <c r="N228" s="161"/>
      <c r="O228" s="161"/>
      <c r="P228" s="161"/>
      <c r="Q228" s="161"/>
      <c r="R228" s="161"/>
      <c r="S228" s="161"/>
      <c r="T228" s="161"/>
      <c r="U228" s="161"/>
      <c r="V228" s="161"/>
    </row>
    <row r="229">
      <c r="A229" s="157"/>
      <c r="B229" s="161"/>
      <c r="C229" s="193"/>
      <c r="D229" s="161"/>
      <c r="E229" s="193"/>
      <c r="F229" s="161"/>
      <c r="G229" s="161"/>
      <c r="H229" s="161"/>
      <c r="I229" s="161"/>
      <c r="J229" s="157"/>
      <c r="K229" s="161"/>
      <c r="L229" s="161"/>
      <c r="M229" s="161"/>
      <c r="N229" s="161"/>
      <c r="O229" s="161"/>
      <c r="P229" s="161"/>
      <c r="Q229" s="161"/>
      <c r="R229" s="161"/>
      <c r="S229" s="161"/>
      <c r="T229" s="161"/>
      <c r="U229" s="161"/>
      <c r="V229" s="161"/>
    </row>
    <row r="230">
      <c r="A230" s="157"/>
      <c r="B230" s="161"/>
      <c r="C230" s="193"/>
      <c r="D230" s="161"/>
      <c r="E230" s="193"/>
      <c r="F230" s="161"/>
      <c r="G230" s="161"/>
      <c r="H230" s="161"/>
      <c r="I230" s="161"/>
      <c r="J230" s="157"/>
      <c r="K230" s="161"/>
      <c r="L230" s="161"/>
      <c r="M230" s="161"/>
      <c r="N230" s="161"/>
      <c r="O230" s="161"/>
      <c r="P230" s="161"/>
      <c r="Q230" s="161"/>
      <c r="R230" s="161"/>
      <c r="S230" s="161"/>
      <c r="T230" s="161"/>
      <c r="U230" s="161"/>
      <c r="V230" s="161"/>
    </row>
    <row r="231">
      <c r="A231" s="157"/>
      <c r="B231" s="161"/>
      <c r="C231" s="193"/>
      <c r="D231" s="161"/>
      <c r="E231" s="193"/>
      <c r="F231" s="161"/>
      <c r="G231" s="161"/>
      <c r="H231" s="161"/>
      <c r="I231" s="161"/>
      <c r="J231" s="157"/>
      <c r="K231" s="161"/>
      <c r="L231" s="161"/>
      <c r="M231" s="161"/>
      <c r="N231" s="161"/>
      <c r="O231" s="161"/>
      <c r="P231" s="161"/>
      <c r="Q231" s="161"/>
      <c r="R231" s="161"/>
      <c r="S231" s="161"/>
      <c r="T231" s="161"/>
      <c r="U231" s="161"/>
      <c r="V231" s="161"/>
    </row>
    <row r="232">
      <c r="A232" s="157"/>
      <c r="B232" s="161"/>
      <c r="C232" s="193"/>
      <c r="D232" s="161"/>
      <c r="E232" s="193"/>
      <c r="F232" s="161"/>
      <c r="G232" s="161"/>
      <c r="H232" s="161"/>
      <c r="I232" s="161"/>
      <c r="J232" s="157"/>
      <c r="K232" s="161"/>
      <c r="L232" s="161"/>
      <c r="M232" s="161"/>
      <c r="N232" s="161"/>
      <c r="O232" s="161"/>
      <c r="P232" s="161"/>
      <c r="Q232" s="161"/>
      <c r="R232" s="161"/>
      <c r="S232" s="161"/>
      <c r="T232" s="161"/>
      <c r="U232" s="161"/>
      <c r="V232" s="161"/>
    </row>
    <row r="233">
      <c r="A233" s="157"/>
      <c r="B233" s="161"/>
      <c r="C233" s="193"/>
      <c r="D233" s="161"/>
      <c r="E233" s="193"/>
      <c r="F233" s="161"/>
      <c r="G233" s="161"/>
      <c r="H233" s="161"/>
      <c r="I233" s="161"/>
      <c r="J233" s="157"/>
      <c r="K233" s="161"/>
      <c r="L233" s="161"/>
      <c r="M233" s="161"/>
      <c r="N233" s="161"/>
      <c r="O233" s="161"/>
      <c r="P233" s="161"/>
      <c r="Q233" s="161"/>
      <c r="R233" s="161"/>
      <c r="S233" s="161"/>
      <c r="T233" s="161"/>
      <c r="U233" s="161"/>
      <c r="V233" s="161"/>
    </row>
    <row r="234">
      <c r="A234" s="157"/>
      <c r="B234" s="161"/>
      <c r="C234" s="193"/>
      <c r="D234" s="161"/>
      <c r="E234" s="193"/>
      <c r="F234" s="161"/>
      <c r="G234" s="161"/>
      <c r="H234" s="161"/>
      <c r="I234" s="161"/>
      <c r="J234" s="157"/>
      <c r="K234" s="161"/>
      <c r="L234" s="161"/>
      <c r="M234" s="161"/>
      <c r="N234" s="161"/>
      <c r="O234" s="161"/>
      <c r="P234" s="161"/>
      <c r="Q234" s="161"/>
      <c r="R234" s="161"/>
      <c r="S234" s="161"/>
      <c r="T234" s="161"/>
      <c r="U234" s="161"/>
      <c r="V234" s="161"/>
    </row>
    <row r="235">
      <c r="A235" s="157"/>
      <c r="B235" s="161"/>
      <c r="C235" s="193"/>
      <c r="D235" s="161"/>
      <c r="E235" s="193"/>
      <c r="F235" s="161"/>
      <c r="G235" s="161"/>
      <c r="H235" s="161"/>
      <c r="I235" s="161"/>
      <c r="J235" s="157"/>
      <c r="K235" s="161"/>
      <c r="L235" s="161"/>
      <c r="M235" s="161"/>
      <c r="N235" s="161"/>
      <c r="O235" s="161"/>
      <c r="P235" s="161"/>
      <c r="Q235" s="161"/>
      <c r="R235" s="161"/>
      <c r="S235" s="161"/>
      <c r="T235" s="161"/>
      <c r="U235" s="161"/>
      <c r="V235" s="161"/>
    </row>
    <row r="236">
      <c r="A236" s="157"/>
      <c r="B236" s="161"/>
      <c r="C236" s="193"/>
      <c r="D236" s="161"/>
      <c r="E236" s="193"/>
      <c r="F236" s="161"/>
      <c r="G236" s="161"/>
      <c r="H236" s="161"/>
      <c r="I236" s="161"/>
      <c r="J236" s="157"/>
      <c r="K236" s="161"/>
      <c r="L236" s="161"/>
      <c r="M236" s="161"/>
      <c r="N236" s="161"/>
      <c r="O236" s="161"/>
      <c r="P236" s="161"/>
      <c r="Q236" s="161"/>
      <c r="R236" s="161"/>
      <c r="S236" s="161"/>
      <c r="T236" s="161"/>
      <c r="U236" s="161"/>
      <c r="V236" s="161"/>
    </row>
    <row r="237">
      <c r="A237" s="157"/>
      <c r="B237" s="161"/>
      <c r="C237" s="193"/>
      <c r="D237" s="161"/>
      <c r="E237" s="193"/>
      <c r="F237" s="161"/>
      <c r="G237" s="161"/>
      <c r="H237" s="161"/>
      <c r="I237" s="161"/>
      <c r="J237" s="157"/>
      <c r="K237" s="161"/>
      <c r="L237" s="161"/>
      <c r="M237" s="161"/>
      <c r="N237" s="161"/>
      <c r="O237" s="161"/>
      <c r="P237" s="161"/>
      <c r="Q237" s="161"/>
      <c r="R237" s="161"/>
      <c r="S237" s="161"/>
      <c r="T237" s="161"/>
      <c r="U237" s="161"/>
      <c r="V237" s="161"/>
    </row>
    <row r="238">
      <c r="A238" s="157"/>
      <c r="B238" s="161"/>
      <c r="C238" s="193"/>
      <c r="D238" s="161"/>
      <c r="E238" s="193"/>
      <c r="F238" s="161"/>
      <c r="G238" s="161"/>
      <c r="H238" s="161"/>
      <c r="I238" s="161"/>
      <c r="J238" s="157"/>
      <c r="K238" s="161"/>
      <c r="L238" s="161"/>
      <c r="M238" s="161"/>
      <c r="N238" s="161"/>
      <c r="O238" s="161"/>
      <c r="P238" s="161"/>
      <c r="Q238" s="161"/>
      <c r="R238" s="161"/>
      <c r="S238" s="161"/>
      <c r="T238" s="161"/>
      <c r="U238" s="161"/>
      <c r="V238" s="161"/>
    </row>
    <row r="239">
      <c r="A239" s="157"/>
      <c r="B239" s="161"/>
      <c r="C239" s="193"/>
      <c r="D239" s="161"/>
      <c r="E239" s="193"/>
      <c r="F239" s="161"/>
      <c r="G239" s="161"/>
      <c r="H239" s="161"/>
      <c r="I239" s="161"/>
      <c r="J239" s="157"/>
      <c r="K239" s="161"/>
      <c r="L239" s="161"/>
      <c r="M239" s="161"/>
      <c r="N239" s="161"/>
      <c r="O239" s="161"/>
      <c r="P239" s="161"/>
      <c r="Q239" s="161"/>
      <c r="R239" s="161"/>
      <c r="S239" s="161"/>
      <c r="T239" s="161"/>
      <c r="U239" s="161"/>
      <c r="V239" s="161"/>
    </row>
    <row r="240">
      <c r="A240" s="157"/>
      <c r="B240" s="161"/>
      <c r="C240" s="193"/>
      <c r="D240" s="161"/>
      <c r="E240" s="193"/>
      <c r="F240" s="161"/>
      <c r="G240" s="161"/>
      <c r="H240" s="161"/>
      <c r="I240" s="161"/>
      <c r="J240" s="157"/>
      <c r="K240" s="161"/>
      <c r="L240" s="161"/>
      <c r="M240" s="161"/>
      <c r="N240" s="161"/>
      <c r="O240" s="161"/>
      <c r="P240" s="161"/>
      <c r="Q240" s="161"/>
      <c r="R240" s="161"/>
      <c r="S240" s="161"/>
      <c r="T240" s="161"/>
      <c r="U240" s="161"/>
      <c r="V240" s="161"/>
    </row>
    <row r="241">
      <c r="A241" s="157"/>
      <c r="B241" s="161"/>
      <c r="C241" s="193"/>
      <c r="D241" s="161"/>
      <c r="E241" s="193"/>
      <c r="F241" s="161"/>
      <c r="G241" s="161"/>
      <c r="H241" s="161"/>
      <c r="I241" s="161"/>
      <c r="J241" s="157"/>
      <c r="K241" s="161"/>
      <c r="L241" s="161"/>
      <c r="M241" s="161"/>
      <c r="N241" s="161"/>
      <c r="O241" s="161"/>
      <c r="P241" s="161"/>
      <c r="Q241" s="161"/>
      <c r="R241" s="161"/>
      <c r="S241" s="161"/>
      <c r="T241" s="161"/>
      <c r="U241" s="161"/>
      <c r="V241" s="161"/>
    </row>
    <row r="242">
      <c r="A242" s="157"/>
      <c r="B242" s="161"/>
      <c r="C242" s="193"/>
      <c r="D242" s="161"/>
      <c r="E242" s="193"/>
      <c r="F242" s="161"/>
      <c r="G242" s="161"/>
      <c r="H242" s="161"/>
      <c r="I242" s="161"/>
      <c r="J242" s="157"/>
      <c r="K242" s="161"/>
      <c r="L242" s="161"/>
      <c r="M242" s="161"/>
      <c r="N242" s="161"/>
      <c r="O242" s="161"/>
      <c r="P242" s="161"/>
      <c r="Q242" s="161"/>
      <c r="R242" s="161"/>
      <c r="S242" s="161"/>
      <c r="T242" s="161"/>
      <c r="U242" s="161"/>
      <c r="V242" s="161"/>
    </row>
    <row r="243">
      <c r="A243" s="157"/>
      <c r="B243" s="161"/>
      <c r="C243" s="193"/>
      <c r="D243" s="161"/>
      <c r="E243" s="193"/>
      <c r="F243" s="161"/>
      <c r="G243" s="161"/>
      <c r="H243" s="161"/>
      <c r="I243" s="161"/>
      <c r="J243" s="157"/>
      <c r="K243" s="161"/>
      <c r="L243" s="161"/>
      <c r="M243" s="161"/>
      <c r="N243" s="161"/>
      <c r="O243" s="161"/>
      <c r="P243" s="161"/>
      <c r="Q243" s="161"/>
      <c r="R243" s="161"/>
      <c r="S243" s="161"/>
      <c r="T243" s="161"/>
      <c r="U243" s="161"/>
      <c r="V243" s="161"/>
    </row>
    <row r="244">
      <c r="A244" s="157"/>
      <c r="B244" s="161"/>
      <c r="C244" s="193"/>
      <c r="D244" s="161"/>
      <c r="E244" s="193"/>
      <c r="F244" s="161"/>
      <c r="G244" s="161"/>
      <c r="H244" s="161"/>
      <c r="I244" s="161"/>
      <c r="J244" s="157"/>
      <c r="K244" s="161"/>
      <c r="L244" s="161"/>
      <c r="M244" s="161"/>
      <c r="N244" s="161"/>
      <c r="O244" s="161"/>
      <c r="P244" s="161"/>
      <c r="Q244" s="161"/>
      <c r="R244" s="161"/>
      <c r="S244" s="161"/>
      <c r="T244" s="161"/>
      <c r="U244" s="161"/>
      <c r="V244" s="161"/>
    </row>
    <row r="245">
      <c r="A245" s="157"/>
      <c r="B245" s="161"/>
      <c r="C245" s="193"/>
      <c r="D245" s="161"/>
      <c r="E245" s="193"/>
      <c r="F245" s="161"/>
      <c r="G245" s="161"/>
      <c r="H245" s="161"/>
      <c r="I245" s="161"/>
      <c r="J245" s="157"/>
      <c r="K245" s="161"/>
      <c r="L245" s="161"/>
      <c r="M245" s="161"/>
      <c r="N245" s="161"/>
      <c r="O245" s="161"/>
      <c r="P245" s="161"/>
      <c r="Q245" s="161"/>
      <c r="R245" s="161"/>
      <c r="S245" s="161"/>
      <c r="T245" s="161"/>
      <c r="U245" s="161"/>
      <c r="V245" s="161"/>
    </row>
    <row r="246">
      <c r="A246" s="157"/>
      <c r="B246" s="161"/>
      <c r="C246" s="193"/>
      <c r="D246" s="161"/>
      <c r="E246" s="193"/>
      <c r="F246" s="161"/>
      <c r="G246" s="161"/>
      <c r="H246" s="161"/>
      <c r="I246" s="161"/>
      <c r="J246" s="157"/>
      <c r="K246" s="161"/>
      <c r="L246" s="161"/>
      <c r="M246" s="161"/>
      <c r="N246" s="161"/>
      <c r="O246" s="161"/>
      <c r="P246" s="161"/>
      <c r="Q246" s="161"/>
      <c r="R246" s="161"/>
      <c r="S246" s="161"/>
      <c r="T246" s="161"/>
      <c r="U246" s="161"/>
      <c r="V246" s="161"/>
    </row>
    <row r="247">
      <c r="A247" s="157"/>
      <c r="B247" s="161"/>
      <c r="C247" s="193"/>
      <c r="D247" s="161"/>
      <c r="E247" s="193"/>
      <c r="F247" s="161"/>
      <c r="G247" s="161"/>
      <c r="H247" s="161"/>
      <c r="I247" s="161"/>
      <c r="J247" s="157"/>
      <c r="K247" s="161"/>
      <c r="L247" s="161"/>
      <c r="M247" s="161"/>
      <c r="N247" s="161"/>
      <c r="O247" s="161"/>
      <c r="P247" s="161"/>
      <c r="Q247" s="161"/>
      <c r="R247" s="161"/>
      <c r="S247" s="161"/>
      <c r="T247" s="161"/>
      <c r="U247" s="161"/>
      <c r="V247" s="161"/>
    </row>
    <row r="248">
      <c r="A248" s="157"/>
      <c r="B248" s="161"/>
      <c r="C248" s="193"/>
      <c r="D248" s="161"/>
      <c r="E248" s="193"/>
      <c r="F248" s="161"/>
      <c r="G248" s="161"/>
      <c r="H248" s="161"/>
      <c r="I248" s="161"/>
      <c r="J248" s="157"/>
      <c r="K248" s="161"/>
      <c r="L248" s="161"/>
      <c r="M248" s="161"/>
      <c r="N248" s="161"/>
      <c r="O248" s="161"/>
      <c r="P248" s="161"/>
      <c r="Q248" s="161"/>
      <c r="R248" s="161"/>
      <c r="S248" s="161"/>
      <c r="T248" s="161"/>
      <c r="U248" s="161"/>
      <c r="V248" s="161"/>
    </row>
    <row r="249">
      <c r="A249" s="157"/>
      <c r="B249" s="161"/>
      <c r="C249" s="193"/>
      <c r="D249" s="161"/>
      <c r="E249" s="193"/>
      <c r="F249" s="161"/>
      <c r="G249" s="161"/>
      <c r="H249" s="161"/>
      <c r="I249" s="161"/>
      <c r="J249" s="157"/>
      <c r="K249" s="161"/>
      <c r="L249" s="161"/>
      <c r="M249" s="161"/>
      <c r="N249" s="161"/>
      <c r="O249" s="161"/>
      <c r="P249" s="161"/>
      <c r="Q249" s="161"/>
      <c r="R249" s="161"/>
      <c r="S249" s="161"/>
      <c r="T249" s="161"/>
      <c r="U249" s="161"/>
      <c r="V249" s="161"/>
    </row>
    <row r="250">
      <c r="A250" s="157"/>
      <c r="B250" s="161"/>
      <c r="C250" s="193"/>
      <c r="D250" s="161"/>
      <c r="E250" s="193"/>
      <c r="F250" s="161"/>
      <c r="G250" s="161"/>
      <c r="H250" s="161"/>
      <c r="I250" s="161"/>
      <c r="J250" s="157"/>
      <c r="K250" s="161"/>
      <c r="L250" s="161"/>
      <c r="M250" s="161"/>
      <c r="N250" s="161"/>
      <c r="O250" s="161"/>
      <c r="P250" s="161"/>
      <c r="Q250" s="161"/>
      <c r="R250" s="161"/>
      <c r="S250" s="161"/>
      <c r="T250" s="161"/>
      <c r="U250" s="161"/>
      <c r="V250" s="161"/>
    </row>
    <row r="251">
      <c r="A251" s="157"/>
      <c r="B251" s="161"/>
      <c r="C251" s="193"/>
      <c r="D251" s="161"/>
      <c r="E251" s="193"/>
      <c r="F251" s="161"/>
      <c r="G251" s="161"/>
      <c r="H251" s="161"/>
      <c r="I251" s="161"/>
      <c r="J251" s="157"/>
      <c r="K251" s="161"/>
      <c r="L251" s="161"/>
      <c r="M251" s="161"/>
      <c r="N251" s="161"/>
      <c r="O251" s="161"/>
      <c r="P251" s="161"/>
      <c r="Q251" s="161"/>
      <c r="R251" s="161"/>
      <c r="S251" s="161"/>
      <c r="T251" s="161"/>
      <c r="U251" s="161"/>
      <c r="V251" s="161"/>
    </row>
    <row r="252">
      <c r="A252" s="157"/>
      <c r="B252" s="161"/>
      <c r="C252" s="193"/>
      <c r="D252" s="161"/>
      <c r="E252" s="193"/>
      <c r="F252" s="161"/>
      <c r="G252" s="161"/>
      <c r="H252" s="161"/>
      <c r="I252" s="161"/>
      <c r="J252" s="157"/>
      <c r="K252" s="161"/>
      <c r="L252" s="161"/>
      <c r="M252" s="161"/>
      <c r="N252" s="161"/>
      <c r="O252" s="161"/>
      <c r="P252" s="161"/>
      <c r="Q252" s="161"/>
      <c r="R252" s="161"/>
      <c r="S252" s="161"/>
      <c r="T252" s="161"/>
      <c r="U252" s="161"/>
      <c r="V252" s="161"/>
    </row>
    <row r="253">
      <c r="A253" s="157"/>
      <c r="B253" s="161"/>
      <c r="C253" s="193"/>
      <c r="D253" s="161"/>
      <c r="E253" s="193"/>
      <c r="F253" s="161"/>
      <c r="G253" s="161"/>
      <c r="H253" s="161"/>
      <c r="I253" s="161"/>
      <c r="J253" s="157"/>
      <c r="K253" s="161"/>
      <c r="L253" s="161"/>
      <c r="M253" s="161"/>
      <c r="N253" s="161"/>
      <c r="O253" s="161"/>
      <c r="P253" s="161"/>
      <c r="Q253" s="161"/>
      <c r="R253" s="161"/>
      <c r="S253" s="161"/>
      <c r="T253" s="161"/>
      <c r="U253" s="161"/>
      <c r="V253" s="161"/>
    </row>
    <row r="254">
      <c r="A254" s="157"/>
      <c r="B254" s="161"/>
      <c r="C254" s="193"/>
      <c r="D254" s="161"/>
      <c r="E254" s="193"/>
      <c r="F254" s="161"/>
      <c r="G254" s="161"/>
      <c r="H254" s="161"/>
      <c r="I254" s="161"/>
      <c r="J254" s="157"/>
      <c r="K254" s="161"/>
      <c r="L254" s="161"/>
      <c r="M254" s="161"/>
      <c r="N254" s="161"/>
      <c r="O254" s="161"/>
      <c r="P254" s="161"/>
      <c r="Q254" s="161"/>
      <c r="R254" s="161"/>
      <c r="S254" s="161"/>
      <c r="T254" s="161"/>
      <c r="U254" s="161"/>
      <c r="V254" s="161"/>
    </row>
    <row r="255">
      <c r="A255" s="157"/>
      <c r="B255" s="161"/>
      <c r="C255" s="193"/>
      <c r="D255" s="161"/>
      <c r="E255" s="193"/>
      <c r="F255" s="161"/>
      <c r="G255" s="161"/>
      <c r="H255" s="161"/>
      <c r="I255" s="161"/>
      <c r="J255" s="157"/>
      <c r="K255" s="161"/>
      <c r="L255" s="161"/>
      <c r="M255" s="161"/>
      <c r="N255" s="161"/>
      <c r="O255" s="161"/>
      <c r="P255" s="161"/>
      <c r="Q255" s="161"/>
      <c r="R255" s="161"/>
      <c r="S255" s="161"/>
      <c r="T255" s="161"/>
      <c r="U255" s="161"/>
      <c r="V255" s="161"/>
    </row>
    <row r="256">
      <c r="A256" s="157"/>
      <c r="B256" s="161"/>
      <c r="C256" s="193"/>
      <c r="D256" s="161"/>
      <c r="E256" s="193"/>
      <c r="F256" s="161"/>
      <c r="G256" s="161"/>
      <c r="H256" s="161"/>
      <c r="I256" s="161"/>
      <c r="J256" s="157"/>
      <c r="K256" s="161"/>
      <c r="L256" s="161"/>
      <c r="M256" s="161"/>
      <c r="N256" s="161"/>
      <c r="O256" s="161"/>
      <c r="P256" s="161"/>
      <c r="Q256" s="161"/>
      <c r="R256" s="161"/>
      <c r="S256" s="161"/>
      <c r="T256" s="161"/>
      <c r="U256" s="161"/>
      <c r="V256" s="161"/>
    </row>
    <row r="257">
      <c r="A257" s="157"/>
      <c r="B257" s="161"/>
      <c r="C257" s="193"/>
      <c r="D257" s="161"/>
      <c r="E257" s="193"/>
      <c r="F257" s="161"/>
      <c r="G257" s="161"/>
      <c r="H257" s="161"/>
      <c r="I257" s="161"/>
      <c r="J257" s="157"/>
      <c r="K257" s="161"/>
      <c r="L257" s="161"/>
      <c r="M257" s="161"/>
      <c r="N257" s="161"/>
      <c r="O257" s="161"/>
      <c r="P257" s="161"/>
      <c r="Q257" s="161"/>
      <c r="R257" s="161"/>
      <c r="S257" s="161"/>
      <c r="T257" s="161"/>
      <c r="U257" s="161"/>
      <c r="V257" s="161"/>
    </row>
    <row r="258">
      <c r="A258" s="157"/>
      <c r="B258" s="161"/>
      <c r="C258" s="193"/>
      <c r="D258" s="161"/>
      <c r="E258" s="193"/>
      <c r="F258" s="161"/>
      <c r="G258" s="161"/>
      <c r="H258" s="161"/>
      <c r="I258" s="161"/>
      <c r="J258" s="157"/>
      <c r="K258" s="161"/>
      <c r="L258" s="161"/>
      <c r="M258" s="161"/>
      <c r="N258" s="161"/>
      <c r="O258" s="161"/>
      <c r="P258" s="161"/>
      <c r="Q258" s="161"/>
      <c r="R258" s="161"/>
      <c r="S258" s="161"/>
      <c r="T258" s="161"/>
      <c r="U258" s="161"/>
      <c r="V258" s="161"/>
    </row>
    <row r="259">
      <c r="A259" s="157"/>
      <c r="B259" s="161"/>
      <c r="C259" s="193"/>
      <c r="D259" s="161"/>
      <c r="E259" s="193"/>
      <c r="F259" s="161"/>
      <c r="G259" s="161"/>
      <c r="H259" s="161"/>
      <c r="I259" s="161"/>
      <c r="J259" s="157"/>
      <c r="K259" s="161"/>
      <c r="L259" s="161"/>
      <c r="M259" s="161"/>
      <c r="N259" s="161"/>
      <c r="O259" s="161"/>
      <c r="P259" s="161"/>
      <c r="Q259" s="161"/>
      <c r="R259" s="161"/>
      <c r="S259" s="161"/>
      <c r="T259" s="161"/>
      <c r="U259" s="161"/>
      <c r="V259" s="161"/>
    </row>
    <row r="260">
      <c r="A260" s="157"/>
      <c r="B260" s="161"/>
      <c r="C260" s="193"/>
      <c r="D260" s="161"/>
      <c r="E260" s="193"/>
      <c r="F260" s="161"/>
      <c r="G260" s="161"/>
      <c r="H260" s="161"/>
      <c r="I260" s="161"/>
      <c r="J260" s="157"/>
      <c r="K260" s="161"/>
      <c r="L260" s="161"/>
      <c r="M260" s="161"/>
      <c r="N260" s="161"/>
      <c r="O260" s="161"/>
      <c r="P260" s="161"/>
      <c r="Q260" s="161"/>
      <c r="R260" s="161"/>
      <c r="S260" s="161"/>
      <c r="T260" s="161"/>
      <c r="U260" s="161"/>
      <c r="V260" s="161"/>
    </row>
    <row r="261">
      <c r="A261" s="157"/>
      <c r="B261" s="161"/>
      <c r="C261" s="193"/>
      <c r="D261" s="161"/>
      <c r="E261" s="193"/>
      <c r="F261" s="161"/>
      <c r="G261" s="161"/>
      <c r="H261" s="161"/>
      <c r="I261" s="161"/>
      <c r="J261" s="157"/>
      <c r="K261" s="161"/>
      <c r="L261" s="161"/>
      <c r="M261" s="161"/>
      <c r="N261" s="161"/>
      <c r="O261" s="161"/>
      <c r="P261" s="161"/>
      <c r="Q261" s="161"/>
      <c r="R261" s="161"/>
      <c r="S261" s="161"/>
      <c r="T261" s="161"/>
      <c r="U261" s="161"/>
      <c r="V261" s="161"/>
    </row>
    <row r="262">
      <c r="A262" s="157"/>
      <c r="B262" s="161"/>
      <c r="C262" s="193"/>
      <c r="D262" s="161"/>
      <c r="E262" s="193"/>
      <c r="F262" s="161"/>
      <c r="G262" s="161"/>
      <c r="H262" s="161"/>
      <c r="I262" s="161"/>
      <c r="J262" s="157"/>
      <c r="K262" s="161"/>
      <c r="L262" s="161"/>
      <c r="M262" s="161"/>
      <c r="N262" s="161"/>
      <c r="O262" s="161"/>
      <c r="P262" s="161"/>
      <c r="Q262" s="161"/>
      <c r="R262" s="161"/>
      <c r="S262" s="161"/>
      <c r="T262" s="161"/>
      <c r="U262" s="161"/>
      <c r="V262" s="161"/>
    </row>
    <row r="263">
      <c r="A263" s="157"/>
      <c r="B263" s="161"/>
      <c r="C263" s="193"/>
      <c r="D263" s="161"/>
      <c r="E263" s="193"/>
      <c r="F263" s="161"/>
      <c r="G263" s="161"/>
      <c r="H263" s="161"/>
      <c r="I263" s="161"/>
      <c r="J263" s="157"/>
      <c r="K263" s="161"/>
      <c r="L263" s="161"/>
      <c r="M263" s="161"/>
      <c r="N263" s="161"/>
      <c r="O263" s="161"/>
      <c r="P263" s="161"/>
      <c r="Q263" s="161"/>
      <c r="R263" s="161"/>
      <c r="S263" s="161"/>
      <c r="T263" s="161"/>
      <c r="U263" s="161"/>
      <c r="V263" s="161"/>
    </row>
    <row r="264">
      <c r="A264" s="157"/>
      <c r="B264" s="161"/>
      <c r="C264" s="193"/>
      <c r="D264" s="161"/>
      <c r="E264" s="193"/>
      <c r="F264" s="161"/>
      <c r="G264" s="161"/>
      <c r="H264" s="161"/>
      <c r="I264" s="161"/>
      <c r="J264" s="157"/>
      <c r="K264" s="161"/>
      <c r="L264" s="161"/>
      <c r="M264" s="161"/>
      <c r="N264" s="161"/>
      <c r="O264" s="161"/>
      <c r="P264" s="161"/>
      <c r="Q264" s="161"/>
      <c r="R264" s="161"/>
      <c r="S264" s="161"/>
      <c r="T264" s="161"/>
      <c r="U264" s="161"/>
      <c r="V264" s="161"/>
    </row>
    <row r="265">
      <c r="A265" s="157"/>
      <c r="B265" s="161"/>
      <c r="C265" s="193"/>
      <c r="D265" s="161"/>
      <c r="E265" s="193"/>
      <c r="F265" s="161"/>
      <c r="G265" s="161"/>
      <c r="H265" s="161"/>
      <c r="I265" s="161"/>
      <c r="J265" s="157"/>
      <c r="K265" s="161"/>
      <c r="L265" s="161"/>
      <c r="M265" s="161"/>
      <c r="N265" s="161"/>
      <c r="O265" s="161"/>
      <c r="P265" s="161"/>
      <c r="Q265" s="161"/>
      <c r="R265" s="161"/>
      <c r="S265" s="161"/>
      <c r="T265" s="161"/>
      <c r="U265" s="161"/>
      <c r="V265" s="161"/>
    </row>
    <row r="266">
      <c r="A266" s="157"/>
      <c r="B266" s="161"/>
      <c r="C266" s="193"/>
      <c r="D266" s="161"/>
      <c r="E266" s="193"/>
      <c r="F266" s="161"/>
      <c r="G266" s="161"/>
      <c r="H266" s="161"/>
      <c r="I266" s="161"/>
      <c r="J266" s="157"/>
      <c r="K266" s="161"/>
      <c r="L266" s="161"/>
      <c r="M266" s="161"/>
      <c r="N266" s="161"/>
      <c r="O266" s="161"/>
      <c r="P266" s="161"/>
      <c r="Q266" s="161"/>
      <c r="R266" s="161"/>
      <c r="S266" s="161"/>
      <c r="T266" s="161"/>
      <c r="U266" s="161"/>
      <c r="V266" s="161"/>
    </row>
    <row r="267">
      <c r="A267" s="157"/>
      <c r="B267" s="161"/>
      <c r="C267" s="193"/>
      <c r="D267" s="161"/>
      <c r="E267" s="193"/>
      <c r="F267" s="161"/>
      <c r="G267" s="161"/>
      <c r="H267" s="161"/>
      <c r="I267" s="161"/>
      <c r="J267" s="157"/>
      <c r="K267" s="161"/>
      <c r="L267" s="161"/>
      <c r="M267" s="161"/>
      <c r="N267" s="161"/>
      <c r="O267" s="161"/>
      <c r="P267" s="161"/>
      <c r="Q267" s="161"/>
      <c r="R267" s="161"/>
      <c r="S267" s="161"/>
      <c r="T267" s="161"/>
      <c r="U267" s="161"/>
      <c r="V267" s="161"/>
    </row>
    <row r="268">
      <c r="A268" s="157"/>
      <c r="B268" s="161"/>
      <c r="C268" s="193"/>
      <c r="D268" s="161"/>
      <c r="E268" s="193"/>
      <c r="F268" s="161"/>
      <c r="G268" s="161"/>
      <c r="H268" s="161"/>
      <c r="I268" s="161"/>
      <c r="J268" s="157"/>
      <c r="K268" s="161"/>
      <c r="L268" s="161"/>
      <c r="M268" s="161"/>
      <c r="N268" s="161"/>
      <c r="O268" s="161"/>
      <c r="P268" s="161"/>
      <c r="Q268" s="161"/>
      <c r="R268" s="161"/>
      <c r="S268" s="161"/>
      <c r="T268" s="161"/>
      <c r="U268" s="161"/>
      <c r="V268" s="161"/>
    </row>
    <row r="269">
      <c r="A269" s="157"/>
      <c r="B269" s="161"/>
      <c r="C269" s="193"/>
      <c r="D269" s="161"/>
      <c r="E269" s="193"/>
      <c r="F269" s="161"/>
      <c r="G269" s="161"/>
      <c r="H269" s="161"/>
      <c r="I269" s="161"/>
      <c r="J269" s="157"/>
      <c r="K269" s="161"/>
      <c r="L269" s="161"/>
      <c r="M269" s="161"/>
      <c r="N269" s="161"/>
      <c r="O269" s="161"/>
      <c r="P269" s="161"/>
      <c r="Q269" s="161"/>
      <c r="R269" s="161"/>
      <c r="S269" s="161"/>
      <c r="T269" s="161"/>
      <c r="U269" s="161"/>
      <c r="V269" s="161"/>
    </row>
    <row r="270">
      <c r="A270" s="157"/>
      <c r="B270" s="161"/>
      <c r="C270" s="193"/>
      <c r="D270" s="161"/>
      <c r="E270" s="193"/>
      <c r="F270" s="161"/>
      <c r="G270" s="161"/>
      <c r="H270" s="161"/>
      <c r="I270" s="161"/>
      <c r="J270" s="157"/>
      <c r="K270" s="161"/>
      <c r="L270" s="161"/>
      <c r="M270" s="161"/>
      <c r="N270" s="161"/>
      <c r="O270" s="161"/>
      <c r="P270" s="161"/>
      <c r="Q270" s="161"/>
      <c r="R270" s="161"/>
      <c r="S270" s="161"/>
      <c r="T270" s="161"/>
      <c r="U270" s="161"/>
      <c r="V270" s="161"/>
    </row>
    <row r="271">
      <c r="A271" s="157"/>
      <c r="B271" s="161"/>
      <c r="C271" s="193"/>
      <c r="D271" s="161"/>
      <c r="E271" s="193"/>
      <c r="F271" s="161"/>
      <c r="G271" s="161"/>
      <c r="H271" s="161"/>
      <c r="I271" s="161"/>
      <c r="J271" s="157"/>
      <c r="K271" s="161"/>
      <c r="L271" s="161"/>
      <c r="M271" s="161"/>
      <c r="N271" s="161"/>
      <c r="O271" s="161"/>
      <c r="P271" s="161"/>
      <c r="Q271" s="161"/>
      <c r="R271" s="161"/>
      <c r="S271" s="161"/>
      <c r="T271" s="161"/>
      <c r="U271" s="161"/>
      <c r="V271" s="161"/>
    </row>
    <row r="272">
      <c r="A272" s="157"/>
      <c r="B272" s="161"/>
      <c r="C272" s="193"/>
      <c r="D272" s="161"/>
      <c r="E272" s="193"/>
      <c r="F272" s="161"/>
      <c r="G272" s="161"/>
      <c r="H272" s="161"/>
      <c r="I272" s="161"/>
      <c r="J272" s="157"/>
      <c r="K272" s="161"/>
      <c r="L272" s="161"/>
      <c r="M272" s="161"/>
      <c r="N272" s="161"/>
      <c r="O272" s="161"/>
      <c r="P272" s="161"/>
      <c r="Q272" s="161"/>
      <c r="R272" s="161"/>
      <c r="S272" s="161"/>
      <c r="T272" s="161"/>
      <c r="U272" s="161"/>
      <c r="V272" s="161"/>
    </row>
    <row r="273">
      <c r="A273" s="157"/>
      <c r="B273" s="161"/>
      <c r="C273" s="193"/>
      <c r="D273" s="161"/>
      <c r="E273" s="193"/>
      <c r="F273" s="161"/>
      <c r="G273" s="161"/>
      <c r="H273" s="161"/>
      <c r="I273" s="161"/>
      <c r="J273" s="157"/>
      <c r="K273" s="161"/>
      <c r="L273" s="161"/>
      <c r="M273" s="161"/>
      <c r="N273" s="161"/>
      <c r="O273" s="161"/>
      <c r="P273" s="161"/>
      <c r="Q273" s="161"/>
      <c r="R273" s="161"/>
      <c r="S273" s="161"/>
      <c r="T273" s="161"/>
      <c r="U273" s="161"/>
      <c r="V273" s="161"/>
    </row>
    <row r="274">
      <c r="A274" s="157"/>
      <c r="B274" s="161"/>
      <c r="C274" s="193"/>
      <c r="D274" s="161"/>
      <c r="E274" s="193"/>
      <c r="F274" s="161"/>
      <c r="G274" s="161"/>
      <c r="H274" s="161"/>
      <c r="I274" s="161"/>
      <c r="J274" s="157"/>
      <c r="K274" s="161"/>
      <c r="L274" s="161"/>
      <c r="M274" s="161"/>
      <c r="N274" s="161"/>
      <c r="O274" s="161"/>
      <c r="P274" s="161"/>
      <c r="Q274" s="161"/>
      <c r="R274" s="161"/>
      <c r="S274" s="161"/>
      <c r="T274" s="161"/>
      <c r="U274" s="161"/>
      <c r="V274" s="161"/>
    </row>
    <row r="275">
      <c r="A275" s="157"/>
      <c r="B275" s="161"/>
      <c r="C275" s="193"/>
      <c r="D275" s="161"/>
      <c r="E275" s="193"/>
      <c r="F275" s="161"/>
      <c r="G275" s="161"/>
      <c r="H275" s="161"/>
      <c r="I275" s="161"/>
      <c r="J275" s="157"/>
      <c r="K275" s="161"/>
      <c r="L275" s="161"/>
      <c r="M275" s="161"/>
      <c r="N275" s="161"/>
      <c r="O275" s="161"/>
      <c r="P275" s="161"/>
      <c r="Q275" s="161"/>
      <c r="R275" s="161"/>
      <c r="S275" s="161"/>
      <c r="T275" s="161"/>
      <c r="U275" s="161"/>
      <c r="V275" s="161"/>
    </row>
    <row r="276">
      <c r="A276" s="157"/>
      <c r="B276" s="161"/>
      <c r="C276" s="193"/>
      <c r="D276" s="161"/>
      <c r="E276" s="193"/>
      <c r="F276" s="161"/>
      <c r="G276" s="161"/>
      <c r="H276" s="161"/>
      <c r="I276" s="161"/>
      <c r="J276" s="157"/>
      <c r="K276" s="161"/>
      <c r="L276" s="161"/>
      <c r="M276" s="161"/>
      <c r="N276" s="161"/>
      <c r="O276" s="161"/>
      <c r="P276" s="161"/>
      <c r="Q276" s="161"/>
      <c r="R276" s="161"/>
      <c r="S276" s="161"/>
      <c r="T276" s="161"/>
      <c r="U276" s="161"/>
      <c r="V276" s="161"/>
    </row>
    <row r="277">
      <c r="A277" s="157"/>
      <c r="B277" s="161"/>
      <c r="C277" s="193"/>
      <c r="D277" s="161"/>
      <c r="E277" s="193"/>
      <c r="F277" s="161"/>
      <c r="G277" s="161"/>
      <c r="H277" s="161"/>
      <c r="I277" s="161"/>
      <c r="J277" s="157"/>
      <c r="K277" s="161"/>
      <c r="L277" s="161"/>
      <c r="M277" s="161"/>
      <c r="N277" s="161"/>
      <c r="O277" s="161"/>
      <c r="P277" s="161"/>
      <c r="Q277" s="161"/>
      <c r="R277" s="161"/>
      <c r="S277" s="161"/>
      <c r="T277" s="161"/>
      <c r="U277" s="161"/>
      <c r="V277" s="161"/>
    </row>
    <row r="278">
      <c r="A278" s="157"/>
      <c r="B278" s="161"/>
      <c r="C278" s="193"/>
      <c r="D278" s="161"/>
      <c r="E278" s="193"/>
      <c r="F278" s="161"/>
      <c r="G278" s="161"/>
      <c r="H278" s="161"/>
      <c r="I278" s="161"/>
      <c r="J278" s="157"/>
      <c r="K278" s="161"/>
      <c r="L278" s="161"/>
      <c r="M278" s="161"/>
      <c r="N278" s="161"/>
      <c r="O278" s="161"/>
      <c r="P278" s="161"/>
      <c r="Q278" s="161"/>
      <c r="R278" s="161"/>
      <c r="S278" s="161"/>
      <c r="T278" s="161"/>
      <c r="U278" s="161"/>
      <c r="V278" s="161"/>
    </row>
    <row r="279">
      <c r="A279" s="157"/>
      <c r="B279" s="161"/>
      <c r="C279" s="193"/>
      <c r="D279" s="161"/>
      <c r="E279" s="193"/>
      <c r="F279" s="161"/>
      <c r="G279" s="161"/>
      <c r="H279" s="161"/>
      <c r="I279" s="161"/>
      <c r="J279" s="157"/>
      <c r="K279" s="161"/>
      <c r="L279" s="161"/>
      <c r="M279" s="161"/>
      <c r="N279" s="161"/>
      <c r="O279" s="161"/>
      <c r="P279" s="161"/>
      <c r="Q279" s="161"/>
      <c r="R279" s="161"/>
      <c r="S279" s="161"/>
      <c r="T279" s="161"/>
      <c r="U279" s="161"/>
      <c r="V279" s="161"/>
    </row>
    <row r="280">
      <c r="A280" s="157"/>
      <c r="B280" s="161"/>
      <c r="C280" s="193"/>
      <c r="D280" s="161"/>
      <c r="E280" s="193"/>
      <c r="F280" s="161"/>
      <c r="G280" s="161"/>
      <c r="H280" s="161"/>
      <c r="I280" s="161"/>
      <c r="J280" s="157"/>
      <c r="K280" s="161"/>
      <c r="L280" s="161"/>
      <c r="M280" s="161"/>
      <c r="N280" s="161"/>
      <c r="O280" s="161"/>
      <c r="P280" s="161"/>
      <c r="Q280" s="161"/>
      <c r="R280" s="161"/>
      <c r="S280" s="161"/>
      <c r="T280" s="161"/>
      <c r="U280" s="161"/>
      <c r="V280" s="161"/>
    </row>
    <row r="281">
      <c r="A281" s="157"/>
      <c r="B281" s="161"/>
      <c r="C281" s="193"/>
      <c r="D281" s="161"/>
      <c r="E281" s="193"/>
      <c r="F281" s="161"/>
      <c r="G281" s="161"/>
      <c r="H281" s="161"/>
      <c r="I281" s="161"/>
      <c r="J281" s="157"/>
      <c r="K281" s="161"/>
      <c r="L281" s="161"/>
      <c r="M281" s="161"/>
      <c r="N281" s="161"/>
      <c r="O281" s="161"/>
      <c r="P281" s="161"/>
      <c r="Q281" s="161"/>
      <c r="R281" s="161"/>
      <c r="S281" s="161"/>
      <c r="T281" s="161"/>
      <c r="U281" s="161"/>
      <c r="V281" s="161"/>
    </row>
    <row r="282">
      <c r="A282" s="157"/>
      <c r="B282" s="161"/>
      <c r="C282" s="193"/>
      <c r="D282" s="161"/>
      <c r="E282" s="193"/>
      <c r="F282" s="161"/>
      <c r="G282" s="161"/>
      <c r="H282" s="161"/>
      <c r="I282" s="161"/>
      <c r="J282" s="157"/>
      <c r="K282" s="161"/>
      <c r="L282" s="161"/>
      <c r="M282" s="161"/>
      <c r="N282" s="161"/>
      <c r="O282" s="161"/>
      <c r="P282" s="161"/>
      <c r="Q282" s="161"/>
      <c r="R282" s="161"/>
      <c r="S282" s="161"/>
      <c r="T282" s="161"/>
      <c r="U282" s="161"/>
      <c r="V282" s="161"/>
    </row>
    <row r="283">
      <c r="A283" s="157"/>
      <c r="B283" s="161"/>
      <c r="C283" s="193"/>
      <c r="D283" s="161"/>
      <c r="E283" s="193"/>
      <c r="F283" s="161"/>
      <c r="G283" s="161"/>
      <c r="H283" s="161"/>
      <c r="I283" s="161"/>
      <c r="J283" s="157"/>
      <c r="K283" s="161"/>
      <c r="L283" s="161"/>
      <c r="M283" s="161"/>
      <c r="N283" s="161"/>
      <c r="O283" s="161"/>
      <c r="P283" s="161"/>
      <c r="Q283" s="161"/>
      <c r="R283" s="161"/>
      <c r="S283" s="161"/>
      <c r="T283" s="161"/>
      <c r="U283" s="161"/>
      <c r="V283" s="161"/>
    </row>
    <row r="284">
      <c r="A284" s="157"/>
      <c r="B284" s="161"/>
      <c r="C284" s="193"/>
      <c r="D284" s="161"/>
      <c r="E284" s="193"/>
      <c r="F284" s="161"/>
      <c r="G284" s="161"/>
      <c r="H284" s="161"/>
      <c r="I284" s="161"/>
      <c r="J284" s="157"/>
      <c r="K284" s="161"/>
      <c r="L284" s="161"/>
      <c r="M284" s="161"/>
      <c r="N284" s="161"/>
      <c r="O284" s="161"/>
      <c r="P284" s="161"/>
      <c r="Q284" s="161"/>
      <c r="R284" s="161"/>
      <c r="S284" s="161"/>
      <c r="T284" s="161"/>
      <c r="U284" s="161"/>
      <c r="V284" s="161"/>
    </row>
    <row r="285">
      <c r="A285" s="157"/>
      <c r="B285" s="161"/>
      <c r="C285" s="193"/>
      <c r="D285" s="161"/>
      <c r="E285" s="193"/>
      <c r="F285" s="161"/>
      <c r="G285" s="161"/>
      <c r="H285" s="161"/>
      <c r="I285" s="161"/>
      <c r="J285" s="157"/>
      <c r="K285" s="161"/>
      <c r="L285" s="161"/>
      <c r="M285" s="161"/>
      <c r="N285" s="161"/>
      <c r="O285" s="161"/>
      <c r="P285" s="161"/>
      <c r="Q285" s="161"/>
      <c r="R285" s="161"/>
      <c r="S285" s="161"/>
      <c r="T285" s="161"/>
      <c r="U285" s="161"/>
      <c r="V285" s="161"/>
    </row>
    <row r="286">
      <c r="A286" s="157"/>
      <c r="B286" s="161"/>
      <c r="C286" s="193"/>
      <c r="D286" s="161"/>
      <c r="E286" s="193"/>
      <c r="F286" s="161"/>
      <c r="G286" s="161"/>
      <c r="H286" s="161"/>
      <c r="I286" s="161"/>
      <c r="J286" s="157"/>
      <c r="K286" s="161"/>
      <c r="L286" s="161"/>
      <c r="M286" s="161"/>
      <c r="N286" s="161"/>
      <c r="O286" s="161"/>
      <c r="P286" s="161"/>
      <c r="Q286" s="161"/>
      <c r="R286" s="161"/>
      <c r="S286" s="161"/>
      <c r="T286" s="161"/>
      <c r="U286" s="161"/>
      <c r="V286" s="161"/>
    </row>
    <row r="287">
      <c r="A287" s="157"/>
      <c r="B287" s="161"/>
      <c r="C287" s="193"/>
      <c r="D287" s="161"/>
      <c r="E287" s="193"/>
      <c r="F287" s="161"/>
      <c r="G287" s="161"/>
      <c r="H287" s="161"/>
      <c r="I287" s="161"/>
      <c r="J287" s="157"/>
      <c r="K287" s="161"/>
      <c r="L287" s="161"/>
      <c r="M287" s="161"/>
      <c r="N287" s="161"/>
      <c r="O287" s="161"/>
      <c r="P287" s="161"/>
      <c r="Q287" s="161"/>
      <c r="R287" s="161"/>
      <c r="S287" s="161"/>
      <c r="T287" s="161"/>
      <c r="U287" s="161"/>
      <c r="V287" s="161"/>
    </row>
    <row r="288">
      <c r="A288" s="157"/>
      <c r="B288" s="161"/>
      <c r="C288" s="193"/>
      <c r="D288" s="161"/>
      <c r="E288" s="193"/>
      <c r="F288" s="161"/>
      <c r="G288" s="161"/>
      <c r="H288" s="161"/>
      <c r="I288" s="161"/>
      <c r="J288" s="157"/>
      <c r="K288" s="161"/>
      <c r="L288" s="161"/>
      <c r="M288" s="161"/>
      <c r="N288" s="161"/>
      <c r="O288" s="161"/>
      <c r="P288" s="161"/>
      <c r="Q288" s="161"/>
      <c r="R288" s="161"/>
      <c r="S288" s="161"/>
      <c r="T288" s="161"/>
      <c r="U288" s="161"/>
      <c r="V288" s="161"/>
    </row>
    <row r="289">
      <c r="A289" s="157"/>
      <c r="B289" s="161"/>
      <c r="C289" s="193"/>
      <c r="D289" s="161"/>
      <c r="E289" s="193"/>
      <c r="F289" s="161"/>
      <c r="G289" s="161"/>
      <c r="H289" s="161"/>
      <c r="I289" s="161"/>
      <c r="J289" s="157"/>
      <c r="K289" s="161"/>
      <c r="L289" s="161"/>
      <c r="M289" s="161"/>
      <c r="N289" s="161"/>
      <c r="O289" s="161"/>
      <c r="P289" s="161"/>
      <c r="Q289" s="161"/>
      <c r="R289" s="161"/>
      <c r="S289" s="161"/>
      <c r="T289" s="161"/>
      <c r="U289" s="161"/>
      <c r="V289" s="161"/>
    </row>
    <row r="290">
      <c r="A290" s="157"/>
      <c r="B290" s="161"/>
      <c r="C290" s="193"/>
      <c r="D290" s="161"/>
      <c r="E290" s="193"/>
      <c r="F290" s="161"/>
      <c r="G290" s="161"/>
      <c r="H290" s="161"/>
      <c r="I290" s="161"/>
      <c r="J290" s="157"/>
      <c r="K290" s="161"/>
      <c r="L290" s="161"/>
      <c r="M290" s="161"/>
      <c r="N290" s="161"/>
      <c r="O290" s="161"/>
      <c r="P290" s="161"/>
      <c r="Q290" s="161"/>
      <c r="R290" s="161"/>
      <c r="S290" s="161"/>
      <c r="T290" s="161"/>
      <c r="U290" s="161"/>
      <c r="V290" s="161"/>
    </row>
    <row r="291">
      <c r="A291" s="157"/>
      <c r="B291" s="161"/>
      <c r="C291" s="193"/>
      <c r="D291" s="161"/>
      <c r="E291" s="193"/>
      <c r="F291" s="161"/>
      <c r="G291" s="161"/>
      <c r="H291" s="161"/>
      <c r="I291" s="161"/>
      <c r="J291" s="157"/>
      <c r="K291" s="161"/>
      <c r="L291" s="161"/>
      <c r="M291" s="161"/>
      <c r="N291" s="161"/>
      <c r="O291" s="161"/>
      <c r="P291" s="161"/>
      <c r="Q291" s="161"/>
      <c r="R291" s="161"/>
      <c r="S291" s="161"/>
      <c r="T291" s="161"/>
      <c r="U291" s="161"/>
      <c r="V291" s="161"/>
    </row>
    <row r="292">
      <c r="A292" s="157"/>
      <c r="B292" s="161"/>
      <c r="C292" s="193"/>
      <c r="D292" s="161"/>
      <c r="E292" s="193"/>
      <c r="F292" s="161"/>
      <c r="G292" s="161"/>
      <c r="H292" s="161"/>
      <c r="I292" s="161"/>
      <c r="J292" s="157"/>
      <c r="K292" s="161"/>
      <c r="L292" s="161"/>
      <c r="M292" s="161"/>
      <c r="N292" s="161"/>
      <c r="O292" s="161"/>
      <c r="P292" s="161"/>
      <c r="Q292" s="161"/>
      <c r="R292" s="161"/>
      <c r="S292" s="161"/>
      <c r="T292" s="161"/>
      <c r="U292" s="161"/>
      <c r="V292" s="161"/>
    </row>
    <row r="293">
      <c r="A293" s="157"/>
      <c r="B293" s="161"/>
      <c r="C293" s="193"/>
      <c r="D293" s="161"/>
      <c r="E293" s="193"/>
      <c r="F293" s="161"/>
      <c r="G293" s="161"/>
      <c r="H293" s="161"/>
      <c r="I293" s="161"/>
      <c r="J293" s="157"/>
      <c r="K293" s="161"/>
      <c r="L293" s="161"/>
      <c r="M293" s="161"/>
      <c r="N293" s="161"/>
      <c r="O293" s="161"/>
      <c r="P293" s="161"/>
      <c r="Q293" s="161"/>
      <c r="R293" s="161"/>
      <c r="S293" s="161"/>
      <c r="T293" s="161"/>
      <c r="U293" s="161"/>
      <c r="V293" s="161"/>
    </row>
    <row r="294">
      <c r="A294" s="157"/>
      <c r="B294" s="161"/>
      <c r="C294" s="193"/>
      <c r="D294" s="161"/>
      <c r="E294" s="193"/>
      <c r="F294" s="161"/>
      <c r="G294" s="161"/>
      <c r="H294" s="161"/>
      <c r="I294" s="161"/>
      <c r="J294" s="157"/>
      <c r="K294" s="161"/>
      <c r="L294" s="161"/>
      <c r="M294" s="161"/>
      <c r="N294" s="161"/>
      <c r="O294" s="161"/>
      <c r="P294" s="161"/>
      <c r="Q294" s="161"/>
      <c r="R294" s="161"/>
      <c r="S294" s="161"/>
      <c r="T294" s="161"/>
      <c r="U294" s="161"/>
      <c r="V294" s="161"/>
    </row>
    <row r="295">
      <c r="A295" s="157"/>
      <c r="B295" s="161"/>
      <c r="C295" s="193"/>
      <c r="D295" s="161"/>
      <c r="E295" s="193"/>
      <c r="F295" s="161"/>
      <c r="G295" s="161"/>
      <c r="H295" s="161"/>
      <c r="I295" s="161"/>
      <c r="J295" s="157"/>
      <c r="K295" s="161"/>
      <c r="L295" s="161"/>
      <c r="M295" s="161"/>
      <c r="N295" s="161"/>
      <c r="O295" s="161"/>
      <c r="P295" s="161"/>
      <c r="Q295" s="161"/>
      <c r="R295" s="161"/>
      <c r="S295" s="161"/>
      <c r="T295" s="161"/>
      <c r="U295" s="161"/>
      <c r="V295" s="161"/>
    </row>
    <row r="296">
      <c r="A296" s="157"/>
      <c r="B296" s="161"/>
      <c r="C296" s="193"/>
      <c r="D296" s="161"/>
      <c r="E296" s="193"/>
      <c r="F296" s="161"/>
      <c r="G296" s="161"/>
      <c r="H296" s="161"/>
      <c r="I296" s="161"/>
      <c r="J296" s="157"/>
      <c r="K296" s="161"/>
      <c r="L296" s="161"/>
      <c r="M296" s="161"/>
      <c r="N296" s="161"/>
      <c r="O296" s="161"/>
      <c r="P296" s="161"/>
      <c r="Q296" s="161"/>
      <c r="R296" s="161"/>
      <c r="S296" s="161"/>
      <c r="T296" s="161"/>
      <c r="U296" s="161"/>
      <c r="V296" s="161"/>
    </row>
    <row r="297">
      <c r="A297" s="157"/>
      <c r="B297" s="161"/>
      <c r="C297" s="193"/>
      <c r="D297" s="161"/>
      <c r="E297" s="193"/>
      <c r="F297" s="161"/>
      <c r="G297" s="161"/>
      <c r="H297" s="161"/>
      <c r="I297" s="161"/>
      <c r="J297" s="157"/>
      <c r="K297" s="161"/>
      <c r="L297" s="161"/>
      <c r="M297" s="161"/>
      <c r="N297" s="161"/>
      <c r="O297" s="161"/>
      <c r="P297" s="161"/>
      <c r="Q297" s="161"/>
      <c r="R297" s="161"/>
      <c r="S297" s="161"/>
      <c r="T297" s="161"/>
      <c r="U297" s="161"/>
      <c r="V297" s="161"/>
    </row>
    <row r="298">
      <c r="A298" s="157"/>
      <c r="B298" s="161"/>
      <c r="C298" s="193"/>
      <c r="D298" s="161"/>
      <c r="E298" s="193"/>
      <c r="F298" s="161"/>
      <c r="G298" s="161"/>
      <c r="H298" s="161"/>
      <c r="I298" s="161"/>
      <c r="J298" s="157"/>
      <c r="K298" s="161"/>
      <c r="L298" s="161"/>
      <c r="M298" s="161"/>
      <c r="N298" s="161"/>
      <c r="O298" s="161"/>
      <c r="P298" s="161"/>
      <c r="Q298" s="161"/>
      <c r="R298" s="161"/>
      <c r="S298" s="161"/>
      <c r="T298" s="161"/>
      <c r="U298" s="161"/>
      <c r="V298" s="161"/>
    </row>
    <row r="299">
      <c r="A299" s="157"/>
      <c r="B299" s="161"/>
      <c r="C299" s="193"/>
      <c r="D299" s="161"/>
      <c r="E299" s="193"/>
      <c r="F299" s="161"/>
      <c r="G299" s="161"/>
      <c r="H299" s="161"/>
      <c r="I299" s="161"/>
      <c r="J299" s="157"/>
      <c r="K299" s="161"/>
      <c r="L299" s="161"/>
      <c r="M299" s="161"/>
      <c r="N299" s="161"/>
      <c r="O299" s="161"/>
      <c r="P299" s="161"/>
      <c r="Q299" s="161"/>
      <c r="R299" s="161"/>
      <c r="S299" s="161"/>
      <c r="T299" s="161"/>
      <c r="U299" s="161"/>
      <c r="V299" s="161"/>
    </row>
    <row r="300">
      <c r="A300" s="157"/>
      <c r="B300" s="161"/>
      <c r="C300" s="193"/>
      <c r="D300" s="161"/>
      <c r="E300" s="193"/>
      <c r="F300" s="161"/>
      <c r="G300" s="161"/>
      <c r="H300" s="161"/>
      <c r="I300" s="161"/>
      <c r="J300" s="157"/>
      <c r="K300" s="161"/>
      <c r="L300" s="161"/>
      <c r="M300" s="161"/>
      <c r="N300" s="161"/>
      <c r="O300" s="161"/>
      <c r="P300" s="161"/>
      <c r="Q300" s="161"/>
      <c r="R300" s="161"/>
      <c r="S300" s="161"/>
      <c r="T300" s="161"/>
      <c r="U300" s="161"/>
      <c r="V300" s="161"/>
    </row>
    <row r="301">
      <c r="A301" s="157"/>
      <c r="B301" s="161"/>
      <c r="C301" s="193"/>
      <c r="D301" s="161"/>
      <c r="E301" s="193"/>
      <c r="F301" s="161"/>
      <c r="G301" s="161"/>
      <c r="H301" s="161"/>
      <c r="I301" s="161"/>
      <c r="J301" s="157"/>
      <c r="K301" s="161"/>
      <c r="L301" s="161"/>
      <c r="M301" s="161"/>
      <c r="N301" s="161"/>
      <c r="O301" s="161"/>
      <c r="P301" s="161"/>
      <c r="Q301" s="161"/>
      <c r="R301" s="161"/>
      <c r="S301" s="161"/>
      <c r="T301" s="161"/>
      <c r="U301" s="161"/>
      <c r="V301" s="161"/>
    </row>
    <row r="302">
      <c r="A302" s="157"/>
      <c r="B302" s="161"/>
      <c r="C302" s="193"/>
      <c r="D302" s="161"/>
      <c r="E302" s="193"/>
      <c r="F302" s="161"/>
      <c r="G302" s="161"/>
      <c r="H302" s="161"/>
      <c r="I302" s="161"/>
      <c r="J302" s="157"/>
      <c r="K302" s="161"/>
      <c r="L302" s="161"/>
      <c r="M302" s="161"/>
      <c r="N302" s="161"/>
      <c r="O302" s="161"/>
      <c r="P302" s="161"/>
      <c r="Q302" s="161"/>
      <c r="R302" s="161"/>
      <c r="S302" s="161"/>
      <c r="T302" s="161"/>
      <c r="U302" s="161"/>
      <c r="V302" s="161"/>
    </row>
    <row r="303">
      <c r="A303" s="157"/>
      <c r="B303" s="161"/>
      <c r="C303" s="193"/>
      <c r="D303" s="161"/>
      <c r="E303" s="193"/>
      <c r="F303" s="161"/>
      <c r="G303" s="161"/>
      <c r="H303" s="161"/>
      <c r="I303" s="161"/>
      <c r="J303" s="157"/>
      <c r="K303" s="161"/>
      <c r="L303" s="161"/>
      <c r="M303" s="161"/>
      <c r="N303" s="161"/>
      <c r="O303" s="161"/>
      <c r="P303" s="161"/>
      <c r="Q303" s="161"/>
      <c r="R303" s="161"/>
      <c r="S303" s="161"/>
      <c r="T303" s="161"/>
      <c r="U303" s="161"/>
      <c r="V303" s="161"/>
    </row>
    <row r="304">
      <c r="A304" s="157"/>
      <c r="B304" s="161"/>
      <c r="C304" s="193"/>
      <c r="D304" s="161"/>
      <c r="E304" s="193"/>
      <c r="F304" s="161"/>
      <c r="G304" s="161"/>
      <c r="H304" s="161"/>
      <c r="I304" s="161"/>
      <c r="J304" s="157"/>
      <c r="K304" s="161"/>
      <c r="L304" s="161"/>
      <c r="M304" s="161"/>
      <c r="N304" s="161"/>
      <c r="O304" s="161"/>
      <c r="P304" s="161"/>
      <c r="Q304" s="161"/>
      <c r="R304" s="161"/>
      <c r="S304" s="161"/>
      <c r="T304" s="161"/>
      <c r="U304" s="161"/>
      <c r="V304" s="161"/>
    </row>
    <row r="305">
      <c r="A305" s="157"/>
      <c r="B305" s="161"/>
      <c r="C305" s="193"/>
      <c r="D305" s="161"/>
      <c r="E305" s="193"/>
      <c r="F305" s="161"/>
      <c r="G305" s="161"/>
      <c r="H305" s="161"/>
      <c r="I305" s="161"/>
      <c r="J305" s="157"/>
      <c r="K305" s="161"/>
      <c r="L305" s="161"/>
      <c r="M305" s="161"/>
      <c r="N305" s="161"/>
      <c r="O305" s="161"/>
      <c r="P305" s="161"/>
      <c r="Q305" s="161"/>
      <c r="R305" s="161"/>
      <c r="S305" s="161"/>
      <c r="T305" s="161"/>
      <c r="U305" s="161"/>
      <c r="V305" s="161"/>
    </row>
    <row r="306">
      <c r="A306" s="157"/>
      <c r="B306" s="161"/>
      <c r="C306" s="193"/>
      <c r="D306" s="161"/>
      <c r="E306" s="193"/>
      <c r="F306" s="161"/>
      <c r="G306" s="161"/>
      <c r="H306" s="161"/>
      <c r="I306" s="161"/>
      <c r="J306" s="157"/>
      <c r="K306" s="161"/>
      <c r="L306" s="161"/>
      <c r="M306" s="161"/>
      <c r="N306" s="161"/>
      <c r="O306" s="161"/>
      <c r="P306" s="161"/>
      <c r="Q306" s="161"/>
      <c r="R306" s="161"/>
      <c r="S306" s="161"/>
      <c r="T306" s="161"/>
      <c r="U306" s="161"/>
      <c r="V306" s="161"/>
    </row>
    <row r="307">
      <c r="A307" s="157"/>
      <c r="B307" s="161"/>
      <c r="C307" s="193"/>
      <c r="D307" s="161"/>
      <c r="E307" s="193"/>
      <c r="F307" s="161"/>
      <c r="G307" s="161"/>
      <c r="H307" s="161"/>
      <c r="I307" s="161"/>
      <c r="J307" s="157"/>
      <c r="K307" s="161"/>
      <c r="L307" s="161"/>
      <c r="M307" s="161"/>
      <c r="N307" s="161"/>
      <c r="O307" s="161"/>
      <c r="P307" s="161"/>
      <c r="Q307" s="161"/>
      <c r="R307" s="161"/>
      <c r="S307" s="161"/>
      <c r="T307" s="161"/>
      <c r="U307" s="161"/>
      <c r="V307" s="161"/>
    </row>
    <row r="308">
      <c r="A308" s="157"/>
      <c r="B308" s="161"/>
      <c r="C308" s="193"/>
      <c r="D308" s="161"/>
      <c r="E308" s="193"/>
      <c r="F308" s="161"/>
      <c r="G308" s="161"/>
      <c r="H308" s="161"/>
      <c r="I308" s="161"/>
      <c r="J308" s="157"/>
      <c r="K308" s="161"/>
      <c r="L308" s="161"/>
      <c r="M308" s="161"/>
      <c r="N308" s="161"/>
      <c r="O308" s="161"/>
      <c r="P308" s="161"/>
      <c r="Q308" s="161"/>
      <c r="R308" s="161"/>
      <c r="S308" s="161"/>
      <c r="T308" s="161"/>
      <c r="U308" s="161"/>
      <c r="V308" s="161"/>
    </row>
    <row r="309">
      <c r="A309" s="157"/>
      <c r="B309" s="161"/>
      <c r="C309" s="193"/>
      <c r="D309" s="161"/>
      <c r="E309" s="193"/>
      <c r="F309" s="161"/>
      <c r="G309" s="161"/>
      <c r="H309" s="161"/>
      <c r="I309" s="161"/>
      <c r="J309" s="157"/>
      <c r="K309" s="161"/>
      <c r="L309" s="161"/>
      <c r="M309" s="161"/>
      <c r="N309" s="161"/>
      <c r="O309" s="161"/>
      <c r="P309" s="161"/>
      <c r="Q309" s="161"/>
      <c r="R309" s="161"/>
      <c r="S309" s="161"/>
      <c r="T309" s="161"/>
      <c r="U309" s="161"/>
      <c r="V309" s="161"/>
    </row>
    <row r="310">
      <c r="A310" s="157"/>
      <c r="B310" s="161"/>
      <c r="C310" s="193"/>
      <c r="D310" s="161"/>
      <c r="E310" s="193"/>
      <c r="F310" s="161"/>
      <c r="G310" s="161"/>
      <c r="H310" s="161"/>
      <c r="I310" s="161"/>
      <c r="J310" s="157"/>
      <c r="K310" s="161"/>
      <c r="L310" s="161"/>
      <c r="M310" s="161"/>
      <c r="N310" s="161"/>
      <c r="O310" s="161"/>
      <c r="P310" s="161"/>
      <c r="Q310" s="161"/>
      <c r="R310" s="161"/>
      <c r="S310" s="161"/>
      <c r="T310" s="161"/>
      <c r="U310" s="161"/>
      <c r="V310" s="161"/>
    </row>
    <row r="311">
      <c r="A311" s="157"/>
      <c r="B311" s="161"/>
      <c r="C311" s="193"/>
      <c r="D311" s="161"/>
      <c r="E311" s="193"/>
      <c r="F311" s="161"/>
      <c r="G311" s="161"/>
      <c r="H311" s="161"/>
      <c r="I311" s="161"/>
      <c r="J311" s="157"/>
      <c r="K311" s="161"/>
      <c r="L311" s="161"/>
      <c r="M311" s="161"/>
      <c r="N311" s="161"/>
      <c r="O311" s="161"/>
      <c r="P311" s="161"/>
      <c r="Q311" s="161"/>
      <c r="R311" s="161"/>
      <c r="S311" s="161"/>
      <c r="T311" s="161"/>
      <c r="U311" s="161"/>
      <c r="V311" s="161"/>
    </row>
    <row r="312">
      <c r="A312" s="157"/>
      <c r="B312" s="161"/>
      <c r="C312" s="193"/>
      <c r="D312" s="161"/>
      <c r="E312" s="193"/>
      <c r="F312" s="161"/>
      <c r="G312" s="161"/>
      <c r="H312" s="161"/>
      <c r="I312" s="161"/>
      <c r="J312" s="157"/>
      <c r="K312" s="161"/>
      <c r="L312" s="161"/>
      <c r="M312" s="161"/>
      <c r="N312" s="161"/>
      <c r="O312" s="161"/>
      <c r="P312" s="161"/>
      <c r="Q312" s="161"/>
      <c r="R312" s="161"/>
      <c r="S312" s="161"/>
      <c r="T312" s="161"/>
      <c r="U312" s="161"/>
      <c r="V312" s="161"/>
    </row>
    <row r="313">
      <c r="A313" s="157"/>
      <c r="B313" s="161"/>
      <c r="C313" s="193"/>
      <c r="D313" s="161"/>
      <c r="E313" s="193"/>
      <c r="F313" s="161"/>
      <c r="G313" s="161"/>
      <c r="H313" s="161"/>
      <c r="I313" s="161"/>
      <c r="J313" s="157"/>
      <c r="K313" s="161"/>
      <c r="L313" s="161"/>
      <c r="M313" s="161"/>
      <c r="N313" s="161"/>
      <c r="O313" s="161"/>
      <c r="P313" s="161"/>
      <c r="Q313" s="161"/>
      <c r="R313" s="161"/>
      <c r="S313" s="161"/>
      <c r="T313" s="161"/>
      <c r="U313" s="161"/>
      <c r="V313" s="161"/>
    </row>
    <row r="314">
      <c r="A314" s="157"/>
      <c r="B314" s="161"/>
      <c r="C314" s="193"/>
      <c r="D314" s="161"/>
      <c r="E314" s="193"/>
      <c r="F314" s="161"/>
      <c r="G314" s="161"/>
      <c r="H314" s="161"/>
      <c r="I314" s="161"/>
      <c r="J314" s="157"/>
      <c r="K314" s="161"/>
      <c r="L314" s="161"/>
      <c r="M314" s="161"/>
      <c r="N314" s="161"/>
      <c r="O314" s="161"/>
      <c r="P314" s="161"/>
      <c r="Q314" s="161"/>
      <c r="R314" s="161"/>
      <c r="S314" s="161"/>
      <c r="T314" s="161"/>
      <c r="U314" s="161"/>
      <c r="V314" s="161"/>
    </row>
    <row r="315">
      <c r="A315" s="157"/>
      <c r="B315" s="161"/>
      <c r="C315" s="193"/>
      <c r="D315" s="161"/>
      <c r="E315" s="193"/>
      <c r="F315" s="161"/>
      <c r="G315" s="161"/>
      <c r="H315" s="161"/>
      <c r="I315" s="161"/>
      <c r="J315" s="157"/>
      <c r="K315" s="161"/>
      <c r="L315" s="161"/>
      <c r="M315" s="161"/>
      <c r="N315" s="161"/>
      <c r="O315" s="161"/>
      <c r="P315" s="161"/>
      <c r="Q315" s="161"/>
      <c r="R315" s="161"/>
      <c r="S315" s="161"/>
      <c r="T315" s="161"/>
      <c r="U315" s="161"/>
      <c r="V315" s="161"/>
    </row>
    <row r="316">
      <c r="A316" s="157"/>
      <c r="B316" s="161"/>
      <c r="C316" s="193"/>
      <c r="D316" s="161"/>
      <c r="E316" s="193"/>
      <c r="F316" s="161"/>
      <c r="G316" s="161"/>
      <c r="H316" s="161"/>
      <c r="I316" s="161"/>
      <c r="J316" s="157"/>
      <c r="K316" s="161"/>
      <c r="L316" s="161"/>
      <c r="M316" s="161"/>
      <c r="N316" s="161"/>
      <c r="O316" s="161"/>
      <c r="P316" s="161"/>
      <c r="Q316" s="161"/>
      <c r="R316" s="161"/>
      <c r="S316" s="161"/>
      <c r="T316" s="161"/>
      <c r="U316" s="161"/>
      <c r="V316" s="161"/>
    </row>
    <row r="317">
      <c r="A317" s="157"/>
      <c r="B317" s="161"/>
      <c r="C317" s="193"/>
      <c r="D317" s="161"/>
      <c r="E317" s="193"/>
      <c r="F317" s="161"/>
      <c r="G317" s="161"/>
      <c r="H317" s="161"/>
      <c r="I317" s="161"/>
      <c r="J317" s="157"/>
      <c r="K317" s="161"/>
      <c r="L317" s="161"/>
      <c r="M317" s="161"/>
      <c r="N317" s="161"/>
      <c r="O317" s="161"/>
      <c r="P317" s="161"/>
      <c r="Q317" s="161"/>
      <c r="R317" s="161"/>
      <c r="S317" s="161"/>
      <c r="T317" s="161"/>
      <c r="U317" s="161"/>
      <c r="V317" s="161"/>
    </row>
    <row r="318">
      <c r="A318" s="157"/>
      <c r="B318" s="161"/>
      <c r="C318" s="193"/>
      <c r="D318" s="161"/>
      <c r="E318" s="193"/>
      <c r="F318" s="161"/>
      <c r="G318" s="161"/>
      <c r="H318" s="161"/>
      <c r="I318" s="161"/>
      <c r="J318" s="157"/>
      <c r="K318" s="161"/>
      <c r="L318" s="161"/>
      <c r="M318" s="161"/>
      <c r="N318" s="161"/>
      <c r="O318" s="161"/>
      <c r="P318" s="161"/>
      <c r="Q318" s="161"/>
      <c r="R318" s="161"/>
      <c r="S318" s="161"/>
      <c r="T318" s="161"/>
      <c r="U318" s="161"/>
      <c r="V318" s="161"/>
    </row>
    <row r="319">
      <c r="A319" s="157"/>
      <c r="B319" s="161"/>
      <c r="C319" s="193"/>
      <c r="D319" s="161"/>
      <c r="E319" s="193"/>
      <c r="F319" s="161"/>
      <c r="G319" s="161"/>
      <c r="H319" s="161"/>
      <c r="I319" s="161"/>
      <c r="J319" s="157"/>
      <c r="K319" s="161"/>
      <c r="L319" s="161"/>
      <c r="M319" s="161"/>
      <c r="N319" s="161"/>
      <c r="O319" s="161"/>
      <c r="P319" s="161"/>
      <c r="Q319" s="161"/>
      <c r="R319" s="161"/>
      <c r="S319" s="161"/>
      <c r="T319" s="161"/>
      <c r="U319" s="161"/>
      <c r="V319" s="161"/>
    </row>
    <row r="320">
      <c r="A320" s="157"/>
      <c r="B320" s="161"/>
      <c r="C320" s="193"/>
      <c r="D320" s="161"/>
      <c r="E320" s="193"/>
      <c r="F320" s="161"/>
      <c r="G320" s="161"/>
      <c r="H320" s="161"/>
      <c r="I320" s="161"/>
      <c r="J320" s="157"/>
      <c r="K320" s="161"/>
      <c r="L320" s="161"/>
      <c r="M320" s="161"/>
      <c r="N320" s="161"/>
      <c r="O320" s="161"/>
      <c r="P320" s="161"/>
      <c r="Q320" s="161"/>
      <c r="R320" s="161"/>
      <c r="S320" s="161"/>
      <c r="T320" s="161"/>
      <c r="U320" s="161"/>
      <c r="V320" s="161"/>
    </row>
    <row r="321">
      <c r="A321" s="157"/>
      <c r="B321" s="161"/>
      <c r="C321" s="193"/>
      <c r="D321" s="161"/>
      <c r="E321" s="193"/>
      <c r="F321" s="161"/>
      <c r="G321" s="161"/>
      <c r="H321" s="161"/>
      <c r="I321" s="161"/>
      <c r="J321" s="157"/>
      <c r="K321" s="161"/>
      <c r="L321" s="161"/>
      <c r="M321" s="161"/>
      <c r="N321" s="161"/>
      <c r="O321" s="161"/>
      <c r="P321" s="161"/>
      <c r="Q321" s="161"/>
      <c r="R321" s="161"/>
      <c r="S321" s="161"/>
      <c r="T321" s="161"/>
      <c r="U321" s="161"/>
      <c r="V321" s="161"/>
    </row>
    <row r="322">
      <c r="A322" s="157"/>
      <c r="B322" s="161"/>
      <c r="C322" s="193"/>
      <c r="D322" s="161"/>
      <c r="E322" s="193"/>
      <c r="F322" s="161"/>
      <c r="G322" s="161"/>
      <c r="H322" s="161"/>
      <c r="I322" s="161"/>
      <c r="J322" s="157"/>
      <c r="K322" s="161"/>
      <c r="L322" s="161"/>
      <c r="M322" s="161"/>
      <c r="N322" s="161"/>
      <c r="O322" s="161"/>
      <c r="P322" s="161"/>
      <c r="Q322" s="161"/>
      <c r="R322" s="161"/>
      <c r="S322" s="161"/>
      <c r="T322" s="161"/>
      <c r="U322" s="161"/>
      <c r="V322" s="161"/>
    </row>
    <row r="323">
      <c r="A323" s="157"/>
      <c r="B323" s="161"/>
      <c r="C323" s="193"/>
      <c r="D323" s="161"/>
      <c r="E323" s="193"/>
      <c r="F323" s="161"/>
      <c r="G323" s="161"/>
      <c r="H323" s="161"/>
      <c r="I323" s="161"/>
      <c r="J323" s="157"/>
      <c r="K323" s="161"/>
      <c r="L323" s="161"/>
      <c r="M323" s="161"/>
      <c r="N323" s="161"/>
      <c r="O323" s="161"/>
      <c r="P323" s="161"/>
      <c r="Q323" s="161"/>
      <c r="R323" s="161"/>
      <c r="S323" s="161"/>
      <c r="T323" s="161"/>
      <c r="U323" s="161"/>
      <c r="V323" s="161"/>
    </row>
    <row r="324">
      <c r="A324" s="157"/>
      <c r="B324" s="161"/>
      <c r="C324" s="193"/>
      <c r="D324" s="161"/>
      <c r="E324" s="193"/>
      <c r="F324" s="161"/>
      <c r="G324" s="161"/>
      <c r="H324" s="161"/>
      <c r="I324" s="161"/>
      <c r="J324" s="157"/>
      <c r="K324" s="161"/>
      <c r="L324" s="161"/>
      <c r="M324" s="161"/>
      <c r="N324" s="161"/>
      <c r="O324" s="161"/>
      <c r="P324" s="161"/>
      <c r="Q324" s="161"/>
      <c r="R324" s="161"/>
      <c r="S324" s="161"/>
      <c r="T324" s="161"/>
      <c r="U324" s="161"/>
      <c r="V324" s="161"/>
    </row>
    <row r="325">
      <c r="A325" s="157"/>
      <c r="B325" s="161"/>
      <c r="C325" s="193"/>
      <c r="D325" s="161"/>
      <c r="E325" s="193"/>
      <c r="F325" s="161"/>
      <c r="G325" s="161"/>
      <c r="H325" s="161"/>
      <c r="I325" s="161"/>
      <c r="J325" s="157"/>
      <c r="K325" s="161"/>
      <c r="L325" s="161"/>
      <c r="M325" s="161"/>
      <c r="N325" s="161"/>
      <c r="O325" s="161"/>
      <c r="P325" s="161"/>
      <c r="Q325" s="161"/>
      <c r="R325" s="161"/>
      <c r="S325" s="161"/>
      <c r="T325" s="161"/>
      <c r="U325" s="161"/>
      <c r="V325" s="161"/>
    </row>
    <row r="326">
      <c r="A326" s="157"/>
      <c r="B326" s="161"/>
      <c r="C326" s="193"/>
      <c r="D326" s="161"/>
      <c r="E326" s="193"/>
      <c r="F326" s="161"/>
      <c r="G326" s="161"/>
      <c r="H326" s="161"/>
      <c r="I326" s="161"/>
      <c r="J326" s="157"/>
      <c r="K326" s="161"/>
      <c r="L326" s="161"/>
      <c r="M326" s="161"/>
      <c r="N326" s="161"/>
      <c r="O326" s="161"/>
      <c r="P326" s="161"/>
      <c r="Q326" s="161"/>
      <c r="R326" s="161"/>
      <c r="S326" s="161"/>
      <c r="T326" s="161"/>
      <c r="U326" s="161"/>
      <c r="V326" s="161"/>
    </row>
    <row r="327">
      <c r="A327" s="157"/>
      <c r="B327" s="161"/>
      <c r="C327" s="193"/>
      <c r="D327" s="161"/>
      <c r="E327" s="193"/>
      <c r="F327" s="161"/>
      <c r="G327" s="161"/>
      <c r="H327" s="161"/>
      <c r="I327" s="161"/>
      <c r="J327" s="157"/>
      <c r="K327" s="161"/>
      <c r="L327" s="161"/>
      <c r="M327" s="161"/>
      <c r="N327" s="161"/>
      <c r="O327" s="161"/>
      <c r="P327" s="161"/>
      <c r="Q327" s="161"/>
      <c r="R327" s="161"/>
      <c r="S327" s="161"/>
      <c r="T327" s="161"/>
      <c r="U327" s="161"/>
      <c r="V327" s="161"/>
    </row>
    <row r="328">
      <c r="A328" s="157"/>
      <c r="B328" s="161"/>
      <c r="C328" s="193"/>
      <c r="D328" s="161"/>
      <c r="E328" s="193"/>
      <c r="F328" s="161"/>
      <c r="G328" s="161"/>
      <c r="H328" s="161"/>
      <c r="I328" s="161"/>
      <c r="J328" s="157"/>
      <c r="K328" s="161"/>
      <c r="L328" s="161"/>
      <c r="M328" s="161"/>
      <c r="N328" s="161"/>
      <c r="O328" s="161"/>
      <c r="P328" s="161"/>
      <c r="Q328" s="161"/>
      <c r="R328" s="161"/>
      <c r="S328" s="161"/>
      <c r="T328" s="161"/>
      <c r="U328" s="161"/>
      <c r="V328" s="161"/>
    </row>
    <row r="329">
      <c r="A329" s="157"/>
      <c r="B329" s="161"/>
      <c r="C329" s="193"/>
      <c r="D329" s="161"/>
      <c r="E329" s="193"/>
      <c r="F329" s="161"/>
      <c r="G329" s="161"/>
      <c r="H329" s="161"/>
      <c r="I329" s="161"/>
      <c r="J329" s="157"/>
      <c r="K329" s="161"/>
      <c r="L329" s="161"/>
      <c r="M329" s="161"/>
      <c r="N329" s="161"/>
      <c r="O329" s="161"/>
      <c r="P329" s="161"/>
      <c r="Q329" s="161"/>
      <c r="R329" s="161"/>
      <c r="S329" s="161"/>
      <c r="T329" s="161"/>
      <c r="U329" s="161"/>
      <c r="V329" s="161"/>
    </row>
    <row r="330">
      <c r="A330" s="157"/>
      <c r="B330" s="161"/>
      <c r="C330" s="193"/>
      <c r="D330" s="161"/>
      <c r="E330" s="193"/>
      <c r="F330" s="161"/>
      <c r="G330" s="161"/>
      <c r="H330" s="161"/>
      <c r="I330" s="161"/>
      <c r="J330" s="157"/>
      <c r="K330" s="161"/>
      <c r="L330" s="161"/>
      <c r="M330" s="161"/>
      <c r="N330" s="161"/>
      <c r="O330" s="161"/>
      <c r="P330" s="161"/>
      <c r="Q330" s="161"/>
      <c r="R330" s="161"/>
      <c r="S330" s="161"/>
      <c r="T330" s="161"/>
      <c r="U330" s="161"/>
      <c r="V330" s="161"/>
    </row>
    <row r="331">
      <c r="A331" s="157"/>
      <c r="B331" s="161"/>
      <c r="C331" s="193"/>
      <c r="D331" s="161"/>
      <c r="E331" s="193"/>
      <c r="F331" s="161"/>
      <c r="G331" s="161"/>
      <c r="H331" s="161"/>
      <c r="I331" s="161"/>
      <c r="J331" s="157"/>
      <c r="K331" s="161"/>
      <c r="L331" s="161"/>
      <c r="M331" s="161"/>
      <c r="N331" s="161"/>
      <c r="O331" s="161"/>
      <c r="P331" s="161"/>
      <c r="Q331" s="161"/>
      <c r="R331" s="161"/>
      <c r="S331" s="161"/>
      <c r="T331" s="161"/>
      <c r="U331" s="161"/>
      <c r="V331" s="161"/>
    </row>
    <row r="332">
      <c r="A332" s="157"/>
      <c r="B332" s="161"/>
      <c r="C332" s="193"/>
      <c r="D332" s="161"/>
      <c r="E332" s="193"/>
      <c r="F332" s="161"/>
      <c r="G332" s="161"/>
      <c r="H332" s="161"/>
      <c r="I332" s="161"/>
      <c r="J332" s="157"/>
      <c r="K332" s="161"/>
      <c r="L332" s="161"/>
      <c r="M332" s="161"/>
      <c r="N332" s="161"/>
      <c r="O332" s="161"/>
      <c r="P332" s="161"/>
      <c r="Q332" s="161"/>
      <c r="R332" s="161"/>
      <c r="S332" s="161"/>
      <c r="T332" s="161"/>
      <c r="U332" s="161"/>
      <c r="V332" s="161"/>
    </row>
    <row r="333">
      <c r="A333" s="157"/>
      <c r="B333" s="161"/>
      <c r="C333" s="193"/>
      <c r="D333" s="161"/>
      <c r="E333" s="193"/>
      <c r="F333" s="161"/>
      <c r="G333" s="161"/>
      <c r="H333" s="161"/>
      <c r="I333" s="161"/>
      <c r="J333" s="157"/>
      <c r="K333" s="161"/>
      <c r="L333" s="161"/>
      <c r="M333" s="161"/>
      <c r="N333" s="161"/>
      <c r="O333" s="161"/>
      <c r="P333" s="161"/>
      <c r="Q333" s="161"/>
      <c r="R333" s="161"/>
      <c r="S333" s="161"/>
      <c r="T333" s="161"/>
      <c r="U333" s="161"/>
      <c r="V333" s="161"/>
    </row>
    <row r="334">
      <c r="A334" s="157"/>
      <c r="B334" s="161"/>
      <c r="C334" s="193"/>
      <c r="D334" s="161"/>
      <c r="E334" s="193"/>
      <c r="F334" s="161"/>
      <c r="G334" s="161"/>
      <c r="H334" s="161"/>
      <c r="I334" s="161"/>
      <c r="J334" s="157"/>
      <c r="K334" s="161"/>
      <c r="L334" s="161"/>
      <c r="M334" s="161"/>
      <c r="N334" s="161"/>
      <c r="O334" s="161"/>
      <c r="P334" s="161"/>
      <c r="Q334" s="161"/>
      <c r="R334" s="161"/>
      <c r="S334" s="161"/>
      <c r="T334" s="161"/>
      <c r="U334" s="161"/>
      <c r="V334" s="161"/>
    </row>
    <row r="335">
      <c r="A335" s="157"/>
      <c r="B335" s="161"/>
      <c r="C335" s="193"/>
      <c r="D335" s="161"/>
      <c r="E335" s="193"/>
      <c r="F335" s="161"/>
      <c r="G335" s="161"/>
      <c r="H335" s="161"/>
      <c r="I335" s="161"/>
      <c r="J335" s="157"/>
      <c r="K335" s="161"/>
      <c r="L335" s="161"/>
      <c r="M335" s="161"/>
      <c r="N335" s="161"/>
      <c r="O335" s="161"/>
      <c r="P335" s="161"/>
      <c r="Q335" s="161"/>
      <c r="R335" s="161"/>
      <c r="S335" s="161"/>
      <c r="T335" s="161"/>
      <c r="U335" s="161"/>
      <c r="V335" s="161"/>
    </row>
    <row r="336">
      <c r="A336" s="157"/>
      <c r="B336" s="161"/>
      <c r="C336" s="193"/>
      <c r="D336" s="161"/>
      <c r="E336" s="193"/>
      <c r="F336" s="161"/>
      <c r="G336" s="161"/>
      <c r="H336" s="161"/>
      <c r="I336" s="161"/>
      <c r="J336" s="157"/>
      <c r="K336" s="161"/>
      <c r="L336" s="161"/>
      <c r="M336" s="161"/>
      <c r="N336" s="161"/>
      <c r="O336" s="161"/>
      <c r="P336" s="161"/>
      <c r="Q336" s="161"/>
      <c r="R336" s="161"/>
      <c r="S336" s="161"/>
      <c r="T336" s="161"/>
      <c r="U336" s="161"/>
      <c r="V336" s="161"/>
    </row>
    <row r="337">
      <c r="A337" s="157"/>
      <c r="B337" s="161"/>
      <c r="C337" s="193"/>
      <c r="D337" s="161"/>
      <c r="E337" s="193"/>
      <c r="F337" s="161"/>
      <c r="G337" s="161"/>
      <c r="H337" s="161"/>
      <c r="I337" s="161"/>
      <c r="J337" s="157"/>
      <c r="K337" s="161"/>
      <c r="L337" s="161"/>
      <c r="M337" s="161"/>
      <c r="N337" s="161"/>
      <c r="O337" s="161"/>
      <c r="P337" s="161"/>
      <c r="Q337" s="161"/>
      <c r="R337" s="161"/>
      <c r="S337" s="161"/>
      <c r="T337" s="161"/>
      <c r="U337" s="161"/>
      <c r="V337" s="161"/>
    </row>
    <row r="338">
      <c r="A338" s="157"/>
      <c r="B338" s="161"/>
      <c r="C338" s="193"/>
      <c r="D338" s="161"/>
      <c r="E338" s="193"/>
      <c r="F338" s="161"/>
      <c r="G338" s="161"/>
      <c r="H338" s="161"/>
      <c r="I338" s="161"/>
      <c r="J338" s="157"/>
      <c r="K338" s="161"/>
      <c r="L338" s="161"/>
      <c r="M338" s="161"/>
      <c r="N338" s="161"/>
      <c r="O338" s="161"/>
      <c r="P338" s="161"/>
      <c r="Q338" s="161"/>
      <c r="R338" s="161"/>
      <c r="S338" s="161"/>
      <c r="T338" s="161"/>
      <c r="U338" s="161"/>
      <c r="V338" s="161"/>
    </row>
    <row r="339">
      <c r="A339" s="157"/>
      <c r="B339" s="161"/>
      <c r="C339" s="193"/>
      <c r="D339" s="161"/>
      <c r="E339" s="193"/>
      <c r="F339" s="161"/>
      <c r="G339" s="161"/>
      <c r="H339" s="161"/>
      <c r="I339" s="161"/>
      <c r="J339" s="157"/>
      <c r="K339" s="161"/>
      <c r="L339" s="161"/>
      <c r="M339" s="161"/>
      <c r="N339" s="161"/>
      <c r="O339" s="161"/>
      <c r="P339" s="161"/>
      <c r="Q339" s="161"/>
      <c r="R339" s="161"/>
      <c r="S339" s="161"/>
      <c r="T339" s="161"/>
      <c r="U339" s="161"/>
      <c r="V339" s="161"/>
    </row>
    <row r="340">
      <c r="A340" s="157"/>
      <c r="B340" s="161"/>
      <c r="C340" s="193"/>
      <c r="D340" s="161"/>
      <c r="E340" s="193"/>
      <c r="F340" s="161"/>
      <c r="G340" s="161"/>
      <c r="H340" s="161"/>
      <c r="I340" s="161"/>
      <c r="J340" s="157"/>
      <c r="K340" s="161"/>
      <c r="L340" s="161"/>
      <c r="M340" s="161"/>
      <c r="N340" s="161"/>
      <c r="O340" s="161"/>
      <c r="P340" s="161"/>
      <c r="Q340" s="161"/>
      <c r="R340" s="161"/>
      <c r="S340" s="161"/>
      <c r="T340" s="161"/>
      <c r="U340" s="161"/>
      <c r="V340" s="161"/>
    </row>
    <row r="341">
      <c r="A341" s="157"/>
      <c r="B341" s="161"/>
      <c r="C341" s="193"/>
      <c r="D341" s="161"/>
      <c r="E341" s="193"/>
      <c r="F341" s="161"/>
      <c r="G341" s="161"/>
      <c r="H341" s="161"/>
      <c r="I341" s="161"/>
      <c r="J341" s="157"/>
      <c r="K341" s="161"/>
      <c r="L341" s="161"/>
      <c r="M341" s="161"/>
      <c r="N341" s="161"/>
      <c r="O341" s="161"/>
      <c r="P341" s="161"/>
      <c r="Q341" s="161"/>
      <c r="R341" s="161"/>
      <c r="S341" s="161"/>
      <c r="T341" s="161"/>
      <c r="U341" s="161"/>
      <c r="V341" s="161"/>
    </row>
    <row r="342">
      <c r="A342" s="157"/>
      <c r="B342" s="161"/>
      <c r="C342" s="193"/>
      <c r="D342" s="161"/>
      <c r="E342" s="193"/>
      <c r="F342" s="161"/>
      <c r="G342" s="161"/>
      <c r="H342" s="161"/>
      <c r="I342" s="161"/>
      <c r="J342" s="157"/>
      <c r="K342" s="161"/>
      <c r="L342" s="161"/>
      <c r="M342" s="161"/>
      <c r="N342" s="161"/>
      <c r="O342" s="161"/>
      <c r="P342" s="161"/>
      <c r="Q342" s="161"/>
      <c r="R342" s="161"/>
      <c r="S342" s="161"/>
      <c r="T342" s="161"/>
      <c r="U342" s="161"/>
      <c r="V342" s="161"/>
    </row>
    <row r="343">
      <c r="A343" s="157"/>
      <c r="B343" s="161"/>
      <c r="C343" s="193"/>
      <c r="D343" s="161"/>
      <c r="E343" s="193"/>
      <c r="F343" s="161"/>
      <c r="G343" s="161"/>
      <c r="H343" s="161"/>
      <c r="I343" s="161"/>
      <c r="J343" s="157"/>
      <c r="K343" s="161"/>
      <c r="L343" s="161"/>
      <c r="M343" s="161"/>
      <c r="N343" s="161"/>
      <c r="O343" s="161"/>
      <c r="P343" s="161"/>
      <c r="Q343" s="161"/>
      <c r="R343" s="161"/>
      <c r="S343" s="161"/>
      <c r="T343" s="161"/>
      <c r="U343" s="161"/>
      <c r="V343" s="161"/>
    </row>
    <row r="344">
      <c r="A344" s="157"/>
      <c r="B344" s="161"/>
      <c r="C344" s="193"/>
      <c r="D344" s="161"/>
      <c r="E344" s="193"/>
      <c r="F344" s="161"/>
      <c r="G344" s="161"/>
      <c r="H344" s="161"/>
      <c r="I344" s="161"/>
      <c r="J344" s="157"/>
      <c r="K344" s="161"/>
      <c r="L344" s="161"/>
      <c r="M344" s="161"/>
      <c r="N344" s="161"/>
      <c r="O344" s="161"/>
      <c r="P344" s="161"/>
      <c r="Q344" s="161"/>
      <c r="R344" s="161"/>
      <c r="S344" s="161"/>
      <c r="T344" s="161"/>
      <c r="U344" s="161"/>
      <c r="V344" s="161"/>
    </row>
    <row r="345">
      <c r="A345" s="157"/>
      <c r="B345" s="161"/>
      <c r="C345" s="193"/>
      <c r="D345" s="161"/>
      <c r="E345" s="193"/>
      <c r="F345" s="161"/>
      <c r="G345" s="161"/>
      <c r="H345" s="161"/>
      <c r="I345" s="161"/>
      <c r="J345" s="157"/>
      <c r="K345" s="161"/>
      <c r="L345" s="161"/>
      <c r="M345" s="161"/>
      <c r="N345" s="161"/>
      <c r="O345" s="161"/>
      <c r="P345" s="161"/>
      <c r="Q345" s="161"/>
      <c r="R345" s="161"/>
      <c r="S345" s="161"/>
      <c r="T345" s="161"/>
      <c r="U345" s="161"/>
      <c r="V345" s="161"/>
    </row>
    <row r="346">
      <c r="A346" s="157"/>
      <c r="B346" s="161"/>
      <c r="C346" s="193"/>
      <c r="D346" s="161"/>
      <c r="E346" s="193"/>
      <c r="F346" s="161"/>
      <c r="G346" s="161"/>
      <c r="H346" s="161"/>
      <c r="I346" s="161"/>
      <c r="J346" s="157"/>
      <c r="K346" s="161"/>
      <c r="L346" s="161"/>
      <c r="M346" s="161"/>
      <c r="N346" s="161"/>
      <c r="O346" s="161"/>
      <c r="P346" s="161"/>
      <c r="Q346" s="161"/>
      <c r="R346" s="161"/>
      <c r="S346" s="161"/>
      <c r="T346" s="161"/>
      <c r="U346" s="161"/>
      <c r="V346" s="161"/>
    </row>
    <row r="347">
      <c r="A347" s="157"/>
      <c r="B347" s="161"/>
      <c r="C347" s="193"/>
      <c r="D347" s="161"/>
      <c r="E347" s="193"/>
      <c r="F347" s="161"/>
      <c r="G347" s="161"/>
      <c r="H347" s="161"/>
      <c r="I347" s="161"/>
      <c r="J347" s="157"/>
      <c r="K347" s="161"/>
      <c r="L347" s="161"/>
      <c r="M347" s="161"/>
      <c r="N347" s="161"/>
      <c r="O347" s="161"/>
      <c r="P347" s="161"/>
      <c r="Q347" s="161"/>
      <c r="R347" s="161"/>
      <c r="S347" s="161"/>
      <c r="T347" s="161"/>
      <c r="U347" s="161"/>
      <c r="V347" s="161"/>
    </row>
    <row r="348">
      <c r="A348" s="157"/>
      <c r="B348" s="161"/>
      <c r="C348" s="193"/>
      <c r="D348" s="161"/>
      <c r="E348" s="193"/>
      <c r="F348" s="161"/>
      <c r="G348" s="161"/>
      <c r="H348" s="161"/>
      <c r="I348" s="161"/>
      <c r="J348" s="157"/>
      <c r="K348" s="161"/>
      <c r="L348" s="161"/>
      <c r="M348" s="161"/>
      <c r="N348" s="161"/>
      <c r="O348" s="161"/>
      <c r="P348" s="161"/>
      <c r="Q348" s="161"/>
      <c r="R348" s="161"/>
      <c r="S348" s="161"/>
      <c r="T348" s="161"/>
      <c r="U348" s="161"/>
      <c r="V348" s="161"/>
    </row>
    <row r="349">
      <c r="A349" s="157"/>
      <c r="B349" s="161"/>
      <c r="C349" s="193"/>
      <c r="D349" s="161"/>
      <c r="E349" s="193"/>
      <c r="F349" s="161"/>
      <c r="G349" s="161"/>
      <c r="H349" s="161"/>
      <c r="I349" s="161"/>
      <c r="J349" s="157"/>
      <c r="K349" s="161"/>
      <c r="L349" s="161"/>
      <c r="M349" s="161"/>
      <c r="N349" s="161"/>
      <c r="O349" s="161"/>
      <c r="P349" s="161"/>
      <c r="Q349" s="161"/>
      <c r="R349" s="161"/>
      <c r="S349" s="161"/>
      <c r="T349" s="161"/>
      <c r="U349" s="161"/>
      <c r="V349" s="161"/>
    </row>
    <row r="350">
      <c r="A350" s="157"/>
      <c r="B350" s="161"/>
      <c r="C350" s="193"/>
      <c r="D350" s="161"/>
      <c r="E350" s="193"/>
      <c r="F350" s="161"/>
      <c r="G350" s="161"/>
      <c r="H350" s="161"/>
      <c r="I350" s="161"/>
      <c r="J350" s="157"/>
      <c r="K350" s="161"/>
      <c r="L350" s="161"/>
      <c r="M350" s="161"/>
      <c r="N350" s="161"/>
      <c r="O350" s="161"/>
      <c r="P350" s="161"/>
      <c r="Q350" s="161"/>
      <c r="R350" s="161"/>
      <c r="S350" s="161"/>
      <c r="T350" s="161"/>
      <c r="U350" s="161"/>
      <c r="V350" s="161"/>
    </row>
    <row r="351">
      <c r="A351" s="157"/>
      <c r="B351" s="161"/>
      <c r="C351" s="193"/>
      <c r="D351" s="161"/>
      <c r="E351" s="193"/>
      <c r="F351" s="161"/>
      <c r="G351" s="161"/>
      <c r="H351" s="161"/>
      <c r="I351" s="161"/>
      <c r="J351" s="157"/>
      <c r="K351" s="161"/>
      <c r="L351" s="161"/>
      <c r="M351" s="161"/>
      <c r="N351" s="161"/>
      <c r="O351" s="161"/>
      <c r="P351" s="161"/>
      <c r="Q351" s="161"/>
      <c r="R351" s="161"/>
      <c r="S351" s="161"/>
      <c r="T351" s="161"/>
      <c r="U351" s="161"/>
      <c r="V351" s="161"/>
    </row>
    <row r="352">
      <c r="A352" s="157"/>
      <c r="B352" s="161"/>
      <c r="C352" s="193"/>
      <c r="D352" s="161"/>
      <c r="E352" s="193"/>
      <c r="F352" s="161"/>
      <c r="G352" s="161"/>
      <c r="H352" s="161"/>
      <c r="I352" s="161"/>
      <c r="J352" s="157"/>
      <c r="K352" s="161"/>
      <c r="L352" s="161"/>
      <c r="M352" s="161"/>
      <c r="N352" s="161"/>
      <c r="O352" s="161"/>
      <c r="P352" s="161"/>
      <c r="Q352" s="161"/>
      <c r="R352" s="161"/>
      <c r="S352" s="161"/>
      <c r="T352" s="161"/>
      <c r="U352" s="161"/>
      <c r="V352" s="161"/>
    </row>
    <row r="353">
      <c r="A353" s="157"/>
      <c r="B353" s="161"/>
      <c r="C353" s="193"/>
      <c r="D353" s="161"/>
      <c r="E353" s="193"/>
      <c r="F353" s="161"/>
      <c r="G353" s="161"/>
      <c r="H353" s="161"/>
      <c r="I353" s="161"/>
      <c r="J353" s="157"/>
      <c r="K353" s="161"/>
      <c r="L353" s="161"/>
      <c r="M353" s="161"/>
      <c r="N353" s="161"/>
      <c r="O353" s="161"/>
      <c r="P353" s="161"/>
      <c r="Q353" s="161"/>
      <c r="R353" s="161"/>
      <c r="S353" s="161"/>
      <c r="T353" s="161"/>
      <c r="U353" s="161"/>
      <c r="V353" s="161"/>
    </row>
    <row r="354">
      <c r="A354" s="157"/>
      <c r="B354" s="161"/>
      <c r="C354" s="193"/>
      <c r="D354" s="161"/>
      <c r="E354" s="193"/>
      <c r="F354" s="161"/>
      <c r="G354" s="161"/>
      <c r="H354" s="161"/>
      <c r="I354" s="161"/>
      <c r="J354" s="157"/>
      <c r="K354" s="161"/>
      <c r="L354" s="161"/>
      <c r="M354" s="161"/>
      <c r="N354" s="161"/>
      <c r="O354" s="161"/>
      <c r="P354" s="161"/>
      <c r="Q354" s="161"/>
      <c r="R354" s="161"/>
      <c r="S354" s="161"/>
      <c r="T354" s="161"/>
      <c r="U354" s="161"/>
      <c r="V354" s="161"/>
    </row>
    <row r="355">
      <c r="A355" s="157"/>
      <c r="B355" s="161"/>
      <c r="C355" s="193"/>
      <c r="D355" s="161"/>
      <c r="E355" s="193"/>
      <c r="F355" s="161"/>
      <c r="G355" s="161"/>
      <c r="H355" s="161"/>
      <c r="I355" s="161"/>
      <c r="J355" s="157"/>
      <c r="K355" s="161"/>
      <c r="L355" s="161"/>
      <c r="M355" s="161"/>
      <c r="N355" s="161"/>
      <c r="O355" s="161"/>
      <c r="P355" s="161"/>
      <c r="Q355" s="161"/>
      <c r="R355" s="161"/>
      <c r="S355" s="161"/>
      <c r="T355" s="161"/>
      <c r="U355" s="161"/>
      <c r="V355" s="161"/>
    </row>
    <row r="356">
      <c r="A356" s="157"/>
      <c r="B356" s="161"/>
      <c r="C356" s="193"/>
      <c r="D356" s="161"/>
      <c r="E356" s="193"/>
      <c r="F356" s="161"/>
      <c r="G356" s="161"/>
      <c r="H356" s="161"/>
      <c r="I356" s="161"/>
      <c r="J356" s="157"/>
      <c r="K356" s="161"/>
      <c r="L356" s="161"/>
      <c r="M356" s="161"/>
      <c r="N356" s="161"/>
      <c r="O356" s="161"/>
      <c r="P356" s="161"/>
      <c r="Q356" s="161"/>
      <c r="R356" s="161"/>
      <c r="S356" s="161"/>
      <c r="T356" s="161"/>
      <c r="U356" s="161"/>
      <c r="V356" s="161"/>
    </row>
    <row r="357">
      <c r="A357" s="157"/>
      <c r="B357" s="161"/>
      <c r="C357" s="193"/>
      <c r="D357" s="161"/>
      <c r="E357" s="193"/>
      <c r="F357" s="161"/>
      <c r="G357" s="161"/>
      <c r="H357" s="161"/>
      <c r="I357" s="161"/>
      <c r="J357" s="157"/>
      <c r="K357" s="161"/>
      <c r="L357" s="161"/>
      <c r="M357" s="161"/>
      <c r="N357" s="161"/>
      <c r="O357" s="161"/>
      <c r="P357" s="161"/>
      <c r="Q357" s="161"/>
      <c r="R357" s="161"/>
      <c r="S357" s="161"/>
      <c r="T357" s="161"/>
      <c r="U357" s="161"/>
      <c r="V357" s="161"/>
    </row>
    <row r="358">
      <c r="A358" s="157"/>
      <c r="B358" s="161"/>
      <c r="C358" s="193"/>
      <c r="D358" s="161"/>
      <c r="E358" s="193"/>
      <c r="F358" s="161"/>
      <c r="G358" s="161"/>
      <c r="H358" s="161"/>
      <c r="I358" s="161"/>
      <c r="J358" s="157"/>
      <c r="K358" s="161"/>
      <c r="L358" s="161"/>
      <c r="M358" s="161"/>
      <c r="N358" s="161"/>
      <c r="O358" s="161"/>
      <c r="P358" s="161"/>
      <c r="Q358" s="161"/>
      <c r="R358" s="161"/>
      <c r="S358" s="161"/>
      <c r="T358" s="161"/>
      <c r="U358" s="161"/>
      <c r="V358" s="161"/>
    </row>
    <row r="359">
      <c r="A359" s="157"/>
      <c r="B359" s="161"/>
      <c r="C359" s="193"/>
      <c r="D359" s="161"/>
      <c r="E359" s="193"/>
      <c r="F359" s="161"/>
      <c r="G359" s="161"/>
      <c r="H359" s="161"/>
      <c r="I359" s="161"/>
      <c r="J359" s="157"/>
      <c r="K359" s="161"/>
      <c r="L359" s="161"/>
      <c r="M359" s="161"/>
      <c r="N359" s="161"/>
      <c r="O359" s="161"/>
      <c r="P359" s="161"/>
      <c r="Q359" s="161"/>
      <c r="R359" s="161"/>
      <c r="S359" s="161"/>
      <c r="T359" s="161"/>
      <c r="U359" s="161"/>
      <c r="V359" s="161"/>
    </row>
    <row r="360">
      <c r="A360" s="157"/>
      <c r="B360" s="161"/>
      <c r="C360" s="193"/>
      <c r="D360" s="161"/>
      <c r="E360" s="193"/>
      <c r="F360" s="161"/>
      <c r="G360" s="161"/>
      <c r="H360" s="161"/>
      <c r="I360" s="161"/>
      <c r="J360" s="157"/>
      <c r="K360" s="161"/>
      <c r="L360" s="161"/>
      <c r="M360" s="161"/>
      <c r="N360" s="161"/>
      <c r="O360" s="161"/>
      <c r="P360" s="161"/>
      <c r="Q360" s="161"/>
      <c r="R360" s="161"/>
      <c r="S360" s="161"/>
      <c r="T360" s="161"/>
      <c r="U360" s="161"/>
      <c r="V360" s="161"/>
    </row>
    <row r="361">
      <c r="A361" s="157"/>
      <c r="B361" s="161"/>
      <c r="C361" s="193"/>
      <c r="D361" s="161"/>
      <c r="E361" s="193"/>
      <c r="F361" s="161"/>
      <c r="G361" s="161"/>
      <c r="H361" s="161"/>
      <c r="I361" s="161"/>
      <c r="J361" s="157"/>
      <c r="K361" s="161"/>
      <c r="L361" s="161"/>
      <c r="M361" s="161"/>
      <c r="N361" s="161"/>
      <c r="O361" s="161"/>
      <c r="P361" s="161"/>
      <c r="Q361" s="161"/>
      <c r="R361" s="161"/>
      <c r="S361" s="161"/>
      <c r="T361" s="161"/>
      <c r="U361" s="161"/>
      <c r="V361" s="161"/>
    </row>
    <row r="362">
      <c r="A362" s="157"/>
      <c r="B362" s="161"/>
      <c r="C362" s="193"/>
      <c r="D362" s="161"/>
      <c r="E362" s="193"/>
      <c r="F362" s="161"/>
      <c r="G362" s="161"/>
      <c r="H362" s="161"/>
      <c r="I362" s="161"/>
      <c r="J362" s="157"/>
      <c r="K362" s="161"/>
      <c r="L362" s="161"/>
      <c r="M362" s="161"/>
      <c r="N362" s="161"/>
      <c r="O362" s="161"/>
      <c r="P362" s="161"/>
      <c r="Q362" s="161"/>
      <c r="R362" s="161"/>
      <c r="S362" s="161"/>
      <c r="T362" s="161"/>
      <c r="U362" s="161"/>
      <c r="V362" s="161"/>
    </row>
    <row r="363">
      <c r="A363" s="157"/>
      <c r="B363" s="161"/>
      <c r="C363" s="193"/>
      <c r="D363" s="161"/>
      <c r="E363" s="193"/>
      <c r="F363" s="161"/>
      <c r="G363" s="161"/>
      <c r="H363" s="161"/>
      <c r="I363" s="161"/>
      <c r="J363" s="157"/>
      <c r="K363" s="161"/>
      <c r="L363" s="161"/>
      <c r="M363" s="161"/>
      <c r="N363" s="161"/>
      <c r="O363" s="161"/>
      <c r="P363" s="161"/>
      <c r="Q363" s="161"/>
      <c r="R363" s="161"/>
      <c r="S363" s="161"/>
      <c r="T363" s="161"/>
      <c r="U363" s="161"/>
      <c r="V363" s="161"/>
    </row>
    <row r="364">
      <c r="A364" s="157"/>
      <c r="B364" s="161"/>
      <c r="C364" s="193"/>
      <c r="D364" s="161"/>
      <c r="E364" s="193"/>
      <c r="F364" s="161"/>
      <c r="G364" s="161"/>
      <c r="H364" s="161"/>
      <c r="I364" s="161"/>
      <c r="J364" s="157"/>
      <c r="K364" s="161"/>
      <c r="L364" s="161"/>
      <c r="M364" s="161"/>
      <c r="N364" s="161"/>
      <c r="O364" s="161"/>
      <c r="P364" s="161"/>
      <c r="Q364" s="161"/>
      <c r="R364" s="161"/>
      <c r="S364" s="161"/>
      <c r="T364" s="161"/>
      <c r="U364" s="161"/>
      <c r="V364" s="161"/>
    </row>
    <row r="365">
      <c r="A365" s="157"/>
      <c r="B365" s="161"/>
      <c r="C365" s="193"/>
      <c r="D365" s="161"/>
      <c r="E365" s="193"/>
      <c r="F365" s="161"/>
      <c r="G365" s="161"/>
      <c r="H365" s="161"/>
      <c r="I365" s="161"/>
      <c r="J365" s="157"/>
      <c r="K365" s="161"/>
      <c r="L365" s="161"/>
      <c r="M365" s="161"/>
      <c r="N365" s="161"/>
      <c r="O365" s="161"/>
      <c r="P365" s="161"/>
      <c r="Q365" s="161"/>
      <c r="R365" s="161"/>
      <c r="S365" s="161"/>
      <c r="T365" s="161"/>
      <c r="U365" s="161"/>
      <c r="V365" s="161"/>
    </row>
    <row r="366">
      <c r="A366" s="157"/>
      <c r="B366" s="161"/>
      <c r="C366" s="193"/>
      <c r="D366" s="161"/>
      <c r="E366" s="193"/>
      <c r="F366" s="161"/>
      <c r="G366" s="161"/>
      <c r="H366" s="161"/>
      <c r="I366" s="161"/>
      <c r="J366" s="157"/>
      <c r="K366" s="161"/>
      <c r="L366" s="161"/>
      <c r="M366" s="161"/>
      <c r="N366" s="161"/>
      <c r="O366" s="161"/>
      <c r="P366" s="161"/>
      <c r="Q366" s="161"/>
      <c r="R366" s="161"/>
      <c r="S366" s="161"/>
      <c r="T366" s="161"/>
      <c r="U366" s="161"/>
      <c r="V366" s="161"/>
    </row>
    <row r="367">
      <c r="A367" s="157"/>
      <c r="B367" s="161"/>
      <c r="C367" s="193"/>
      <c r="D367" s="161"/>
      <c r="E367" s="193"/>
      <c r="F367" s="161"/>
      <c r="G367" s="161"/>
      <c r="H367" s="161"/>
      <c r="I367" s="161"/>
      <c r="J367" s="157"/>
      <c r="K367" s="161"/>
      <c r="L367" s="161"/>
      <c r="M367" s="161"/>
      <c r="N367" s="161"/>
      <c r="O367" s="161"/>
      <c r="P367" s="161"/>
      <c r="Q367" s="161"/>
      <c r="R367" s="161"/>
      <c r="S367" s="161"/>
      <c r="T367" s="161"/>
      <c r="U367" s="161"/>
      <c r="V367" s="161"/>
    </row>
    <row r="368">
      <c r="A368" s="157"/>
      <c r="B368" s="161"/>
      <c r="C368" s="193"/>
      <c r="D368" s="161"/>
      <c r="E368" s="193"/>
      <c r="F368" s="161"/>
      <c r="G368" s="161"/>
      <c r="H368" s="161"/>
      <c r="I368" s="161"/>
      <c r="J368" s="157"/>
      <c r="K368" s="161"/>
      <c r="L368" s="161"/>
      <c r="M368" s="161"/>
      <c r="N368" s="161"/>
      <c r="O368" s="161"/>
      <c r="P368" s="161"/>
      <c r="Q368" s="161"/>
      <c r="R368" s="161"/>
      <c r="S368" s="161"/>
      <c r="T368" s="161"/>
      <c r="U368" s="161"/>
      <c r="V368" s="161"/>
    </row>
    <row r="369">
      <c r="A369" s="157"/>
      <c r="B369" s="161"/>
      <c r="C369" s="193"/>
      <c r="D369" s="161"/>
      <c r="E369" s="193"/>
      <c r="F369" s="161"/>
      <c r="G369" s="161"/>
      <c r="H369" s="161"/>
      <c r="I369" s="161"/>
      <c r="J369" s="157"/>
      <c r="K369" s="161"/>
      <c r="L369" s="161"/>
      <c r="M369" s="161"/>
      <c r="N369" s="161"/>
      <c r="O369" s="161"/>
      <c r="P369" s="161"/>
      <c r="Q369" s="161"/>
      <c r="R369" s="161"/>
      <c r="S369" s="161"/>
      <c r="T369" s="161"/>
      <c r="U369" s="161"/>
      <c r="V369" s="161"/>
    </row>
    <row r="370">
      <c r="A370" s="157"/>
      <c r="B370" s="161"/>
      <c r="C370" s="193"/>
      <c r="D370" s="161"/>
      <c r="E370" s="193"/>
      <c r="F370" s="161"/>
      <c r="G370" s="161"/>
      <c r="H370" s="161"/>
      <c r="I370" s="161"/>
      <c r="J370" s="157"/>
      <c r="K370" s="161"/>
      <c r="L370" s="161"/>
      <c r="M370" s="161"/>
      <c r="N370" s="161"/>
      <c r="O370" s="161"/>
      <c r="P370" s="161"/>
      <c r="Q370" s="161"/>
      <c r="R370" s="161"/>
      <c r="S370" s="161"/>
      <c r="T370" s="161"/>
      <c r="U370" s="161"/>
      <c r="V370" s="161"/>
    </row>
    <row r="371">
      <c r="A371" s="157"/>
      <c r="B371" s="161"/>
      <c r="C371" s="193"/>
      <c r="D371" s="161"/>
      <c r="E371" s="193"/>
      <c r="F371" s="161"/>
      <c r="G371" s="161"/>
      <c r="H371" s="161"/>
      <c r="I371" s="161"/>
      <c r="J371" s="157"/>
      <c r="K371" s="161"/>
      <c r="L371" s="161"/>
      <c r="M371" s="161"/>
      <c r="N371" s="161"/>
      <c r="O371" s="161"/>
      <c r="P371" s="161"/>
      <c r="Q371" s="161"/>
      <c r="R371" s="161"/>
      <c r="S371" s="161"/>
      <c r="T371" s="161"/>
      <c r="U371" s="161"/>
      <c r="V371" s="161"/>
    </row>
    <row r="372">
      <c r="A372" s="157"/>
      <c r="B372" s="161"/>
      <c r="C372" s="193"/>
      <c r="D372" s="161"/>
      <c r="E372" s="193"/>
      <c r="F372" s="161"/>
      <c r="G372" s="161"/>
      <c r="H372" s="161"/>
      <c r="I372" s="161"/>
      <c r="J372" s="157"/>
      <c r="K372" s="161"/>
      <c r="L372" s="161"/>
      <c r="M372" s="161"/>
      <c r="N372" s="161"/>
      <c r="O372" s="161"/>
      <c r="P372" s="161"/>
      <c r="Q372" s="161"/>
      <c r="R372" s="161"/>
      <c r="S372" s="161"/>
      <c r="T372" s="161"/>
      <c r="U372" s="161"/>
      <c r="V372" s="161"/>
    </row>
    <row r="373">
      <c r="A373" s="157"/>
      <c r="B373" s="161"/>
      <c r="C373" s="193"/>
      <c r="D373" s="161"/>
      <c r="E373" s="193"/>
      <c r="F373" s="161"/>
      <c r="G373" s="161"/>
      <c r="H373" s="161"/>
      <c r="I373" s="161"/>
      <c r="J373" s="157"/>
      <c r="K373" s="161"/>
      <c r="L373" s="161"/>
      <c r="M373" s="161"/>
      <c r="N373" s="161"/>
      <c r="O373" s="161"/>
      <c r="P373" s="161"/>
      <c r="Q373" s="161"/>
      <c r="R373" s="161"/>
      <c r="S373" s="161"/>
      <c r="T373" s="161"/>
      <c r="U373" s="161"/>
      <c r="V373" s="161"/>
    </row>
    <row r="374">
      <c r="A374" s="157"/>
      <c r="B374" s="161"/>
      <c r="C374" s="193"/>
      <c r="D374" s="161"/>
      <c r="E374" s="193"/>
      <c r="F374" s="161"/>
      <c r="G374" s="161"/>
      <c r="H374" s="161"/>
      <c r="I374" s="161"/>
      <c r="J374" s="157"/>
      <c r="K374" s="161"/>
      <c r="L374" s="161"/>
      <c r="M374" s="161"/>
      <c r="N374" s="161"/>
      <c r="O374" s="161"/>
      <c r="P374" s="161"/>
      <c r="Q374" s="161"/>
      <c r="R374" s="161"/>
      <c r="S374" s="161"/>
      <c r="T374" s="161"/>
      <c r="U374" s="161"/>
      <c r="V374" s="161"/>
    </row>
    <row r="375">
      <c r="A375" s="157"/>
      <c r="B375" s="161"/>
      <c r="C375" s="193"/>
      <c r="D375" s="161"/>
      <c r="E375" s="193"/>
      <c r="F375" s="161"/>
      <c r="G375" s="161"/>
      <c r="H375" s="161"/>
      <c r="I375" s="161"/>
      <c r="J375" s="157"/>
      <c r="K375" s="161"/>
      <c r="L375" s="161"/>
      <c r="M375" s="161"/>
      <c r="N375" s="161"/>
      <c r="O375" s="161"/>
      <c r="P375" s="161"/>
      <c r="Q375" s="161"/>
      <c r="R375" s="161"/>
      <c r="S375" s="161"/>
      <c r="T375" s="161"/>
      <c r="U375" s="161"/>
      <c r="V375" s="161"/>
    </row>
    <row r="376">
      <c r="A376" s="157"/>
      <c r="B376" s="161"/>
      <c r="C376" s="193"/>
      <c r="D376" s="161"/>
      <c r="E376" s="193"/>
      <c r="F376" s="161"/>
      <c r="G376" s="161"/>
      <c r="H376" s="161"/>
      <c r="I376" s="161"/>
      <c r="J376" s="157"/>
      <c r="K376" s="161"/>
      <c r="L376" s="161"/>
      <c r="M376" s="161"/>
      <c r="N376" s="161"/>
      <c r="O376" s="161"/>
      <c r="P376" s="161"/>
      <c r="Q376" s="161"/>
      <c r="R376" s="161"/>
      <c r="S376" s="161"/>
      <c r="T376" s="161"/>
      <c r="U376" s="161"/>
      <c r="V376" s="161"/>
    </row>
    <row r="377">
      <c r="A377" s="157"/>
      <c r="B377" s="161"/>
      <c r="C377" s="193"/>
      <c r="D377" s="161"/>
      <c r="E377" s="193"/>
      <c r="F377" s="161"/>
      <c r="G377" s="161"/>
      <c r="H377" s="161"/>
      <c r="I377" s="161"/>
      <c r="J377" s="157"/>
      <c r="K377" s="161"/>
      <c r="L377" s="161"/>
      <c r="M377" s="161"/>
      <c r="N377" s="161"/>
      <c r="O377" s="161"/>
      <c r="P377" s="161"/>
      <c r="Q377" s="161"/>
      <c r="R377" s="161"/>
      <c r="S377" s="161"/>
      <c r="T377" s="161"/>
      <c r="U377" s="161"/>
      <c r="V377" s="161"/>
    </row>
    <row r="378">
      <c r="A378" s="157"/>
      <c r="B378" s="161"/>
      <c r="C378" s="193"/>
      <c r="D378" s="161"/>
      <c r="E378" s="193"/>
      <c r="F378" s="161"/>
      <c r="G378" s="161"/>
      <c r="H378" s="161"/>
      <c r="I378" s="161"/>
      <c r="J378" s="157"/>
      <c r="K378" s="161"/>
      <c r="L378" s="161"/>
      <c r="M378" s="161"/>
      <c r="N378" s="161"/>
      <c r="O378" s="161"/>
      <c r="P378" s="161"/>
      <c r="Q378" s="161"/>
      <c r="R378" s="161"/>
      <c r="S378" s="161"/>
      <c r="T378" s="161"/>
      <c r="U378" s="161"/>
      <c r="V378" s="161"/>
    </row>
    <row r="379">
      <c r="A379" s="157"/>
      <c r="B379" s="161"/>
      <c r="C379" s="193"/>
      <c r="D379" s="161"/>
      <c r="E379" s="193"/>
      <c r="F379" s="161"/>
      <c r="G379" s="161"/>
      <c r="H379" s="161"/>
      <c r="I379" s="161"/>
      <c r="J379" s="157"/>
      <c r="K379" s="161"/>
      <c r="L379" s="161"/>
      <c r="M379" s="161"/>
      <c r="N379" s="161"/>
      <c r="O379" s="161"/>
      <c r="P379" s="161"/>
      <c r="Q379" s="161"/>
      <c r="R379" s="161"/>
      <c r="S379" s="161"/>
      <c r="T379" s="161"/>
      <c r="U379" s="161"/>
      <c r="V379" s="161"/>
    </row>
    <row r="380">
      <c r="A380" s="157"/>
      <c r="B380" s="161"/>
      <c r="C380" s="193"/>
      <c r="D380" s="161"/>
      <c r="E380" s="193"/>
      <c r="F380" s="161"/>
      <c r="G380" s="161"/>
      <c r="H380" s="161"/>
      <c r="I380" s="161"/>
      <c r="J380" s="157"/>
      <c r="K380" s="161"/>
      <c r="L380" s="161"/>
      <c r="M380" s="161"/>
      <c r="N380" s="161"/>
      <c r="O380" s="161"/>
      <c r="P380" s="161"/>
      <c r="Q380" s="161"/>
      <c r="R380" s="161"/>
      <c r="S380" s="161"/>
      <c r="T380" s="161"/>
      <c r="U380" s="161"/>
      <c r="V380" s="161"/>
    </row>
    <row r="381">
      <c r="A381" s="157"/>
      <c r="B381" s="161"/>
      <c r="C381" s="193"/>
      <c r="D381" s="161"/>
      <c r="E381" s="193"/>
      <c r="F381" s="161"/>
      <c r="G381" s="161"/>
      <c r="H381" s="161"/>
      <c r="I381" s="161"/>
      <c r="J381" s="157"/>
      <c r="K381" s="161"/>
      <c r="L381" s="161"/>
      <c r="M381" s="161"/>
      <c r="N381" s="161"/>
      <c r="O381" s="161"/>
      <c r="P381" s="161"/>
      <c r="Q381" s="161"/>
      <c r="R381" s="161"/>
      <c r="S381" s="161"/>
      <c r="T381" s="161"/>
      <c r="U381" s="161"/>
      <c r="V381" s="161"/>
    </row>
    <row r="382">
      <c r="A382" s="157"/>
      <c r="B382" s="161"/>
      <c r="C382" s="193"/>
      <c r="D382" s="161"/>
      <c r="E382" s="193"/>
      <c r="F382" s="161"/>
      <c r="G382" s="161"/>
      <c r="H382" s="161"/>
      <c r="I382" s="161"/>
      <c r="J382" s="157"/>
      <c r="K382" s="161"/>
      <c r="L382" s="161"/>
      <c r="M382" s="161"/>
      <c r="N382" s="161"/>
      <c r="O382" s="161"/>
      <c r="P382" s="161"/>
      <c r="Q382" s="161"/>
      <c r="R382" s="161"/>
      <c r="S382" s="161"/>
      <c r="T382" s="161"/>
      <c r="U382" s="161"/>
      <c r="V382" s="161"/>
    </row>
    <row r="383">
      <c r="A383" s="157"/>
      <c r="B383" s="161"/>
      <c r="C383" s="193"/>
      <c r="D383" s="161"/>
      <c r="E383" s="193"/>
      <c r="F383" s="161"/>
      <c r="G383" s="161"/>
      <c r="H383" s="161"/>
      <c r="I383" s="161"/>
      <c r="J383" s="157"/>
      <c r="K383" s="161"/>
      <c r="L383" s="161"/>
      <c r="M383" s="161"/>
      <c r="N383" s="161"/>
      <c r="O383" s="161"/>
      <c r="P383" s="161"/>
      <c r="Q383" s="161"/>
      <c r="R383" s="161"/>
      <c r="S383" s="161"/>
      <c r="T383" s="161"/>
      <c r="U383" s="161"/>
      <c r="V383" s="161"/>
    </row>
    <row r="384">
      <c r="A384" s="157"/>
      <c r="B384" s="161"/>
      <c r="C384" s="193"/>
      <c r="D384" s="161"/>
      <c r="E384" s="193"/>
      <c r="F384" s="161"/>
      <c r="G384" s="161"/>
      <c r="H384" s="161"/>
      <c r="I384" s="161"/>
      <c r="J384" s="157"/>
      <c r="K384" s="161"/>
      <c r="L384" s="161"/>
      <c r="M384" s="161"/>
      <c r="N384" s="161"/>
      <c r="O384" s="161"/>
      <c r="P384" s="161"/>
      <c r="Q384" s="161"/>
      <c r="R384" s="161"/>
      <c r="S384" s="161"/>
      <c r="T384" s="161"/>
      <c r="U384" s="161"/>
      <c r="V384" s="161"/>
    </row>
    <row r="385">
      <c r="A385" s="157"/>
      <c r="B385" s="161"/>
      <c r="C385" s="193"/>
      <c r="D385" s="161"/>
      <c r="E385" s="193"/>
      <c r="F385" s="161"/>
      <c r="G385" s="161"/>
      <c r="H385" s="161"/>
      <c r="I385" s="161"/>
      <c r="J385" s="157"/>
      <c r="K385" s="161"/>
      <c r="L385" s="161"/>
      <c r="M385" s="161"/>
      <c r="N385" s="161"/>
      <c r="O385" s="161"/>
      <c r="P385" s="161"/>
      <c r="Q385" s="161"/>
      <c r="R385" s="161"/>
      <c r="S385" s="161"/>
      <c r="T385" s="161"/>
      <c r="U385" s="161"/>
      <c r="V385" s="161"/>
    </row>
    <row r="386">
      <c r="A386" s="157"/>
      <c r="B386" s="161"/>
      <c r="C386" s="193"/>
      <c r="D386" s="161"/>
      <c r="E386" s="193"/>
      <c r="F386" s="161"/>
      <c r="G386" s="161"/>
      <c r="H386" s="161"/>
      <c r="I386" s="161"/>
      <c r="J386" s="157"/>
      <c r="K386" s="161"/>
      <c r="L386" s="161"/>
      <c r="M386" s="161"/>
      <c r="N386" s="161"/>
      <c r="O386" s="161"/>
      <c r="P386" s="161"/>
      <c r="Q386" s="161"/>
      <c r="R386" s="161"/>
      <c r="S386" s="161"/>
      <c r="T386" s="161"/>
      <c r="U386" s="161"/>
      <c r="V386" s="161"/>
    </row>
    <row r="387">
      <c r="A387" s="157"/>
      <c r="B387" s="161"/>
      <c r="C387" s="193"/>
      <c r="D387" s="161"/>
      <c r="E387" s="193"/>
      <c r="F387" s="161"/>
      <c r="G387" s="161"/>
      <c r="H387" s="161"/>
      <c r="I387" s="161"/>
      <c r="J387" s="157"/>
      <c r="K387" s="161"/>
      <c r="L387" s="161"/>
      <c r="M387" s="161"/>
      <c r="N387" s="161"/>
      <c r="O387" s="161"/>
      <c r="P387" s="161"/>
      <c r="Q387" s="161"/>
      <c r="R387" s="161"/>
      <c r="S387" s="161"/>
      <c r="T387" s="161"/>
      <c r="U387" s="161"/>
      <c r="V387" s="161"/>
    </row>
    <row r="388">
      <c r="A388" s="157"/>
      <c r="B388" s="161"/>
      <c r="C388" s="193"/>
      <c r="D388" s="161"/>
      <c r="E388" s="193"/>
      <c r="F388" s="161"/>
      <c r="G388" s="161"/>
      <c r="H388" s="161"/>
      <c r="I388" s="161"/>
      <c r="J388" s="157"/>
      <c r="K388" s="161"/>
      <c r="L388" s="161"/>
      <c r="M388" s="161"/>
      <c r="N388" s="161"/>
      <c r="O388" s="161"/>
      <c r="P388" s="161"/>
      <c r="Q388" s="161"/>
      <c r="R388" s="161"/>
      <c r="S388" s="161"/>
      <c r="T388" s="161"/>
      <c r="U388" s="161"/>
      <c r="V388" s="161"/>
    </row>
    <row r="389">
      <c r="A389" s="157"/>
      <c r="B389" s="161"/>
      <c r="C389" s="193"/>
      <c r="D389" s="161"/>
      <c r="E389" s="193"/>
      <c r="F389" s="161"/>
      <c r="G389" s="161"/>
      <c r="H389" s="161"/>
      <c r="I389" s="161"/>
      <c r="J389" s="157"/>
      <c r="K389" s="161"/>
      <c r="L389" s="161"/>
      <c r="M389" s="161"/>
      <c r="N389" s="161"/>
      <c r="O389" s="161"/>
      <c r="P389" s="161"/>
      <c r="Q389" s="161"/>
      <c r="R389" s="161"/>
      <c r="S389" s="161"/>
      <c r="T389" s="161"/>
      <c r="U389" s="161"/>
      <c r="V389" s="161"/>
    </row>
    <row r="390">
      <c r="A390" s="157"/>
      <c r="B390" s="161"/>
      <c r="C390" s="193"/>
      <c r="D390" s="161"/>
      <c r="E390" s="193"/>
      <c r="F390" s="161"/>
      <c r="G390" s="161"/>
      <c r="H390" s="161"/>
      <c r="I390" s="161"/>
      <c r="J390" s="157"/>
      <c r="K390" s="161"/>
      <c r="L390" s="161"/>
      <c r="M390" s="161"/>
      <c r="N390" s="161"/>
      <c r="O390" s="161"/>
      <c r="P390" s="161"/>
      <c r="Q390" s="161"/>
      <c r="R390" s="161"/>
      <c r="S390" s="161"/>
      <c r="T390" s="161"/>
      <c r="U390" s="161"/>
      <c r="V390" s="161"/>
    </row>
    <row r="391">
      <c r="A391" s="157"/>
      <c r="B391" s="161"/>
      <c r="C391" s="193"/>
      <c r="D391" s="161"/>
      <c r="E391" s="193"/>
      <c r="F391" s="161"/>
      <c r="G391" s="161"/>
      <c r="H391" s="161"/>
      <c r="I391" s="161"/>
      <c r="J391" s="157"/>
      <c r="K391" s="161"/>
      <c r="L391" s="161"/>
      <c r="M391" s="161"/>
      <c r="N391" s="161"/>
      <c r="O391" s="161"/>
      <c r="P391" s="161"/>
      <c r="Q391" s="161"/>
      <c r="R391" s="161"/>
      <c r="S391" s="161"/>
      <c r="T391" s="161"/>
      <c r="U391" s="161"/>
      <c r="V391" s="161"/>
    </row>
    <row r="392">
      <c r="A392" s="157"/>
      <c r="B392" s="161"/>
      <c r="C392" s="193"/>
      <c r="D392" s="161"/>
      <c r="E392" s="193"/>
      <c r="F392" s="161"/>
      <c r="G392" s="161"/>
      <c r="H392" s="161"/>
      <c r="I392" s="161"/>
      <c r="J392" s="157"/>
      <c r="K392" s="161"/>
      <c r="L392" s="161"/>
      <c r="M392" s="161"/>
      <c r="N392" s="161"/>
      <c r="O392" s="161"/>
      <c r="P392" s="161"/>
      <c r="Q392" s="161"/>
      <c r="R392" s="161"/>
      <c r="S392" s="161"/>
      <c r="T392" s="161"/>
      <c r="U392" s="161"/>
      <c r="V392" s="161"/>
    </row>
    <row r="393">
      <c r="A393" s="157"/>
      <c r="B393" s="161"/>
      <c r="C393" s="193"/>
      <c r="D393" s="161"/>
      <c r="E393" s="193"/>
      <c r="F393" s="161"/>
      <c r="G393" s="161"/>
      <c r="H393" s="161"/>
      <c r="I393" s="161"/>
      <c r="J393" s="157"/>
      <c r="K393" s="161"/>
      <c r="L393" s="161"/>
      <c r="M393" s="161"/>
      <c r="N393" s="161"/>
      <c r="O393" s="161"/>
      <c r="P393" s="161"/>
      <c r="Q393" s="161"/>
      <c r="R393" s="161"/>
      <c r="S393" s="161"/>
      <c r="T393" s="161"/>
      <c r="U393" s="161"/>
      <c r="V393" s="161"/>
    </row>
    <row r="394">
      <c r="A394" s="157"/>
      <c r="B394" s="161"/>
      <c r="C394" s="193"/>
      <c r="D394" s="161"/>
      <c r="E394" s="193"/>
      <c r="F394" s="161"/>
      <c r="G394" s="161"/>
      <c r="H394" s="161"/>
      <c r="I394" s="161"/>
      <c r="J394" s="157"/>
      <c r="K394" s="161"/>
      <c r="L394" s="161"/>
      <c r="M394" s="161"/>
      <c r="N394" s="161"/>
      <c r="O394" s="161"/>
      <c r="P394" s="161"/>
      <c r="Q394" s="161"/>
      <c r="R394" s="161"/>
      <c r="S394" s="161"/>
      <c r="T394" s="161"/>
      <c r="U394" s="161"/>
      <c r="V394" s="161"/>
    </row>
    <row r="395">
      <c r="A395" s="157"/>
      <c r="B395" s="161"/>
      <c r="C395" s="193"/>
      <c r="D395" s="161"/>
      <c r="E395" s="193"/>
      <c r="F395" s="161"/>
      <c r="G395" s="161"/>
      <c r="H395" s="161"/>
      <c r="I395" s="161"/>
      <c r="J395" s="157"/>
      <c r="K395" s="161"/>
      <c r="L395" s="161"/>
      <c r="M395" s="161"/>
      <c r="N395" s="161"/>
      <c r="O395" s="161"/>
      <c r="P395" s="161"/>
      <c r="Q395" s="161"/>
      <c r="R395" s="161"/>
      <c r="S395" s="161"/>
      <c r="T395" s="161"/>
      <c r="U395" s="161"/>
      <c r="V395" s="161"/>
    </row>
    <row r="396">
      <c r="A396" s="157"/>
      <c r="B396" s="161"/>
      <c r="C396" s="193"/>
      <c r="D396" s="161"/>
      <c r="E396" s="193"/>
      <c r="F396" s="161"/>
      <c r="G396" s="161"/>
      <c r="H396" s="161"/>
      <c r="I396" s="161"/>
      <c r="J396" s="157"/>
      <c r="K396" s="161"/>
      <c r="L396" s="161"/>
      <c r="M396" s="161"/>
      <c r="N396" s="161"/>
      <c r="O396" s="161"/>
      <c r="P396" s="161"/>
      <c r="Q396" s="161"/>
      <c r="R396" s="161"/>
      <c r="S396" s="161"/>
      <c r="T396" s="161"/>
      <c r="U396" s="161"/>
      <c r="V396" s="161"/>
    </row>
    <row r="397">
      <c r="A397" s="157"/>
      <c r="B397" s="161"/>
      <c r="C397" s="193"/>
      <c r="D397" s="161"/>
      <c r="E397" s="193"/>
      <c r="F397" s="161"/>
      <c r="G397" s="161"/>
      <c r="H397" s="161"/>
      <c r="I397" s="161"/>
      <c r="J397" s="157"/>
      <c r="K397" s="161"/>
      <c r="L397" s="161"/>
      <c r="M397" s="161"/>
      <c r="N397" s="161"/>
      <c r="O397" s="161"/>
      <c r="P397" s="161"/>
      <c r="Q397" s="161"/>
      <c r="R397" s="161"/>
      <c r="S397" s="161"/>
      <c r="T397" s="161"/>
      <c r="U397" s="161"/>
      <c r="V397" s="161"/>
    </row>
    <row r="398">
      <c r="A398" s="157"/>
      <c r="B398" s="161"/>
      <c r="C398" s="193"/>
      <c r="D398" s="161"/>
      <c r="E398" s="193"/>
      <c r="F398" s="161"/>
      <c r="G398" s="161"/>
      <c r="H398" s="161"/>
      <c r="I398" s="161"/>
      <c r="J398" s="157"/>
      <c r="K398" s="161"/>
      <c r="L398" s="161"/>
      <c r="M398" s="161"/>
      <c r="N398" s="161"/>
      <c r="O398" s="161"/>
      <c r="P398" s="161"/>
      <c r="Q398" s="161"/>
      <c r="R398" s="161"/>
      <c r="S398" s="161"/>
      <c r="T398" s="161"/>
      <c r="U398" s="161"/>
      <c r="V398" s="161"/>
    </row>
    <row r="399">
      <c r="A399" s="157"/>
      <c r="B399" s="161"/>
      <c r="C399" s="193"/>
      <c r="D399" s="161"/>
      <c r="E399" s="193"/>
      <c r="F399" s="161"/>
      <c r="G399" s="161"/>
      <c r="H399" s="161"/>
      <c r="I399" s="161"/>
      <c r="J399" s="157"/>
      <c r="K399" s="161"/>
      <c r="L399" s="161"/>
      <c r="M399" s="161"/>
      <c r="N399" s="161"/>
      <c r="O399" s="161"/>
      <c r="P399" s="161"/>
      <c r="Q399" s="161"/>
      <c r="R399" s="161"/>
      <c r="S399" s="161"/>
      <c r="T399" s="161"/>
      <c r="U399" s="161"/>
      <c r="V399" s="161"/>
    </row>
    <row r="400">
      <c r="A400" s="157"/>
      <c r="B400" s="161"/>
      <c r="C400" s="193"/>
      <c r="D400" s="161"/>
      <c r="E400" s="193"/>
      <c r="F400" s="161"/>
      <c r="G400" s="161"/>
      <c r="H400" s="161"/>
      <c r="I400" s="161"/>
      <c r="J400" s="157"/>
      <c r="K400" s="161"/>
      <c r="L400" s="161"/>
      <c r="M400" s="161"/>
      <c r="N400" s="161"/>
      <c r="O400" s="161"/>
      <c r="P400" s="161"/>
      <c r="Q400" s="161"/>
      <c r="R400" s="161"/>
      <c r="S400" s="161"/>
      <c r="T400" s="161"/>
      <c r="U400" s="161"/>
      <c r="V400" s="161"/>
    </row>
    <row r="401">
      <c r="A401" s="157"/>
      <c r="B401" s="161"/>
      <c r="C401" s="193"/>
      <c r="D401" s="161"/>
      <c r="E401" s="193"/>
      <c r="F401" s="161"/>
      <c r="G401" s="161"/>
      <c r="H401" s="161"/>
      <c r="I401" s="161"/>
      <c r="J401" s="157"/>
      <c r="K401" s="161"/>
      <c r="L401" s="161"/>
      <c r="M401" s="161"/>
      <c r="N401" s="161"/>
      <c r="O401" s="161"/>
      <c r="P401" s="161"/>
      <c r="Q401" s="161"/>
      <c r="R401" s="161"/>
      <c r="S401" s="161"/>
      <c r="T401" s="161"/>
      <c r="U401" s="161"/>
      <c r="V401" s="161"/>
    </row>
    <row r="402">
      <c r="A402" s="157"/>
      <c r="B402" s="161"/>
      <c r="C402" s="193"/>
      <c r="D402" s="161"/>
      <c r="E402" s="193"/>
      <c r="F402" s="161"/>
      <c r="G402" s="161"/>
      <c r="H402" s="161"/>
      <c r="I402" s="161"/>
      <c r="J402" s="157"/>
      <c r="K402" s="161"/>
      <c r="L402" s="161"/>
      <c r="M402" s="161"/>
      <c r="N402" s="161"/>
      <c r="O402" s="161"/>
      <c r="P402" s="161"/>
      <c r="Q402" s="161"/>
      <c r="R402" s="161"/>
      <c r="S402" s="161"/>
      <c r="T402" s="161"/>
      <c r="U402" s="161"/>
      <c r="V402" s="161"/>
    </row>
    <row r="403">
      <c r="A403" s="157"/>
      <c r="B403" s="161"/>
      <c r="C403" s="193"/>
      <c r="D403" s="161"/>
      <c r="E403" s="193"/>
      <c r="F403" s="161"/>
      <c r="G403" s="161"/>
      <c r="H403" s="161"/>
      <c r="I403" s="161"/>
      <c r="J403" s="157"/>
      <c r="K403" s="161"/>
      <c r="L403" s="161"/>
      <c r="M403" s="161"/>
      <c r="N403" s="161"/>
      <c r="O403" s="161"/>
      <c r="P403" s="161"/>
      <c r="Q403" s="161"/>
      <c r="R403" s="161"/>
      <c r="S403" s="161"/>
      <c r="T403" s="161"/>
      <c r="U403" s="161"/>
      <c r="V403" s="161"/>
    </row>
    <row r="404">
      <c r="A404" s="157"/>
      <c r="B404" s="161"/>
      <c r="C404" s="193"/>
      <c r="D404" s="161"/>
      <c r="E404" s="193"/>
      <c r="F404" s="161"/>
      <c r="G404" s="161"/>
      <c r="H404" s="161"/>
      <c r="I404" s="161"/>
      <c r="J404" s="157"/>
      <c r="K404" s="161"/>
      <c r="L404" s="161"/>
      <c r="M404" s="161"/>
      <c r="N404" s="161"/>
      <c r="O404" s="161"/>
      <c r="P404" s="161"/>
      <c r="Q404" s="161"/>
      <c r="R404" s="161"/>
      <c r="S404" s="161"/>
      <c r="T404" s="161"/>
      <c r="U404" s="161"/>
      <c r="V404" s="161"/>
    </row>
    <row r="405">
      <c r="A405" s="157"/>
      <c r="B405" s="161"/>
      <c r="C405" s="193"/>
      <c r="D405" s="161"/>
      <c r="E405" s="193"/>
      <c r="F405" s="161"/>
      <c r="G405" s="161"/>
      <c r="H405" s="161"/>
      <c r="I405" s="161"/>
      <c r="J405" s="157"/>
      <c r="K405" s="161"/>
      <c r="L405" s="161"/>
      <c r="M405" s="161"/>
      <c r="N405" s="161"/>
      <c r="O405" s="161"/>
      <c r="P405" s="161"/>
      <c r="Q405" s="161"/>
      <c r="R405" s="161"/>
      <c r="S405" s="161"/>
      <c r="T405" s="161"/>
      <c r="U405" s="161"/>
      <c r="V405" s="161"/>
    </row>
    <row r="406">
      <c r="A406" s="157"/>
      <c r="B406" s="161"/>
      <c r="C406" s="193"/>
      <c r="D406" s="161"/>
      <c r="E406" s="193"/>
      <c r="F406" s="161"/>
      <c r="G406" s="161"/>
      <c r="H406" s="161"/>
      <c r="I406" s="161"/>
      <c r="J406" s="157"/>
      <c r="K406" s="161"/>
      <c r="L406" s="161"/>
      <c r="M406" s="161"/>
      <c r="N406" s="161"/>
      <c r="O406" s="161"/>
      <c r="P406" s="161"/>
      <c r="Q406" s="161"/>
      <c r="R406" s="161"/>
      <c r="S406" s="161"/>
      <c r="T406" s="161"/>
      <c r="U406" s="161"/>
      <c r="V406" s="161"/>
    </row>
    <row r="407">
      <c r="A407" s="157"/>
      <c r="B407" s="161"/>
      <c r="C407" s="193"/>
      <c r="D407" s="161"/>
      <c r="E407" s="193"/>
      <c r="F407" s="161"/>
      <c r="G407" s="161"/>
      <c r="H407" s="161"/>
      <c r="I407" s="161"/>
      <c r="J407" s="157"/>
      <c r="K407" s="161"/>
      <c r="L407" s="161"/>
      <c r="M407" s="161"/>
      <c r="N407" s="161"/>
      <c r="O407" s="161"/>
      <c r="P407" s="161"/>
      <c r="Q407" s="161"/>
      <c r="R407" s="161"/>
      <c r="S407" s="161"/>
      <c r="T407" s="161"/>
      <c r="U407" s="161"/>
      <c r="V407" s="161"/>
    </row>
    <row r="408">
      <c r="A408" s="157"/>
      <c r="B408" s="161"/>
      <c r="C408" s="193"/>
      <c r="D408" s="161"/>
      <c r="E408" s="193"/>
      <c r="F408" s="161"/>
      <c r="G408" s="161"/>
      <c r="H408" s="161"/>
      <c r="I408" s="161"/>
      <c r="J408" s="157"/>
      <c r="K408" s="161"/>
      <c r="L408" s="161"/>
      <c r="M408" s="161"/>
      <c r="N408" s="161"/>
      <c r="O408" s="161"/>
      <c r="P408" s="161"/>
      <c r="Q408" s="161"/>
      <c r="R408" s="161"/>
      <c r="S408" s="161"/>
      <c r="T408" s="161"/>
      <c r="U408" s="161"/>
      <c r="V408" s="161"/>
    </row>
    <row r="409">
      <c r="A409" s="157"/>
      <c r="B409" s="161"/>
      <c r="C409" s="193"/>
      <c r="D409" s="161"/>
      <c r="E409" s="193"/>
      <c r="F409" s="161"/>
      <c r="G409" s="161"/>
      <c r="H409" s="161"/>
      <c r="I409" s="161"/>
      <c r="J409" s="157"/>
      <c r="K409" s="161"/>
      <c r="L409" s="161"/>
      <c r="M409" s="161"/>
      <c r="N409" s="161"/>
      <c r="O409" s="161"/>
      <c r="P409" s="161"/>
      <c r="Q409" s="161"/>
      <c r="R409" s="161"/>
      <c r="S409" s="161"/>
      <c r="T409" s="161"/>
      <c r="U409" s="161"/>
      <c r="V409" s="161"/>
    </row>
    <row r="410">
      <c r="A410" s="157"/>
      <c r="B410" s="161"/>
      <c r="C410" s="193"/>
      <c r="D410" s="161"/>
      <c r="E410" s="193"/>
      <c r="F410" s="161"/>
      <c r="G410" s="161"/>
      <c r="H410" s="161"/>
      <c r="I410" s="161"/>
      <c r="J410" s="157"/>
      <c r="K410" s="161"/>
      <c r="L410" s="161"/>
      <c r="M410" s="161"/>
      <c r="N410" s="161"/>
      <c r="O410" s="161"/>
      <c r="P410" s="161"/>
      <c r="Q410" s="161"/>
      <c r="R410" s="161"/>
      <c r="S410" s="161"/>
      <c r="T410" s="161"/>
      <c r="U410" s="161"/>
      <c r="V410" s="161"/>
    </row>
    <row r="411">
      <c r="A411" s="157"/>
      <c r="B411" s="161"/>
      <c r="C411" s="193"/>
      <c r="D411" s="161"/>
      <c r="E411" s="193"/>
      <c r="F411" s="161"/>
      <c r="G411" s="161"/>
      <c r="H411" s="161"/>
      <c r="I411" s="161"/>
      <c r="J411" s="157"/>
      <c r="K411" s="161"/>
      <c r="L411" s="161"/>
      <c r="M411" s="161"/>
      <c r="N411" s="161"/>
      <c r="O411" s="161"/>
      <c r="P411" s="161"/>
      <c r="Q411" s="161"/>
      <c r="R411" s="161"/>
      <c r="S411" s="161"/>
      <c r="T411" s="161"/>
      <c r="U411" s="161"/>
      <c r="V411" s="161"/>
    </row>
    <row r="412">
      <c r="A412" s="157"/>
      <c r="B412" s="161"/>
      <c r="C412" s="193"/>
      <c r="D412" s="161"/>
      <c r="E412" s="193"/>
      <c r="F412" s="161"/>
      <c r="G412" s="161"/>
      <c r="H412" s="161"/>
      <c r="I412" s="161"/>
      <c r="J412" s="157"/>
      <c r="K412" s="161"/>
      <c r="L412" s="161"/>
      <c r="M412" s="161"/>
      <c r="N412" s="161"/>
      <c r="O412" s="161"/>
      <c r="P412" s="161"/>
      <c r="Q412" s="161"/>
      <c r="R412" s="161"/>
      <c r="S412" s="161"/>
      <c r="T412" s="161"/>
      <c r="U412" s="161"/>
      <c r="V412" s="161"/>
    </row>
    <row r="413">
      <c r="A413" s="157"/>
      <c r="B413" s="161"/>
      <c r="C413" s="193"/>
      <c r="D413" s="161"/>
      <c r="E413" s="193"/>
      <c r="F413" s="161"/>
      <c r="G413" s="161"/>
      <c r="H413" s="161"/>
      <c r="I413" s="161"/>
      <c r="J413" s="157"/>
      <c r="K413" s="161"/>
      <c r="L413" s="161"/>
      <c r="M413" s="161"/>
      <c r="N413" s="161"/>
      <c r="O413" s="161"/>
      <c r="P413" s="161"/>
      <c r="Q413" s="161"/>
      <c r="R413" s="161"/>
      <c r="S413" s="161"/>
      <c r="T413" s="161"/>
      <c r="U413" s="161"/>
      <c r="V413" s="161"/>
    </row>
    <row r="414">
      <c r="A414" s="157"/>
      <c r="B414" s="161"/>
      <c r="C414" s="193"/>
      <c r="D414" s="161"/>
      <c r="E414" s="193"/>
      <c r="F414" s="161"/>
      <c r="G414" s="161"/>
      <c r="H414" s="161"/>
      <c r="I414" s="161"/>
      <c r="J414" s="157"/>
      <c r="K414" s="161"/>
      <c r="L414" s="161"/>
      <c r="M414" s="161"/>
      <c r="N414" s="161"/>
      <c r="O414" s="161"/>
      <c r="P414" s="161"/>
      <c r="Q414" s="161"/>
      <c r="R414" s="161"/>
      <c r="S414" s="161"/>
      <c r="T414" s="161"/>
      <c r="U414" s="161"/>
      <c r="V414" s="161"/>
    </row>
    <row r="415">
      <c r="A415" s="157"/>
      <c r="B415" s="161"/>
      <c r="C415" s="193"/>
      <c r="D415" s="161"/>
      <c r="E415" s="193"/>
      <c r="F415" s="161"/>
      <c r="G415" s="161"/>
      <c r="H415" s="161"/>
      <c r="I415" s="161"/>
      <c r="J415" s="157"/>
      <c r="K415" s="161"/>
      <c r="L415" s="161"/>
      <c r="M415" s="161"/>
      <c r="N415" s="161"/>
      <c r="O415" s="161"/>
      <c r="P415" s="161"/>
      <c r="Q415" s="161"/>
      <c r="R415" s="161"/>
      <c r="S415" s="161"/>
      <c r="T415" s="161"/>
      <c r="U415" s="161"/>
      <c r="V415" s="161"/>
    </row>
    <row r="416">
      <c r="A416" s="157"/>
      <c r="B416" s="161"/>
      <c r="C416" s="193"/>
      <c r="D416" s="161"/>
      <c r="E416" s="193"/>
      <c r="F416" s="161"/>
      <c r="G416" s="161"/>
      <c r="H416" s="161"/>
      <c r="I416" s="161"/>
      <c r="J416" s="157"/>
      <c r="K416" s="161"/>
      <c r="L416" s="161"/>
      <c r="M416" s="161"/>
      <c r="N416" s="161"/>
      <c r="O416" s="161"/>
      <c r="P416" s="161"/>
      <c r="Q416" s="161"/>
      <c r="R416" s="161"/>
      <c r="S416" s="161"/>
      <c r="T416" s="161"/>
      <c r="U416" s="161"/>
      <c r="V416" s="161"/>
    </row>
    <row r="417">
      <c r="A417" s="157"/>
      <c r="B417" s="161"/>
      <c r="C417" s="193"/>
      <c r="D417" s="161"/>
      <c r="E417" s="193"/>
      <c r="F417" s="161"/>
      <c r="G417" s="161"/>
      <c r="H417" s="161"/>
      <c r="I417" s="161"/>
      <c r="J417" s="157"/>
      <c r="K417" s="161"/>
      <c r="L417" s="161"/>
      <c r="M417" s="161"/>
      <c r="N417" s="161"/>
      <c r="O417" s="161"/>
      <c r="P417" s="161"/>
      <c r="Q417" s="161"/>
      <c r="R417" s="161"/>
      <c r="S417" s="161"/>
      <c r="T417" s="161"/>
      <c r="U417" s="161"/>
      <c r="V417" s="161"/>
    </row>
    <row r="418">
      <c r="A418" s="157"/>
      <c r="B418" s="161"/>
      <c r="C418" s="193"/>
      <c r="D418" s="161"/>
      <c r="E418" s="193"/>
      <c r="F418" s="161"/>
      <c r="G418" s="161"/>
      <c r="H418" s="161"/>
      <c r="I418" s="161"/>
      <c r="J418" s="157"/>
      <c r="K418" s="161"/>
      <c r="L418" s="161"/>
      <c r="M418" s="161"/>
      <c r="N418" s="161"/>
      <c r="O418" s="161"/>
      <c r="P418" s="161"/>
      <c r="Q418" s="161"/>
      <c r="R418" s="161"/>
      <c r="S418" s="161"/>
      <c r="T418" s="161"/>
      <c r="U418" s="161"/>
      <c r="V418" s="161"/>
    </row>
    <row r="419">
      <c r="A419" s="157"/>
      <c r="B419" s="161"/>
      <c r="C419" s="193"/>
      <c r="D419" s="161"/>
      <c r="E419" s="193"/>
      <c r="F419" s="161"/>
      <c r="G419" s="161"/>
      <c r="H419" s="161"/>
      <c r="I419" s="161"/>
      <c r="J419" s="157"/>
      <c r="K419" s="161"/>
      <c r="L419" s="161"/>
      <c r="M419" s="161"/>
      <c r="N419" s="161"/>
      <c r="O419" s="161"/>
      <c r="P419" s="161"/>
      <c r="Q419" s="161"/>
      <c r="R419" s="161"/>
      <c r="S419" s="161"/>
      <c r="T419" s="161"/>
      <c r="U419" s="161"/>
      <c r="V419" s="161"/>
    </row>
    <row r="420">
      <c r="A420" s="157"/>
      <c r="B420" s="161"/>
      <c r="C420" s="193"/>
      <c r="D420" s="161"/>
      <c r="E420" s="193"/>
      <c r="F420" s="161"/>
      <c r="G420" s="161"/>
      <c r="H420" s="161"/>
      <c r="I420" s="161"/>
      <c r="J420" s="157"/>
      <c r="K420" s="161"/>
      <c r="L420" s="161"/>
      <c r="M420" s="161"/>
      <c r="N420" s="161"/>
      <c r="O420" s="161"/>
      <c r="P420" s="161"/>
      <c r="Q420" s="161"/>
      <c r="R420" s="161"/>
      <c r="S420" s="161"/>
      <c r="T420" s="161"/>
      <c r="U420" s="161"/>
      <c r="V420" s="161"/>
    </row>
    <row r="421">
      <c r="A421" s="157"/>
      <c r="B421" s="161"/>
      <c r="C421" s="193"/>
      <c r="D421" s="161"/>
      <c r="E421" s="193"/>
      <c r="F421" s="161"/>
      <c r="G421" s="161"/>
      <c r="H421" s="161"/>
      <c r="I421" s="161"/>
      <c r="J421" s="157"/>
      <c r="K421" s="161"/>
      <c r="L421" s="161"/>
      <c r="M421" s="161"/>
      <c r="N421" s="161"/>
      <c r="O421" s="161"/>
      <c r="P421" s="161"/>
      <c r="Q421" s="161"/>
      <c r="R421" s="161"/>
      <c r="S421" s="161"/>
      <c r="T421" s="161"/>
      <c r="U421" s="161"/>
      <c r="V421" s="161"/>
    </row>
    <row r="422">
      <c r="A422" s="157"/>
      <c r="B422" s="161"/>
      <c r="C422" s="193"/>
      <c r="D422" s="161"/>
      <c r="E422" s="193"/>
      <c r="F422" s="161"/>
      <c r="G422" s="161"/>
      <c r="H422" s="161"/>
      <c r="I422" s="161"/>
      <c r="J422" s="157"/>
      <c r="K422" s="161"/>
      <c r="L422" s="161"/>
      <c r="M422" s="161"/>
      <c r="N422" s="161"/>
      <c r="O422" s="161"/>
      <c r="P422" s="161"/>
      <c r="Q422" s="161"/>
      <c r="R422" s="161"/>
      <c r="S422" s="161"/>
      <c r="T422" s="161"/>
      <c r="U422" s="161"/>
      <c r="V422" s="161"/>
    </row>
    <row r="423">
      <c r="A423" s="157"/>
      <c r="B423" s="161"/>
      <c r="C423" s="193"/>
      <c r="D423" s="161"/>
      <c r="E423" s="193"/>
      <c r="F423" s="161"/>
      <c r="G423" s="161"/>
      <c r="H423" s="161"/>
      <c r="I423" s="161"/>
      <c r="J423" s="157"/>
      <c r="K423" s="161"/>
      <c r="L423" s="161"/>
      <c r="M423" s="161"/>
      <c r="N423" s="161"/>
      <c r="O423" s="161"/>
      <c r="P423" s="161"/>
      <c r="Q423" s="161"/>
      <c r="R423" s="161"/>
      <c r="S423" s="161"/>
      <c r="T423" s="161"/>
      <c r="U423" s="161"/>
      <c r="V423" s="161"/>
    </row>
    <row r="424">
      <c r="A424" s="157"/>
      <c r="B424" s="161"/>
      <c r="C424" s="193"/>
      <c r="D424" s="161"/>
      <c r="E424" s="193"/>
      <c r="F424" s="161"/>
      <c r="G424" s="161"/>
      <c r="H424" s="161"/>
      <c r="I424" s="161"/>
      <c r="J424" s="157"/>
      <c r="K424" s="161"/>
      <c r="L424" s="161"/>
      <c r="M424" s="161"/>
      <c r="N424" s="161"/>
      <c r="O424" s="161"/>
      <c r="P424" s="161"/>
      <c r="Q424" s="161"/>
      <c r="R424" s="161"/>
      <c r="S424" s="161"/>
      <c r="T424" s="161"/>
      <c r="U424" s="161"/>
      <c r="V424" s="161"/>
    </row>
    <row r="425">
      <c r="A425" s="157"/>
      <c r="B425" s="161"/>
      <c r="C425" s="193"/>
      <c r="D425" s="161"/>
      <c r="E425" s="193"/>
      <c r="F425" s="161"/>
      <c r="G425" s="161"/>
      <c r="H425" s="161"/>
      <c r="I425" s="161"/>
      <c r="J425" s="157"/>
      <c r="K425" s="161"/>
      <c r="L425" s="161"/>
      <c r="M425" s="161"/>
      <c r="N425" s="161"/>
      <c r="O425" s="161"/>
      <c r="P425" s="161"/>
      <c r="Q425" s="161"/>
      <c r="R425" s="161"/>
      <c r="S425" s="161"/>
      <c r="T425" s="161"/>
      <c r="U425" s="161"/>
      <c r="V425" s="161"/>
    </row>
    <row r="426">
      <c r="A426" s="157"/>
      <c r="B426" s="161"/>
      <c r="C426" s="193"/>
      <c r="D426" s="161"/>
      <c r="E426" s="193"/>
      <c r="F426" s="161"/>
      <c r="G426" s="161"/>
      <c r="H426" s="161"/>
      <c r="I426" s="161"/>
      <c r="J426" s="157"/>
      <c r="K426" s="161"/>
      <c r="L426" s="161"/>
      <c r="M426" s="161"/>
      <c r="N426" s="161"/>
      <c r="O426" s="161"/>
      <c r="P426" s="161"/>
      <c r="Q426" s="161"/>
      <c r="R426" s="161"/>
      <c r="S426" s="161"/>
      <c r="T426" s="161"/>
      <c r="U426" s="161"/>
      <c r="V426" s="161"/>
    </row>
    <row r="427">
      <c r="A427" s="157"/>
      <c r="B427" s="161"/>
      <c r="C427" s="193"/>
      <c r="D427" s="161"/>
      <c r="E427" s="193"/>
      <c r="F427" s="161"/>
      <c r="G427" s="161"/>
      <c r="H427" s="161"/>
      <c r="I427" s="161"/>
      <c r="J427" s="157"/>
      <c r="K427" s="161"/>
      <c r="L427" s="161"/>
      <c r="M427" s="161"/>
      <c r="N427" s="161"/>
      <c r="O427" s="161"/>
      <c r="P427" s="161"/>
      <c r="Q427" s="161"/>
      <c r="R427" s="161"/>
      <c r="S427" s="161"/>
      <c r="T427" s="161"/>
      <c r="U427" s="161"/>
      <c r="V427" s="161"/>
    </row>
    <row r="428">
      <c r="A428" s="157"/>
      <c r="B428" s="161"/>
      <c r="C428" s="193"/>
      <c r="D428" s="161"/>
      <c r="E428" s="193"/>
      <c r="F428" s="161"/>
      <c r="G428" s="161"/>
      <c r="H428" s="161"/>
      <c r="I428" s="161"/>
      <c r="J428" s="157"/>
      <c r="K428" s="161"/>
      <c r="L428" s="161"/>
      <c r="M428" s="161"/>
      <c r="N428" s="161"/>
      <c r="O428" s="161"/>
      <c r="P428" s="161"/>
      <c r="Q428" s="161"/>
      <c r="R428" s="161"/>
      <c r="S428" s="161"/>
      <c r="T428" s="161"/>
      <c r="U428" s="161"/>
      <c r="V428" s="161"/>
    </row>
    <row r="429">
      <c r="A429" s="157"/>
      <c r="B429" s="161"/>
      <c r="C429" s="193"/>
      <c r="D429" s="161"/>
      <c r="E429" s="193"/>
      <c r="F429" s="161"/>
      <c r="G429" s="161"/>
      <c r="H429" s="161"/>
      <c r="I429" s="161"/>
      <c r="J429" s="157"/>
      <c r="K429" s="161"/>
      <c r="L429" s="161"/>
      <c r="M429" s="161"/>
      <c r="N429" s="161"/>
      <c r="O429" s="161"/>
      <c r="P429" s="161"/>
      <c r="Q429" s="161"/>
      <c r="R429" s="161"/>
      <c r="S429" s="161"/>
      <c r="T429" s="161"/>
      <c r="U429" s="161"/>
      <c r="V429" s="161"/>
    </row>
    <row r="430">
      <c r="A430" s="157"/>
      <c r="B430" s="161"/>
      <c r="C430" s="193"/>
      <c r="D430" s="161"/>
      <c r="E430" s="193"/>
      <c r="F430" s="161"/>
      <c r="G430" s="161"/>
      <c r="H430" s="161"/>
      <c r="I430" s="161"/>
      <c r="J430" s="157"/>
      <c r="K430" s="161"/>
      <c r="L430" s="161"/>
      <c r="M430" s="161"/>
      <c r="N430" s="161"/>
      <c r="O430" s="161"/>
      <c r="P430" s="161"/>
      <c r="Q430" s="161"/>
      <c r="R430" s="161"/>
      <c r="S430" s="161"/>
      <c r="T430" s="161"/>
      <c r="U430" s="161"/>
      <c r="V430" s="161"/>
    </row>
    <row r="431">
      <c r="A431" s="157"/>
      <c r="B431" s="161"/>
      <c r="C431" s="193"/>
      <c r="D431" s="161"/>
      <c r="E431" s="193"/>
      <c r="F431" s="161"/>
      <c r="G431" s="161"/>
      <c r="H431" s="161"/>
      <c r="I431" s="161"/>
      <c r="J431" s="157"/>
      <c r="K431" s="161"/>
      <c r="L431" s="161"/>
      <c r="M431" s="161"/>
      <c r="N431" s="161"/>
      <c r="O431" s="161"/>
      <c r="P431" s="161"/>
      <c r="Q431" s="161"/>
      <c r="R431" s="161"/>
      <c r="S431" s="161"/>
      <c r="T431" s="161"/>
      <c r="U431" s="161"/>
      <c r="V431" s="161"/>
    </row>
    <row r="432">
      <c r="A432" s="157"/>
      <c r="B432" s="161"/>
      <c r="C432" s="193"/>
      <c r="D432" s="161"/>
      <c r="E432" s="193"/>
      <c r="F432" s="161"/>
      <c r="G432" s="161"/>
      <c r="H432" s="161"/>
      <c r="I432" s="161"/>
      <c r="J432" s="157"/>
      <c r="K432" s="161"/>
      <c r="L432" s="161"/>
      <c r="M432" s="161"/>
      <c r="N432" s="161"/>
      <c r="O432" s="161"/>
      <c r="P432" s="161"/>
      <c r="Q432" s="161"/>
      <c r="R432" s="161"/>
      <c r="S432" s="161"/>
      <c r="T432" s="161"/>
      <c r="U432" s="161"/>
      <c r="V432" s="161"/>
    </row>
    <row r="433">
      <c r="A433" s="157"/>
      <c r="B433" s="161"/>
      <c r="C433" s="193"/>
      <c r="D433" s="161"/>
      <c r="E433" s="193"/>
      <c r="F433" s="161"/>
      <c r="G433" s="161"/>
      <c r="H433" s="161"/>
      <c r="I433" s="161"/>
      <c r="J433" s="157"/>
      <c r="K433" s="161"/>
      <c r="L433" s="161"/>
      <c r="M433" s="161"/>
      <c r="N433" s="161"/>
      <c r="O433" s="161"/>
      <c r="P433" s="161"/>
      <c r="Q433" s="161"/>
      <c r="R433" s="161"/>
      <c r="S433" s="161"/>
      <c r="T433" s="161"/>
      <c r="U433" s="161"/>
      <c r="V433" s="161"/>
    </row>
    <row r="434">
      <c r="A434" s="157"/>
      <c r="B434" s="161"/>
      <c r="C434" s="193"/>
      <c r="D434" s="161"/>
      <c r="E434" s="193"/>
      <c r="F434" s="161"/>
      <c r="G434" s="161"/>
      <c r="H434" s="161"/>
      <c r="I434" s="161"/>
      <c r="J434" s="157"/>
      <c r="K434" s="161"/>
      <c r="L434" s="161"/>
      <c r="M434" s="161"/>
      <c r="N434" s="161"/>
      <c r="O434" s="161"/>
      <c r="P434" s="161"/>
      <c r="Q434" s="161"/>
      <c r="R434" s="161"/>
      <c r="S434" s="161"/>
      <c r="T434" s="161"/>
      <c r="U434" s="161"/>
      <c r="V434" s="161"/>
    </row>
    <row r="435">
      <c r="A435" s="157"/>
      <c r="B435" s="161"/>
      <c r="C435" s="193"/>
      <c r="D435" s="161"/>
      <c r="E435" s="193"/>
      <c r="F435" s="161"/>
      <c r="G435" s="161"/>
      <c r="H435" s="161"/>
      <c r="I435" s="161"/>
      <c r="J435" s="157"/>
      <c r="K435" s="161"/>
      <c r="L435" s="161"/>
      <c r="M435" s="161"/>
      <c r="N435" s="161"/>
      <c r="O435" s="161"/>
      <c r="P435" s="161"/>
      <c r="Q435" s="161"/>
      <c r="R435" s="161"/>
      <c r="S435" s="161"/>
      <c r="T435" s="161"/>
      <c r="U435" s="161"/>
      <c r="V435" s="161"/>
    </row>
    <row r="436">
      <c r="A436" s="157"/>
      <c r="B436" s="161"/>
      <c r="C436" s="193"/>
      <c r="D436" s="161"/>
      <c r="E436" s="193"/>
      <c r="F436" s="161"/>
      <c r="G436" s="161"/>
      <c r="H436" s="161"/>
      <c r="I436" s="161"/>
      <c r="J436" s="157"/>
      <c r="K436" s="161"/>
      <c r="L436" s="161"/>
      <c r="M436" s="161"/>
      <c r="N436" s="161"/>
      <c r="O436" s="161"/>
      <c r="P436" s="161"/>
      <c r="Q436" s="161"/>
      <c r="R436" s="161"/>
      <c r="S436" s="161"/>
      <c r="T436" s="161"/>
      <c r="U436" s="161"/>
      <c r="V436" s="161"/>
    </row>
    <row r="437">
      <c r="A437" s="157"/>
      <c r="B437" s="161"/>
      <c r="C437" s="193"/>
      <c r="D437" s="161"/>
      <c r="E437" s="193"/>
      <c r="F437" s="161"/>
      <c r="G437" s="161"/>
      <c r="H437" s="161"/>
      <c r="I437" s="161"/>
      <c r="J437" s="157"/>
      <c r="K437" s="161"/>
      <c r="L437" s="161"/>
      <c r="M437" s="161"/>
      <c r="N437" s="161"/>
      <c r="O437" s="161"/>
      <c r="P437" s="161"/>
      <c r="Q437" s="161"/>
      <c r="R437" s="161"/>
      <c r="S437" s="161"/>
      <c r="T437" s="161"/>
      <c r="U437" s="161"/>
      <c r="V437" s="161"/>
    </row>
    <row r="438">
      <c r="A438" s="157"/>
      <c r="B438" s="161"/>
      <c r="C438" s="193"/>
      <c r="D438" s="161"/>
      <c r="E438" s="193"/>
      <c r="F438" s="161"/>
      <c r="G438" s="161"/>
      <c r="H438" s="161"/>
      <c r="I438" s="161"/>
      <c r="J438" s="157"/>
      <c r="K438" s="161"/>
      <c r="L438" s="161"/>
      <c r="M438" s="161"/>
      <c r="N438" s="161"/>
      <c r="O438" s="161"/>
      <c r="P438" s="161"/>
      <c r="Q438" s="161"/>
      <c r="R438" s="161"/>
      <c r="S438" s="161"/>
      <c r="T438" s="161"/>
      <c r="U438" s="161"/>
      <c r="V438" s="161"/>
    </row>
    <row r="439">
      <c r="A439" s="157"/>
      <c r="B439" s="161"/>
      <c r="C439" s="193"/>
      <c r="D439" s="161"/>
      <c r="E439" s="193"/>
      <c r="F439" s="161"/>
      <c r="G439" s="161"/>
      <c r="H439" s="161"/>
      <c r="I439" s="161"/>
      <c r="J439" s="157"/>
      <c r="K439" s="161"/>
      <c r="L439" s="161"/>
      <c r="M439" s="161"/>
      <c r="N439" s="161"/>
      <c r="O439" s="161"/>
      <c r="P439" s="161"/>
      <c r="Q439" s="161"/>
      <c r="R439" s="161"/>
      <c r="S439" s="161"/>
      <c r="T439" s="161"/>
      <c r="U439" s="161"/>
      <c r="V439" s="161"/>
    </row>
    <row r="440">
      <c r="A440" s="157"/>
      <c r="B440" s="161"/>
      <c r="C440" s="193"/>
      <c r="D440" s="161"/>
      <c r="E440" s="193"/>
      <c r="F440" s="161"/>
      <c r="G440" s="161"/>
      <c r="H440" s="161"/>
      <c r="I440" s="161"/>
      <c r="J440" s="157"/>
      <c r="K440" s="161"/>
      <c r="L440" s="161"/>
      <c r="M440" s="161"/>
      <c r="N440" s="161"/>
      <c r="O440" s="161"/>
      <c r="P440" s="161"/>
      <c r="Q440" s="161"/>
      <c r="R440" s="161"/>
      <c r="S440" s="161"/>
      <c r="T440" s="161"/>
      <c r="U440" s="161"/>
      <c r="V440" s="161"/>
    </row>
    <row r="441">
      <c r="A441" s="157"/>
      <c r="B441" s="161"/>
      <c r="C441" s="193"/>
      <c r="D441" s="161"/>
      <c r="E441" s="193"/>
      <c r="F441" s="161"/>
      <c r="G441" s="161"/>
      <c r="H441" s="161"/>
      <c r="I441" s="161"/>
      <c r="J441" s="157"/>
      <c r="K441" s="161"/>
      <c r="L441" s="161"/>
      <c r="M441" s="161"/>
      <c r="N441" s="161"/>
      <c r="O441" s="161"/>
      <c r="P441" s="161"/>
      <c r="Q441" s="161"/>
      <c r="R441" s="161"/>
      <c r="S441" s="161"/>
      <c r="T441" s="161"/>
      <c r="U441" s="161"/>
      <c r="V441" s="161"/>
    </row>
    <row r="442">
      <c r="A442" s="157"/>
      <c r="B442" s="161"/>
      <c r="C442" s="193"/>
      <c r="D442" s="161"/>
      <c r="E442" s="193"/>
      <c r="F442" s="161"/>
      <c r="G442" s="161"/>
      <c r="H442" s="161"/>
      <c r="I442" s="161"/>
      <c r="J442" s="157"/>
      <c r="K442" s="161"/>
      <c r="L442" s="161"/>
      <c r="M442" s="161"/>
      <c r="N442" s="161"/>
      <c r="O442" s="161"/>
      <c r="P442" s="161"/>
      <c r="Q442" s="161"/>
      <c r="R442" s="161"/>
      <c r="S442" s="161"/>
      <c r="T442" s="161"/>
      <c r="U442" s="161"/>
      <c r="V442" s="161"/>
    </row>
    <row r="443">
      <c r="A443" s="157"/>
      <c r="B443" s="161"/>
      <c r="C443" s="193"/>
      <c r="D443" s="161"/>
      <c r="E443" s="193"/>
      <c r="F443" s="161"/>
      <c r="G443" s="161"/>
      <c r="H443" s="161"/>
      <c r="I443" s="161"/>
      <c r="J443" s="157"/>
      <c r="K443" s="161"/>
      <c r="L443" s="161"/>
      <c r="M443" s="161"/>
      <c r="N443" s="161"/>
      <c r="O443" s="161"/>
      <c r="P443" s="161"/>
      <c r="Q443" s="161"/>
      <c r="R443" s="161"/>
      <c r="S443" s="161"/>
      <c r="T443" s="161"/>
      <c r="U443" s="161"/>
      <c r="V443" s="161"/>
    </row>
    <row r="444">
      <c r="A444" s="157"/>
      <c r="B444" s="161"/>
      <c r="C444" s="193"/>
      <c r="D444" s="161"/>
      <c r="E444" s="193"/>
      <c r="F444" s="161"/>
      <c r="G444" s="161"/>
      <c r="H444" s="161"/>
      <c r="I444" s="161"/>
      <c r="J444" s="157"/>
      <c r="K444" s="161"/>
      <c r="L444" s="161"/>
      <c r="M444" s="161"/>
      <c r="N444" s="161"/>
      <c r="O444" s="161"/>
      <c r="P444" s="161"/>
      <c r="Q444" s="161"/>
      <c r="R444" s="161"/>
      <c r="S444" s="161"/>
      <c r="T444" s="161"/>
      <c r="U444" s="161"/>
      <c r="V444" s="161"/>
    </row>
    <row r="445">
      <c r="A445" s="157"/>
      <c r="B445" s="161"/>
      <c r="C445" s="193"/>
      <c r="D445" s="161"/>
      <c r="E445" s="193"/>
      <c r="F445" s="161"/>
      <c r="G445" s="161"/>
      <c r="H445" s="161"/>
      <c r="I445" s="161"/>
      <c r="J445" s="157"/>
      <c r="K445" s="161"/>
      <c r="L445" s="161"/>
      <c r="M445" s="161"/>
      <c r="N445" s="161"/>
      <c r="O445" s="161"/>
      <c r="P445" s="161"/>
      <c r="Q445" s="161"/>
      <c r="R445" s="161"/>
      <c r="S445" s="161"/>
      <c r="T445" s="161"/>
      <c r="U445" s="161"/>
      <c r="V445" s="161"/>
    </row>
    <row r="446">
      <c r="A446" s="157"/>
      <c r="B446" s="161"/>
      <c r="C446" s="193"/>
      <c r="D446" s="161"/>
      <c r="E446" s="193"/>
      <c r="F446" s="161"/>
      <c r="G446" s="161"/>
      <c r="H446" s="161"/>
      <c r="I446" s="161"/>
      <c r="J446" s="157"/>
      <c r="K446" s="161"/>
      <c r="L446" s="161"/>
      <c r="M446" s="161"/>
      <c r="N446" s="161"/>
      <c r="O446" s="161"/>
      <c r="P446" s="161"/>
      <c r="Q446" s="161"/>
      <c r="R446" s="161"/>
      <c r="S446" s="161"/>
      <c r="T446" s="161"/>
      <c r="U446" s="161"/>
      <c r="V446" s="161"/>
    </row>
    <row r="447">
      <c r="A447" s="157"/>
      <c r="B447" s="161"/>
      <c r="C447" s="193"/>
      <c r="D447" s="161"/>
      <c r="E447" s="193"/>
      <c r="F447" s="161"/>
      <c r="G447" s="161"/>
      <c r="H447" s="161"/>
      <c r="I447" s="161"/>
      <c r="J447" s="157"/>
      <c r="K447" s="161"/>
      <c r="L447" s="161"/>
      <c r="M447" s="161"/>
      <c r="N447" s="161"/>
      <c r="O447" s="161"/>
      <c r="P447" s="161"/>
      <c r="Q447" s="161"/>
      <c r="R447" s="161"/>
      <c r="S447" s="161"/>
      <c r="T447" s="161"/>
      <c r="U447" s="161"/>
      <c r="V447" s="161"/>
    </row>
    <row r="448">
      <c r="A448" s="157"/>
      <c r="B448" s="161"/>
      <c r="C448" s="193"/>
      <c r="D448" s="161"/>
      <c r="E448" s="193"/>
      <c r="F448" s="161"/>
      <c r="G448" s="161"/>
      <c r="H448" s="161"/>
      <c r="I448" s="161"/>
      <c r="J448" s="157"/>
      <c r="K448" s="161"/>
      <c r="L448" s="161"/>
      <c r="M448" s="161"/>
      <c r="N448" s="161"/>
      <c r="O448" s="161"/>
      <c r="P448" s="161"/>
      <c r="Q448" s="161"/>
      <c r="R448" s="161"/>
      <c r="S448" s="161"/>
      <c r="T448" s="161"/>
      <c r="U448" s="161"/>
      <c r="V448" s="161"/>
    </row>
    <row r="449">
      <c r="A449" s="157"/>
      <c r="B449" s="161"/>
      <c r="C449" s="193"/>
      <c r="D449" s="161"/>
      <c r="E449" s="193"/>
      <c r="F449" s="161"/>
      <c r="G449" s="161"/>
      <c r="H449" s="161"/>
      <c r="I449" s="161"/>
      <c r="J449" s="157"/>
      <c r="K449" s="161"/>
      <c r="L449" s="161"/>
      <c r="M449" s="161"/>
      <c r="N449" s="161"/>
      <c r="O449" s="161"/>
      <c r="P449" s="161"/>
      <c r="Q449" s="161"/>
      <c r="R449" s="161"/>
      <c r="S449" s="161"/>
      <c r="T449" s="161"/>
      <c r="U449" s="161"/>
      <c r="V449" s="161"/>
    </row>
    <row r="450">
      <c r="A450" s="157"/>
      <c r="B450" s="161"/>
      <c r="C450" s="193"/>
      <c r="D450" s="161"/>
      <c r="E450" s="193"/>
      <c r="F450" s="161"/>
      <c r="G450" s="161"/>
      <c r="H450" s="161"/>
      <c r="I450" s="161"/>
      <c r="J450" s="157"/>
      <c r="K450" s="161"/>
      <c r="L450" s="161"/>
      <c r="M450" s="161"/>
      <c r="N450" s="161"/>
      <c r="O450" s="161"/>
      <c r="P450" s="161"/>
      <c r="Q450" s="161"/>
      <c r="R450" s="161"/>
      <c r="S450" s="161"/>
      <c r="T450" s="161"/>
      <c r="U450" s="161"/>
      <c r="V450" s="161"/>
    </row>
    <row r="451">
      <c r="A451" s="157"/>
      <c r="B451" s="161"/>
      <c r="C451" s="193"/>
      <c r="D451" s="161"/>
      <c r="E451" s="193"/>
      <c r="F451" s="161"/>
      <c r="G451" s="161"/>
      <c r="H451" s="161"/>
      <c r="I451" s="161"/>
      <c r="J451" s="157"/>
      <c r="K451" s="161"/>
      <c r="L451" s="161"/>
      <c r="M451" s="161"/>
      <c r="N451" s="161"/>
      <c r="O451" s="161"/>
      <c r="P451" s="161"/>
      <c r="Q451" s="161"/>
      <c r="R451" s="161"/>
      <c r="S451" s="161"/>
      <c r="T451" s="161"/>
      <c r="U451" s="161"/>
      <c r="V451" s="161"/>
    </row>
    <row r="452">
      <c r="A452" s="157"/>
      <c r="B452" s="161"/>
      <c r="C452" s="193"/>
      <c r="D452" s="161"/>
      <c r="E452" s="193"/>
      <c r="F452" s="161"/>
      <c r="G452" s="161"/>
      <c r="H452" s="161"/>
      <c r="I452" s="161"/>
      <c r="J452" s="157"/>
      <c r="K452" s="161"/>
      <c r="L452" s="161"/>
      <c r="M452" s="161"/>
      <c r="N452" s="161"/>
      <c r="O452" s="161"/>
      <c r="P452" s="161"/>
      <c r="Q452" s="161"/>
      <c r="R452" s="161"/>
      <c r="S452" s="161"/>
      <c r="T452" s="161"/>
      <c r="U452" s="161"/>
      <c r="V452" s="161"/>
    </row>
    <row r="453">
      <c r="A453" s="157"/>
      <c r="B453" s="161"/>
      <c r="C453" s="193"/>
      <c r="D453" s="161"/>
      <c r="E453" s="193"/>
      <c r="F453" s="161"/>
      <c r="G453" s="161"/>
      <c r="H453" s="161"/>
      <c r="I453" s="161"/>
      <c r="J453" s="157"/>
      <c r="K453" s="161"/>
      <c r="L453" s="161"/>
      <c r="M453" s="161"/>
      <c r="N453" s="161"/>
      <c r="O453" s="161"/>
      <c r="P453" s="161"/>
      <c r="Q453" s="161"/>
      <c r="R453" s="161"/>
      <c r="S453" s="161"/>
      <c r="T453" s="161"/>
      <c r="U453" s="161"/>
      <c r="V453" s="161"/>
    </row>
    <row r="454">
      <c r="A454" s="157"/>
      <c r="B454" s="161"/>
      <c r="C454" s="193"/>
      <c r="D454" s="161"/>
      <c r="E454" s="193"/>
      <c r="F454" s="161"/>
      <c r="G454" s="161"/>
      <c r="H454" s="161"/>
      <c r="I454" s="161"/>
      <c r="J454" s="157"/>
      <c r="K454" s="161"/>
      <c r="L454" s="161"/>
      <c r="M454" s="161"/>
      <c r="N454" s="161"/>
      <c r="O454" s="161"/>
      <c r="P454" s="161"/>
      <c r="Q454" s="161"/>
      <c r="R454" s="161"/>
      <c r="S454" s="161"/>
      <c r="T454" s="161"/>
      <c r="U454" s="161"/>
      <c r="V454" s="161"/>
    </row>
    <row r="455">
      <c r="A455" s="157"/>
      <c r="B455" s="161"/>
      <c r="C455" s="193"/>
      <c r="D455" s="161"/>
      <c r="E455" s="193"/>
      <c r="F455" s="161"/>
      <c r="G455" s="161"/>
      <c r="H455" s="161"/>
      <c r="I455" s="161"/>
      <c r="J455" s="157"/>
      <c r="K455" s="161"/>
      <c r="L455" s="161"/>
      <c r="M455" s="161"/>
      <c r="N455" s="161"/>
      <c r="O455" s="161"/>
      <c r="P455" s="161"/>
      <c r="Q455" s="161"/>
      <c r="R455" s="161"/>
      <c r="S455" s="161"/>
      <c r="T455" s="161"/>
      <c r="U455" s="161"/>
      <c r="V455" s="161"/>
    </row>
    <row r="456">
      <c r="A456" s="157"/>
      <c r="B456" s="161"/>
      <c r="C456" s="193"/>
      <c r="D456" s="161"/>
      <c r="E456" s="193"/>
      <c r="F456" s="161"/>
      <c r="G456" s="161"/>
      <c r="H456" s="161"/>
      <c r="I456" s="161"/>
      <c r="J456" s="157"/>
      <c r="K456" s="161"/>
      <c r="L456" s="161"/>
      <c r="M456" s="161"/>
      <c r="N456" s="161"/>
      <c r="O456" s="161"/>
      <c r="P456" s="161"/>
      <c r="Q456" s="161"/>
      <c r="R456" s="161"/>
      <c r="S456" s="161"/>
      <c r="T456" s="161"/>
      <c r="U456" s="161"/>
      <c r="V456" s="161"/>
    </row>
    <row r="457">
      <c r="A457" s="157"/>
      <c r="B457" s="161"/>
      <c r="C457" s="193"/>
      <c r="D457" s="161"/>
      <c r="E457" s="193"/>
      <c r="F457" s="161"/>
      <c r="G457" s="161"/>
      <c r="H457" s="161"/>
      <c r="I457" s="161"/>
      <c r="J457" s="157"/>
      <c r="K457" s="161"/>
      <c r="L457" s="161"/>
      <c r="M457" s="161"/>
      <c r="N457" s="161"/>
      <c r="O457" s="161"/>
      <c r="P457" s="161"/>
      <c r="Q457" s="161"/>
      <c r="R457" s="161"/>
      <c r="S457" s="161"/>
      <c r="T457" s="161"/>
      <c r="U457" s="161"/>
      <c r="V457" s="161"/>
    </row>
    <row r="458">
      <c r="A458" s="157"/>
      <c r="B458" s="161"/>
      <c r="C458" s="193"/>
      <c r="D458" s="161"/>
      <c r="E458" s="193"/>
      <c r="F458" s="161"/>
      <c r="G458" s="161"/>
      <c r="H458" s="161"/>
      <c r="I458" s="161"/>
      <c r="J458" s="157"/>
      <c r="K458" s="161"/>
      <c r="L458" s="161"/>
      <c r="M458" s="161"/>
      <c r="N458" s="161"/>
      <c r="O458" s="161"/>
      <c r="P458" s="161"/>
      <c r="Q458" s="161"/>
      <c r="R458" s="161"/>
      <c r="S458" s="161"/>
      <c r="T458" s="161"/>
      <c r="U458" s="161"/>
      <c r="V458" s="161"/>
    </row>
    <row r="459">
      <c r="A459" s="157"/>
      <c r="B459" s="161"/>
      <c r="C459" s="193"/>
      <c r="D459" s="161"/>
      <c r="E459" s="193"/>
      <c r="F459" s="161"/>
      <c r="G459" s="161"/>
      <c r="H459" s="161"/>
      <c r="I459" s="161"/>
      <c r="J459" s="157"/>
      <c r="K459" s="161"/>
      <c r="L459" s="161"/>
      <c r="M459" s="161"/>
      <c r="N459" s="161"/>
      <c r="O459" s="161"/>
      <c r="P459" s="161"/>
      <c r="Q459" s="161"/>
      <c r="R459" s="161"/>
      <c r="S459" s="161"/>
      <c r="T459" s="161"/>
      <c r="U459" s="161"/>
      <c r="V459" s="161"/>
    </row>
    <row r="460">
      <c r="A460" s="157"/>
      <c r="B460" s="161"/>
      <c r="C460" s="193"/>
      <c r="D460" s="161"/>
      <c r="E460" s="193"/>
      <c r="F460" s="161"/>
      <c r="G460" s="161"/>
      <c r="H460" s="161"/>
      <c r="I460" s="161"/>
      <c r="J460" s="157"/>
      <c r="K460" s="161"/>
      <c r="L460" s="161"/>
      <c r="M460" s="161"/>
      <c r="N460" s="161"/>
      <c r="O460" s="161"/>
      <c r="P460" s="161"/>
      <c r="Q460" s="161"/>
      <c r="R460" s="161"/>
      <c r="S460" s="161"/>
      <c r="T460" s="161"/>
      <c r="U460" s="161"/>
      <c r="V460" s="161"/>
    </row>
    <row r="461">
      <c r="A461" s="157"/>
      <c r="B461" s="161"/>
      <c r="C461" s="193"/>
      <c r="D461" s="161"/>
      <c r="E461" s="193"/>
      <c r="F461" s="161"/>
      <c r="G461" s="161"/>
      <c r="H461" s="161"/>
      <c r="I461" s="161"/>
      <c r="J461" s="157"/>
      <c r="K461" s="161"/>
      <c r="L461" s="161"/>
      <c r="M461" s="161"/>
      <c r="N461" s="161"/>
      <c r="O461" s="161"/>
      <c r="P461" s="161"/>
      <c r="Q461" s="161"/>
      <c r="R461" s="161"/>
      <c r="S461" s="161"/>
      <c r="T461" s="161"/>
      <c r="U461" s="161"/>
      <c r="V461" s="161"/>
    </row>
    <row r="462">
      <c r="A462" s="157"/>
      <c r="B462" s="161"/>
      <c r="C462" s="193"/>
      <c r="D462" s="161"/>
      <c r="E462" s="193"/>
      <c r="F462" s="161"/>
      <c r="G462" s="161"/>
      <c r="H462" s="161"/>
      <c r="I462" s="161"/>
      <c r="J462" s="157"/>
      <c r="K462" s="161"/>
      <c r="L462" s="161"/>
      <c r="M462" s="161"/>
      <c r="N462" s="161"/>
      <c r="O462" s="161"/>
      <c r="P462" s="161"/>
      <c r="Q462" s="161"/>
      <c r="R462" s="161"/>
      <c r="S462" s="161"/>
      <c r="T462" s="161"/>
      <c r="U462" s="161"/>
      <c r="V462" s="161"/>
    </row>
    <row r="463">
      <c r="A463" s="157"/>
      <c r="B463" s="161"/>
      <c r="C463" s="193"/>
      <c r="D463" s="161"/>
      <c r="E463" s="193"/>
      <c r="F463" s="161"/>
      <c r="G463" s="161"/>
      <c r="H463" s="161"/>
      <c r="I463" s="161"/>
      <c r="J463" s="157"/>
      <c r="K463" s="161"/>
      <c r="L463" s="161"/>
      <c r="M463" s="161"/>
      <c r="N463" s="161"/>
      <c r="O463" s="161"/>
      <c r="P463" s="161"/>
      <c r="Q463" s="161"/>
      <c r="R463" s="161"/>
      <c r="S463" s="161"/>
      <c r="T463" s="161"/>
      <c r="U463" s="161"/>
      <c r="V463" s="161"/>
    </row>
    <row r="464">
      <c r="A464" s="157"/>
      <c r="B464" s="161"/>
      <c r="C464" s="193"/>
      <c r="D464" s="161"/>
      <c r="E464" s="193"/>
      <c r="F464" s="161"/>
      <c r="G464" s="161"/>
      <c r="H464" s="161"/>
      <c r="I464" s="161"/>
      <c r="J464" s="157"/>
      <c r="K464" s="161"/>
      <c r="L464" s="161"/>
      <c r="M464" s="161"/>
      <c r="N464" s="161"/>
      <c r="O464" s="161"/>
      <c r="P464" s="161"/>
      <c r="Q464" s="161"/>
      <c r="R464" s="161"/>
      <c r="S464" s="161"/>
      <c r="T464" s="161"/>
      <c r="U464" s="161"/>
      <c r="V464" s="161"/>
    </row>
    <row r="465">
      <c r="A465" s="157"/>
      <c r="B465" s="161"/>
      <c r="C465" s="193"/>
      <c r="D465" s="161"/>
      <c r="E465" s="193"/>
      <c r="F465" s="161"/>
      <c r="G465" s="161"/>
      <c r="H465" s="161"/>
      <c r="I465" s="161"/>
      <c r="J465" s="157"/>
      <c r="K465" s="161"/>
      <c r="L465" s="161"/>
      <c r="M465" s="161"/>
      <c r="N465" s="161"/>
      <c r="O465" s="161"/>
      <c r="P465" s="161"/>
      <c r="Q465" s="161"/>
      <c r="R465" s="161"/>
      <c r="S465" s="161"/>
      <c r="T465" s="161"/>
      <c r="U465" s="161"/>
      <c r="V465" s="161"/>
    </row>
    <row r="466">
      <c r="A466" s="157"/>
      <c r="B466" s="161"/>
      <c r="C466" s="193"/>
      <c r="D466" s="161"/>
      <c r="E466" s="193"/>
      <c r="F466" s="161"/>
      <c r="G466" s="161"/>
      <c r="H466" s="161"/>
      <c r="I466" s="161"/>
      <c r="J466" s="157"/>
      <c r="K466" s="161"/>
      <c r="L466" s="161"/>
      <c r="M466" s="161"/>
      <c r="N466" s="161"/>
      <c r="O466" s="161"/>
      <c r="P466" s="161"/>
      <c r="Q466" s="161"/>
      <c r="R466" s="161"/>
      <c r="S466" s="161"/>
      <c r="T466" s="161"/>
      <c r="U466" s="161"/>
      <c r="V466" s="161"/>
    </row>
    <row r="467">
      <c r="A467" s="157"/>
      <c r="B467" s="161"/>
      <c r="C467" s="193"/>
      <c r="D467" s="161"/>
      <c r="E467" s="193"/>
      <c r="F467" s="161"/>
      <c r="G467" s="161"/>
      <c r="H467" s="161"/>
      <c r="I467" s="161"/>
      <c r="J467" s="157"/>
      <c r="K467" s="161"/>
      <c r="L467" s="161"/>
      <c r="M467" s="161"/>
      <c r="N467" s="161"/>
      <c r="O467" s="161"/>
      <c r="P467" s="161"/>
      <c r="Q467" s="161"/>
      <c r="R467" s="161"/>
      <c r="S467" s="161"/>
      <c r="T467" s="161"/>
      <c r="U467" s="161"/>
      <c r="V467" s="161"/>
    </row>
    <row r="468">
      <c r="A468" s="157"/>
      <c r="B468" s="161"/>
      <c r="C468" s="193"/>
      <c r="D468" s="161"/>
      <c r="E468" s="193"/>
      <c r="F468" s="161"/>
      <c r="G468" s="161"/>
      <c r="H468" s="161"/>
      <c r="I468" s="161"/>
      <c r="J468" s="157"/>
      <c r="K468" s="161"/>
      <c r="L468" s="161"/>
      <c r="M468" s="161"/>
      <c r="N468" s="161"/>
      <c r="O468" s="161"/>
      <c r="P468" s="161"/>
      <c r="Q468" s="161"/>
      <c r="R468" s="161"/>
      <c r="S468" s="161"/>
      <c r="T468" s="161"/>
      <c r="U468" s="161"/>
      <c r="V468" s="161"/>
    </row>
    <row r="469">
      <c r="A469" s="157"/>
      <c r="B469" s="161"/>
      <c r="C469" s="193"/>
      <c r="D469" s="161"/>
      <c r="E469" s="193"/>
      <c r="F469" s="161"/>
      <c r="G469" s="161"/>
      <c r="H469" s="161"/>
      <c r="I469" s="161"/>
      <c r="J469" s="157"/>
      <c r="K469" s="161"/>
      <c r="L469" s="161"/>
      <c r="M469" s="161"/>
      <c r="N469" s="161"/>
      <c r="O469" s="161"/>
      <c r="P469" s="161"/>
      <c r="Q469" s="161"/>
      <c r="R469" s="161"/>
      <c r="S469" s="161"/>
      <c r="T469" s="161"/>
      <c r="U469" s="161"/>
      <c r="V469" s="161"/>
    </row>
    <row r="470">
      <c r="A470" s="157"/>
      <c r="B470" s="161"/>
      <c r="C470" s="193"/>
      <c r="D470" s="161"/>
      <c r="E470" s="193"/>
      <c r="F470" s="161"/>
      <c r="G470" s="161"/>
      <c r="H470" s="161"/>
      <c r="I470" s="161"/>
      <c r="J470" s="157"/>
      <c r="K470" s="161"/>
      <c r="L470" s="161"/>
      <c r="M470" s="161"/>
      <c r="N470" s="161"/>
      <c r="O470" s="161"/>
      <c r="P470" s="161"/>
      <c r="Q470" s="161"/>
      <c r="R470" s="161"/>
      <c r="S470" s="161"/>
      <c r="T470" s="161"/>
      <c r="U470" s="161"/>
      <c r="V470" s="161"/>
    </row>
    <row r="471">
      <c r="A471" s="157"/>
      <c r="B471" s="161"/>
      <c r="C471" s="193"/>
      <c r="D471" s="161"/>
      <c r="E471" s="193"/>
      <c r="F471" s="161"/>
      <c r="G471" s="161"/>
      <c r="H471" s="161"/>
      <c r="I471" s="161"/>
      <c r="J471" s="157"/>
      <c r="K471" s="161"/>
      <c r="L471" s="161"/>
      <c r="M471" s="161"/>
      <c r="N471" s="161"/>
      <c r="O471" s="161"/>
      <c r="P471" s="161"/>
      <c r="Q471" s="161"/>
      <c r="R471" s="161"/>
      <c r="S471" s="161"/>
      <c r="T471" s="161"/>
      <c r="U471" s="161"/>
      <c r="V471" s="161"/>
    </row>
    <row r="472">
      <c r="A472" s="157"/>
      <c r="B472" s="161"/>
      <c r="C472" s="193"/>
      <c r="D472" s="161"/>
      <c r="E472" s="193"/>
      <c r="F472" s="161"/>
      <c r="G472" s="161"/>
      <c r="H472" s="161"/>
      <c r="I472" s="161"/>
      <c r="J472" s="157"/>
      <c r="K472" s="161"/>
      <c r="L472" s="161"/>
      <c r="M472" s="161"/>
      <c r="N472" s="161"/>
      <c r="O472" s="161"/>
      <c r="P472" s="161"/>
      <c r="Q472" s="161"/>
      <c r="R472" s="161"/>
      <c r="S472" s="161"/>
      <c r="T472" s="161"/>
      <c r="U472" s="161"/>
      <c r="V472" s="161"/>
    </row>
    <row r="473">
      <c r="A473" s="157"/>
      <c r="B473" s="161"/>
      <c r="C473" s="193"/>
      <c r="D473" s="161"/>
      <c r="E473" s="193"/>
      <c r="F473" s="161"/>
      <c r="G473" s="161"/>
      <c r="H473" s="161"/>
      <c r="I473" s="161"/>
      <c r="J473" s="157"/>
      <c r="K473" s="161"/>
      <c r="L473" s="161"/>
      <c r="M473" s="161"/>
      <c r="N473" s="161"/>
      <c r="O473" s="161"/>
      <c r="P473" s="161"/>
      <c r="Q473" s="161"/>
      <c r="R473" s="161"/>
      <c r="S473" s="161"/>
      <c r="T473" s="161"/>
      <c r="U473" s="161"/>
      <c r="V473" s="161"/>
    </row>
    <row r="474">
      <c r="A474" s="157"/>
      <c r="B474" s="161"/>
      <c r="C474" s="193"/>
      <c r="D474" s="161"/>
      <c r="E474" s="193"/>
      <c r="F474" s="161"/>
      <c r="G474" s="161"/>
      <c r="H474" s="161"/>
      <c r="I474" s="161"/>
      <c r="J474" s="157"/>
      <c r="K474" s="161"/>
      <c r="L474" s="161"/>
      <c r="M474" s="161"/>
      <c r="N474" s="161"/>
      <c r="O474" s="161"/>
      <c r="P474" s="161"/>
      <c r="Q474" s="161"/>
      <c r="R474" s="161"/>
      <c r="S474" s="161"/>
      <c r="T474" s="161"/>
      <c r="U474" s="161"/>
      <c r="V474" s="161"/>
    </row>
    <row r="475">
      <c r="A475" s="157"/>
      <c r="B475" s="161"/>
      <c r="C475" s="193"/>
      <c r="D475" s="161"/>
      <c r="E475" s="193"/>
      <c r="F475" s="161"/>
      <c r="G475" s="161"/>
      <c r="H475" s="161"/>
      <c r="I475" s="161"/>
      <c r="J475" s="157"/>
      <c r="K475" s="161"/>
      <c r="L475" s="161"/>
      <c r="M475" s="161"/>
      <c r="N475" s="161"/>
      <c r="O475" s="161"/>
      <c r="P475" s="161"/>
      <c r="Q475" s="161"/>
      <c r="R475" s="161"/>
      <c r="S475" s="161"/>
      <c r="T475" s="161"/>
      <c r="U475" s="161"/>
      <c r="V475" s="161"/>
    </row>
    <row r="476">
      <c r="A476" s="157"/>
      <c r="B476" s="161"/>
      <c r="C476" s="193"/>
      <c r="D476" s="161"/>
      <c r="E476" s="193"/>
      <c r="F476" s="161"/>
      <c r="G476" s="161"/>
      <c r="H476" s="161"/>
      <c r="I476" s="161"/>
      <c r="J476" s="157"/>
      <c r="K476" s="161"/>
      <c r="L476" s="161"/>
      <c r="M476" s="161"/>
      <c r="N476" s="161"/>
      <c r="O476" s="161"/>
      <c r="P476" s="161"/>
      <c r="Q476" s="161"/>
      <c r="R476" s="161"/>
      <c r="S476" s="161"/>
      <c r="T476" s="161"/>
      <c r="U476" s="161"/>
      <c r="V476" s="161"/>
    </row>
    <row r="477">
      <c r="A477" s="157"/>
      <c r="B477" s="161"/>
      <c r="C477" s="193"/>
      <c r="D477" s="161"/>
      <c r="E477" s="193"/>
      <c r="F477" s="161"/>
      <c r="G477" s="161"/>
      <c r="H477" s="161"/>
      <c r="I477" s="161"/>
      <c r="J477" s="157"/>
      <c r="K477" s="161"/>
      <c r="L477" s="161"/>
      <c r="M477" s="161"/>
      <c r="N477" s="161"/>
      <c r="O477" s="161"/>
      <c r="P477" s="161"/>
      <c r="Q477" s="161"/>
      <c r="R477" s="161"/>
      <c r="S477" s="161"/>
      <c r="T477" s="161"/>
      <c r="U477" s="161"/>
      <c r="V477" s="161"/>
    </row>
    <row r="478">
      <c r="A478" s="157"/>
      <c r="B478" s="161"/>
      <c r="C478" s="193"/>
      <c r="D478" s="161"/>
      <c r="E478" s="193"/>
      <c r="F478" s="161"/>
      <c r="G478" s="161"/>
      <c r="H478" s="161"/>
      <c r="I478" s="161"/>
      <c r="J478" s="157"/>
      <c r="K478" s="161"/>
      <c r="L478" s="161"/>
      <c r="M478" s="161"/>
      <c r="N478" s="161"/>
      <c r="O478" s="161"/>
      <c r="P478" s="161"/>
      <c r="Q478" s="161"/>
      <c r="R478" s="161"/>
      <c r="S478" s="161"/>
      <c r="T478" s="161"/>
      <c r="U478" s="161"/>
      <c r="V478" s="161"/>
    </row>
    <row r="479">
      <c r="A479" s="157"/>
      <c r="B479" s="161"/>
      <c r="C479" s="193"/>
      <c r="D479" s="161"/>
      <c r="E479" s="193"/>
      <c r="F479" s="161"/>
      <c r="G479" s="161"/>
      <c r="H479" s="161"/>
      <c r="I479" s="161"/>
      <c r="J479" s="157"/>
      <c r="K479" s="161"/>
      <c r="L479" s="161"/>
      <c r="M479" s="161"/>
      <c r="N479" s="161"/>
      <c r="O479" s="161"/>
      <c r="P479" s="161"/>
      <c r="Q479" s="161"/>
      <c r="R479" s="161"/>
      <c r="S479" s="161"/>
      <c r="T479" s="161"/>
      <c r="U479" s="161"/>
      <c r="V479" s="161"/>
    </row>
    <row r="480">
      <c r="A480" s="157"/>
      <c r="B480" s="161"/>
      <c r="C480" s="193"/>
      <c r="D480" s="161"/>
      <c r="E480" s="193"/>
      <c r="F480" s="161"/>
      <c r="G480" s="161"/>
      <c r="H480" s="161"/>
      <c r="I480" s="161"/>
      <c r="J480" s="157"/>
      <c r="K480" s="161"/>
      <c r="L480" s="161"/>
      <c r="M480" s="161"/>
      <c r="N480" s="161"/>
      <c r="O480" s="161"/>
      <c r="P480" s="161"/>
      <c r="Q480" s="161"/>
      <c r="R480" s="161"/>
      <c r="S480" s="161"/>
      <c r="T480" s="161"/>
      <c r="U480" s="161"/>
      <c r="V480" s="161"/>
    </row>
    <row r="481">
      <c r="A481" s="157"/>
      <c r="B481" s="161"/>
      <c r="C481" s="193"/>
      <c r="D481" s="161"/>
      <c r="E481" s="193"/>
      <c r="F481" s="161"/>
      <c r="G481" s="161"/>
      <c r="H481" s="161"/>
      <c r="I481" s="161"/>
      <c r="J481" s="157"/>
      <c r="K481" s="161"/>
      <c r="L481" s="161"/>
      <c r="M481" s="161"/>
      <c r="N481" s="161"/>
      <c r="O481" s="161"/>
      <c r="P481" s="161"/>
      <c r="Q481" s="161"/>
      <c r="R481" s="161"/>
      <c r="S481" s="161"/>
      <c r="T481" s="161"/>
      <c r="U481" s="161"/>
      <c r="V481" s="161"/>
    </row>
    <row r="482">
      <c r="A482" s="157"/>
      <c r="B482" s="161"/>
      <c r="C482" s="193"/>
      <c r="D482" s="161"/>
      <c r="E482" s="193"/>
      <c r="F482" s="161"/>
      <c r="G482" s="161"/>
      <c r="H482" s="161"/>
      <c r="I482" s="161"/>
      <c r="J482" s="157"/>
      <c r="K482" s="161"/>
      <c r="L482" s="161"/>
      <c r="M482" s="161"/>
      <c r="N482" s="161"/>
      <c r="O482" s="161"/>
      <c r="P482" s="161"/>
      <c r="Q482" s="161"/>
      <c r="R482" s="161"/>
      <c r="S482" s="161"/>
      <c r="T482" s="161"/>
      <c r="U482" s="161"/>
      <c r="V482" s="161"/>
    </row>
    <row r="483">
      <c r="A483" s="157"/>
      <c r="B483" s="161"/>
      <c r="C483" s="193"/>
      <c r="D483" s="161"/>
      <c r="E483" s="193"/>
      <c r="F483" s="161"/>
      <c r="G483" s="161"/>
      <c r="H483" s="161"/>
      <c r="I483" s="161"/>
      <c r="J483" s="157"/>
      <c r="K483" s="161"/>
      <c r="L483" s="161"/>
      <c r="M483" s="161"/>
      <c r="N483" s="161"/>
      <c r="O483" s="161"/>
      <c r="P483" s="161"/>
      <c r="Q483" s="161"/>
      <c r="R483" s="161"/>
      <c r="S483" s="161"/>
      <c r="T483" s="161"/>
      <c r="U483" s="161"/>
      <c r="V483" s="161"/>
    </row>
    <row r="484">
      <c r="A484" s="157"/>
      <c r="B484" s="161"/>
      <c r="C484" s="193"/>
      <c r="D484" s="161"/>
      <c r="E484" s="193"/>
      <c r="F484" s="161"/>
      <c r="G484" s="161"/>
      <c r="H484" s="161"/>
      <c r="I484" s="161"/>
      <c r="J484" s="157"/>
      <c r="K484" s="161"/>
      <c r="L484" s="161"/>
      <c r="M484" s="161"/>
      <c r="N484" s="161"/>
      <c r="O484" s="161"/>
      <c r="P484" s="161"/>
      <c r="Q484" s="161"/>
      <c r="R484" s="161"/>
      <c r="S484" s="161"/>
      <c r="T484" s="161"/>
      <c r="U484" s="161"/>
      <c r="V484" s="161"/>
    </row>
    <row r="485">
      <c r="A485" s="157"/>
      <c r="B485" s="161"/>
      <c r="C485" s="193"/>
      <c r="D485" s="161"/>
      <c r="E485" s="193"/>
      <c r="F485" s="161"/>
      <c r="G485" s="161"/>
      <c r="H485" s="161"/>
      <c r="I485" s="161"/>
      <c r="J485" s="157"/>
      <c r="K485" s="161"/>
      <c r="L485" s="161"/>
      <c r="M485" s="161"/>
      <c r="N485" s="161"/>
      <c r="O485" s="161"/>
      <c r="P485" s="161"/>
      <c r="Q485" s="161"/>
      <c r="R485" s="161"/>
      <c r="S485" s="161"/>
      <c r="T485" s="161"/>
      <c r="U485" s="161"/>
      <c r="V485" s="161"/>
    </row>
    <row r="486">
      <c r="A486" s="157"/>
      <c r="B486" s="161"/>
      <c r="C486" s="193"/>
      <c r="D486" s="161"/>
      <c r="E486" s="193"/>
      <c r="F486" s="161"/>
      <c r="G486" s="161"/>
      <c r="H486" s="161"/>
      <c r="I486" s="161"/>
      <c r="J486" s="157"/>
      <c r="K486" s="161"/>
      <c r="L486" s="161"/>
      <c r="M486" s="161"/>
      <c r="N486" s="161"/>
      <c r="O486" s="161"/>
      <c r="P486" s="161"/>
      <c r="Q486" s="161"/>
      <c r="R486" s="161"/>
      <c r="S486" s="161"/>
      <c r="T486" s="161"/>
      <c r="U486" s="161"/>
      <c r="V486" s="161"/>
    </row>
    <row r="487">
      <c r="A487" s="157"/>
      <c r="B487" s="161"/>
      <c r="C487" s="193"/>
      <c r="D487" s="161"/>
      <c r="E487" s="193"/>
      <c r="F487" s="161"/>
      <c r="G487" s="161"/>
      <c r="H487" s="161"/>
      <c r="I487" s="161"/>
      <c r="J487" s="157"/>
      <c r="K487" s="161"/>
      <c r="L487" s="161"/>
      <c r="M487" s="161"/>
      <c r="N487" s="161"/>
      <c r="O487" s="161"/>
      <c r="P487" s="161"/>
      <c r="Q487" s="161"/>
      <c r="R487" s="161"/>
      <c r="S487" s="161"/>
      <c r="T487" s="161"/>
      <c r="U487" s="161"/>
      <c r="V487" s="161"/>
    </row>
    <row r="488">
      <c r="A488" s="157"/>
      <c r="B488" s="161"/>
      <c r="C488" s="193"/>
      <c r="D488" s="161"/>
      <c r="E488" s="193"/>
      <c r="F488" s="161"/>
      <c r="G488" s="161"/>
      <c r="H488" s="161"/>
      <c r="I488" s="161"/>
      <c r="J488" s="157"/>
      <c r="K488" s="161"/>
      <c r="L488" s="161"/>
      <c r="M488" s="161"/>
      <c r="N488" s="161"/>
      <c r="O488" s="161"/>
      <c r="P488" s="161"/>
      <c r="Q488" s="161"/>
      <c r="R488" s="161"/>
      <c r="S488" s="161"/>
      <c r="T488" s="161"/>
      <c r="U488" s="161"/>
      <c r="V488" s="161"/>
    </row>
    <row r="489">
      <c r="A489" s="157"/>
      <c r="B489" s="161"/>
      <c r="C489" s="193"/>
      <c r="D489" s="161"/>
      <c r="E489" s="193"/>
      <c r="F489" s="161"/>
      <c r="G489" s="161"/>
      <c r="H489" s="161"/>
      <c r="I489" s="161"/>
      <c r="J489" s="157"/>
      <c r="K489" s="161"/>
      <c r="L489" s="161"/>
      <c r="M489" s="161"/>
      <c r="N489" s="161"/>
      <c r="O489" s="161"/>
      <c r="P489" s="161"/>
      <c r="Q489" s="161"/>
      <c r="R489" s="161"/>
      <c r="S489" s="161"/>
      <c r="T489" s="161"/>
      <c r="U489" s="161"/>
      <c r="V489" s="161"/>
    </row>
    <row r="490">
      <c r="A490" s="157"/>
      <c r="B490" s="161"/>
      <c r="C490" s="193"/>
      <c r="D490" s="161"/>
      <c r="E490" s="193"/>
      <c r="F490" s="161"/>
      <c r="G490" s="161"/>
      <c r="H490" s="161"/>
      <c r="I490" s="161"/>
      <c r="J490" s="157"/>
      <c r="K490" s="161"/>
      <c r="L490" s="161"/>
      <c r="M490" s="161"/>
      <c r="N490" s="161"/>
      <c r="O490" s="161"/>
      <c r="P490" s="161"/>
      <c r="Q490" s="161"/>
      <c r="R490" s="161"/>
      <c r="S490" s="161"/>
      <c r="T490" s="161"/>
      <c r="U490" s="161"/>
      <c r="V490" s="161"/>
    </row>
    <row r="491">
      <c r="A491" s="157"/>
      <c r="B491" s="161"/>
      <c r="C491" s="193"/>
      <c r="D491" s="161"/>
      <c r="E491" s="193"/>
      <c r="F491" s="161"/>
      <c r="G491" s="161"/>
      <c r="H491" s="161"/>
      <c r="I491" s="161"/>
      <c r="J491" s="157"/>
      <c r="K491" s="161"/>
      <c r="L491" s="161"/>
      <c r="M491" s="161"/>
      <c r="N491" s="161"/>
      <c r="O491" s="161"/>
      <c r="P491" s="161"/>
      <c r="Q491" s="161"/>
      <c r="R491" s="161"/>
      <c r="S491" s="161"/>
      <c r="T491" s="161"/>
      <c r="U491" s="161"/>
      <c r="V491" s="161"/>
    </row>
    <row r="492">
      <c r="A492" s="157"/>
      <c r="B492" s="161"/>
      <c r="C492" s="193"/>
      <c r="D492" s="161"/>
      <c r="E492" s="193"/>
      <c r="F492" s="161"/>
      <c r="G492" s="161"/>
      <c r="H492" s="161"/>
      <c r="I492" s="161"/>
      <c r="J492" s="157"/>
      <c r="K492" s="161"/>
      <c r="L492" s="161"/>
      <c r="M492" s="161"/>
      <c r="N492" s="161"/>
      <c r="O492" s="161"/>
      <c r="P492" s="161"/>
      <c r="Q492" s="161"/>
      <c r="R492" s="161"/>
      <c r="S492" s="161"/>
      <c r="T492" s="161"/>
      <c r="U492" s="161"/>
      <c r="V492" s="161"/>
    </row>
    <row r="493">
      <c r="A493" s="157"/>
      <c r="B493" s="161"/>
      <c r="C493" s="193"/>
      <c r="D493" s="161"/>
      <c r="E493" s="193"/>
      <c r="F493" s="161"/>
      <c r="G493" s="161"/>
      <c r="H493" s="161"/>
      <c r="I493" s="161"/>
      <c r="J493" s="157"/>
      <c r="K493" s="161"/>
      <c r="L493" s="161"/>
      <c r="M493" s="161"/>
      <c r="N493" s="161"/>
      <c r="O493" s="161"/>
      <c r="P493" s="161"/>
      <c r="Q493" s="161"/>
      <c r="R493" s="161"/>
      <c r="S493" s="161"/>
      <c r="T493" s="161"/>
      <c r="U493" s="161"/>
      <c r="V493" s="161"/>
    </row>
    <row r="494">
      <c r="A494" s="157"/>
      <c r="B494" s="161"/>
      <c r="C494" s="193"/>
      <c r="D494" s="161"/>
      <c r="E494" s="193"/>
      <c r="F494" s="161"/>
      <c r="G494" s="161"/>
      <c r="H494" s="161"/>
      <c r="I494" s="161"/>
      <c r="J494" s="157"/>
      <c r="K494" s="161"/>
      <c r="L494" s="161"/>
      <c r="M494" s="161"/>
      <c r="N494" s="161"/>
      <c r="O494" s="161"/>
      <c r="P494" s="161"/>
      <c r="Q494" s="161"/>
      <c r="R494" s="161"/>
      <c r="S494" s="161"/>
      <c r="T494" s="161"/>
      <c r="U494" s="161"/>
      <c r="V494" s="161"/>
    </row>
    <row r="495">
      <c r="A495" s="157"/>
      <c r="B495" s="161"/>
      <c r="C495" s="193"/>
      <c r="D495" s="161"/>
      <c r="E495" s="193"/>
      <c r="F495" s="161"/>
      <c r="G495" s="161"/>
      <c r="H495" s="161"/>
      <c r="I495" s="161"/>
      <c r="J495" s="157"/>
      <c r="K495" s="161"/>
      <c r="L495" s="161"/>
      <c r="M495" s="161"/>
      <c r="N495" s="161"/>
      <c r="O495" s="161"/>
      <c r="P495" s="161"/>
      <c r="Q495" s="161"/>
      <c r="R495" s="161"/>
      <c r="S495" s="161"/>
      <c r="T495" s="161"/>
      <c r="U495" s="161"/>
      <c r="V495" s="161"/>
    </row>
    <row r="496">
      <c r="A496" s="157"/>
      <c r="B496" s="161"/>
      <c r="C496" s="193"/>
      <c r="D496" s="161"/>
      <c r="E496" s="193"/>
      <c r="F496" s="161"/>
      <c r="G496" s="161"/>
      <c r="H496" s="161"/>
      <c r="I496" s="161"/>
      <c r="J496" s="157"/>
      <c r="K496" s="161"/>
      <c r="L496" s="161"/>
      <c r="M496" s="161"/>
      <c r="N496" s="161"/>
      <c r="O496" s="161"/>
      <c r="P496" s="161"/>
      <c r="Q496" s="161"/>
      <c r="R496" s="161"/>
      <c r="S496" s="161"/>
      <c r="T496" s="161"/>
      <c r="U496" s="161"/>
      <c r="V496" s="161"/>
    </row>
    <row r="497">
      <c r="A497" s="157"/>
      <c r="B497" s="161"/>
      <c r="C497" s="193"/>
      <c r="D497" s="161"/>
      <c r="E497" s="193"/>
      <c r="F497" s="161"/>
      <c r="G497" s="161"/>
      <c r="H497" s="161"/>
      <c r="I497" s="161"/>
      <c r="J497" s="157"/>
      <c r="K497" s="161"/>
      <c r="L497" s="161"/>
      <c r="M497" s="161"/>
      <c r="N497" s="161"/>
      <c r="O497" s="161"/>
      <c r="P497" s="161"/>
      <c r="Q497" s="161"/>
      <c r="R497" s="161"/>
      <c r="S497" s="161"/>
      <c r="T497" s="161"/>
      <c r="U497" s="161"/>
      <c r="V497" s="161"/>
    </row>
    <row r="498">
      <c r="A498" s="157"/>
      <c r="B498" s="161"/>
      <c r="C498" s="193"/>
      <c r="D498" s="161"/>
      <c r="E498" s="193"/>
      <c r="F498" s="161"/>
      <c r="G498" s="161"/>
      <c r="H498" s="161"/>
      <c r="I498" s="161"/>
      <c r="J498" s="157"/>
      <c r="K498" s="161"/>
      <c r="L498" s="161"/>
      <c r="M498" s="161"/>
      <c r="N498" s="161"/>
      <c r="O498" s="161"/>
      <c r="P498" s="161"/>
      <c r="Q498" s="161"/>
      <c r="R498" s="161"/>
      <c r="S498" s="161"/>
      <c r="T498" s="161"/>
      <c r="U498" s="161"/>
      <c r="V498" s="161"/>
    </row>
    <row r="499">
      <c r="A499" s="157"/>
      <c r="B499" s="161"/>
      <c r="C499" s="193"/>
      <c r="D499" s="161"/>
      <c r="E499" s="193"/>
      <c r="F499" s="161"/>
      <c r="G499" s="161"/>
      <c r="H499" s="161"/>
      <c r="I499" s="161"/>
      <c r="J499" s="157"/>
      <c r="K499" s="161"/>
      <c r="L499" s="161"/>
      <c r="M499" s="161"/>
      <c r="N499" s="161"/>
      <c r="O499" s="161"/>
      <c r="P499" s="161"/>
      <c r="Q499" s="161"/>
      <c r="R499" s="161"/>
      <c r="S499" s="161"/>
      <c r="T499" s="161"/>
      <c r="U499" s="161"/>
      <c r="V499" s="161"/>
    </row>
    <row r="500">
      <c r="A500" s="157"/>
      <c r="B500" s="161"/>
      <c r="C500" s="193"/>
      <c r="D500" s="161"/>
      <c r="E500" s="193"/>
      <c r="F500" s="161"/>
      <c r="G500" s="161"/>
      <c r="H500" s="161"/>
      <c r="I500" s="161"/>
      <c r="J500" s="157"/>
      <c r="K500" s="161"/>
      <c r="L500" s="161"/>
      <c r="M500" s="161"/>
      <c r="N500" s="161"/>
      <c r="O500" s="161"/>
      <c r="P500" s="161"/>
      <c r="Q500" s="161"/>
      <c r="R500" s="161"/>
      <c r="S500" s="161"/>
      <c r="T500" s="161"/>
      <c r="U500" s="161"/>
      <c r="V500" s="161"/>
    </row>
    <row r="501">
      <c r="A501" s="157"/>
      <c r="B501" s="161"/>
      <c r="C501" s="193"/>
      <c r="D501" s="161"/>
      <c r="E501" s="193"/>
      <c r="F501" s="161"/>
      <c r="G501" s="161"/>
      <c r="H501" s="161"/>
      <c r="I501" s="161"/>
      <c r="J501" s="157"/>
      <c r="K501" s="161"/>
      <c r="L501" s="161"/>
      <c r="M501" s="161"/>
      <c r="N501" s="161"/>
      <c r="O501" s="161"/>
      <c r="P501" s="161"/>
      <c r="Q501" s="161"/>
      <c r="R501" s="161"/>
      <c r="S501" s="161"/>
      <c r="T501" s="161"/>
      <c r="U501" s="161"/>
      <c r="V501" s="161"/>
    </row>
    <row r="502">
      <c r="A502" s="157"/>
      <c r="B502" s="161"/>
      <c r="C502" s="193"/>
      <c r="D502" s="161"/>
      <c r="E502" s="193"/>
      <c r="F502" s="161"/>
      <c r="G502" s="161"/>
      <c r="H502" s="161"/>
      <c r="I502" s="161"/>
      <c r="J502" s="157"/>
      <c r="K502" s="161"/>
      <c r="L502" s="161"/>
      <c r="M502" s="161"/>
      <c r="N502" s="161"/>
      <c r="O502" s="161"/>
      <c r="P502" s="161"/>
      <c r="Q502" s="161"/>
      <c r="R502" s="161"/>
      <c r="S502" s="161"/>
      <c r="T502" s="161"/>
      <c r="U502" s="161"/>
      <c r="V502" s="161"/>
    </row>
    <row r="503">
      <c r="A503" s="157"/>
      <c r="B503" s="161"/>
      <c r="C503" s="193"/>
      <c r="D503" s="161"/>
      <c r="E503" s="193"/>
      <c r="F503" s="161"/>
      <c r="G503" s="161"/>
      <c r="H503" s="161"/>
      <c r="I503" s="161"/>
      <c r="J503" s="157"/>
      <c r="K503" s="161"/>
      <c r="L503" s="161"/>
      <c r="M503" s="161"/>
      <c r="N503" s="161"/>
      <c r="O503" s="161"/>
      <c r="P503" s="161"/>
      <c r="Q503" s="161"/>
      <c r="R503" s="161"/>
      <c r="S503" s="161"/>
      <c r="T503" s="161"/>
      <c r="U503" s="161"/>
      <c r="V503" s="161"/>
    </row>
    <row r="504">
      <c r="A504" s="157"/>
      <c r="B504" s="161"/>
      <c r="C504" s="193"/>
      <c r="D504" s="161"/>
      <c r="E504" s="193"/>
      <c r="F504" s="161"/>
      <c r="G504" s="161"/>
      <c r="H504" s="161"/>
      <c r="I504" s="161"/>
      <c r="J504" s="157"/>
      <c r="K504" s="161"/>
      <c r="L504" s="161"/>
      <c r="M504" s="161"/>
      <c r="N504" s="161"/>
      <c r="O504" s="161"/>
      <c r="P504" s="161"/>
      <c r="Q504" s="161"/>
      <c r="R504" s="161"/>
      <c r="S504" s="161"/>
      <c r="T504" s="161"/>
      <c r="U504" s="161"/>
      <c r="V504" s="161"/>
    </row>
    <row r="505">
      <c r="A505" s="157"/>
      <c r="B505" s="161"/>
      <c r="C505" s="193"/>
      <c r="D505" s="161"/>
      <c r="E505" s="193"/>
      <c r="F505" s="161"/>
      <c r="G505" s="161"/>
      <c r="H505" s="161"/>
      <c r="I505" s="161"/>
      <c r="J505" s="157"/>
      <c r="K505" s="161"/>
      <c r="L505" s="161"/>
      <c r="M505" s="161"/>
      <c r="N505" s="161"/>
      <c r="O505" s="161"/>
      <c r="P505" s="161"/>
      <c r="Q505" s="161"/>
      <c r="R505" s="161"/>
      <c r="S505" s="161"/>
      <c r="T505" s="161"/>
      <c r="U505" s="161"/>
      <c r="V505" s="161"/>
    </row>
    <row r="506">
      <c r="A506" s="157"/>
      <c r="B506" s="161"/>
      <c r="C506" s="193"/>
      <c r="D506" s="161"/>
      <c r="E506" s="193"/>
      <c r="F506" s="161"/>
      <c r="G506" s="161"/>
      <c r="H506" s="161"/>
      <c r="I506" s="161"/>
      <c r="J506" s="157"/>
      <c r="K506" s="161"/>
      <c r="L506" s="161"/>
      <c r="M506" s="161"/>
      <c r="N506" s="161"/>
      <c r="O506" s="161"/>
      <c r="P506" s="161"/>
      <c r="Q506" s="161"/>
      <c r="R506" s="161"/>
      <c r="S506" s="161"/>
      <c r="T506" s="161"/>
      <c r="U506" s="161"/>
      <c r="V506" s="161"/>
    </row>
    <row r="507">
      <c r="A507" s="157"/>
      <c r="B507" s="161"/>
      <c r="C507" s="193"/>
      <c r="D507" s="161"/>
      <c r="E507" s="193"/>
      <c r="F507" s="161"/>
      <c r="G507" s="161"/>
      <c r="H507" s="161"/>
      <c r="I507" s="161"/>
      <c r="J507" s="157"/>
      <c r="K507" s="161"/>
      <c r="L507" s="161"/>
      <c r="M507" s="161"/>
      <c r="N507" s="161"/>
      <c r="O507" s="161"/>
      <c r="P507" s="161"/>
      <c r="Q507" s="161"/>
      <c r="R507" s="161"/>
      <c r="S507" s="161"/>
      <c r="T507" s="161"/>
      <c r="U507" s="161"/>
      <c r="V507" s="161"/>
    </row>
    <row r="508">
      <c r="A508" s="157"/>
      <c r="B508" s="161"/>
      <c r="C508" s="193"/>
      <c r="D508" s="161"/>
      <c r="E508" s="193"/>
      <c r="F508" s="161"/>
      <c r="G508" s="161"/>
      <c r="H508" s="161"/>
      <c r="I508" s="161"/>
      <c r="J508" s="157"/>
      <c r="K508" s="161"/>
      <c r="L508" s="161"/>
      <c r="M508" s="161"/>
      <c r="N508" s="161"/>
      <c r="O508" s="161"/>
      <c r="P508" s="161"/>
      <c r="Q508" s="161"/>
      <c r="R508" s="161"/>
      <c r="S508" s="161"/>
      <c r="T508" s="161"/>
      <c r="U508" s="161"/>
      <c r="V508" s="161"/>
    </row>
    <row r="509">
      <c r="A509" s="157"/>
      <c r="B509" s="161"/>
      <c r="C509" s="193"/>
      <c r="D509" s="161"/>
      <c r="E509" s="193"/>
      <c r="F509" s="161"/>
      <c r="G509" s="161"/>
      <c r="H509" s="161"/>
      <c r="I509" s="161"/>
      <c r="J509" s="157"/>
      <c r="K509" s="161"/>
      <c r="L509" s="161"/>
      <c r="M509" s="161"/>
      <c r="N509" s="161"/>
      <c r="O509" s="161"/>
      <c r="P509" s="161"/>
      <c r="Q509" s="161"/>
      <c r="R509" s="161"/>
      <c r="S509" s="161"/>
      <c r="T509" s="161"/>
      <c r="U509" s="161"/>
      <c r="V509" s="161"/>
    </row>
    <row r="510">
      <c r="A510" s="157"/>
      <c r="B510" s="161"/>
      <c r="C510" s="193"/>
      <c r="D510" s="161"/>
      <c r="E510" s="193"/>
      <c r="F510" s="161"/>
      <c r="G510" s="161"/>
      <c r="H510" s="161"/>
      <c r="I510" s="161"/>
      <c r="J510" s="157"/>
      <c r="K510" s="161"/>
      <c r="L510" s="161"/>
      <c r="M510" s="161"/>
      <c r="N510" s="161"/>
      <c r="O510" s="161"/>
      <c r="P510" s="161"/>
      <c r="Q510" s="161"/>
      <c r="R510" s="161"/>
      <c r="S510" s="161"/>
      <c r="T510" s="161"/>
      <c r="U510" s="161"/>
      <c r="V510" s="161"/>
    </row>
    <row r="511">
      <c r="A511" s="157"/>
      <c r="B511" s="161"/>
      <c r="C511" s="193"/>
      <c r="D511" s="161"/>
      <c r="E511" s="193"/>
      <c r="F511" s="161"/>
      <c r="G511" s="161"/>
      <c r="H511" s="161"/>
      <c r="I511" s="161"/>
      <c r="J511" s="157"/>
      <c r="K511" s="161"/>
      <c r="L511" s="161"/>
      <c r="M511" s="161"/>
      <c r="N511" s="161"/>
      <c r="O511" s="161"/>
      <c r="P511" s="161"/>
      <c r="Q511" s="161"/>
      <c r="R511" s="161"/>
      <c r="S511" s="161"/>
      <c r="T511" s="161"/>
      <c r="U511" s="161"/>
      <c r="V511" s="161"/>
    </row>
    <row r="512">
      <c r="A512" s="157"/>
      <c r="B512" s="161"/>
      <c r="C512" s="193"/>
      <c r="D512" s="161"/>
      <c r="E512" s="193"/>
      <c r="F512" s="161"/>
      <c r="G512" s="161"/>
      <c r="H512" s="161"/>
      <c r="I512" s="161"/>
      <c r="J512" s="157"/>
      <c r="K512" s="161"/>
      <c r="L512" s="161"/>
      <c r="M512" s="161"/>
      <c r="N512" s="161"/>
      <c r="O512" s="161"/>
      <c r="P512" s="161"/>
      <c r="Q512" s="161"/>
      <c r="R512" s="161"/>
      <c r="S512" s="161"/>
      <c r="T512" s="161"/>
      <c r="U512" s="161"/>
      <c r="V512" s="161"/>
    </row>
    <row r="513">
      <c r="A513" s="157"/>
      <c r="B513" s="161"/>
      <c r="C513" s="193"/>
      <c r="D513" s="161"/>
      <c r="E513" s="193"/>
      <c r="F513" s="161"/>
      <c r="G513" s="161"/>
      <c r="H513" s="161"/>
      <c r="I513" s="161"/>
      <c r="J513" s="157"/>
      <c r="K513" s="161"/>
      <c r="L513" s="161"/>
      <c r="M513" s="161"/>
      <c r="N513" s="161"/>
      <c r="O513" s="161"/>
      <c r="P513" s="161"/>
      <c r="Q513" s="161"/>
      <c r="R513" s="161"/>
      <c r="S513" s="161"/>
      <c r="T513" s="161"/>
      <c r="U513" s="161"/>
      <c r="V513" s="161"/>
    </row>
    <row r="514">
      <c r="A514" s="157"/>
      <c r="B514" s="161"/>
      <c r="C514" s="193"/>
      <c r="D514" s="161"/>
      <c r="E514" s="193"/>
      <c r="F514" s="161"/>
      <c r="G514" s="161"/>
      <c r="H514" s="161"/>
      <c r="I514" s="161"/>
      <c r="J514" s="157"/>
      <c r="K514" s="161"/>
      <c r="L514" s="161"/>
      <c r="M514" s="161"/>
      <c r="N514" s="161"/>
      <c r="O514" s="161"/>
      <c r="P514" s="161"/>
      <c r="Q514" s="161"/>
      <c r="R514" s="161"/>
      <c r="S514" s="161"/>
      <c r="T514" s="161"/>
      <c r="U514" s="161"/>
      <c r="V514" s="161"/>
    </row>
    <row r="515">
      <c r="A515" s="157"/>
      <c r="B515" s="161"/>
      <c r="C515" s="193"/>
      <c r="D515" s="161"/>
      <c r="E515" s="193"/>
      <c r="F515" s="161"/>
      <c r="G515" s="161"/>
      <c r="H515" s="161"/>
      <c r="I515" s="161"/>
      <c r="J515" s="157"/>
      <c r="K515" s="161"/>
      <c r="L515" s="161"/>
      <c r="M515" s="161"/>
      <c r="N515" s="161"/>
      <c r="O515" s="161"/>
      <c r="P515" s="161"/>
      <c r="Q515" s="161"/>
      <c r="R515" s="161"/>
      <c r="S515" s="161"/>
      <c r="T515" s="161"/>
      <c r="U515" s="161"/>
      <c r="V515" s="161"/>
    </row>
    <row r="516">
      <c r="A516" s="157"/>
      <c r="B516" s="161"/>
      <c r="C516" s="193"/>
      <c r="D516" s="161"/>
      <c r="E516" s="193"/>
      <c r="F516" s="161"/>
      <c r="G516" s="161"/>
      <c r="H516" s="161"/>
      <c r="I516" s="161"/>
      <c r="J516" s="157"/>
      <c r="K516" s="161"/>
      <c r="L516" s="161"/>
      <c r="M516" s="161"/>
      <c r="N516" s="161"/>
      <c r="O516" s="161"/>
      <c r="P516" s="161"/>
      <c r="Q516" s="161"/>
      <c r="R516" s="161"/>
      <c r="S516" s="161"/>
      <c r="T516" s="161"/>
      <c r="U516" s="161"/>
      <c r="V516" s="161"/>
    </row>
    <row r="517">
      <c r="A517" s="157"/>
      <c r="B517" s="161"/>
      <c r="C517" s="193"/>
      <c r="D517" s="161"/>
      <c r="E517" s="193"/>
      <c r="F517" s="161"/>
      <c r="G517" s="161"/>
      <c r="H517" s="161"/>
      <c r="I517" s="161"/>
      <c r="J517" s="157"/>
      <c r="K517" s="161"/>
      <c r="L517" s="161"/>
      <c r="M517" s="161"/>
      <c r="N517" s="161"/>
      <c r="O517" s="161"/>
      <c r="P517" s="161"/>
      <c r="Q517" s="161"/>
      <c r="R517" s="161"/>
      <c r="S517" s="161"/>
      <c r="T517" s="161"/>
      <c r="U517" s="161"/>
      <c r="V517" s="161"/>
    </row>
    <row r="518">
      <c r="A518" s="157"/>
      <c r="B518" s="161"/>
      <c r="C518" s="193"/>
      <c r="D518" s="161"/>
      <c r="E518" s="193"/>
      <c r="F518" s="161"/>
      <c r="G518" s="161"/>
      <c r="H518" s="161"/>
      <c r="I518" s="161"/>
      <c r="J518" s="157"/>
      <c r="K518" s="161"/>
      <c r="L518" s="161"/>
      <c r="M518" s="161"/>
      <c r="N518" s="161"/>
      <c r="O518" s="161"/>
      <c r="P518" s="161"/>
      <c r="Q518" s="161"/>
      <c r="R518" s="161"/>
      <c r="S518" s="161"/>
      <c r="T518" s="161"/>
      <c r="U518" s="161"/>
      <c r="V518" s="161"/>
    </row>
    <row r="519">
      <c r="A519" s="157"/>
      <c r="B519" s="161"/>
      <c r="C519" s="193"/>
      <c r="D519" s="161"/>
      <c r="E519" s="193"/>
      <c r="F519" s="161"/>
      <c r="G519" s="161"/>
      <c r="H519" s="161"/>
      <c r="I519" s="161"/>
      <c r="J519" s="157"/>
      <c r="K519" s="161"/>
      <c r="L519" s="161"/>
      <c r="M519" s="161"/>
      <c r="N519" s="161"/>
      <c r="O519" s="161"/>
      <c r="P519" s="161"/>
      <c r="Q519" s="161"/>
      <c r="R519" s="161"/>
      <c r="S519" s="161"/>
      <c r="T519" s="161"/>
      <c r="U519" s="161"/>
      <c r="V519" s="161"/>
    </row>
    <row r="520">
      <c r="A520" s="157"/>
      <c r="B520" s="161"/>
      <c r="C520" s="193"/>
      <c r="D520" s="161"/>
      <c r="E520" s="193"/>
      <c r="F520" s="161"/>
      <c r="G520" s="161"/>
      <c r="H520" s="161"/>
      <c r="I520" s="161"/>
      <c r="J520" s="157"/>
      <c r="K520" s="161"/>
      <c r="L520" s="161"/>
      <c r="M520" s="161"/>
      <c r="N520" s="161"/>
      <c r="O520" s="161"/>
      <c r="P520" s="161"/>
      <c r="Q520" s="161"/>
      <c r="R520" s="161"/>
      <c r="S520" s="161"/>
      <c r="T520" s="161"/>
      <c r="U520" s="161"/>
      <c r="V520" s="161"/>
    </row>
    <row r="521">
      <c r="A521" s="157"/>
      <c r="B521" s="161"/>
      <c r="C521" s="193"/>
      <c r="D521" s="161"/>
      <c r="E521" s="193"/>
      <c r="F521" s="161"/>
      <c r="G521" s="161"/>
      <c r="H521" s="161"/>
      <c r="I521" s="161"/>
      <c r="J521" s="157"/>
      <c r="K521" s="161"/>
      <c r="L521" s="161"/>
      <c r="M521" s="161"/>
      <c r="N521" s="161"/>
      <c r="O521" s="161"/>
      <c r="P521" s="161"/>
      <c r="Q521" s="161"/>
      <c r="R521" s="161"/>
      <c r="S521" s="161"/>
      <c r="T521" s="161"/>
      <c r="U521" s="161"/>
      <c r="V521" s="161"/>
    </row>
    <row r="522">
      <c r="A522" s="157"/>
      <c r="B522" s="161"/>
      <c r="C522" s="193"/>
      <c r="D522" s="161"/>
      <c r="E522" s="193"/>
      <c r="F522" s="161"/>
      <c r="G522" s="161"/>
      <c r="H522" s="161"/>
      <c r="I522" s="161"/>
      <c r="J522" s="157"/>
      <c r="K522" s="161"/>
      <c r="L522" s="161"/>
      <c r="M522" s="161"/>
      <c r="N522" s="161"/>
      <c r="O522" s="161"/>
      <c r="P522" s="161"/>
      <c r="Q522" s="161"/>
      <c r="R522" s="161"/>
      <c r="S522" s="161"/>
      <c r="T522" s="161"/>
      <c r="U522" s="161"/>
      <c r="V522" s="161"/>
    </row>
    <row r="523">
      <c r="A523" s="157"/>
      <c r="B523" s="161"/>
      <c r="C523" s="193"/>
      <c r="D523" s="161"/>
      <c r="E523" s="193"/>
      <c r="F523" s="161"/>
      <c r="G523" s="161"/>
      <c r="H523" s="161"/>
      <c r="I523" s="161"/>
      <c r="J523" s="157"/>
      <c r="K523" s="161"/>
      <c r="L523" s="161"/>
      <c r="M523" s="161"/>
      <c r="N523" s="161"/>
      <c r="O523" s="161"/>
      <c r="P523" s="161"/>
      <c r="Q523" s="161"/>
      <c r="R523" s="161"/>
      <c r="S523" s="161"/>
      <c r="T523" s="161"/>
      <c r="U523" s="161"/>
      <c r="V523" s="161"/>
    </row>
    <row r="524">
      <c r="A524" s="157"/>
      <c r="B524" s="161"/>
      <c r="C524" s="193"/>
      <c r="D524" s="161"/>
      <c r="E524" s="193"/>
      <c r="F524" s="161"/>
      <c r="G524" s="161"/>
      <c r="H524" s="161"/>
      <c r="I524" s="161"/>
      <c r="J524" s="157"/>
      <c r="K524" s="161"/>
      <c r="L524" s="161"/>
      <c r="M524" s="161"/>
      <c r="N524" s="161"/>
      <c r="O524" s="161"/>
      <c r="P524" s="161"/>
      <c r="Q524" s="161"/>
      <c r="R524" s="161"/>
      <c r="S524" s="161"/>
      <c r="T524" s="161"/>
      <c r="U524" s="161"/>
      <c r="V524" s="161"/>
    </row>
    <row r="525">
      <c r="A525" s="157"/>
      <c r="B525" s="161"/>
      <c r="C525" s="193"/>
      <c r="D525" s="161"/>
      <c r="E525" s="193"/>
      <c r="F525" s="161"/>
      <c r="G525" s="161"/>
      <c r="H525" s="161"/>
      <c r="I525" s="161"/>
      <c r="J525" s="157"/>
      <c r="K525" s="161"/>
      <c r="L525" s="161"/>
      <c r="M525" s="161"/>
      <c r="N525" s="161"/>
      <c r="O525" s="161"/>
      <c r="P525" s="161"/>
      <c r="Q525" s="161"/>
      <c r="R525" s="161"/>
      <c r="S525" s="161"/>
      <c r="T525" s="161"/>
      <c r="U525" s="161"/>
      <c r="V525" s="161"/>
    </row>
    <row r="526">
      <c r="A526" s="157"/>
      <c r="B526" s="161"/>
      <c r="C526" s="193"/>
      <c r="D526" s="161"/>
      <c r="E526" s="193"/>
      <c r="F526" s="161"/>
      <c r="G526" s="161"/>
      <c r="H526" s="161"/>
      <c r="I526" s="161"/>
      <c r="J526" s="157"/>
      <c r="K526" s="161"/>
      <c r="L526" s="161"/>
      <c r="M526" s="161"/>
      <c r="N526" s="161"/>
      <c r="O526" s="161"/>
      <c r="P526" s="161"/>
      <c r="Q526" s="161"/>
      <c r="R526" s="161"/>
      <c r="S526" s="161"/>
      <c r="T526" s="161"/>
      <c r="U526" s="161"/>
      <c r="V526" s="161"/>
    </row>
    <row r="527">
      <c r="A527" s="157"/>
      <c r="B527" s="161"/>
      <c r="C527" s="193"/>
      <c r="D527" s="161"/>
      <c r="E527" s="193"/>
      <c r="F527" s="161"/>
      <c r="G527" s="161"/>
      <c r="H527" s="161"/>
      <c r="I527" s="161"/>
      <c r="J527" s="157"/>
      <c r="K527" s="161"/>
      <c r="L527" s="161"/>
      <c r="M527" s="161"/>
      <c r="N527" s="161"/>
      <c r="O527" s="161"/>
      <c r="P527" s="161"/>
      <c r="Q527" s="161"/>
      <c r="R527" s="161"/>
      <c r="S527" s="161"/>
      <c r="T527" s="161"/>
      <c r="U527" s="161"/>
      <c r="V527" s="161"/>
    </row>
    <row r="528">
      <c r="A528" s="157"/>
      <c r="B528" s="161"/>
      <c r="C528" s="193"/>
      <c r="D528" s="161"/>
      <c r="E528" s="193"/>
      <c r="F528" s="161"/>
      <c r="G528" s="161"/>
      <c r="H528" s="161"/>
      <c r="I528" s="161"/>
      <c r="J528" s="157"/>
      <c r="K528" s="161"/>
      <c r="L528" s="161"/>
      <c r="M528" s="161"/>
      <c r="N528" s="161"/>
      <c r="O528" s="161"/>
      <c r="P528" s="161"/>
      <c r="Q528" s="161"/>
      <c r="R528" s="161"/>
      <c r="S528" s="161"/>
      <c r="T528" s="161"/>
      <c r="U528" s="161"/>
      <c r="V528" s="161"/>
    </row>
    <row r="529">
      <c r="A529" s="157"/>
      <c r="B529" s="161"/>
      <c r="C529" s="193"/>
      <c r="D529" s="161"/>
      <c r="E529" s="193"/>
      <c r="F529" s="161"/>
      <c r="G529" s="161"/>
      <c r="H529" s="161"/>
      <c r="I529" s="161"/>
      <c r="J529" s="157"/>
      <c r="K529" s="161"/>
      <c r="L529" s="161"/>
      <c r="M529" s="161"/>
      <c r="N529" s="161"/>
      <c r="O529" s="161"/>
      <c r="P529" s="161"/>
      <c r="Q529" s="161"/>
      <c r="R529" s="161"/>
      <c r="S529" s="161"/>
      <c r="T529" s="161"/>
      <c r="U529" s="161"/>
      <c r="V529" s="161"/>
    </row>
    <row r="530">
      <c r="A530" s="157"/>
      <c r="B530" s="161"/>
      <c r="C530" s="193"/>
      <c r="D530" s="161"/>
      <c r="E530" s="193"/>
      <c r="F530" s="161"/>
      <c r="G530" s="161"/>
      <c r="H530" s="161"/>
      <c r="I530" s="161"/>
      <c r="J530" s="157"/>
      <c r="K530" s="161"/>
      <c r="L530" s="161"/>
      <c r="M530" s="161"/>
      <c r="N530" s="161"/>
      <c r="O530" s="161"/>
      <c r="P530" s="161"/>
      <c r="Q530" s="161"/>
      <c r="R530" s="161"/>
      <c r="S530" s="161"/>
      <c r="T530" s="161"/>
      <c r="U530" s="161"/>
      <c r="V530" s="161"/>
    </row>
    <row r="531">
      <c r="A531" s="157"/>
      <c r="B531" s="161"/>
      <c r="C531" s="193"/>
      <c r="D531" s="161"/>
      <c r="E531" s="193"/>
      <c r="F531" s="161"/>
      <c r="G531" s="161"/>
      <c r="H531" s="161"/>
      <c r="I531" s="161"/>
      <c r="J531" s="157"/>
      <c r="K531" s="161"/>
      <c r="L531" s="161"/>
      <c r="M531" s="161"/>
      <c r="N531" s="161"/>
      <c r="O531" s="161"/>
      <c r="P531" s="161"/>
      <c r="Q531" s="161"/>
      <c r="R531" s="161"/>
      <c r="S531" s="161"/>
      <c r="T531" s="161"/>
      <c r="U531" s="161"/>
      <c r="V531" s="161"/>
    </row>
    <row r="532">
      <c r="A532" s="157"/>
      <c r="B532" s="161"/>
      <c r="C532" s="193"/>
      <c r="D532" s="161"/>
      <c r="E532" s="193"/>
      <c r="F532" s="161"/>
      <c r="G532" s="161"/>
      <c r="H532" s="161"/>
      <c r="I532" s="161"/>
      <c r="J532" s="157"/>
      <c r="K532" s="161"/>
      <c r="L532" s="161"/>
      <c r="M532" s="161"/>
      <c r="N532" s="161"/>
      <c r="O532" s="161"/>
      <c r="P532" s="161"/>
      <c r="Q532" s="161"/>
      <c r="R532" s="161"/>
      <c r="S532" s="161"/>
      <c r="T532" s="161"/>
      <c r="U532" s="161"/>
      <c r="V532" s="161"/>
    </row>
    <row r="533">
      <c r="A533" s="157"/>
      <c r="B533" s="161"/>
      <c r="C533" s="193"/>
      <c r="D533" s="161"/>
      <c r="E533" s="193"/>
      <c r="F533" s="161"/>
      <c r="G533" s="161"/>
      <c r="H533" s="161"/>
      <c r="I533" s="161"/>
      <c r="J533" s="157"/>
      <c r="K533" s="161"/>
      <c r="L533" s="161"/>
      <c r="M533" s="161"/>
      <c r="N533" s="161"/>
      <c r="O533" s="161"/>
      <c r="P533" s="161"/>
      <c r="Q533" s="161"/>
      <c r="R533" s="161"/>
      <c r="S533" s="161"/>
      <c r="T533" s="161"/>
      <c r="U533" s="161"/>
      <c r="V533" s="161"/>
    </row>
    <row r="534">
      <c r="A534" s="157"/>
      <c r="B534" s="161"/>
      <c r="C534" s="193"/>
      <c r="D534" s="161"/>
      <c r="E534" s="193"/>
      <c r="F534" s="161"/>
      <c r="G534" s="161"/>
      <c r="H534" s="161"/>
      <c r="I534" s="161"/>
      <c r="J534" s="157"/>
      <c r="K534" s="161"/>
      <c r="L534" s="161"/>
      <c r="M534" s="161"/>
      <c r="N534" s="161"/>
      <c r="O534" s="161"/>
      <c r="P534" s="161"/>
      <c r="Q534" s="161"/>
      <c r="R534" s="161"/>
      <c r="S534" s="161"/>
      <c r="T534" s="161"/>
      <c r="U534" s="161"/>
      <c r="V534" s="161"/>
    </row>
    <row r="535">
      <c r="A535" s="157"/>
      <c r="B535" s="161"/>
      <c r="C535" s="193"/>
      <c r="D535" s="161"/>
      <c r="E535" s="193"/>
      <c r="F535" s="161"/>
      <c r="G535" s="161"/>
      <c r="H535" s="161"/>
      <c r="I535" s="161"/>
      <c r="J535" s="157"/>
      <c r="K535" s="161"/>
      <c r="L535" s="161"/>
      <c r="M535" s="161"/>
      <c r="N535" s="161"/>
      <c r="O535" s="161"/>
      <c r="P535" s="161"/>
      <c r="Q535" s="161"/>
      <c r="R535" s="161"/>
      <c r="S535" s="161"/>
      <c r="T535" s="161"/>
      <c r="U535" s="161"/>
      <c r="V535" s="161"/>
    </row>
    <row r="536">
      <c r="A536" s="157"/>
      <c r="B536" s="161"/>
      <c r="C536" s="193"/>
      <c r="D536" s="161"/>
      <c r="E536" s="193"/>
      <c r="F536" s="161"/>
      <c r="G536" s="161"/>
      <c r="H536" s="161"/>
      <c r="I536" s="161"/>
      <c r="J536" s="157"/>
      <c r="K536" s="161"/>
      <c r="L536" s="161"/>
      <c r="M536" s="161"/>
      <c r="N536" s="161"/>
      <c r="O536" s="161"/>
      <c r="P536" s="161"/>
      <c r="Q536" s="161"/>
      <c r="R536" s="161"/>
      <c r="S536" s="161"/>
      <c r="T536" s="161"/>
      <c r="U536" s="161"/>
      <c r="V536" s="161"/>
    </row>
    <row r="537">
      <c r="A537" s="157"/>
      <c r="B537" s="161"/>
      <c r="C537" s="193"/>
      <c r="D537" s="161"/>
      <c r="E537" s="193"/>
      <c r="F537" s="161"/>
      <c r="G537" s="161"/>
      <c r="H537" s="161"/>
      <c r="I537" s="161"/>
      <c r="J537" s="157"/>
      <c r="K537" s="161"/>
      <c r="L537" s="161"/>
      <c r="M537" s="161"/>
      <c r="N537" s="161"/>
      <c r="O537" s="161"/>
      <c r="P537" s="161"/>
      <c r="Q537" s="161"/>
      <c r="R537" s="161"/>
      <c r="S537" s="161"/>
      <c r="T537" s="161"/>
      <c r="U537" s="161"/>
      <c r="V537" s="161"/>
    </row>
    <row r="538">
      <c r="A538" s="157"/>
      <c r="B538" s="161"/>
      <c r="C538" s="193"/>
      <c r="D538" s="161"/>
      <c r="E538" s="193"/>
      <c r="F538" s="161"/>
      <c r="G538" s="161"/>
      <c r="H538" s="161"/>
      <c r="I538" s="161"/>
      <c r="J538" s="157"/>
      <c r="K538" s="161"/>
      <c r="L538" s="161"/>
      <c r="M538" s="161"/>
      <c r="N538" s="161"/>
      <c r="O538" s="161"/>
      <c r="P538" s="161"/>
      <c r="Q538" s="161"/>
      <c r="R538" s="161"/>
      <c r="S538" s="161"/>
      <c r="T538" s="161"/>
      <c r="U538" s="161"/>
      <c r="V538" s="161"/>
    </row>
    <row r="539">
      <c r="A539" s="157"/>
      <c r="B539" s="161"/>
      <c r="C539" s="193"/>
      <c r="D539" s="161"/>
      <c r="E539" s="193"/>
      <c r="F539" s="161"/>
      <c r="G539" s="161"/>
      <c r="H539" s="161"/>
      <c r="I539" s="161"/>
      <c r="J539" s="157"/>
      <c r="K539" s="161"/>
      <c r="L539" s="161"/>
      <c r="M539" s="161"/>
      <c r="N539" s="161"/>
      <c r="O539" s="161"/>
      <c r="P539" s="161"/>
      <c r="Q539" s="161"/>
      <c r="R539" s="161"/>
      <c r="S539" s="161"/>
      <c r="T539" s="161"/>
      <c r="U539" s="161"/>
      <c r="V539" s="161"/>
    </row>
    <row r="540">
      <c r="A540" s="157"/>
      <c r="B540" s="161"/>
      <c r="C540" s="193"/>
      <c r="D540" s="161"/>
      <c r="E540" s="193"/>
      <c r="F540" s="161"/>
      <c r="G540" s="161"/>
      <c r="H540" s="161"/>
      <c r="I540" s="161"/>
      <c r="J540" s="157"/>
      <c r="K540" s="161"/>
      <c r="L540" s="161"/>
      <c r="M540" s="161"/>
      <c r="N540" s="161"/>
      <c r="O540" s="161"/>
      <c r="P540" s="161"/>
      <c r="Q540" s="161"/>
      <c r="R540" s="161"/>
      <c r="S540" s="161"/>
      <c r="T540" s="161"/>
      <c r="U540" s="161"/>
      <c r="V540" s="161"/>
    </row>
    <row r="541">
      <c r="A541" s="157"/>
      <c r="B541" s="161"/>
      <c r="C541" s="193"/>
      <c r="D541" s="161"/>
      <c r="E541" s="193"/>
      <c r="F541" s="161"/>
      <c r="G541" s="161"/>
      <c r="H541" s="161"/>
      <c r="I541" s="161"/>
      <c r="J541" s="157"/>
      <c r="K541" s="161"/>
      <c r="L541" s="161"/>
      <c r="M541" s="161"/>
      <c r="N541" s="161"/>
      <c r="O541" s="161"/>
      <c r="P541" s="161"/>
      <c r="Q541" s="161"/>
      <c r="R541" s="161"/>
      <c r="S541" s="161"/>
      <c r="T541" s="161"/>
      <c r="U541" s="161"/>
      <c r="V541" s="161"/>
    </row>
    <row r="542">
      <c r="A542" s="157"/>
      <c r="B542" s="161"/>
      <c r="C542" s="193"/>
      <c r="D542" s="161"/>
      <c r="E542" s="193"/>
      <c r="F542" s="161"/>
      <c r="G542" s="161"/>
      <c r="H542" s="161"/>
      <c r="I542" s="161"/>
      <c r="J542" s="157"/>
      <c r="K542" s="161"/>
      <c r="L542" s="161"/>
      <c r="M542" s="161"/>
      <c r="N542" s="161"/>
      <c r="O542" s="161"/>
      <c r="P542" s="161"/>
      <c r="Q542" s="161"/>
      <c r="R542" s="161"/>
      <c r="S542" s="161"/>
      <c r="T542" s="161"/>
      <c r="U542" s="161"/>
      <c r="V542" s="161"/>
    </row>
    <row r="543">
      <c r="A543" s="157"/>
      <c r="B543" s="161"/>
      <c r="C543" s="193"/>
      <c r="D543" s="161"/>
      <c r="E543" s="193"/>
      <c r="F543" s="161"/>
      <c r="G543" s="161"/>
      <c r="H543" s="161"/>
      <c r="I543" s="161"/>
      <c r="J543" s="157"/>
      <c r="K543" s="161"/>
      <c r="L543" s="161"/>
      <c r="M543" s="161"/>
      <c r="N543" s="161"/>
      <c r="O543" s="161"/>
      <c r="P543" s="161"/>
      <c r="Q543" s="161"/>
      <c r="R543" s="161"/>
      <c r="S543" s="161"/>
      <c r="T543" s="161"/>
      <c r="U543" s="161"/>
      <c r="V543" s="161"/>
    </row>
    <row r="544">
      <c r="A544" s="157"/>
      <c r="B544" s="161"/>
      <c r="C544" s="193"/>
      <c r="D544" s="161"/>
      <c r="E544" s="193"/>
      <c r="F544" s="161"/>
      <c r="G544" s="161"/>
      <c r="H544" s="161"/>
      <c r="I544" s="161"/>
      <c r="J544" s="157"/>
      <c r="K544" s="161"/>
      <c r="L544" s="161"/>
      <c r="M544" s="161"/>
      <c r="N544" s="161"/>
      <c r="O544" s="161"/>
      <c r="P544" s="161"/>
      <c r="Q544" s="161"/>
      <c r="R544" s="161"/>
      <c r="S544" s="161"/>
      <c r="T544" s="161"/>
      <c r="U544" s="161"/>
      <c r="V544" s="161"/>
    </row>
    <row r="545">
      <c r="A545" s="157"/>
      <c r="B545" s="161"/>
      <c r="C545" s="193"/>
      <c r="D545" s="161"/>
      <c r="E545" s="193"/>
      <c r="F545" s="161"/>
      <c r="G545" s="161"/>
      <c r="H545" s="161"/>
      <c r="I545" s="161"/>
      <c r="J545" s="157"/>
      <c r="K545" s="161"/>
      <c r="L545" s="161"/>
      <c r="M545" s="161"/>
      <c r="N545" s="161"/>
      <c r="O545" s="161"/>
      <c r="P545" s="161"/>
      <c r="Q545" s="161"/>
      <c r="R545" s="161"/>
      <c r="S545" s="161"/>
      <c r="T545" s="161"/>
      <c r="U545" s="161"/>
      <c r="V545" s="161"/>
    </row>
    <row r="546">
      <c r="A546" s="157"/>
      <c r="B546" s="161"/>
      <c r="C546" s="193"/>
      <c r="D546" s="161"/>
      <c r="E546" s="193"/>
      <c r="F546" s="161"/>
      <c r="G546" s="161"/>
      <c r="H546" s="161"/>
      <c r="I546" s="161"/>
      <c r="J546" s="157"/>
      <c r="K546" s="161"/>
      <c r="L546" s="161"/>
      <c r="M546" s="161"/>
      <c r="N546" s="161"/>
      <c r="O546" s="161"/>
      <c r="P546" s="161"/>
      <c r="Q546" s="161"/>
      <c r="R546" s="161"/>
      <c r="S546" s="161"/>
      <c r="T546" s="161"/>
      <c r="U546" s="161"/>
      <c r="V546" s="161"/>
    </row>
    <row r="547">
      <c r="A547" s="157"/>
      <c r="B547" s="161"/>
      <c r="C547" s="193"/>
      <c r="D547" s="161"/>
      <c r="E547" s="193"/>
      <c r="F547" s="161"/>
      <c r="G547" s="161"/>
      <c r="H547" s="161"/>
      <c r="I547" s="161"/>
      <c r="J547" s="157"/>
      <c r="K547" s="161"/>
      <c r="L547" s="161"/>
      <c r="M547" s="161"/>
      <c r="N547" s="161"/>
      <c r="O547" s="161"/>
      <c r="P547" s="161"/>
      <c r="Q547" s="161"/>
      <c r="R547" s="161"/>
      <c r="S547" s="161"/>
      <c r="T547" s="161"/>
      <c r="U547" s="161"/>
      <c r="V547" s="161"/>
    </row>
    <row r="548">
      <c r="A548" s="157"/>
      <c r="B548" s="161"/>
      <c r="C548" s="193"/>
      <c r="D548" s="161"/>
      <c r="E548" s="193"/>
      <c r="F548" s="161"/>
      <c r="G548" s="161"/>
      <c r="H548" s="161"/>
      <c r="I548" s="161"/>
      <c r="J548" s="157"/>
      <c r="K548" s="161"/>
      <c r="L548" s="161"/>
      <c r="M548" s="161"/>
      <c r="N548" s="161"/>
      <c r="O548" s="161"/>
      <c r="P548" s="161"/>
      <c r="Q548" s="161"/>
      <c r="R548" s="161"/>
      <c r="S548" s="161"/>
      <c r="T548" s="161"/>
      <c r="U548" s="161"/>
      <c r="V548" s="161"/>
    </row>
    <row r="549">
      <c r="A549" s="157"/>
      <c r="B549" s="161"/>
      <c r="C549" s="193"/>
      <c r="D549" s="161"/>
      <c r="E549" s="193"/>
      <c r="F549" s="161"/>
      <c r="G549" s="161"/>
      <c r="H549" s="161"/>
      <c r="I549" s="161"/>
      <c r="J549" s="157"/>
      <c r="K549" s="161"/>
      <c r="L549" s="161"/>
      <c r="M549" s="161"/>
      <c r="N549" s="161"/>
      <c r="O549" s="161"/>
      <c r="P549" s="161"/>
      <c r="Q549" s="161"/>
      <c r="R549" s="161"/>
      <c r="S549" s="161"/>
      <c r="T549" s="161"/>
      <c r="U549" s="161"/>
      <c r="V549" s="161"/>
    </row>
    <row r="550">
      <c r="A550" s="157"/>
      <c r="B550" s="161"/>
      <c r="C550" s="193"/>
      <c r="D550" s="161"/>
      <c r="E550" s="193"/>
      <c r="F550" s="161"/>
      <c r="G550" s="161"/>
      <c r="H550" s="161"/>
      <c r="I550" s="161"/>
      <c r="J550" s="157"/>
      <c r="K550" s="161"/>
      <c r="L550" s="161"/>
      <c r="M550" s="161"/>
      <c r="N550" s="161"/>
      <c r="O550" s="161"/>
      <c r="P550" s="161"/>
      <c r="Q550" s="161"/>
      <c r="R550" s="161"/>
      <c r="S550" s="161"/>
      <c r="T550" s="161"/>
      <c r="U550" s="161"/>
      <c r="V550" s="161"/>
    </row>
    <row r="551">
      <c r="A551" s="157"/>
      <c r="B551" s="161"/>
      <c r="C551" s="193"/>
      <c r="D551" s="161"/>
      <c r="E551" s="193"/>
      <c r="F551" s="161"/>
      <c r="G551" s="161"/>
      <c r="H551" s="161"/>
      <c r="I551" s="161"/>
      <c r="J551" s="157"/>
      <c r="K551" s="161"/>
      <c r="L551" s="161"/>
      <c r="M551" s="161"/>
      <c r="N551" s="161"/>
      <c r="O551" s="161"/>
      <c r="P551" s="161"/>
      <c r="Q551" s="161"/>
      <c r="R551" s="161"/>
      <c r="S551" s="161"/>
      <c r="T551" s="161"/>
      <c r="U551" s="161"/>
      <c r="V551" s="161"/>
    </row>
    <row r="552">
      <c r="A552" s="157"/>
      <c r="B552" s="161"/>
      <c r="C552" s="193"/>
      <c r="D552" s="161"/>
      <c r="E552" s="193"/>
      <c r="F552" s="161"/>
      <c r="G552" s="161"/>
      <c r="H552" s="161"/>
      <c r="I552" s="161"/>
      <c r="J552" s="157"/>
      <c r="K552" s="161"/>
      <c r="L552" s="161"/>
      <c r="M552" s="161"/>
      <c r="N552" s="161"/>
      <c r="O552" s="161"/>
      <c r="P552" s="161"/>
      <c r="Q552" s="161"/>
      <c r="R552" s="161"/>
      <c r="S552" s="161"/>
      <c r="T552" s="161"/>
      <c r="U552" s="161"/>
      <c r="V552" s="161"/>
    </row>
    <row r="553">
      <c r="A553" s="157"/>
      <c r="B553" s="161"/>
      <c r="C553" s="193"/>
      <c r="D553" s="161"/>
      <c r="E553" s="193"/>
      <c r="F553" s="161"/>
      <c r="G553" s="161"/>
      <c r="H553" s="161"/>
      <c r="I553" s="161"/>
      <c r="J553" s="157"/>
      <c r="K553" s="161"/>
      <c r="L553" s="161"/>
      <c r="M553" s="161"/>
      <c r="N553" s="161"/>
      <c r="O553" s="161"/>
      <c r="P553" s="161"/>
      <c r="Q553" s="161"/>
      <c r="R553" s="161"/>
      <c r="S553" s="161"/>
      <c r="T553" s="161"/>
      <c r="U553" s="161"/>
      <c r="V553" s="161"/>
    </row>
    <row r="554">
      <c r="A554" s="157"/>
      <c r="B554" s="161"/>
      <c r="C554" s="193"/>
      <c r="D554" s="161"/>
      <c r="E554" s="193"/>
      <c r="F554" s="161"/>
      <c r="G554" s="161"/>
      <c r="H554" s="161"/>
      <c r="I554" s="161"/>
      <c r="J554" s="157"/>
      <c r="K554" s="161"/>
      <c r="L554" s="161"/>
      <c r="M554" s="161"/>
      <c r="N554" s="161"/>
      <c r="O554" s="161"/>
      <c r="P554" s="161"/>
      <c r="Q554" s="161"/>
      <c r="R554" s="161"/>
      <c r="S554" s="161"/>
      <c r="T554" s="161"/>
      <c r="U554" s="161"/>
      <c r="V554" s="161"/>
    </row>
    <row r="555">
      <c r="A555" s="157"/>
      <c r="B555" s="161"/>
      <c r="C555" s="193"/>
      <c r="D555" s="161"/>
      <c r="E555" s="193"/>
      <c r="F555" s="161"/>
      <c r="G555" s="161"/>
      <c r="H555" s="161"/>
      <c r="I555" s="161"/>
      <c r="J555" s="157"/>
      <c r="K555" s="161"/>
      <c r="L555" s="161"/>
      <c r="M555" s="161"/>
      <c r="N555" s="161"/>
      <c r="O555" s="161"/>
      <c r="P555" s="161"/>
      <c r="Q555" s="161"/>
      <c r="R555" s="161"/>
      <c r="S555" s="161"/>
      <c r="T555" s="161"/>
      <c r="U555" s="161"/>
      <c r="V555" s="161"/>
    </row>
    <row r="556">
      <c r="A556" s="157"/>
      <c r="B556" s="161"/>
      <c r="C556" s="193"/>
      <c r="D556" s="161"/>
      <c r="E556" s="193"/>
      <c r="F556" s="161"/>
      <c r="G556" s="161"/>
      <c r="H556" s="161"/>
      <c r="I556" s="161"/>
      <c r="J556" s="157"/>
      <c r="K556" s="161"/>
      <c r="L556" s="161"/>
      <c r="M556" s="161"/>
      <c r="N556" s="161"/>
      <c r="O556" s="161"/>
      <c r="P556" s="161"/>
      <c r="Q556" s="161"/>
      <c r="R556" s="161"/>
      <c r="S556" s="161"/>
      <c r="T556" s="161"/>
      <c r="U556" s="161"/>
      <c r="V556" s="161"/>
    </row>
    <row r="557">
      <c r="A557" s="157"/>
      <c r="B557" s="161"/>
      <c r="C557" s="193"/>
      <c r="D557" s="161"/>
      <c r="E557" s="193"/>
      <c r="F557" s="161"/>
      <c r="G557" s="161"/>
      <c r="H557" s="161"/>
      <c r="I557" s="161"/>
      <c r="J557" s="157"/>
      <c r="K557" s="161"/>
      <c r="L557" s="161"/>
      <c r="M557" s="161"/>
      <c r="N557" s="161"/>
      <c r="O557" s="161"/>
      <c r="P557" s="161"/>
      <c r="Q557" s="161"/>
      <c r="R557" s="161"/>
      <c r="S557" s="161"/>
      <c r="T557" s="161"/>
      <c r="U557" s="161"/>
      <c r="V557" s="161"/>
    </row>
    <row r="558">
      <c r="A558" s="157"/>
      <c r="B558" s="161"/>
      <c r="C558" s="193"/>
      <c r="D558" s="161"/>
      <c r="E558" s="193"/>
      <c r="F558" s="161"/>
      <c r="G558" s="161"/>
      <c r="H558" s="161"/>
      <c r="I558" s="161"/>
      <c r="J558" s="157"/>
      <c r="K558" s="161"/>
      <c r="L558" s="161"/>
      <c r="M558" s="161"/>
      <c r="N558" s="161"/>
      <c r="O558" s="161"/>
      <c r="P558" s="161"/>
      <c r="Q558" s="161"/>
      <c r="R558" s="161"/>
      <c r="S558" s="161"/>
      <c r="T558" s="161"/>
      <c r="U558" s="161"/>
      <c r="V558" s="161"/>
    </row>
    <row r="559">
      <c r="A559" s="157"/>
      <c r="B559" s="161"/>
      <c r="C559" s="193"/>
      <c r="D559" s="161"/>
      <c r="E559" s="193"/>
      <c r="F559" s="161"/>
      <c r="G559" s="161"/>
      <c r="H559" s="161"/>
      <c r="I559" s="161"/>
      <c r="J559" s="157"/>
      <c r="K559" s="161"/>
      <c r="L559" s="161"/>
      <c r="M559" s="161"/>
      <c r="N559" s="161"/>
      <c r="O559" s="161"/>
      <c r="P559" s="161"/>
      <c r="Q559" s="161"/>
      <c r="R559" s="161"/>
      <c r="S559" s="161"/>
      <c r="T559" s="161"/>
      <c r="U559" s="161"/>
      <c r="V559" s="161"/>
    </row>
    <row r="560">
      <c r="A560" s="157"/>
      <c r="B560" s="161"/>
      <c r="C560" s="193"/>
      <c r="D560" s="161"/>
      <c r="E560" s="193"/>
      <c r="F560" s="161"/>
      <c r="G560" s="161"/>
      <c r="H560" s="161"/>
      <c r="I560" s="161"/>
      <c r="J560" s="157"/>
      <c r="K560" s="161"/>
      <c r="L560" s="161"/>
      <c r="M560" s="161"/>
      <c r="N560" s="161"/>
      <c r="O560" s="161"/>
      <c r="P560" s="161"/>
      <c r="Q560" s="161"/>
      <c r="R560" s="161"/>
      <c r="S560" s="161"/>
      <c r="T560" s="161"/>
      <c r="U560" s="161"/>
      <c r="V560" s="161"/>
    </row>
    <row r="561">
      <c r="A561" s="157"/>
      <c r="B561" s="161"/>
      <c r="C561" s="193"/>
      <c r="D561" s="161"/>
      <c r="E561" s="193"/>
      <c r="F561" s="161"/>
      <c r="G561" s="161"/>
      <c r="H561" s="161"/>
      <c r="I561" s="161"/>
      <c r="J561" s="157"/>
      <c r="K561" s="161"/>
      <c r="L561" s="161"/>
      <c r="M561" s="161"/>
      <c r="N561" s="161"/>
      <c r="O561" s="161"/>
      <c r="P561" s="161"/>
      <c r="Q561" s="161"/>
      <c r="R561" s="161"/>
      <c r="S561" s="161"/>
      <c r="T561" s="161"/>
      <c r="U561" s="161"/>
      <c r="V561" s="161"/>
    </row>
    <row r="562">
      <c r="A562" s="157"/>
      <c r="B562" s="161"/>
      <c r="C562" s="193"/>
      <c r="D562" s="161"/>
      <c r="E562" s="193"/>
      <c r="F562" s="161"/>
      <c r="G562" s="161"/>
      <c r="H562" s="161"/>
      <c r="I562" s="161"/>
      <c r="J562" s="157"/>
      <c r="K562" s="161"/>
      <c r="L562" s="161"/>
      <c r="M562" s="161"/>
      <c r="N562" s="161"/>
      <c r="O562" s="161"/>
      <c r="P562" s="161"/>
      <c r="Q562" s="161"/>
      <c r="R562" s="161"/>
      <c r="S562" s="161"/>
      <c r="T562" s="161"/>
      <c r="U562" s="161"/>
      <c r="V562" s="161"/>
    </row>
    <row r="563">
      <c r="A563" s="157"/>
      <c r="B563" s="161"/>
      <c r="C563" s="193"/>
      <c r="D563" s="161"/>
      <c r="E563" s="193"/>
      <c r="F563" s="161"/>
      <c r="G563" s="161"/>
      <c r="H563" s="161"/>
      <c r="I563" s="161"/>
      <c r="J563" s="157"/>
      <c r="K563" s="161"/>
      <c r="L563" s="161"/>
      <c r="M563" s="161"/>
      <c r="N563" s="161"/>
      <c r="O563" s="161"/>
      <c r="P563" s="161"/>
      <c r="Q563" s="161"/>
      <c r="R563" s="161"/>
      <c r="S563" s="161"/>
      <c r="T563" s="161"/>
      <c r="U563" s="161"/>
      <c r="V563" s="161"/>
    </row>
    <row r="564">
      <c r="A564" s="157"/>
      <c r="B564" s="161"/>
      <c r="C564" s="193"/>
      <c r="D564" s="161"/>
      <c r="E564" s="193"/>
      <c r="F564" s="161"/>
      <c r="G564" s="161"/>
      <c r="H564" s="161"/>
      <c r="I564" s="161"/>
      <c r="J564" s="157"/>
      <c r="K564" s="161"/>
      <c r="L564" s="161"/>
      <c r="M564" s="161"/>
      <c r="N564" s="161"/>
      <c r="O564" s="161"/>
      <c r="P564" s="161"/>
      <c r="Q564" s="161"/>
      <c r="R564" s="161"/>
      <c r="S564" s="161"/>
      <c r="T564" s="161"/>
      <c r="U564" s="161"/>
      <c r="V564" s="161"/>
    </row>
    <row r="565">
      <c r="A565" s="157"/>
      <c r="B565" s="161"/>
      <c r="C565" s="193"/>
      <c r="D565" s="161"/>
      <c r="E565" s="193"/>
      <c r="F565" s="161"/>
      <c r="G565" s="161"/>
      <c r="H565" s="161"/>
      <c r="I565" s="161"/>
      <c r="J565" s="157"/>
      <c r="K565" s="161"/>
      <c r="L565" s="161"/>
      <c r="M565" s="161"/>
      <c r="N565" s="161"/>
      <c r="O565" s="161"/>
      <c r="P565" s="161"/>
      <c r="Q565" s="161"/>
      <c r="R565" s="161"/>
      <c r="S565" s="161"/>
      <c r="T565" s="161"/>
      <c r="U565" s="161"/>
      <c r="V565" s="161"/>
    </row>
    <row r="566">
      <c r="A566" s="157"/>
      <c r="B566" s="161"/>
      <c r="C566" s="193"/>
      <c r="D566" s="161"/>
      <c r="E566" s="193"/>
      <c r="F566" s="161"/>
      <c r="G566" s="161"/>
      <c r="H566" s="161"/>
      <c r="I566" s="161"/>
      <c r="J566" s="157"/>
      <c r="K566" s="161"/>
      <c r="L566" s="161"/>
      <c r="M566" s="161"/>
      <c r="N566" s="161"/>
      <c r="O566" s="161"/>
      <c r="P566" s="161"/>
      <c r="Q566" s="161"/>
      <c r="R566" s="161"/>
      <c r="S566" s="161"/>
      <c r="T566" s="161"/>
      <c r="U566" s="161"/>
      <c r="V566" s="161"/>
    </row>
    <row r="567">
      <c r="A567" s="157"/>
      <c r="B567" s="161"/>
      <c r="C567" s="193"/>
      <c r="D567" s="161"/>
      <c r="E567" s="193"/>
      <c r="F567" s="161"/>
      <c r="G567" s="161"/>
      <c r="H567" s="161"/>
      <c r="I567" s="161"/>
      <c r="J567" s="157"/>
      <c r="K567" s="161"/>
      <c r="L567" s="161"/>
      <c r="M567" s="161"/>
      <c r="N567" s="161"/>
      <c r="O567" s="161"/>
      <c r="P567" s="161"/>
      <c r="Q567" s="161"/>
      <c r="R567" s="161"/>
      <c r="S567" s="161"/>
      <c r="T567" s="161"/>
      <c r="U567" s="161"/>
      <c r="V567" s="161"/>
    </row>
    <row r="568">
      <c r="A568" s="157"/>
      <c r="B568" s="161"/>
      <c r="C568" s="193"/>
      <c r="D568" s="161"/>
      <c r="E568" s="193"/>
      <c r="F568" s="161"/>
      <c r="G568" s="161"/>
      <c r="H568" s="161"/>
      <c r="I568" s="161"/>
      <c r="J568" s="157"/>
      <c r="K568" s="161"/>
      <c r="L568" s="161"/>
      <c r="M568" s="161"/>
      <c r="N568" s="161"/>
      <c r="O568" s="161"/>
      <c r="P568" s="161"/>
      <c r="Q568" s="161"/>
      <c r="R568" s="161"/>
      <c r="S568" s="161"/>
      <c r="T568" s="161"/>
      <c r="U568" s="161"/>
      <c r="V568" s="161"/>
    </row>
    <row r="569">
      <c r="A569" s="157"/>
      <c r="B569" s="161"/>
      <c r="C569" s="193"/>
      <c r="D569" s="161"/>
      <c r="E569" s="193"/>
      <c r="F569" s="161"/>
      <c r="G569" s="161"/>
      <c r="H569" s="161"/>
      <c r="I569" s="161"/>
      <c r="J569" s="157"/>
      <c r="K569" s="161"/>
      <c r="L569" s="161"/>
      <c r="M569" s="161"/>
      <c r="N569" s="161"/>
      <c r="O569" s="161"/>
      <c r="P569" s="161"/>
      <c r="Q569" s="161"/>
      <c r="R569" s="161"/>
      <c r="S569" s="161"/>
      <c r="T569" s="161"/>
      <c r="U569" s="161"/>
      <c r="V569" s="161"/>
    </row>
    <row r="570">
      <c r="A570" s="157"/>
      <c r="B570" s="161"/>
      <c r="C570" s="193"/>
      <c r="D570" s="161"/>
      <c r="E570" s="193"/>
      <c r="F570" s="161"/>
      <c r="G570" s="161"/>
      <c r="H570" s="161"/>
      <c r="I570" s="161"/>
      <c r="J570" s="157"/>
      <c r="K570" s="161"/>
      <c r="L570" s="161"/>
      <c r="M570" s="161"/>
      <c r="N570" s="161"/>
      <c r="O570" s="161"/>
      <c r="P570" s="161"/>
      <c r="Q570" s="161"/>
      <c r="R570" s="161"/>
      <c r="S570" s="161"/>
      <c r="T570" s="161"/>
      <c r="U570" s="161"/>
      <c r="V570" s="161"/>
    </row>
    <row r="571">
      <c r="A571" s="157"/>
      <c r="B571" s="161"/>
      <c r="C571" s="193"/>
      <c r="D571" s="161"/>
      <c r="E571" s="193"/>
      <c r="F571" s="161"/>
      <c r="G571" s="161"/>
      <c r="H571" s="161"/>
      <c r="I571" s="161"/>
      <c r="J571" s="157"/>
      <c r="K571" s="161"/>
      <c r="L571" s="161"/>
      <c r="M571" s="161"/>
      <c r="N571" s="161"/>
      <c r="O571" s="161"/>
      <c r="P571" s="161"/>
      <c r="Q571" s="161"/>
      <c r="R571" s="161"/>
      <c r="S571" s="161"/>
      <c r="T571" s="161"/>
      <c r="U571" s="161"/>
      <c r="V571" s="161"/>
    </row>
    <row r="572">
      <c r="A572" s="157"/>
      <c r="B572" s="161"/>
      <c r="C572" s="193"/>
      <c r="D572" s="161"/>
      <c r="E572" s="193"/>
      <c r="F572" s="161"/>
      <c r="G572" s="161"/>
      <c r="H572" s="161"/>
      <c r="I572" s="161"/>
      <c r="J572" s="157"/>
      <c r="K572" s="161"/>
      <c r="L572" s="161"/>
      <c r="M572" s="161"/>
      <c r="N572" s="161"/>
      <c r="O572" s="161"/>
      <c r="P572" s="161"/>
      <c r="Q572" s="161"/>
      <c r="R572" s="161"/>
      <c r="S572" s="161"/>
      <c r="T572" s="161"/>
      <c r="U572" s="161"/>
      <c r="V572" s="161"/>
    </row>
    <row r="573">
      <c r="A573" s="157"/>
      <c r="B573" s="161"/>
      <c r="C573" s="193"/>
      <c r="D573" s="161"/>
      <c r="E573" s="193"/>
      <c r="F573" s="161"/>
      <c r="G573" s="161"/>
      <c r="H573" s="161"/>
      <c r="I573" s="161"/>
      <c r="J573" s="157"/>
      <c r="K573" s="161"/>
      <c r="L573" s="161"/>
      <c r="M573" s="161"/>
      <c r="N573" s="161"/>
      <c r="O573" s="161"/>
      <c r="P573" s="161"/>
      <c r="Q573" s="161"/>
      <c r="R573" s="161"/>
      <c r="S573" s="161"/>
      <c r="T573" s="161"/>
      <c r="U573" s="161"/>
      <c r="V573" s="161"/>
    </row>
    <row r="574">
      <c r="A574" s="157"/>
      <c r="B574" s="161"/>
      <c r="C574" s="193"/>
      <c r="D574" s="161"/>
      <c r="E574" s="193"/>
      <c r="F574" s="161"/>
      <c r="G574" s="161"/>
      <c r="H574" s="161"/>
      <c r="I574" s="161"/>
      <c r="J574" s="157"/>
      <c r="K574" s="161"/>
      <c r="L574" s="161"/>
      <c r="M574" s="161"/>
      <c r="N574" s="161"/>
      <c r="O574" s="161"/>
      <c r="P574" s="161"/>
      <c r="Q574" s="161"/>
      <c r="R574" s="161"/>
      <c r="S574" s="161"/>
      <c r="T574" s="161"/>
      <c r="U574" s="161"/>
      <c r="V574" s="161"/>
    </row>
    <row r="575">
      <c r="A575" s="157"/>
      <c r="B575" s="161"/>
      <c r="C575" s="193"/>
      <c r="D575" s="161"/>
      <c r="E575" s="193"/>
      <c r="F575" s="161"/>
      <c r="G575" s="161"/>
      <c r="H575" s="161"/>
      <c r="I575" s="161"/>
      <c r="J575" s="157"/>
      <c r="K575" s="161"/>
      <c r="L575" s="161"/>
      <c r="M575" s="161"/>
      <c r="N575" s="161"/>
      <c r="O575" s="161"/>
      <c r="P575" s="161"/>
      <c r="Q575" s="161"/>
      <c r="R575" s="161"/>
      <c r="S575" s="161"/>
      <c r="T575" s="161"/>
      <c r="U575" s="161"/>
      <c r="V575" s="161"/>
    </row>
    <row r="576">
      <c r="A576" s="157"/>
      <c r="B576" s="161"/>
      <c r="C576" s="193"/>
      <c r="D576" s="161"/>
      <c r="E576" s="193"/>
      <c r="F576" s="161"/>
      <c r="G576" s="161"/>
      <c r="H576" s="161"/>
      <c r="I576" s="161"/>
      <c r="J576" s="157"/>
      <c r="K576" s="161"/>
      <c r="L576" s="161"/>
      <c r="M576" s="161"/>
      <c r="N576" s="161"/>
      <c r="O576" s="161"/>
      <c r="P576" s="161"/>
      <c r="Q576" s="161"/>
      <c r="R576" s="161"/>
      <c r="S576" s="161"/>
      <c r="T576" s="161"/>
      <c r="U576" s="161"/>
      <c r="V576" s="161"/>
    </row>
    <row r="577">
      <c r="A577" s="157"/>
      <c r="B577" s="161"/>
      <c r="C577" s="193"/>
      <c r="D577" s="161"/>
      <c r="E577" s="193"/>
      <c r="F577" s="161"/>
      <c r="G577" s="161"/>
      <c r="H577" s="161"/>
      <c r="I577" s="161"/>
      <c r="J577" s="157"/>
      <c r="K577" s="161"/>
      <c r="L577" s="161"/>
      <c r="M577" s="161"/>
      <c r="N577" s="161"/>
      <c r="O577" s="161"/>
      <c r="P577" s="161"/>
      <c r="Q577" s="161"/>
      <c r="R577" s="161"/>
      <c r="S577" s="161"/>
      <c r="T577" s="161"/>
      <c r="U577" s="161"/>
      <c r="V577" s="161"/>
    </row>
    <row r="578">
      <c r="A578" s="157"/>
      <c r="B578" s="161"/>
      <c r="C578" s="193"/>
      <c r="D578" s="161"/>
      <c r="E578" s="193"/>
      <c r="F578" s="161"/>
      <c r="G578" s="161"/>
      <c r="H578" s="161"/>
      <c r="I578" s="161"/>
      <c r="J578" s="157"/>
      <c r="K578" s="161"/>
      <c r="L578" s="161"/>
      <c r="M578" s="161"/>
      <c r="N578" s="161"/>
      <c r="O578" s="161"/>
      <c r="P578" s="161"/>
      <c r="Q578" s="161"/>
      <c r="R578" s="161"/>
      <c r="S578" s="161"/>
      <c r="T578" s="161"/>
      <c r="U578" s="161"/>
      <c r="V578" s="161"/>
    </row>
    <row r="579">
      <c r="A579" s="157"/>
      <c r="B579" s="161"/>
      <c r="C579" s="193"/>
      <c r="D579" s="161"/>
      <c r="E579" s="193"/>
      <c r="F579" s="161"/>
      <c r="G579" s="161"/>
      <c r="H579" s="161"/>
      <c r="I579" s="161"/>
      <c r="J579" s="157"/>
      <c r="K579" s="161"/>
      <c r="L579" s="161"/>
      <c r="M579" s="161"/>
      <c r="N579" s="161"/>
      <c r="O579" s="161"/>
      <c r="P579" s="161"/>
      <c r="Q579" s="161"/>
      <c r="R579" s="161"/>
      <c r="S579" s="161"/>
      <c r="T579" s="161"/>
      <c r="U579" s="161"/>
      <c r="V579" s="161"/>
    </row>
    <row r="580">
      <c r="A580" s="157"/>
      <c r="B580" s="161"/>
      <c r="C580" s="193"/>
      <c r="D580" s="161"/>
      <c r="E580" s="193"/>
      <c r="F580" s="161"/>
      <c r="G580" s="161"/>
      <c r="H580" s="161"/>
      <c r="I580" s="161"/>
      <c r="J580" s="157"/>
      <c r="K580" s="161"/>
      <c r="L580" s="161"/>
      <c r="M580" s="161"/>
      <c r="N580" s="161"/>
      <c r="O580" s="161"/>
      <c r="P580" s="161"/>
      <c r="Q580" s="161"/>
      <c r="R580" s="161"/>
      <c r="S580" s="161"/>
      <c r="T580" s="161"/>
      <c r="U580" s="161"/>
      <c r="V580" s="161"/>
    </row>
    <row r="581">
      <c r="A581" s="157"/>
      <c r="B581" s="161"/>
      <c r="C581" s="193"/>
      <c r="D581" s="161"/>
      <c r="E581" s="193"/>
      <c r="F581" s="161"/>
      <c r="G581" s="161"/>
      <c r="H581" s="161"/>
      <c r="I581" s="161"/>
      <c r="J581" s="157"/>
      <c r="K581" s="161"/>
      <c r="L581" s="161"/>
      <c r="M581" s="161"/>
      <c r="N581" s="161"/>
      <c r="O581" s="161"/>
      <c r="P581" s="161"/>
      <c r="Q581" s="161"/>
      <c r="R581" s="161"/>
      <c r="S581" s="161"/>
      <c r="T581" s="161"/>
      <c r="U581" s="161"/>
      <c r="V581" s="161"/>
    </row>
    <row r="582">
      <c r="A582" s="157"/>
      <c r="B582" s="161"/>
      <c r="C582" s="193"/>
      <c r="D582" s="161"/>
      <c r="E582" s="193"/>
      <c r="F582" s="161"/>
      <c r="G582" s="161"/>
      <c r="H582" s="161"/>
      <c r="I582" s="161"/>
      <c r="J582" s="157"/>
      <c r="K582" s="161"/>
      <c r="L582" s="161"/>
      <c r="M582" s="161"/>
      <c r="N582" s="161"/>
      <c r="O582" s="161"/>
      <c r="P582" s="161"/>
      <c r="Q582" s="161"/>
      <c r="R582" s="161"/>
      <c r="S582" s="161"/>
      <c r="T582" s="161"/>
      <c r="U582" s="161"/>
      <c r="V582" s="161"/>
    </row>
    <row r="583">
      <c r="A583" s="157"/>
      <c r="B583" s="161"/>
      <c r="C583" s="193"/>
      <c r="D583" s="161"/>
      <c r="E583" s="193"/>
      <c r="F583" s="161"/>
      <c r="G583" s="161"/>
      <c r="H583" s="161"/>
      <c r="I583" s="161"/>
      <c r="J583" s="157"/>
      <c r="K583" s="161"/>
      <c r="L583" s="161"/>
      <c r="M583" s="161"/>
      <c r="N583" s="161"/>
      <c r="O583" s="161"/>
      <c r="P583" s="161"/>
      <c r="Q583" s="161"/>
      <c r="R583" s="161"/>
      <c r="S583" s="161"/>
      <c r="T583" s="161"/>
      <c r="U583" s="161"/>
      <c r="V583" s="161"/>
    </row>
    <row r="584">
      <c r="A584" s="157"/>
      <c r="B584" s="161"/>
      <c r="C584" s="193"/>
      <c r="D584" s="161"/>
      <c r="E584" s="193"/>
      <c r="F584" s="161"/>
      <c r="G584" s="161"/>
      <c r="H584" s="161"/>
      <c r="I584" s="161"/>
      <c r="J584" s="157"/>
      <c r="K584" s="161"/>
      <c r="L584" s="161"/>
      <c r="M584" s="161"/>
      <c r="N584" s="161"/>
      <c r="O584" s="161"/>
      <c r="P584" s="161"/>
      <c r="Q584" s="161"/>
      <c r="R584" s="161"/>
      <c r="S584" s="161"/>
      <c r="T584" s="161"/>
      <c r="U584" s="161"/>
      <c r="V584" s="161"/>
    </row>
    <row r="585">
      <c r="A585" s="157"/>
      <c r="B585" s="161"/>
      <c r="C585" s="193"/>
      <c r="D585" s="161"/>
      <c r="E585" s="193"/>
      <c r="F585" s="161"/>
      <c r="G585" s="161"/>
      <c r="H585" s="161"/>
      <c r="I585" s="161"/>
      <c r="J585" s="157"/>
      <c r="K585" s="161"/>
      <c r="L585" s="161"/>
      <c r="M585" s="161"/>
      <c r="N585" s="161"/>
      <c r="O585" s="161"/>
      <c r="P585" s="161"/>
      <c r="Q585" s="161"/>
      <c r="R585" s="161"/>
      <c r="S585" s="161"/>
      <c r="T585" s="161"/>
      <c r="U585" s="161"/>
      <c r="V585" s="161"/>
    </row>
    <row r="586">
      <c r="A586" s="157"/>
      <c r="B586" s="161"/>
      <c r="C586" s="193"/>
      <c r="D586" s="161"/>
      <c r="E586" s="193"/>
      <c r="F586" s="161"/>
      <c r="G586" s="161"/>
      <c r="H586" s="161"/>
      <c r="I586" s="161"/>
      <c r="J586" s="157"/>
      <c r="K586" s="161"/>
      <c r="L586" s="161"/>
      <c r="M586" s="161"/>
      <c r="N586" s="161"/>
      <c r="O586" s="161"/>
      <c r="P586" s="161"/>
      <c r="Q586" s="161"/>
      <c r="R586" s="161"/>
      <c r="S586" s="161"/>
      <c r="T586" s="161"/>
      <c r="U586" s="161"/>
      <c r="V586" s="161"/>
    </row>
    <row r="587">
      <c r="A587" s="157"/>
      <c r="B587" s="161"/>
      <c r="C587" s="193"/>
      <c r="D587" s="161"/>
      <c r="E587" s="193"/>
      <c r="F587" s="161"/>
      <c r="G587" s="161"/>
      <c r="H587" s="161"/>
      <c r="I587" s="161"/>
      <c r="J587" s="157"/>
      <c r="K587" s="161"/>
      <c r="L587" s="161"/>
      <c r="M587" s="161"/>
      <c r="N587" s="161"/>
      <c r="O587" s="161"/>
      <c r="P587" s="161"/>
      <c r="Q587" s="161"/>
      <c r="R587" s="161"/>
      <c r="S587" s="161"/>
      <c r="T587" s="161"/>
      <c r="U587" s="161"/>
      <c r="V587" s="161"/>
    </row>
    <row r="588">
      <c r="A588" s="157"/>
      <c r="B588" s="161"/>
      <c r="C588" s="193"/>
      <c r="D588" s="161"/>
      <c r="E588" s="193"/>
      <c r="F588" s="161"/>
      <c r="G588" s="161"/>
      <c r="H588" s="161"/>
      <c r="I588" s="161"/>
      <c r="J588" s="157"/>
      <c r="K588" s="161"/>
      <c r="L588" s="161"/>
      <c r="M588" s="161"/>
      <c r="N588" s="161"/>
      <c r="O588" s="161"/>
      <c r="P588" s="161"/>
      <c r="Q588" s="161"/>
      <c r="R588" s="161"/>
      <c r="S588" s="161"/>
      <c r="T588" s="161"/>
      <c r="U588" s="161"/>
      <c r="V588" s="161"/>
    </row>
    <row r="589">
      <c r="A589" s="157"/>
      <c r="B589" s="161"/>
      <c r="C589" s="193"/>
      <c r="D589" s="161"/>
      <c r="E589" s="193"/>
      <c r="F589" s="161"/>
      <c r="G589" s="161"/>
      <c r="H589" s="161"/>
      <c r="I589" s="161"/>
      <c r="J589" s="157"/>
      <c r="K589" s="161"/>
      <c r="L589" s="161"/>
      <c r="M589" s="161"/>
      <c r="N589" s="161"/>
      <c r="O589" s="161"/>
      <c r="P589" s="161"/>
      <c r="Q589" s="161"/>
      <c r="R589" s="161"/>
      <c r="S589" s="161"/>
      <c r="T589" s="161"/>
      <c r="U589" s="161"/>
      <c r="V589" s="161"/>
    </row>
    <row r="590">
      <c r="A590" s="157"/>
      <c r="B590" s="161"/>
      <c r="C590" s="193"/>
      <c r="D590" s="161"/>
      <c r="E590" s="193"/>
      <c r="F590" s="161"/>
      <c r="G590" s="161"/>
      <c r="H590" s="161"/>
      <c r="I590" s="161"/>
      <c r="J590" s="157"/>
      <c r="K590" s="161"/>
      <c r="L590" s="161"/>
      <c r="M590" s="161"/>
      <c r="N590" s="161"/>
      <c r="O590" s="161"/>
      <c r="P590" s="161"/>
      <c r="Q590" s="161"/>
      <c r="R590" s="161"/>
      <c r="S590" s="161"/>
      <c r="T590" s="161"/>
      <c r="U590" s="161"/>
      <c r="V590" s="161"/>
    </row>
    <row r="591">
      <c r="A591" s="157"/>
      <c r="B591" s="161"/>
      <c r="C591" s="193"/>
      <c r="D591" s="161"/>
      <c r="E591" s="193"/>
      <c r="F591" s="161"/>
      <c r="G591" s="161"/>
      <c r="H591" s="161"/>
      <c r="I591" s="161"/>
      <c r="J591" s="157"/>
      <c r="K591" s="161"/>
      <c r="L591" s="161"/>
      <c r="M591" s="161"/>
      <c r="N591" s="161"/>
      <c r="O591" s="161"/>
      <c r="P591" s="161"/>
      <c r="Q591" s="161"/>
      <c r="R591" s="161"/>
      <c r="S591" s="161"/>
      <c r="T591" s="161"/>
      <c r="U591" s="161"/>
      <c r="V591" s="161"/>
    </row>
    <row r="592">
      <c r="A592" s="157"/>
      <c r="B592" s="161"/>
      <c r="C592" s="193"/>
      <c r="D592" s="161"/>
      <c r="E592" s="193"/>
      <c r="F592" s="161"/>
      <c r="G592" s="161"/>
      <c r="H592" s="161"/>
      <c r="I592" s="161"/>
      <c r="J592" s="157"/>
      <c r="K592" s="161"/>
      <c r="L592" s="161"/>
      <c r="M592" s="161"/>
      <c r="N592" s="161"/>
      <c r="O592" s="161"/>
      <c r="P592" s="161"/>
      <c r="Q592" s="161"/>
      <c r="R592" s="161"/>
      <c r="S592" s="161"/>
      <c r="T592" s="161"/>
      <c r="U592" s="161"/>
      <c r="V592" s="161"/>
    </row>
    <row r="593">
      <c r="A593" s="157"/>
      <c r="B593" s="161"/>
      <c r="C593" s="193"/>
      <c r="D593" s="161"/>
      <c r="E593" s="193"/>
      <c r="F593" s="161"/>
      <c r="G593" s="161"/>
      <c r="H593" s="161"/>
      <c r="I593" s="161"/>
      <c r="J593" s="157"/>
      <c r="K593" s="161"/>
      <c r="L593" s="161"/>
      <c r="M593" s="161"/>
      <c r="N593" s="161"/>
      <c r="O593" s="161"/>
      <c r="P593" s="161"/>
      <c r="Q593" s="161"/>
      <c r="R593" s="161"/>
      <c r="S593" s="161"/>
      <c r="T593" s="161"/>
      <c r="U593" s="161"/>
      <c r="V593" s="161"/>
    </row>
    <row r="594">
      <c r="A594" s="157"/>
      <c r="B594" s="161"/>
      <c r="C594" s="193"/>
      <c r="D594" s="161"/>
      <c r="E594" s="193"/>
      <c r="F594" s="161"/>
      <c r="G594" s="161"/>
      <c r="H594" s="161"/>
      <c r="I594" s="161"/>
      <c r="J594" s="157"/>
      <c r="K594" s="161"/>
      <c r="L594" s="161"/>
      <c r="M594" s="161"/>
      <c r="N594" s="161"/>
      <c r="O594" s="161"/>
      <c r="P594" s="161"/>
      <c r="Q594" s="161"/>
      <c r="R594" s="161"/>
      <c r="S594" s="161"/>
      <c r="T594" s="161"/>
      <c r="U594" s="161"/>
      <c r="V594" s="161"/>
    </row>
    <row r="595">
      <c r="A595" s="157"/>
      <c r="B595" s="161"/>
      <c r="C595" s="193"/>
      <c r="D595" s="161"/>
      <c r="E595" s="193"/>
      <c r="F595" s="161"/>
      <c r="G595" s="161"/>
      <c r="H595" s="161"/>
      <c r="I595" s="161"/>
      <c r="J595" s="157"/>
      <c r="K595" s="161"/>
      <c r="L595" s="161"/>
      <c r="M595" s="161"/>
      <c r="N595" s="161"/>
      <c r="O595" s="161"/>
      <c r="P595" s="161"/>
      <c r="Q595" s="161"/>
      <c r="R595" s="161"/>
      <c r="S595" s="161"/>
      <c r="T595" s="161"/>
      <c r="U595" s="161"/>
      <c r="V595" s="161"/>
    </row>
    <row r="596">
      <c r="A596" s="157"/>
      <c r="B596" s="161"/>
      <c r="C596" s="193"/>
      <c r="D596" s="161"/>
      <c r="E596" s="193"/>
      <c r="F596" s="161"/>
      <c r="G596" s="161"/>
      <c r="H596" s="161"/>
      <c r="I596" s="161"/>
      <c r="J596" s="157"/>
      <c r="K596" s="161"/>
      <c r="L596" s="161"/>
      <c r="M596" s="161"/>
      <c r="N596" s="161"/>
      <c r="O596" s="161"/>
      <c r="P596" s="161"/>
      <c r="Q596" s="161"/>
      <c r="R596" s="161"/>
      <c r="S596" s="161"/>
      <c r="T596" s="161"/>
      <c r="U596" s="161"/>
      <c r="V596" s="161"/>
    </row>
    <row r="597">
      <c r="A597" s="157"/>
      <c r="B597" s="161"/>
      <c r="C597" s="193"/>
      <c r="D597" s="161"/>
      <c r="E597" s="193"/>
      <c r="F597" s="161"/>
      <c r="G597" s="161"/>
      <c r="H597" s="161"/>
      <c r="I597" s="161"/>
      <c r="J597" s="157"/>
      <c r="K597" s="161"/>
      <c r="L597" s="161"/>
      <c r="M597" s="161"/>
      <c r="N597" s="161"/>
      <c r="O597" s="161"/>
      <c r="P597" s="161"/>
      <c r="Q597" s="161"/>
      <c r="R597" s="161"/>
      <c r="S597" s="161"/>
      <c r="T597" s="161"/>
      <c r="U597" s="161"/>
      <c r="V597" s="161"/>
    </row>
    <row r="598">
      <c r="A598" s="157"/>
      <c r="B598" s="161"/>
      <c r="C598" s="193"/>
      <c r="D598" s="161"/>
      <c r="E598" s="193"/>
      <c r="F598" s="161"/>
      <c r="G598" s="161"/>
      <c r="H598" s="161"/>
      <c r="I598" s="161"/>
      <c r="J598" s="157"/>
      <c r="K598" s="161"/>
      <c r="L598" s="161"/>
      <c r="M598" s="161"/>
      <c r="N598" s="161"/>
      <c r="O598" s="161"/>
      <c r="P598" s="161"/>
      <c r="Q598" s="161"/>
      <c r="R598" s="161"/>
      <c r="S598" s="161"/>
      <c r="T598" s="161"/>
      <c r="U598" s="161"/>
      <c r="V598" s="161"/>
    </row>
    <row r="599">
      <c r="A599" s="157"/>
      <c r="B599" s="161"/>
      <c r="C599" s="193"/>
      <c r="D599" s="161"/>
      <c r="E599" s="193"/>
      <c r="F599" s="161"/>
      <c r="G599" s="161"/>
      <c r="H599" s="161"/>
      <c r="I599" s="161"/>
      <c r="J599" s="157"/>
      <c r="K599" s="161"/>
      <c r="L599" s="161"/>
      <c r="M599" s="161"/>
      <c r="N599" s="161"/>
      <c r="O599" s="161"/>
      <c r="P599" s="161"/>
      <c r="Q599" s="161"/>
      <c r="R599" s="161"/>
      <c r="S599" s="161"/>
      <c r="T599" s="161"/>
      <c r="U599" s="161"/>
      <c r="V599" s="161"/>
    </row>
    <row r="600">
      <c r="A600" s="157"/>
      <c r="B600" s="161"/>
      <c r="C600" s="193"/>
      <c r="D600" s="161"/>
      <c r="E600" s="193"/>
      <c r="F600" s="161"/>
      <c r="G600" s="161"/>
      <c r="H600" s="161"/>
      <c r="I600" s="161"/>
      <c r="J600" s="157"/>
      <c r="K600" s="161"/>
      <c r="L600" s="161"/>
      <c r="M600" s="161"/>
      <c r="N600" s="161"/>
      <c r="O600" s="161"/>
      <c r="P600" s="161"/>
      <c r="Q600" s="161"/>
      <c r="R600" s="161"/>
      <c r="S600" s="161"/>
      <c r="T600" s="161"/>
      <c r="U600" s="161"/>
      <c r="V600" s="161"/>
    </row>
    <row r="601">
      <c r="A601" s="157"/>
      <c r="B601" s="161"/>
      <c r="C601" s="193"/>
      <c r="D601" s="161"/>
      <c r="E601" s="193"/>
      <c r="F601" s="161"/>
      <c r="G601" s="161"/>
      <c r="H601" s="161"/>
      <c r="I601" s="161"/>
      <c r="J601" s="157"/>
      <c r="K601" s="161"/>
      <c r="L601" s="161"/>
      <c r="M601" s="161"/>
      <c r="N601" s="161"/>
      <c r="O601" s="161"/>
      <c r="P601" s="161"/>
      <c r="Q601" s="161"/>
      <c r="R601" s="161"/>
      <c r="S601" s="161"/>
      <c r="T601" s="161"/>
      <c r="U601" s="161"/>
      <c r="V601" s="161"/>
    </row>
    <row r="602">
      <c r="A602" s="157"/>
      <c r="B602" s="161"/>
      <c r="C602" s="193"/>
      <c r="D602" s="161"/>
      <c r="E602" s="193"/>
      <c r="F602" s="161"/>
      <c r="G602" s="161"/>
      <c r="H602" s="161"/>
      <c r="I602" s="161"/>
      <c r="J602" s="157"/>
      <c r="K602" s="161"/>
      <c r="L602" s="161"/>
      <c r="M602" s="161"/>
      <c r="N602" s="161"/>
      <c r="O602" s="161"/>
      <c r="P602" s="161"/>
      <c r="Q602" s="161"/>
      <c r="R602" s="161"/>
      <c r="S602" s="161"/>
      <c r="T602" s="161"/>
      <c r="U602" s="161"/>
      <c r="V602" s="161"/>
    </row>
    <row r="603">
      <c r="A603" s="157"/>
      <c r="B603" s="161"/>
      <c r="C603" s="193"/>
      <c r="D603" s="161"/>
      <c r="E603" s="193"/>
      <c r="F603" s="161"/>
      <c r="G603" s="161"/>
      <c r="H603" s="161"/>
      <c r="I603" s="161"/>
      <c r="J603" s="157"/>
      <c r="K603" s="161"/>
      <c r="L603" s="161"/>
      <c r="M603" s="161"/>
      <c r="N603" s="161"/>
      <c r="O603" s="161"/>
      <c r="P603" s="161"/>
      <c r="Q603" s="161"/>
      <c r="R603" s="161"/>
      <c r="S603" s="161"/>
      <c r="T603" s="161"/>
      <c r="U603" s="161"/>
      <c r="V603" s="161"/>
    </row>
    <row r="604">
      <c r="A604" s="157"/>
      <c r="B604" s="161"/>
      <c r="C604" s="193"/>
      <c r="D604" s="161"/>
      <c r="E604" s="193"/>
      <c r="F604" s="161"/>
      <c r="G604" s="161"/>
      <c r="H604" s="161"/>
      <c r="I604" s="161"/>
      <c r="J604" s="157"/>
      <c r="K604" s="161"/>
      <c r="L604" s="161"/>
      <c r="M604" s="161"/>
      <c r="N604" s="161"/>
      <c r="O604" s="161"/>
      <c r="P604" s="161"/>
      <c r="Q604" s="161"/>
      <c r="R604" s="161"/>
      <c r="S604" s="161"/>
      <c r="T604" s="161"/>
      <c r="U604" s="161"/>
      <c r="V604" s="161"/>
    </row>
    <row r="605">
      <c r="A605" s="157"/>
      <c r="B605" s="161"/>
      <c r="C605" s="193"/>
      <c r="D605" s="161"/>
      <c r="E605" s="193"/>
      <c r="F605" s="161"/>
      <c r="G605" s="161"/>
      <c r="H605" s="161"/>
      <c r="I605" s="161"/>
      <c r="J605" s="157"/>
      <c r="K605" s="161"/>
      <c r="L605" s="161"/>
      <c r="M605" s="161"/>
      <c r="N605" s="161"/>
      <c r="O605" s="161"/>
      <c r="P605" s="161"/>
      <c r="Q605" s="161"/>
      <c r="R605" s="161"/>
      <c r="S605" s="161"/>
      <c r="T605" s="161"/>
      <c r="U605" s="161"/>
      <c r="V605" s="161"/>
    </row>
    <row r="606">
      <c r="A606" s="157"/>
      <c r="B606" s="161"/>
      <c r="C606" s="193"/>
      <c r="D606" s="161"/>
      <c r="E606" s="193"/>
      <c r="F606" s="161"/>
      <c r="G606" s="161"/>
      <c r="H606" s="161"/>
      <c r="I606" s="161"/>
      <c r="J606" s="157"/>
      <c r="K606" s="161"/>
      <c r="L606" s="161"/>
      <c r="M606" s="161"/>
      <c r="N606" s="161"/>
      <c r="O606" s="161"/>
      <c r="P606" s="161"/>
      <c r="Q606" s="161"/>
      <c r="R606" s="161"/>
      <c r="S606" s="161"/>
      <c r="T606" s="161"/>
      <c r="U606" s="161"/>
      <c r="V606" s="161"/>
    </row>
    <row r="607">
      <c r="A607" s="157"/>
      <c r="B607" s="161"/>
      <c r="C607" s="193"/>
      <c r="D607" s="161"/>
      <c r="E607" s="193"/>
      <c r="F607" s="161"/>
      <c r="G607" s="161"/>
      <c r="H607" s="161"/>
      <c r="I607" s="161"/>
      <c r="J607" s="157"/>
      <c r="K607" s="161"/>
      <c r="L607" s="161"/>
      <c r="M607" s="161"/>
      <c r="N607" s="161"/>
      <c r="O607" s="161"/>
      <c r="P607" s="161"/>
      <c r="Q607" s="161"/>
      <c r="R607" s="161"/>
      <c r="S607" s="161"/>
      <c r="T607" s="161"/>
      <c r="U607" s="161"/>
      <c r="V607" s="161"/>
    </row>
    <row r="608">
      <c r="A608" s="157"/>
      <c r="B608" s="161"/>
      <c r="C608" s="193"/>
      <c r="D608" s="161"/>
      <c r="E608" s="193"/>
      <c r="F608" s="161"/>
      <c r="G608" s="161"/>
      <c r="H608" s="161"/>
      <c r="I608" s="161"/>
      <c r="J608" s="157"/>
      <c r="K608" s="161"/>
      <c r="L608" s="161"/>
      <c r="M608" s="161"/>
      <c r="N608" s="161"/>
      <c r="O608" s="161"/>
      <c r="P608" s="161"/>
      <c r="Q608" s="161"/>
      <c r="R608" s="161"/>
      <c r="S608" s="161"/>
      <c r="T608" s="161"/>
      <c r="U608" s="161"/>
      <c r="V608" s="161"/>
    </row>
    <row r="609">
      <c r="A609" s="157"/>
      <c r="B609" s="161"/>
      <c r="C609" s="193"/>
      <c r="D609" s="161"/>
      <c r="E609" s="193"/>
      <c r="F609" s="161"/>
      <c r="G609" s="161"/>
      <c r="H609" s="161"/>
      <c r="I609" s="161"/>
      <c r="J609" s="157"/>
      <c r="K609" s="161"/>
      <c r="L609" s="161"/>
      <c r="M609" s="161"/>
      <c r="N609" s="161"/>
      <c r="O609" s="161"/>
      <c r="P609" s="161"/>
      <c r="Q609" s="161"/>
      <c r="R609" s="161"/>
      <c r="S609" s="161"/>
      <c r="T609" s="161"/>
      <c r="U609" s="161"/>
      <c r="V609" s="161"/>
    </row>
    <row r="610">
      <c r="A610" s="157"/>
      <c r="B610" s="161"/>
      <c r="C610" s="193"/>
      <c r="D610" s="161"/>
      <c r="E610" s="193"/>
      <c r="F610" s="161"/>
      <c r="G610" s="161"/>
      <c r="H610" s="161"/>
      <c r="I610" s="161"/>
      <c r="J610" s="157"/>
      <c r="K610" s="161"/>
      <c r="L610" s="161"/>
      <c r="M610" s="161"/>
      <c r="N610" s="161"/>
      <c r="O610" s="161"/>
      <c r="P610" s="161"/>
      <c r="Q610" s="161"/>
      <c r="R610" s="161"/>
      <c r="S610" s="161"/>
      <c r="T610" s="161"/>
      <c r="U610" s="161"/>
      <c r="V610" s="161"/>
    </row>
    <row r="611">
      <c r="A611" s="157"/>
      <c r="B611" s="161"/>
      <c r="C611" s="193"/>
      <c r="D611" s="161"/>
      <c r="E611" s="193"/>
      <c r="F611" s="161"/>
      <c r="G611" s="161"/>
      <c r="H611" s="161"/>
      <c r="I611" s="161"/>
      <c r="J611" s="157"/>
      <c r="K611" s="161"/>
      <c r="L611" s="161"/>
      <c r="M611" s="161"/>
      <c r="N611" s="161"/>
      <c r="O611" s="161"/>
      <c r="P611" s="161"/>
      <c r="Q611" s="161"/>
      <c r="R611" s="161"/>
      <c r="S611" s="161"/>
      <c r="T611" s="161"/>
      <c r="U611" s="161"/>
      <c r="V611" s="161"/>
    </row>
    <row r="612">
      <c r="A612" s="157"/>
      <c r="B612" s="161"/>
      <c r="C612" s="193"/>
      <c r="D612" s="161"/>
      <c r="E612" s="193"/>
      <c r="F612" s="161"/>
      <c r="G612" s="161"/>
      <c r="H612" s="161"/>
      <c r="I612" s="161"/>
      <c r="J612" s="157"/>
      <c r="K612" s="161"/>
      <c r="L612" s="161"/>
      <c r="M612" s="161"/>
      <c r="N612" s="161"/>
      <c r="O612" s="161"/>
      <c r="P612" s="161"/>
      <c r="Q612" s="161"/>
      <c r="R612" s="161"/>
      <c r="S612" s="161"/>
      <c r="T612" s="161"/>
      <c r="U612" s="161"/>
      <c r="V612" s="161"/>
    </row>
    <row r="613">
      <c r="A613" s="157"/>
      <c r="B613" s="161"/>
      <c r="C613" s="193"/>
      <c r="D613" s="161"/>
      <c r="E613" s="193"/>
      <c r="F613" s="161"/>
      <c r="G613" s="161"/>
      <c r="H613" s="161"/>
      <c r="I613" s="161"/>
      <c r="J613" s="157"/>
      <c r="K613" s="161"/>
      <c r="L613" s="161"/>
      <c r="M613" s="161"/>
      <c r="N613" s="161"/>
      <c r="O613" s="161"/>
      <c r="P613" s="161"/>
      <c r="Q613" s="161"/>
      <c r="R613" s="161"/>
      <c r="S613" s="161"/>
      <c r="T613" s="161"/>
      <c r="U613" s="161"/>
      <c r="V613" s="161"/>
    </row>
    <row r="614">
      <c r="A614" s="157"/>
      <c r="B614" s="161"/>
      <c r="C614" s="193"/>
      <c r="D614" s="161"/>
      <c r="E614" s="193"/>
      <c r="F614" s="161"/>
      <c r="G614" s="161"/>
      <c r="H614" s="161"/>
      <c r="I614" s="161"/>
      <c r="J614" s="157"/>
      <c r="K614" s="161"/>
      <c r="L614" s="161"/>
      <c r="M614" s="161"/>
      <c r="N614" s="161"/>
      <c r="O614" s="161"/>
      <c r="P614" s="161"/>
      <c r="Q614" s="161"/>
      <c r="R614" s="161"/>
      <c r="S614" s="161"/>
      <c r="T614" s="161"/>
      <c r="U614" s="161"/>
      <c r="V614" s="161"/>
    </row>
    <row r="615">
      <c r="A615" s="157"/>
      <c r="B615" s="161"/>
      <c r="C615" s="193"/>
      <c r="D615" s="161"/>
      <c r="E615" s="193"/>
      <c r="F615" s="161"/>
      <c r="G615" s="161"/>
      <c r="H615" s="161"/>
      <c r="I615" s="161"/>
      <c r="J615" s="157"/>
      <c r="K615" s="161"/>
      <c r="L615" s="161"/>
      <c r="M615" s="161"/>
      <c r="N615" s="161"/>
      <c r="O615" s="161"/>
      <c r="P615" s="161"/>
      <c r="Q615" s="161"/>
      <c r="R615" s="161"/>
      <c r="S615" s="161"/>
      <c r="T615" s="161"/>
      <c r="U615" s="161"/>
      <c r="V615" s="161"/>
    </row>
    <row r="616">
      <c r="A616" s="157"/>
      <c r="B616" s="161"/>
      <c r="C616" s="193"/>
      <c r="D616" s="161"/>
      <c r="E616" s="193"/>
      <c r="F616" s="161"/>
      <c r="G616" s="161"/>
      <c r="H616" s="161"/>
      <c r="I616" s="161"/>
      <c r="J616" s="157"/>
      <c r="K616" s="161"/>
      <c r="L616" s="161"/>
      <c r="M616" s="161"/>
      <c r="N616" s="161"/>
      <c r="O616" s="161"/>
      <c r="P616" s="161"/>
      <c r="Q616" s="161"/>
      <c r="R616" s="161"/>
      <c r="S616" s="161"/>
      <c r="T616" s="161"/>
      <c r="U616" s="161"/>
      <c r="V616" s="161"/>
    </row>
    <row r="617">
      <c r="A617" s="157"/>
      <c r="B617" s="161"/>
      <c r="C617" s="193"/>
      <c r="D617" s="161"/>
      <c r="E617" s="193"/>
      <c r="F617" s="161"/>
      <c r="G617" s="161"/>
      <c r="H617" s="161"/>
      <c r="I617" s="161"/>
      <c r="J617" s="157"/>
      <c r="K617" s="161"/>
      <c r="L617" s="161"/>
      <c r="M617" s="161"/>
      <c r="N617" s="161"/>
      <c r="O617" s="161"/>
      <c r="P617" s="161"/>
      <c r="Q617" s="161"/>
      <c r="R617" s="161"/>
      <c r="S617" s="161"/>
      <c r="T617" s="161"/>
      <c r="U617" s="161"/>
      <c r="V617" s="161"/>
    </row>
    <row r="618">
      <c r="A618" s="157"/>
      <c r="B618" s="161"/>
      <c r="C618" s="193"/>
      <c r="D618" s="161"/>
      <c r="E618" s="193"/>
      <c r="F618" s="161"/>
      <c r="G618" s="161"/>
      <c r="H618" s="161"/>
      <c r="I618" s="161"/>
      <c r="J618" s="157"/>
      <c r="K618" s="161"/>
      <c r="L618" s="161"/>
      <c r="M618" s="161"/>
      <c r="N618" s="161"/>
      <c r="O618" s="161"/>
      <c r="P618" s="161"/>
      <c r="Q618" s="161"/>
      <c r="R618" s="161"/>
      <c r="S618" s="161"/>
      <c r="T618" s="161"/>
      <c r="U618" s="161"/>
      <c r="V618" s="161"/>
    </row>
    <row r="619">
      <c r="A619" s="157"/>
      <c r="B619" s="161"/>
      <c r="C619" s="193"/>
      <c r="D619" s="161"/>
      <c r="E619" s="193"/>
      <c r="F619" s="161"/>
      <c r="G619" s="161"/>
      <c r="H619" s="161"/>
      <c r="I619" s="161"/>
      <c r="J619" s="157"/>
      <c r="K619" s="161"/>
      <c r="L619" s="161"/>
      <c r="M619" s="161"/>
      <c r="N619" s="161"/>
      <c r="O619" s="161"/>
      <c r="P619" s="161"/>
      <c r="Q619" s="161"/>
      <c r="R619" s="161"/>
      <c r="S619" s="161"/>
      <c r="T619" s="161"/>
      <c r="U619" s="161"/>
      <c r="V619" s="161"/>
    </row>
    <row r="620">
      <c r="A620" s="157"/>
      <c r="B620" s="161"/>
      <c r="C620" s="193"/>
      <c r="D620" s="161"/>
      <c r="E620" s="193"/>
      <c r="F620" s="161"/>
      <c r="G620" s="161"/>
      <c r="H620" s="161"/>
      <c r="I620" s="161"/>
      <c r="J620" s="157"/>
      <c r="K620" s="161"/>
      <c r="L620" s="161"/>
      <c r="M620" s="161"/>
      <c r="N620" s="161"/>
      <c r="O620" s="161"/>
      <c r="P620" s="161"/>
      <c r="Q620" s="161"/>
      <c r="R620" s="161"/>
      <c r="S620" s="161"/>
      <c r="T620" s="161"/>
      <c r="U620" s="161"/>
      <c r="V620" s="161"/>
    </row>
    <row r="621">
      <c r="A621" s="157"/>
      <c r="B621" s="161"/>
      <c r="C621" s="193"/>
      <c r="D621" s="161"/>
      <c r="E621" s="193"/>
      <c r="F621" s="161"/>
      <c r="G621" s="161"/>
      <c r="H621" s="161"/>
      <c r="I621" s="161"/>
      <c r="J621" s="157"/>
      <c r="K621" s="161"/>
      <c r="L621" s="161"/>
      <c r="M621" s="161"/>
      <c r="N621" s="161"/>
      <c r="O621" s="161"/>
      <c r="P621" s="161"/>
      <c r="Q621" s="161"/>
      <c r="R621" s="161"/>
      <c r="S621" s="161"/>
      <c r="T621" s="161"/>
      <c r="U621" s="161"/>
      <c r="V621" s="161"/>
    </row>
    <row r="622">
      <c r="A622" s="157"/>
      <c r="B622" s="161"/>
      <c r="C622" s="193"/>
      <c r="D622" s="161"/>
      <c r="E622" s="193"/>
      <c r="F622" s="161"/>
      <c r="G622" s="161"/>
      <c r="H622" s="161"/>
      <c r="I622" s="161"/>
      <c r="J622" s="157"/>
      <c r="K622" s="161"/>
      <c r="L622" s="161"/>
      <c r="M622" s="161"/>
      <c r="N622" s="161"/>
      <c r="O622" s="161"/>
      <c r="P622" s="161"/>
      <c r="Q622" s="161"/>
      <c r="R622" s="161"/>
      <c r="S622" s="161"/>
      <c r="T622" s="161"/>
      <c r="U622" s="161"/>
      <c r="V622" s="161"/>
    </row>
    <row r="623">
      <c r="A623" s="157"/>
      <c r="B623" s="161"/>
      <c r="C623" s="193"/>
      <c r="D623" s="161"/>
      <c r="E623" s="193"/>
      <c r="F623" s="161"/>
      <c r="G623" s="161"/>
      <c r="H623" s="161"/>
      <c r="I623" s="161"/>
      <c r="J623" s="157"/>
      <c r="K623" s="161"/>
      <c r="L623" s="161"/>
      <c r="M623" s="161"/>
      <c r="N623" s="161"/>
      <c r="O623" s="161"/>
      <c r="P623" s="161"/>
      <c r="Q623" s="161"/>
      <c r="R623" s="161"/>
      <c r="S623" s="161"/>
      <c r="T623" s="161"/>
      <c r="U623" s="161"/>
      <c r="V623" s="161"/>
    </row>
    <row r="624">
      <c r="A624" s="157"/>
      <c r="B624" s="161"/>
      <c r="C624" s="193"/>
      <c r="D624" s="161"/>
      <c r="E624" s="193"/>
      <c r="F624" s="161"/>
      <c r="G624" s="161"/>
      <c r="H624" s="161"/>
      <c r="I624" s="161"/>
      <c r="J624" s="157"/>
      <c r="K624" s="161"/>
      <c r="L624" s="161"/>
      <c r="M624" s="161"/>
      <c r="N624" s="161"/>
      <c r="O624" s="161"/>
      <c r="P624" s="161"/>
      <c r="Q624" s="161"/>
      <c r="R624" s="161"/>
      <c r="S624" s="161"/>
      <c r="T624" s="161"/>
      <c r="U624" s="161"/>
      <c r="V624" s="161"/>
    </row>
    <row r="625">
      <c r="A625" s="157"/>
      <c r="B625" s="161"/>
      <c r="C625" s="193"/>
      <c r="D625" s="161"/>
      <c r="E625" s="193"/>
      <c r="F625" s="161"/>
      <c r="G625" s="161"/>
      <c r="H625" s="161"/>
      <c r="I625" s="161"/>
      <c r="J625" s="157"/>
      <c r="K625" s="161"/>
      <c r="L625" s="161"/>
      <c r="M625" s="161"/>
      <c r="N625" s="161"/>
      <c r="O625" s="161"/>
      <c r="P625" s="161"/>
      <c r="Q625" s="161"/>
      <c r="R625" s="161"/>
      <c r="S625" s="161"/>
      <c r="T625" s="161"/>
      <c r="U625" s="161"/>
      <c r="V625" s="161"/>
    </row>
    <row r="626">
      <c r="A626" s="157"/>
      <c r="B626" s="161"/>
      <c r="C626" s="193"/>
      <c r="D626" s="161"/>
      <c r="E626" s="193"/>
      <c r="F626" s="161"/>
      <c r="G626" s="161"/>
      <c r="H626" s="161"/>
      <c r="I626" s="161"/>
      <c r="J626" s="157"/>
      <c r="K626" s="161"/>
      <c r="L626" s="161"/>
      <c r="M626" s="161"/>
      <c r="N626" s="161"/>
      <c r="O626" s="161"/>
      <c r="P626" s="161"/>
      <c r="Q626" s="161"/>
      <c r="R626" s="161"/>
      <c r="S626" s="161"/>
      <c r="T626" s="161"/>
      <c r="U626" s="161"/>
      <c r="V626" s="161"/>
    </row>
    <row r="627">
      <c r="A627" s="157"/>
      <c r="B627" s="161"/>
      <c r="C627" s="193"/>
      <c r="D627" s="161"/>
      <c r="E627" s="193"/>
      <c r="F627" s="161"/>
      <c r="G627" s="161"/>
      <c r="H627" s="161"/>
      <c r="I627" s="161"/>
      <c r="J627" s="157"/>
      <c r="K627" s="161"/>
      <c r="L627" s="161"/>
      <c r="M627" s="161"/>
      <c r="N627" s="161"/>
      <c r="O627" s="161"/>
      <c r="P627" s="161"/>
      <c r="Q627" s="161"/>
      <c r="R627" s="161"/>
      <c r="S627" s="161"/>
      <c r="T627" s="161"/>
      <c r="U627" s="161"/>
      <c r="V627" s="161"/>
    </row>
    <row r="628">
      <c r="A628" s="157"/>
      <c r="B628" s="161"/>
      <c r="C628" s="193"/>
      <c r="D628" s="161"/>
      <c r="E628" s="193"/>
      <c r="F628" s="161"/>
      <c r="G628" s="161"/>
      <c r="H628" s="161"/>
      <c r="I628" s="161"/>
      <c r="J628" s="157"/>
      <c r="K628" s="161"/>
      <c r="L628" s="161"/>
      <c r="M628" s="161"/>
      <c r="N628" s="161"/>
      <c r="O628" s="161"/>
      <c r="P628" s="161"/>
      <c r="Q628" s="161"/>
      <c r="R628" s="161"/>
      <c r="S628" s="161"/>
      <c r="T628" s="161"/>
      <c r="U628" s="161"/>
      <c r="V628" s="161"/>
    </row>
    <row r="629">
      <c r="A629" s="157"/>
      <c r="B629" s="161"/>
      <c r="C629" s="193"/>
      <c r="D629" s="161"/>
      <c r="E629" s="193"/>
      <c r="F629" s="161"/>
      <c r="G629" s="161"/>
      <c r="H629" s="161"/>
      <c r="I629" s="161"/>
      <c r="J629" s="157"/>
      <c r="K629" s="161"/>
      <c r="L629" s="161"/>
      <c r="M629" s="161"/>
      <c r="N629" s="161"/>
      <c r="O629" s="161"/>
      <c r="P629" s="161"/>
      <c r="Q629" s="161"/>
      <c r="R629" s="161"/>
      <c r="S629" s="161"/>
      <c r="T629" s="161"/>
      <c r="U629" s="161"/>
      <c r="V629" s="161"/>
    </row>
    <row r="630">
      <c r="A630" s="157"/>
      <c r="B630" s="161"/>
      <c r="C630" s="193"/>
      <c r="D630" s="161"/>
      <c r="E630" s="193"/>
      <c r="F630" s="161"/>
      <c r="G630" s="161"/>
      <c r="H630" s="161"/>
      <c r="I630" s="161"/>
      <c r="J630" s="157"/>
      <c r="K630" s="161"/>
      <c r="L630" s="161"/>
      <c r="M630" s="161"/>
      <c r="N630" s="161"/>
      <c r="O630" s="161"/>
      <c r="P630" s="161"/>
      <c r="Q630" s="161"/>
      <c r="R630" s="161"/>
      <c r="S630" s="161"/>
      <c r="T630" s="161"/>
      <c r="U630" s="161"/>
      <c r="V630" s="161"/>
    </row>
    <row r="631">
      <c r="A631" s="157"/>
      <c r="B631" s="161"/>
      <c r="C631" s="193"/>
      <c r="D631" s="161"/>
      <c r="E631" s="193"/>
      <c r="F631" s="161"/>
      <c r="G631" s="161"/>
      <c r="H631" s="161"/>
      <c r="I631" s="161"/>
      <c r="J631" s="157"/>
      <c r="K631" s="161"/>
      <c r="L631" s="161"/>
      <c r="M631" s="161"/>
      <c r="N631" s="161"/>
      <c r="O631" s="161"/>
      <c r="P631" s="161"/>
      <c r="Q631" s="161"/>
      <c r="R631" s="161"/>
      <c r="S631" s="161"/>
      <c r="T631" s="161"/>
      <c r="U631" s="161"/>
      <c r="V631" s="161"/>
    </row>
    <row r="632">
      <c r="A632" s="157"/>
      <c r="B632" s="161"/>
      <c r="C632" s="193"/>
      <c r="D632" s="161"/>
      <c r="E632" s="193"/>
      <c r="F632" s="161"/>
      <c r="G632" s="161"/>
      <c r="H632" s="161"/>
      <c r="I632" s="161"/>
      <c r="J632" s="157"/>
      <c r="K632" s="161"/>
      <c r="L632" s="161"/>
      <c r="M632" s="161"/>
      <c r="N632" s="161"/>
      <c r="O632" s="161"/>
      <c r="P632" s="161"/>
      <c r="Q632" s="161"/>
      <c r="R632" s="161"/>
      <c r="S632" s="161"/>
      <c r="T632" s="161"/>
      <c r="U632" s="161"/>
      <c r="V632" s="161"/>
    </row>
    <row r="633">
      <c r="A633" s="157"/>
      <c r="B633" s="161"/>
      <c r="C633" s="193"/>
      <c r="D633" s="161"/>
      <c r="E633" s="193"/>
      <c r="F633" s="161"/>
      <c r="G633" s="161"/>
      <c r="H633" s="161"/>
      <c r="I633" s="161"/>
      <c r="J633" s="157"/>
      <c r="K633" s="161"/>
      <c r="L633" s="161"/>
      <c r="M633" s="161"/>
      <c r="N633" s="161"/>
      <c r="O633" s="161"/>
      <c r="P633" s="161"/>
      <c r="Q633" s="161"/>
      <c r="R633" s="161"/>
      <c r="S633" s="161"/>
      <c r="T633" s="161"/>
      <c r="U633" s="161"/>
      <c r="V633" s="161"/>
    </row>
    <row r="634">
      <c r="A634" s="157"/>
      <c r="B634" s="161"/>
      <c r="C634" s="193"/>
      <c r="D634" s="161"/>
      <c r="E634" s="193"/>
      <c r="F634" s="161"/>
      <c r="G634" s="161"/>
      <c r="H634" s="161"/>
      <c r="I634" s="161"/>
      <c r="J634" s="157"/>
      <c r="K634" s="161"/>
      <c r="L634" s="161"/>
      <c r="M634" s="161"/>
      <c r="N634" s="161"/>
      <c r="O634" s="161"/>
      <c r="P634" s="161"/>
      <c r="Q634" s="161"/>
      <c r="R634" s="161"/>
      <c r="S634" s="161"/>
      <c r="T634" s="161"/>
      <c r="U634" s="161"/>
      <c r="V634" s="161"/>
    </row>
    <row r="635">
      <c r="A635" s="157"/>
      <c r="B635" s="161"/>
      <c r="C635" s="193"/>
      <c r="D635" s="161"/>
      <c r="E635" s="193"/>
      <c r="F635" s="161"/>
      <c r="G635" s="161"/>
      <c r="H635" s="161"/>
      <c r="I635" s="161"/>
      <c r="J635" s="157"/>
      <c r="K635" s="161"/>
      <c r="L635" s="161"/>
      <c r="M635" s="161"/>
      <c r="N635" s="161"/>
      <c r="O635" s="161"/>
      <c r="P635" s="161"/>
      <c r="Q635" s="161"/>
      <c r="R635" s="161"/>
      <c r="S635" s="161"/>
      <c r="T635" s="161"/>
      <c r="U635" s="161"/>
      <c r="V635" s="161"/>
    </row>
    <row r="636">
      <c r="A636" s="157"/>
      <c r="B636" s="161"/>
      <c r="C636" s="193"/>
      <c r="D636" s="161"/>
      <c r="E636" s="193"/>
      <c r="F636" s="161"/>
      <c r="G636" s="161"/>
      <c r="H636" s="161"/>
      <c r="I636" s="161"/>
      <c r="J636" s="157"/>
      <c r="K636" s="161"/>
      <c r="L636" s="161"/>
      <c r="M636" s="161"/>
      <c r="N636" s="161"/>
      <c r="O636" s="161"/>
      <c r="P636" s="161"/>
      <c r="Q636" s="161"/>
      <c r="R636" s="161"/>
      <c r="S636" s="161"/>
      <c r="T636" s="161"/>
      <c r="U636" s="161"/>
      <c r="V636" s="161"/>
    </row>
    <row r="637">
      <c r="A637" s="157"/>
      <c r="B637" s="161"/>
      <c r="C637" s="193"/>
      <c r="D637" s="161"/>
      <c r="E637" s="193"/>
      <c r="F637" s="161"/>
      <c r="G637" s="161"/>
      <c r="H637" s="161"/>
      <c r="I637" s="161"/>
      <c r="J637" s="157"/>
      <c r="K637" s="161"/>
      <c r="L637" s="161"/>
      <c r="M637" s="161"/>
      <c r="N637" s="161"/>
      <c r="O637" s="161"/>
      <c r="P637" s="161"/>
      <c r="Q637" s="161"/>
      <c r="R637" s="161"/>
      <c r="S637" s="161"/>
      <c r="T637" s="161"/>
      <c r="U637" s="161"/>
      <c r="V637" s="161"/>
    </row>
    <row r="638">
      <c r="A638" s="157"/>
      <c r="B638" s="161"/>
      <c r="C638" s="193"/>
      <c r="D638" s="161"/>
      <c r="E638" s="193"/>
      <c r="F638" s="161"/>
      <c r="G638" s="161"/>
      <c r="H638" s="161"/>
      <c r="I638" s="161"/>
      <c r="J638" s="157"/>
      <c r="K638" s="161"/>
      <c r="L638" s="161"/>
      <c r="M638" s="161"/>
      <c r="N638" s="161"/>
      <c r="O638" s="161"/>
      <c r="P638" s="161"/>
      <c r="Q638" s="161"/>
      <c r="R638" s="161"/>
      <c r="S638" s="161"/>
      <c r="T638" s="161"/>
      <c r="U638" s="161"/>
      <c r="V638" s="161"/>
    </row>
    <row r="639">
      <c r="A639" s="157"/>
      <c r="B639" s="161"/>
      <c r="C639" s="193"/>
      <c r="D639" s="161"/>
      <c r="E639" s="193"/>
      <c r="F639" s="161"/>
      <c r="G639" s="161"/>
      <c r="H639" s="161"/>
      <c r="I639" s="161"/>
      <c r="J639" s="157"/>
      <c r="K639" s="161"/>
      <c r="L639" s="161"/>
      <c r="M639" s="161"/>
      <c r="N639" s="161"/>
      <c r="O639" s="161"/>
      <c r="P639" s="161"/>
      <c r="Q639" s="161"/>
      <c r="R639" s="161"/>
      <c r="S639" s="161"/>
      <c r="T639" s="161"/>
      <c r="U639" s="161"/>
      <c r="V639" s="161"/>
    </row>
    <row r="640">
      <c r="A640" s="157"/>
      <c r="B640" s="161"/>
      <c r="C640" s="193"/>
      <c r="D640" s="161"/>
      <c r="E640" s="193"/>
      <c r="F640" s="161"/>
      <c r="G640" s="161"/>
      <c r="H640" s="161"/>
      <c r="I640" s="161"/>
      <c r="J640" s="157"/>
      <c r="K640" s="161"/>
      <c r="L640" s="161"/>
      <c r="M640" s="161"/>
      <c r="N640" s="161"/>
      <c r="O640" s="161"/>
      <c r="P640" s="161"/>
      <c r="Q640" s="161"/>
      <c r="R640" s="161"/>
      <c r="S640" s="161"/>
      <c r="T640" s="161"/>
      <c r="U640" s="161"/>
      <c r="V640" s="161"/>
    </row>
    <row r="641">
      <c r="A641" s="157"/>
      <c r="B641" s="161"/>
      <c r="C641" s="193"/>
      <c r="D641" s="161"/>
      <c r="E641" s="193"/>
      <c r="F641" s="161"/>
      <c r="G641" s="161"/>
      <c r="H641" s="161"/>
      <c r="I641" s="161"/>
      <c r="J641" s="157"/>
      <c r="K641" s="161"/>
      <c r="L641" s="161"/>
      <c r="M641" s="161"/>
      <c r="N641" s="161"/>
      <c r="O641" s="161"/>
      <c r="P641" s="161"/>
      <c r="Q641" s="161"/>
      <c r="R641" s="161"/>
      <c r="S641" s="161"/>
      <c r="T641" s="161"/>
      <c r="U641" s="161"/>
      <c r="V641" s="161"/>
    </row>
    <row r="642">
      <c r="A642" s="157"/>
      <c r="B642" s="161"/>
      <c r="C642" s="193"/>
      <c r="D642" s="161"/>
      <c r="E642" s="193"/>
      <c r="F642" s="161"/>
      <c r="G642" s="161"/>
      <c r="H642" s="161"/>
      <c r="I642" s="161"/>
      <c r="J642" s="157"/>
      <c r="K642" s="161"/>
      <c r="L642" s="161"/>
      <c r="M642" s="161"/>
      <c r="N642" s="161"/>
      <c r="O642" s="161"/>
      <c r="P642" s="161"/>
      <c r="Q642" s="161"/>
      <c r="R642" s="161"/>
      <c r="S642" s="161"/>
      <c r="T642" s="161"/>
      <c r="U642" s="161"/>
      <c r="V642" s="161"/>
    </row>
    <row r="643">
      <c r="A643" s="157"/>
      <c r="B643" s="161"/>
      <c r="C643" s="193"/>
      <c r="D643" s="161"/>
      <c r="E643" s="193"/>
      <c r="F643" s="161"/>
      <c r="G643" s="161"/>
      <c r="H643" s="161"/>
      <c r="I643" s="161"/>
      <c r="J643" s="157"/>
      <c r="K643" s="161"/>
      <c r="L643" s="161"/>
      <c r="M643" s="161"/>
      <c r="N643" s="161"/>
      <c r="O643" s="161"/>
      <c r="P643" s="161"/>
      <c r="Q643" s="161"/>
      <c r="R643" s="161"/>
      <c r="S643" s="161"/>
      <c r="T643" s="161"/>
      <c r="U643" s="161"/>
      <c r="V643" s="161"/>
    </row>
    <row r="644">
      <c r="A644" s="157"/>
      <c r="B644" s="161"/>
      <c r="C644" s="193"/>
      <c r="D644" s="161"/>
      <c r="E644" s="193"/>
      <c r="F644" s="161"/>
      <c r="G644" s="161"/>
      <c r="H644" s="161"/>
      <c r="I644" s="161"/>
      <c r="J644" s="157"/>
      <c r="K644" s="161"/>
      <c r="L644" s="161"/>
      <c r="M644" s="161"/>
      <c r="N644" s="161"/>
      <c r="O644" s="161"/>
      <c r="P644" s="161"/>
      <c r="Q644" s="161"/>
      <c r="R644" s="161"/>
      <c r="S644" s="161"/>
      <c r="T644" s="161"/>
      <c r="U644" s="161"/>
      <c r="V644" s="161"/>
    </row>
    <row r="645">
      <c r="A645" s="157"/>
      <c r="B645" s="161"/>
      <c r="C645" s="193"/>
      <c r="D645" s="161"/>
      <c r="E645" s="193"/>
      <c r="F645" s="161"/>
      <c r="G645" s="161"/>
      <c r="H645" s="161"/>
      <c r="I645" s="161"/>
      <c r="J645" s="157"/>
      <c r="K645" s="161"/>
      <c r="L645" s="161"/>
      <c r="M645" s="161"/>
      <c r="N645" s="161"/>
      <c r="O645" s="161"/>
      <c r="P645" s="161"/>
      <c r="Q645" s="161"/>
      <c r="R645" s="161"/>
      <c r="S645" s="161"/>
      <c r="T645" s="161"/>
      <c r="U645" s="161"/>
      <c r="V645" s="161"/>
    </row>
    <row r="646">
      <c r="A646" s="157"/>
      <c r="B646" s="161"/>
      <c r="C646" s="193"/>
      <c r="D646" s="161"/>
      <c r="E646" s="193"/>
      <c r="F646" s="161"/>
      <c r="G646" s="161"/>
      <c r="H646" s="161"/>
      <c r="I646" s="161"/>
      <c r="J646" s="157"/>
      <c r="K646" s="161"/>
      <c r="L646" s="161"/>
      <c r="M646" s="161"/>
      <c r="N646" s="161"/>
      <c r="O646" s="161"/>
      <c r="P646" s="161"/>
      <c r="Q646" s="161"/>
      <c r="R646" s="161"/>
      <c r="S646" s="161"/>
      <c r="T646" s="161"/>
      <c r="U646" s="161"/>
      <c r="V646" s="161"/>
    </row>
    <row r="647">
      <c r="A647" s="157"/>
      <c r="B647" s="161"/>
      <c r="C647" s="193"/>
      <c r="D647" s="161"/>
      <c r="E647" s="193"/>
      <c r="F647" s="161"/>
      <c r="G647" s="161"/>
      <c r="H647" s="161"/>
      <c r="I647" s="161"/>
      <c r="J647" s="157"/>
      <c r="K647" s="161"/>
      <c r="L647" s="161"/>
      <c r="M647" s="161"/>
      <c r="N647" s="161"/>
      <c r="O647" s="161"/>
      <c r="P647" s="161"/>
      <c r="Q647" s="161"/>
      <c r="R647" s="161"/>
      <c r="S647" s="161"/>
      <c r="T647" s="161"/>
      <c r="U647" s="161"/>
      <c r="V647" s="161"/>
    </row>
    <row r="648">
      <c r="A648" s="157"/>
      <c r="B648" s="161"/>
      <c r="C648" s="193"/>
      <c r="D648" s="161"/>
      <c r="E648" s="193"/>
      <c r="F648" s="161"/>
      <c r="G648" s="161"/>
      <c r="H648" s="161"/>
      <c r="I648" s="161"/>
      <c r="J648" s="157"/>
      <c r="K648" s="161"/>
      <c r="L648" s="161"/>
      <c r="M648" s="161"/>
      <c r="N648" s="161"/>
      <c r="O648" s="161"/>
      <c r="P648" s="161"/>
      <c r="Q648" s="161"/>
      <c r="R648" s="161"/>
      <c r="S648" s="161"/>
      <c r="T648" s="161"/>
      <c r="U648" s="161"/>
      <c r="V648" s="161"/>
    </row>
    <row r="649">
      <c r="A649" s="157"/>
      <c r="B649" s="161"/>
      <c r="C649" s="193"/>
      <c r="D649" s="161"/>
      <c r="E649" s="193"/>
      <c r="F649" s="161"/>
      <c r="G649" s="161"/>
      <c r="H649" s="161"/>
      <c r="I649" s="161"/>
      <c r="J649" s="157"/>
      <c r="K649" s="161"/>
      <c r="L649" s="161"/>
      <c r="M649" s="161"/>
      <c r="N649" s="161"/>
      <c r="O649" s="161"/>
      <c r="P649" s="161"/>
      <c r="Q649" s="161"/>
      <c r="R649" s="161"/>
      <c r="S649" s="161"/>
      <c r="T649" s="161"/>
      <c r="U649" s="161"/>
      <c r="V649" s="161"/>
    </row>
    <row r="650">
      <c r="A650" s="157"/>
      <c r="B650" s="161"/>
      <c r="C650" s="193"/>
      <c r="D650" s="161"/>
      <c r="E650" s="193"/>
      <c r="F650" s="161"/>
      <c r="G650" s="161"/>
      <c r="H650" s="161"/>
      <c r="I650" s="161"/>
      <c r="J650" s="157"/>
      <c r="K650" s="161"/>
      <c r="L650" s="161"/>
      <c r="M650" s="161"/>
      <c r="N650" s="161"/>
      <c r="O650" s="161"/>
      <c r="P650" s="161"/>
      <c r="Q650" s="161"/>
      <c r="R650" s="161"/>
      <c r="S650" s="161"/>
      <c r="T650" s="161"/>
      <c r="U650" s="161"/>
      <c r="V650" s="161"/>
    </row>
    <row r="651">
      <c r="A651" s="157"/>
      <c r="B651" s="161"/>
      <c r="C651" s="193"/>
      <c r="D651" s="161"/>
      <c r="E651" s="193"/>
      <c r="F651" s="161"/>
      <c r="G651" s="161"/>
      <c r="H651" s="161"/>
      <c r="I651" s="161"/>
      <c r="J651" s="157"/>
      <c r="K651" s="161"/>
      <c r="L651" s="161"/>
      <c r="M651" s="161"/>
      <c r="N651" s="161"/>
      <c r="O651" s="161"/>
      <c r="P651" s="161"/>
      <c r="Q651" s="161"/>
      <c r="R651" s="161"/>
      <c r="S651" s="161"/>
      <c r="T651" s="161"/>
      <c r="U651" s="161"/>
      <c r="V651" s="161"/>
    </row>
    <row r="652">
      <c r="A652" s="157"/>
      <c r="B652" s="161"/>
      <c r="C652" s="193"/>
      <c r="D652" s="161"/>
      <c r="E652" s="193"/>
      <c r="F652" s="161"/>
      <c r="G652" s="161"/>
      <c r="H652" s="161"/>
      <c r="I652" s="161"/>
      <c r="J652" s="157"/>
      <c r="K652" s="161"/>
      <c r="L652" s="161"/>
      <c r="M652" s="161"/>
      <c r="N652" s="161"/>
      <c r="O652" s="161"/>
      <c r="P652" s="161"/>
      <c r="Q652" s="161"/>
      <c r="R652" s="161"/>
      <c r="S652" s="161"/>
      <c r="T652" s="161"/>
      <c r="U652" s="161"/>
      <c r="V652" s="161"/>
    </row>
    <row r="653">
      <c r="A653" s="157"/>
      <c r="B653" s="161"/>
      <c r="C653" s="193"/>
      <c r="D653" s="161"/>
      <c r="E653" s="193"/>
      <c r="F653" s="161"/>
      <c r="G653" s="161"/>
      <c r="H653" s="161"/>
      <c r="I653" s="161"/>
      <c r="J653" s="157"/>
      <c r="K653" s="161"/>
      <c r="L653" s="161"/>
      <c r="M653" s="161"/>
      <c r="N653" s="161"/>
      <c r="O653" s="161"/>
      <c r="P653" s="161"/>
      <c r="Q653" s="161"/>
      <c r="R653" s="161"/>
      <c r="S653" s="161"/>
      <c r="T653" s="161"/>
      <c r="U653" s="161"/>
      <c r="V653" s="161"/>
    </row>
    <row r="654">
      <c r="A654" s="157"/>
      <c r="B654" s="161"/>
      <c r="C654" s="193"/>
      <c r="D654" s="161"/>
      <c r="E654" s="193"/>
      <c r="F654" s="161"/>
      <c r="G654" s="161"/>
      <c r="H654" s="161"/>
      <c r="I654" s="161"/>
      <c r="J654" s="157"/>
      <c r="K654" s="161"/>
      <c r="L654" s="161"/>
      <c r="M654" s="161"/>
      <c r="N654" s="161"/>
      <c r="O654" s="161"/>
      <c r="P654" s="161"/>
      <c r="Q654" s="161"/>
      <c r="R654" s="161"/>
      <c r="S654" s="161"/>
      <c r="T654" s="161"/>
      <c r="U654" s="161"/>
      <c r="V654" s="161"/>
    </row>
    <row r="655">
      <c r="A655" s="157"/>
      <c r="B655" s="161"/>
      <c r="C655" s="193"/>
      <c r="D655" s="161"/>
      <c r="E655" s="193"/>
      <c r="F655" s="161"/>
      <c r="G655" s="161"/>
      <c r="H655" s="161"/>
      <c r="I655" s="161"/>
      <c r="J655" s="157"/>
      <c r="K655" s="161"/>
      <c r="L655" s="161"/>
      <c r="M655" s="161"/>
      <c r="N655" s="161"/>
      <c r="O655" s="161"/>
      <c r="P655" s="161"/>
      <c r="Q655" s="161"/>
      <c r="R655" s="161"/>
      <c r="S655" s="161"/>
      <c r="T655" s="161"/>
      <c r="U655" s="161"/>
      <c r="V655" s="161"/>
    </row>
    <row r="656">
      <c r="A656" s="157"/>
      <c r="B656" s="161"/>
      <c r="C656" s="193"/>
      <c r="D656" s="161"/>
      <c r="E656" s="193"/>
      <c r="F656" s="161"/>
      <c r="G656" s="161"/>
      <c r="H656" s="161"/>
      <c r="I656" s="161"/>
      <c r="J656" s="157"/>
      <c r="K656" s="161"/>
      <c r="L656" s="161"/>
      <c r="M656" s="161"/>
      <c r="N656" s="161"/>
      <c r="O656" s="161"/>
      <c r="P656" s="161"/>
      <c r="Q656" s="161"/>
      <c r="R656" s="161"/>
      <c r="S656" s="161"/>
      <c r="T656" s="161"/>
      <c r="U656" s="161"/>
      <c r="V656" s="161"/>
    </row>
    <row r="657">
      <c r="A657" s="157"/>
      <c r="B657" s="161"/>
      <c r="C657" s="193"/>
      <c r="D657" s="161"/>
      <c r="E657" s="193"/>
      <c r="F657" s="161"/>
      <c r="G657" s="161"/>
      <c r="H657" s="161"/>
      <c r="I657" s="161"/>
      <c r="J657" s="157"/>
      <c r="K657" s="161"/>
      <c r="L657" s="161"/>
      <c r="M657" s="161"/>
      <c r="N657" s="161"/>
      <c r="O657" s="161"/>
      <c r="P657" s="161"/>
      <c r="Q657" s="161"/>
      <c r="R657" s="161"/>
      <c r="S657" s="161"/>
      <c r="T657" s="161"/>
      <c r="U657" s="161"/>
      <c r="V657" s="161"/>
    </row>
    <row r="658">
      <c r="A658" s="157"/>
      <c r="B658" s="161"/>
      <c r="C658" s="193"/>
      <c r="D658" s="161"/>
      <c r="E658" s="193"/>
      <c r="F658" s="161"/>
      <c r="G658" s="161"/>
      <c r="H658" s="161"/>
      <c r="I658" s="161"/>
      <c r="J658" s="157"/>
      <c r="K658" s="161"/>
      <c r="L658" s="161"/>
      <c r="M658" s="161"/>
      <c r="N658" s="161"/>
      <c r="O658" s="161"/>
      <c r="P658" s="161"/>
      <c r="Q658" s="161"/>
      <c r="R658" s="161"/>
      <c r="S658" s="161"/>
      <c r="T658" s="161"/>
      <c r="U658" s="161"/>
      <c r="V658" s="161"/>
    </row>
    <row r="659">
      <c r="A659" s="157"/>
      <c r="B659" s="161"/>
      <c r="C659" s="193"/>
      <c r="D659" s="161"/>
      <c r="E659" s="193"/>
      <c r="F659" s="161"/>
      <c r="G659" s="161"/>
      <c r="H659" s="161"/>
      <c r="I659" s="161"/>
      <c r="J659" s="157"/>
      <c r="K659" s="161"/>
      <c r="L659" s="161"/>
      <c r="M659" s="161"/>
      <c r="N659" s="161"/>
      <c r="O659" s="161"/>
      <c r="P659" s="161"/>
      <c r="Q659" s="161"/>
      <c r="R659" s="161"/>
      <c r="S659" s="161"/>
      <c r="T659" s="161"/>
      <c r="U659" s="161"/>
      <c r="V659" s="161"/>
    </row>
    <row r="660">
      <c r="A660" s="157"/>
      <c r="B660" s="161"/>
      <c r="C660" s="193"/>
      <c r="D660" s="161"/>
      <c r="E660" s="193"/>
      <c r="F660" s="161"/>
      <c r="G660" s="161"/>
      <c r="H660" s="161"/>
      <c r="I660" s="161"/>
      <c r="J660" s="157"/>
      <c r="K660" s="161"/>
      <c r="L660" s="161"/>
      <c r="M660" s="161"/>
      <c r="N660" s="161"/>
      <c r="O660" s="161"/>
      <c r="P660" s="161"/>
      <c r="Q660" s="161"/>
      <c r="R660" s="161"/>
      <c r="S660" s="161"/>
      <c r="T660" s="161"/>
      <c r="U660" s="161"/>
      <c r="V660" s="161"/>
    </row>
    <row r="661">
      <c r="A661" s="157"/>
      <c r="B661" s="161"/>
      <c r="C661" s="193"/>
      <c r="D661" s="161"/>
      <c r="E661" s="193"/>
      <c r="F661" s="161"/>
      <c r="G661" s="161"/>
      <c r="H661" s="161"/>
      <c r="I661" s="161"/>
      <c r="J661" s="157"/>
      <c r="K661" s="161"/>
      <c r="L661" s="161"/>
      <c r="M661" s="161"/>
      <c r="N661" s="161"/>
      <c r="O661" s="161"/>
      <c r="P661" s="161"/>
      <c r="Q661" s="161"/>
      <c r="R661" s="161"/>
      <c r="S661" s="161"/>
      <c r="T661" s="161"/>
      <c r="U661" s="161"/>
      <c r="V661" s="161"/>
    </row>
    <row r="662">
      <c r="A662" s="157"/>
      <c r="B662" s="161"/>
      <c r="C662" s="193"/>
      <c r="D662" s="161"/>
      <c r="E662" s="193"/>
      <c r="F662" s="161"/>
      <c r="G662" s="161"/>
      <c r="H662" s="161"/>
      <c r="I662" s="161"/>
      <c r="J662" s="157"/>
      <c r="K662" s="161"/>
      <c r="L662" s="161"/>
      <c r="M662" s="161"/>
      <c r="N662" s="161"/>
      <c r="O662" s="161"/>
      <c r="P662" s="161"/>
      <c r="Q662" s="161"/>
      <c r="R662" s="161"/>
      <c r="S662" s="161"/>
      <c r="T662" s="161"/>
      <c r="U662" s="161"/>
      <c r="V662" s="161"/>
    </row>
    <row r="663">
      <c r="A663" s="157"/>
      <c r="B663" s="161"/>
      <c r="C663" s="193"/>
      <c r="D663" s="161"/>
      <c r="E663" s="193"/>
      <c r="F663" s="161"/>
      <c r="G663" s="161"/>
      <c r="H663" s="161"/>
      <c r="I663" s="161"/>
      <c r="J663" s="157"/>
      <c r="K663" s="161"/>
      <c r="L663" s="161"/>
      <c r="M663" s="161"/>
      <c r="N663" s="161"/>
      <c r="O663" s="161"/>
      <c r="P663" s="161"/>
      <c r="Q663" s="161"/>
      <c r="R663" s="161"/>
      <c r="S663" s="161"/>
      <c r="T663" s="161"/>
      <c r="U663" s="161"/>
      <c r="V663" s="161"/>
    </row>
    <row r="664">
      <c r="A664" s="157"/>
      <c r="B664" s="161"/>
      <c r="C664" s="193"/>
      <c r="D664" s="161"/>
      <c r="E664" s="193"/>
      <c r="F664" s="161"/>
      <c r="G664" s="161"/>
      <c r="H664" s="161"/>
      <c r="I664" s="161"/>
      <c r="J664" s="157"/>
      <c r="K664" s="161"/>
      <c r="L664" s="161"/>
      <c r="M664" s="161"/>
      <c r="N664" s="161"/>
      <c r="O664" s="161"/>
      <c r="P664" s="161"/>
      <c r="Q664" s="161"/>
      <c r="R664" s="161"/>
      <c r="S664" s="161"/>
      <c r="T664" s="161"/>
      <c r="U664" s="161"/>
      <c r="V664" s="161"/>
    </row>
    <row r="665">
      <c r="A665" s="157"/>
      <c r="B665" s="161"/>
      <c r="C665" s="193"/>
      <c r="D665" s="161"/>
      <c r="E665" s="193"/>
      <c r="F665" s="161"/>
      <c r="G665" s="161"/>
      <c r="H665" s="161"/>
      <c r="I665" s="161"/>
      <c r="J665" s="157"/>
      <c r="K665" s="161"/>
      <c r="L665" s="161"/>
      <c r="M665" s="161"/>
      <c r="N665" s="161"/>
      <c r="O665" s="161"/>
      <c r="P665" s="161"/>
      <c r="Q665" s="161"/>
      <c r="R665" s="161"/>
      <c r="S665" s="161"/>
      <c r="T665" s="161"/>
      <c r="U665" s="161"/>
      <c r="V665" s="161"/>
    </row>
    <row r="666">
      <c r="A666" s="157"/>
      <c r="B666" s="161"/>
      <c r="C666" s="193"/>
      <c r="D666" s="161"/>
      <c r="E666" s="193"/>
      <c r="F666" s="161"/>
      <c r="G666" s="161"/>
      <c r="H666" s="161"/>
      <c r="I666" s="161"/>
      <c r="J666" s="157"/>
      <c r="K666" s="161"/>
      <c r="L666" s="161"/>
      <c r="M666" s="161"/>
      <c r="N666" s="161"/>
      <c r="O666" s="161"/>
      <c r="P666" s="161"/>
      <c r="Q666" s="161"/>
      <c r="R666" s="161"/>
      <c r="S666" s="161"/>
      <c r="T666" s="161"/>
      <c r="U666" s="161"/>
      <c r="V666" s="161"/>
    </row>
    <row r="667">
      <c r="A667" s="157"/>
      <c r="B667" s="161"/>
      <c r="C667" s="193"/>
      <c r="D667" s="161"/>
      <c r="E667" s="193"/>
      <c r="F667" s="161"/>
      <c r="G667" s="161"/>
      <c r="H667" s="161"/>
      <c r="I667" s="161"/>
      <c r="J667" s="157"/>
      <c r="K667" s="161"/>
      <c r="L667" s="161"/>
      <c r="M667" s="161"/>
      <c r="N667" s="161"/>
      <c r="O667" s="161"/>
      <c r="P667" s="161"/>
      <c r="Q667" s="161"/>
      <c r="R667" s="161"/>
      <c r="S667" s="161"/>
      <c r="T667" s="161"/>
      <c r="U667" s="161"/>
      <c r="V667" s="161"/>
    </row>
    <row r="668">
      <c r="A668" s="157"/>
      <c r="B668" s="161"/>
      <c r="C668" s="193"/>
      <c r="D668" s="161"/>
      <c r="E668" s="193"/>
      <c r="F668" s="161"/>
      <c r="G668" s="161"/>
      <c r="H668" s="161"/>
      <c r="I668" s="161"/>
      <c r="J668" s="157"/>
      <c r="K668" s="161"/>
      <c r="L668" s="161"/>
      <c r="M668" s="161"/>
      <c r="N668" s="161"/>
      <c r="O668" s="161"/>
      <c r="P668" s="161"/>
      <c r="Q668" s="161"/>
      <c r="R668" s="161"/>
      <c r="S668" s="161"/>
      <c r="T668" s="161"/>
      <c r="U668" s="161"/>
      <c r="V668" s="161"/>
    </row>
    <row r="669">
      <c r="A669" s="157"/>
      <c r="B669" s="161"/>
      <c r="C669" s="193"/>
      <c r="D669" s="161"/>
      <c r="E669" s="193"/>
      <c r="F669" s="161"/>
      <c r="G669" s="161"/>
      <c r="H669" s="161"/>
      <c r="I669" s="161"/>
      <c r="J669" s="157"/>
      <c r="K669" s="161"/>
      <c r="L669" s="161"/>
      <c r="M669" s="161"/>
      <c r="N669" s="161"/>
      <c r="O669" s="161"/>
      <c r="P669" s="161"/>
      <c r="Q669" s="161"/>
      <c r="R669" s="161"/>
      <c r="S669" s="161"/>
      <c r="T669" s="161"/>
      <c r="U669" s="161"/>
      <c r="V669" s="161"/>
    </row>
    <row r="670">
      <c r="A670" s="157"/>
      <c r="B670" s="161"/>
      <c r="C670" s="193"/>
      <c r="D670" s="161"/>
      <c r="E670" s="193"/>
      <c r="F670" s="161"/>
      <c r="G670" s="161"/>
      <c r="H670" s="161"/>
      <c r="I670" s="161"/>
      <c r="J670" s="157"/>
      <c r="K670" s="161"/>
      <c r="L670" s="161"/>
      <c r="M670" s="161"/>
      <c r="N670" s="161"/>
      <c r="O670" s="161"/>
      <c r="P670" s="161"/>
      <c r="Q670" s="161"/>
      <c r="R670" s="161"/>
      <c r="S670" s="161"/>
      <c r="T670" s="161"/>
      <c r="U670" s="161"/>
      <c r="V670" s="161"/>
    </row>
    <row r="671">
      <c r="A671" s="157"/>
      <c r="B671" s="161"/>
      <c r="C671" s="193"/>
      <c r="D671" s="161"/>
      <c r="E671" s="193"/>
      <c r="F671" s="161"/>
      <c r="G671" s="161"/>
      <c r="H671" s="161"/>
      <c r="I671" s="161"/>
      <c r="J671" s="157"/>
      <c r="K671" s="161"/>
      <c r="L671" s="161"/>
      <c r="M671" s="161"/>
      <c r="N671" s="161"/>
      <c r="O671" s="161"/>
      <c r="P671" s="161"/>
      <c r="Q671" s="161"/>
      <c r="R671" s="161"/>
      <c r="S671" s="161"/>
      <c r="T671" s="161"/>
      <c r="U671" s="161"/>
      <c r="V671" s="161"/>
    </row>
    <row r="672">
      <c r="A672" s="157"/>
      <c r="B672" s="161"/>
      <c r="C672" s="193"/>
      <c r="D672" s="161"/>
      <c r="E672" s="193"/>
      <c r="F672" s="161"/>
      <c r="G672" s="161"/>
      <c r="H672" s="161"/>
      <c r="I672" s="161"/>
      <c r="J672" s="157"/>
      <c r="K672" s="161"/>
      <c r="L672" s="161"/>
      <c r="M672" s="161"/>
      <c r="N672" s="161"/>
      <c r="O672" s="161"/>
      <c r="P672" s="161"/>
      <c r="Q672" s="161"/>
      <c r="R672" s="161"/>
      <c r="S672" s="161"/>
      <c r="T672" s="161"/>
      <c r="U672" s="161"/>
      <c r="V672" s="161"/>
    </row>
    <row r="673">
      <c r="A673" s="157"/>
      <c r="B673" s="161"/>
      <c r="C673" s="193"/>
      <c r="D673" s="161"/>
      <c r="E673" s="193"/>
      <c r="F673" s="161"/>
      <c r="G673" s="161"/>
      <c r="H673" s="161"/>
      <c r="I673" s="161"/>
      <c r="J673" s="157"/>
      <c r="K673" s="161"/>
      <c r="L673" s="161"/>
      <c r="M673" s="161"/>
      <c r="N673" s="161"/>
      <c r="O673" s="161"/>
      <c r="P673" s="161"/>
      <c r="Q673" s="161"/>
      <c r="R673" s="161"/>
      <c r="S673" s="161"/>
      <c r="T673" s="161"/>
      <c r="U673" s="161"/>
      <c r="V673" s="161"/>
    </row>
    <row r="674">
      <c r="A674" s="157"/>
      <c r="B674" s="161"/>
      <c r="C674" s="193"/>
      <c r="D674" s="161"/>
      <c r="E674" s="193"/>
      <c r="F674" s="161"/>
      <c r="G674" s="161"/>
      <c r="H674" s="161"/>
      <c r="I674" s="161"/>
      <c r="J674" s="157"/>
      <c r="K674" s="161"/>
      <c r="L674" s="161"/>
      <c r="M674" s="161"/>
      <c r="N674" s="161"/>
      <c r="O674" s="161"/>
      <c r="P674" s="161"/>
      <c r="Q674" s="161"/>
      <c r="R674" s="161"/>
      <c r="S674" s="161"/>
      <c r="T674" s="161"/>
      <c r="U674" s="161"/>
      <c r="V674" s="161"/>
    </row>
    <row r="675">
      <c r="A675" s="157"/>
      <c r="B675" s="161"/>
      <c r="C675" s="193"/>
      <c r="D675" s="161"/>
      <c r="E675" s="193"/>
      <c r="F675" s="161"/>
      <c r="G675" s="161"/>
      <c r="H675" s="161"/>
      <c r="I675" s="161"/>
      <c r="J675" s="157"/>
      <c r="K675" s="161"/>
      <c r="L675" s="161"/>
      <c r="M675" s="161"/>
      <c r="N675" s="161"/>
      <c r="O675" s="161"/>
      <c r="P675" s="161"/>
      <c r="Q675" s="161"/>
      <c r="R675" s="161"/>
      <c r="S675" s="161"/>
      <c r="T675" s="161"/>
      <c r="U675" s="161"/>
      <c r="V675" s="161"/>
    </row>
    <row r="676">
      <c r="A676" s="157"/>
      <c r="B676" s="161"/>
      <c r="C676" s="193"/>
      <c r="D676" s="161"/>
      <c r="E676" s="193"/>
      <c r="F676" s="161"/>
      <c r="G676" s="161"/>
      <c r="H676" s="161"/>
      <c r="I676" s="161"/>
      <c r="J676" s="157"/>
      <c r="K676" s="161"/>
      <c r="L676" s="161"/>
      <c r="M676" s="161"/>
      <c r="N676" s="161"/>
      <c r="O676" s="161"/>
      <c r="P676" s="161"/>
      <c r="Q676" s="161"/>
      <c r="R676" s="161"/>
      <c r="S676" s="161"/>
      <c r="T676" s="161"/>
      <c r="U676" s="161"/>
      <c r="V676" s="161"/>
    </row>
    <row r="677">
      <c r="A677" s="157"/>
      <c r="B677" s="161"/>
      <c r="C677" s="193"/>
      <c r="D677" s="161"/>
      <c r="E677" s="193"/>
      <c r="F677" s="161"/>
      <c r="G677" s="161"/>
      <c r="H677" s="161"/>
      <c r="I677" s="161"/>
      <c r="J677" s="157"/>
      <c r="K677" s="161"/>
      <c r="L677" s="161"/>
      <c r="M677" s="161"/>
      <c r="N677" s="161"/>
      <c r="O677" s="161"/>
      <c r="P677" s="161"/>
      <c r="Q677" s="161"/>
      <c r="R677" s="161"/>
      <c r="S677" s="161"/>
      <c r="T677" s="161"/>
      <c r="U677" s="161"/>
      <c r="V677" s="161"/>
    </row>
    <row r="678">
      <c r="A678" s="157"/>
      <c r="B678" s="161"/>
      <c r="C678" s="193"/>
      <c r="D678" s="161"/>
      <c r="E678" s="193"/>
      <c r="F678" s="161"/>
      <c r="G678" s="161"/>
      <c r="H678" s="161"/>
      <c r="I678" s="161"/>
      <c r="J678" s="157"/>
      <c r="K678" s="161"/>
      <c r="L678" s="161"/>
      <c r="M678" s="161"/>
      <c r="N678" s="161"/>
      <c r="O678" s="161"/>
      <c r="P678" s="161"/>
      <c r="Q678" s="161"/>
      <c r="R678" s="161"/>
      <c r="S678" s="161"/>
      <c r="T678" s="161"/>
      <c r="U678" s="161"/>
      <c r="V678" s="161"/>
    </row>
    <row r="679">
      <c r="A679" s="157"/>
      <c r="B679" s="161"/>
      <c r="C679" s="193"/>
      <c r="D679" s="161"/>
      <c r="E679" s="193"/>
      <c r="F679" s="161"/>
      <c r="G679" s="161"/>
      <c r="H679" s="161"/>
      <c r="I679" s="161"/>
      <c r="J679" s="157"/>
      <c r="K679" s="161"/>
      <c r="L679" s="161"/>
      <c r="M679" s="161"/>
      <c r="N679" s="161"/>
      <c r="O679" s="161"/>
      <c r="P679" s="161"/>
      <c r="Q679" s="161"/>
      <c r="R679" s="161"/>
      <c r="S679" s="161"/>
      <c r="T679" s="161"/>
      <c r="U679" s="161"/>
      <c r="V679" s="161"/>
    </row>
    <row r="680">
      <c r="A680" s="157"/>
      <c r="B680" s="161"/>
      <c r="C680" s="193"/>
      <c r="D680" s="161"/>
      <c r="E680" s="193"/>
      <c r="F680" s="161"/>
      <c r="G680" s="161"/>
      <c r="H680" s="161"/>
      <c r="I680" s="161"/>
      <c r="J680" s="157"/>
      <c r="K680" s="161"/>
      <c r="L680" s="161"/>
      <c r="M680" s="161"/>
      <c r="N680" s="161"/>
      <c r="O680" s="161"/>
      <c r="P680" s="161"/>
      <c r="Q680" s="161"/>
      <c r="R680" s="161"/>
      <c r="S680" s="161"/>
      <c r="T680" s="161"/>
      <c r="U680" s="161"/>
      <c r="V680" s="161"/>
    </row>
    <row r="681">
      <c r="A681" s="157"/>
      <c r="B681" s="161"/>
      <c r="C681" s="193"/>
      <c r="D681" s="161"/>
      <c r="E681" s="193"/>
      <c r="F681" s="161"/>
      <c r="G681" s="161"/>
      <c r="H681" s="161"/>
      <c r="I681" s="161"/>
      <c r="J681" s="157"/>
      <c r="K681" s="161"/>
      <c r="L681" s="161"/>
      <c r="M681" s="161"/>
      <c r="N681" s="161"/>
      <c r="O681" s="161"/>
      <c r="P681" s="161"/>
      <c r="Q681" s="161"/>
      <c r="R681" s="161"/>
      <c r="S681" s="161"/>
      <c r="T681" s="161"/>
      <c r="U681" s="161"/>
      <c r="V681" s="161"/>
    </row>
    <row r="682">
      <c r="A682" s="157"/>
      <c r="B682" s="161"/>
      <c r="C682" s="193"/>
      <c r="D682" s="161"/>
      <c r="E682" s="193"/>
      <c r="F682" s="161"/>
      <c r="G682" s="161"/>
      <c r="H682" s="161"/>
      <c r="I682" s="161"/>
      <c r="J682" s="157"/>
      <c r="K682" s="161"/>
      <c r="L682" s="161"/>
      <c r="M682" s="161"/>
      <c r="N682" s="161"/>
      <c r="O682" s="161"/>
      <c r="P682" s="161"/>
      <c r="Q682" s="161"/>
      <c r="R682" s="161"/>
      <c r="S682" s="161"/>
      <c r="T682" s="161"/>
      <c r="U682" s="161"/>
      <c r="V682" s="161"/>
    </row>
    <row r="683">
      <c r="A683" s="157"/>
      <c r="B683" s="161"/>
      <c r="C683" s="193"/>
      <c r="D683" s="161"/>
      <c r="E683" s="193"/>
      <c r="F683" s="161"/>
      <c r="G683" s="161"/>
      <c r="H683" s="161"/>
      <c r="I683" s="161"/>
      <c r="J683" s="157"/>
      <c r="K683" s="161"/>
      <c r="L683" s="161"/>
      <c r="M683" s="161"/>
      <c r="N683" s="161"/>
      <c r="O683" s="161"/>
      <c r="P683" s="161"/>
      <c r="Q683" s="161"/>
      <c r="R683" s="161"/>
      <c r="S683" s="161"/>
      <c r="T683" s="161"/>
      <c r="U683" s="161"/>
      <c r="V683" s="161"/>
    </row>
    <row r="684">
      <c r="A684" s="157"/>
      <c r="B684" s="161"/>
      <c r="C684" s="193"/>
      <c r="D684" s="161"/>
      <c r="E684" s="193"/>
      <c r="F684" s="161"/>
      <c r="G684" s="161"/>
      <c r="H684" s="161"/>
      <c r="I684" s="161"/>
      <c r="J684" s="157"/>
      <c r="K684" s="161"/>
      <c r="L684" s="161"/>
      <c r="M684" s="161"/>
      <c r="N684" s="161"/>
      <c r="O684" s="161"/>
      <c r="P684" s="161"/>
      <c r="Q684" s="161"/>
      <c r="R684" s="161"/>
      <c r="S684" s="161"/>
      <c r="T684" s="161"/>
      <c r="U684" s="161"/>
      <c r="V684" s="161"/>
    </row>
    <row r="685">
      <c r="A685" s="157"/>
      <c r="B685" s="161"/>
      <c r="C685" s="193"/>
      <c r="D685" s="161"/>
      <c r="E685" s="193"/>
      <c r="F685" s="161"/>
      <c r="G685" s="161"/>
      <c r="H685" s="161"/>
      <c r="I685" s="161"/>
      <c r="J685" s="157"/>
      <c r="K685" s="161"/>
      <c r="L685" s="161"/>
      <c r="M685" s="161"/>
      <c r="N685" s="161"/>
      <c r="O685" s="161"/>
      <c r="P685" s="161"/>
      <c r="Q685" s="161"/>
      <c r="R685" s="161"/>
      <c r="S685" s="161"/>
      <c r="T685" s="161"/>
      <c r="U685" s="161"/>
      <c r="V685" s="161"/>
    </row>
    <row r="686">
      <c r="A686" s="157"/>
      <c r="B686" s="161"/>
      <c r="C686" s="193"/>
      <c r="D686" s="161"/>
      <c r="E686" s="193"/>
      <c r="F686" s="161"/>
      <c r="G686" s="161"/>
      <c r="H686" s="161"/>
      <c r="I686" s="161"/>
      <c r="J686" s="157"/>
      <c r="K686" s="161"/>
      <c r="L686" s="161"/>
      <c r="M686" s="161"/>
      <c r="N686" s="161"/>
      <c r="O686" s="161"/>
      <c r="P686" s="161"/>
      <c r="Q686" s="161"/>
      <c r="R686" s="161"/>
      <c r="S686" s="161"/>
      <c r="T686" s="161"/>
      <c r="U686" s="161"/>
      <c r="V686" s="161"/>
    </row>
    <row r="687">
      <c r="A687" s="157"/>
      <c r="B687" s="161"/>
      <c r="C687" s="193"/>
      <c r="D687" s="161"/>
      <c r="E687" s="193"/>
      <c r="F687" s="161"/>
      <c r="G687" s="161"/>
      <c r="H687" s="161"/>
      <c r="I687" s="161"/>
      <c r="J687" s="157"/>
      <c r="K687" s="161"/>
      <c r="L687" s="161"/>
      <c r="M687" s="161"/>
      <c r="N687" s="161"/>
      <c r="O687" s="161"/>
      <c r="P687" s="161"/>
      <c r="Q687" s="161"/>
      <c r="R687" s="161"/>
      <c r="S687" s="161"/>
      <c r="T687" s="161"/>
      <c r="U687" s="161"/>
      <c r="V687" s="161"/>
    </row>
    <row r="688">
      <c r="A688" s="157"/>
      <c r="B688" s="161"/>
      <c r="C688" s="193"/>
      <c r="D688" s="161"/>
      <c r="E688" s="193"/>
      <c r="F688" s="161"/>
      <c r="G688" s="161"/>
      <c r="H688" s="161"/>
      <c r="I688" s="161"/>
      <c r="J688" s="157"/>
      <c r="K688" s="161"/>
      <c r="L688" s="161"/>
      <c r="M688" s="161"/>
      <c r="N688" s="161"/>
      <c r="O688" s="161"/>
      <c r="P688" s="161"/>
      <c r="Q688" s="161"/>
      <c r="R688" s="161"/>
      <c r="S688" s="161"/>
      <c r="T688" s="161"/>
      <c r="U688" s="161"/>
      <c r="V688" s="161"/>
    </row>
    <row r="689">
      <c r="A689" s="157"/>
      <c r="B689" s="161"/>
      <c r="C689" s="193"/>
      <c r="D689" s="161"/>
      <c r="E689" s="193"/>
      <c r="F689" s="161"/>
      <c r="G689" s="161"/>
      <c r="H689" s="161"/>
      <c r="I689" s="161"/>
      <c r="J689" s="157"/>
      <c r="K689" s="161"/>
      <c r="L689" s="161"/>
      <c r="M689" s="161"/>
      <c r="N689" s="161"/>
      <c r="O689" s="161"/>
      <c r="P689" s="161"/>
      <c r="Q689" s="161"/>
      <c r="R689" s="161"/>
      <c r="S689" s="161"/>
      <c r="T689" s="161"/>
      <c r="U689" s="161"/>
      <c r="V689" s="161"/>
    </row>
    <row r="690">
      <c r="A690" s="157"/>
      <c r="B690" s="161"/>
      <c r="C690" s="193"/>
      <c r="D690" s="161"/>
      <c r="E690" s="193"/>
      <c r="F690" s="161"/>
      <c r="G690" s="161"/>
      <c r="H690" s="161"/>
      <c r="I690" s="161"/>
      <c r="J690" s="157"/>
      <c r="K690" s="161"/>
      <c r="L690" s="161"/>
      <c r="M690" s="161"/>
      <c r="N690" s="161"/>
      <c r="O690" s="161"/>
      <c r="P690" s="161"/>
      <c r="Q690" s="161"/>
      <c r="R690" s="161"/>
      <c r="S690" s="161"/>
      <c r="T690" s="161"/>
      <c r="U690" s="161"/>
      <c r="V690" s="161"/>
    </row>
    <row r="691">
      <c r="A691" s="157"/>
      <c r="B691" s="161"/>
      <c r="C691" s="193"/>
      <c r="D691" s="161"/>
      <c r="E691" s="193"/>
      <c r="F691" s="161"/>
      <c r="G691" s="161"/>
      <c r="H691" s="161"/>
      <c r="I691" s="161"/>
      <c r="J691" s="157"/>
      <c r="K691" s="161"/>
      <c r="L691" s="161"/>
      <c r="M691" s="161"/>
      <c r="N691" s="161"/>
      <c r="O691" s="161"/>
      <c r="P691" s="161"/>
      <c r="Q691" s="161"/>
      <c r="R691" s="161"/>
      <c r="S691" s="161"/>
      <c r="T691" s="161"/>
      <c r="U691" s="161"/>
      <c r="V691" s="161"/>
    </row>
    <row r="692">
      <c r="A692" s="157"/>
      <c r="B692" s="161"/>
      <c r="C692" s="193"/>
      <c r="D692" s="161"/>
      <c r="E692" s="193"/>
      <c r="F692" s="161"/>
      <c r="G692" s="161"/>
      <c r="H692" s="161"/>
      <c r="I692" s="161"/>
      <c r="J692" s="157"/>
      <c r="K692" s="161"/>
      <c r="L692" s="161"/>
      <c r="M692" s="161"/>
      <c r="N692" s="161"/>
      <c r="O692" s="161"/>
      <c r="P692" s="161"/>
      <c r="Q692" s="161"/>
      <c r="R692" s="161"/>
      <c r="S692" s="161"/>
      <c r="T692" s="161"/>
      <c r="U692" s="161"/>
      <c r="V692" s="161"/>
    </row>
    <row r="693">
      <c r="A693" s="157"/>
      <c r="B693" s="161"/>
      <c r="C693" s="193"/>
      <c r="D693" s="161"/>
      <c r="E693" s="193"/>
      <c r="F693" s="161"/>
      <c r="G693" s="161"/>
      <c r="H693" s="161"/>
      <c r="I693" s="161"/>
      <c r="J693" s="157"/>
      <c r="K693" s="161"/>
      <c r="L693" s="161"/>
      <c r="M693" s="161"/>
      <c r="N693" s="161"/>
      <c r="O693" s="161"/>
      <c r="P693" s="161"/>
      <c r="Q693" s="161"/>
      <c r="R693" s="161"/>
      <c r="S693" s="161"/>
      <c r="T693" s="161"/>
      <c r="U693" s="161"/>
      <c r="V693" s="161"/>
    </row>
    <row r="694">
      <c r="A694" s="157"/>
      <c r="B694" s="161"/>
      <c r="C694" s="193"/>
      <c r="D694" s="161"/>
      <c r="E694" s="193"/>
      <c r="F694" s="161"/>
      <c r="G694" s="161"/>
      <c r="H694" s="161"/>
      <c r="I694" s="161"/>
      <c r="J694" s="157"/>
      <c r="K694" s="161"/>
      <c r="L694" s="161"/>
      <c r="M694" s="161"/>
      <c r="N694" s="161"/>
      <c r="O694" s="161"/>
      <c r="P694" s="161"/>
      <c r="Q694" s="161"/>
      <c r="R694" s="161"/>
      <c r="S694" s="161"/>
      <c r="T694" s="161"/>
      <c r="U694" s="161"/>
      <c r="V694" s="161"/>
    </row>
    <row r="695">
      <c r="A695" s="157"/>
      <c r="B695" s="161"/>
      <c r="C695" s="193"/>
      <c r="D695" s="161"/>
      <c r="E695" s="193"/>
      <c r="F695" s="161"/>
      <c r="G695" s="161"/>
      <c r="H695" s="161"/>
      <c r="I695" s="161"/>
      <c r="J695" s="157"/>
      <c r="K695" s="161"/>
      <c r="L695" s="161"/>
      <c r="M695" s="161"/>
      <c r="N695" s="161"/>
      <c r="O695" s="161"/>
      <c r="P695" s="161"/>
      <c r="Q695" s="161"/>
      <c r="R695" s="161"/>
      <c r="S695" s="161"/>
      <c r="T695" s="161"/>
      <c r="U695" s="161"/>
      <c r="V695" s="161"/>
    </row>
    <row r="696">
      <c r="A696" s="157"/>
      <c r="B696" s="161"/>
      <c r="C696" s="193"/>
      <c r="D696" s="161"/>
      <c r="E696" s="193"/>
      <c r="F696" s="161"/>
      <c r="G696" s="161"/>
      <c r="H696" s="161"/>
      <c r="I696" s="161"/>
      <c r="J696" s="157"/>
      <c r="K696" s="161"/>
      <c r="L696" s="161"/>
      <c r="M696" s="161"/>
      <c r="N696" s="161"/>
      <c r="O696" s="161"/>
      <c r="P696" s="161"/>
      <c r="Q696" s="161"/>
      <c r="R696" s="161"/>
      <c r="S696" s="161"/>
      <c r="T696" s="161"/>
      <c r="U696" s="161"/>
      <c r="V696" s="161"/>
    </row>
    <row r="697">
      <c r="A697" s="157"/>
      <c r="B697" s="161"/>
      <c r="C697" s="193"/>
      <c r="D697" s="161"/>
      <c r="E697" s="193"/>
      <c r="F697" s="161"/>
      <c r="G697" s="161"/>
      <c r="H697" s="161"/>
      <c r="I697" s="161"/>
      <c r="J697" s="157"/>
      <c r="K697" s="161"/>
      <c r="L697" s="161"/>
      <c r="M697" s="161"/>
      <c r="N697" s="161"/>
      <c r="O697" s="161"/>
      <c r="P697" s="161"/>
      <c r="Q697" s="161"/>
      <c r="R697" s="161"/>
      <c r="S697" s="161"/>
      <c r="T697" s="161"/>
      <c r="U697" s="161"/>
      <c r="V697" s="161"/>
    </row>
    <row r="698">
      <c r="A698" s="157"/>
      <c r="B698" s="161"/>
      <c r="C698" s="193"/>
      <c r="D698" s="161"/>
      <c r="E698" s="193"/>
      <c r="F698" s="161"/>
      <c r="G698" s="161"/>
      <c r="H698" s="161"/>
      <c r="I698" s="161"/>
      <c r="J698" s="157"/>
      <c r="K698" s="161"/>
      <c r="L698" s="161"/>
      <c r="M698" s="161"/>
      <c r="N698" s="161"/>
      <c r="O698" s="161"/>
      <c r="P698" s="161"/>
      <c r="Q698" s="161"/>
      <c r="R698" s="161"/>
      <c r="S698" s="161"/>
      <c r="T698" s="161"/>
      <c r="U698" s="161"/>
      <c r="V698" s="161"/>
    </row>
    <row r="699">
      <c r="A699" s="157"/>
      <c r="B699" s="161"/>
      <c r="C699" s="193"/>
      <c r="D699" s="161"/>
      <c r="E699" s="193"/>
      <c r="F699" s="161"/>
      <c r="G699" s="161"/>
      <c r="H699" s="161"/>
      <c r="I699" s="161"/>
      <c r="J699" s="157"/>
      <c r="K699" s="161"/>
      <c r="L699" s="161"/>
      <c r="M699" s="161"/>
      <c r="N699" s="161"/>
      <c r="O699" s="161"/>
      <c r="P699" s="161"/>
      <c r="Q699" s="161"/>
      <c r="R699" s="161"/>
      <c r="S699" s="161"/>
      <c r="T699" s="161"/>
      <c r="U699" s="161"/>
      <c r="V699" s="161"/>
    </row>
    <row r="700">
      <c r="A700" s="157"/>
      <c r="B700" s="161"/>
      <c r="C700" s="193"/>
      <c r="D700" s="161"/>
      <c r="E700" s="193"/>
      <c r="F700" s="161"/>
      <c r="G700" s="161"/>
      <c r="H700" s="161"/>
      <c r="I700" s="161"/>
      <c r="J700" s="157"/>
      <c r="K700" s="161"/>
      <c r="L700" s="161"/>
      <c r="M700" s="161"/>
      <c r="N700" s="161"/>
      <c r="O700" s="161"/>
      <c r="P700" s="161"/>
      <c r="Q700" s="161"/>
      <c r="R700" s="161"/>
      <c r="S700" s="161"/>
      <c r="T700" s="161"/>
      <c r="U700" s="161"/>
      <c r="V700" s="161"/>
    </row>
    <row r="701">
      <c r="A701" s="157"/>
      <c r="B701" s="161"/>
      <c r="C701" s="193"/>
      <c r="D701" s="161"/>
      <c r="E701" s="193"/>
      <c r="F701" s="161"/>
      <c r="G701" s="161"/>
      <c r="H701" s="161"/>
      <c r="I701" s="161"/>
      <c r="J701" s="157"/>
      <c r="K701" s="161"/>
      <c r="L701" s="161"/>
      <c r="M701" s="161"/>
      <c r="N701" s="161"/>
      <c r="O701" s="161"/>
      <c r="P701" s="161"/>
      <c r="Q701" s="161"/>
      <c r="R701" s="161"/>
      <c r="S701" s="161"/>
      <c r="T701" s="161"/>
      <c r="U701" s="161"/>
      <c r="V701" s="161"/>
    </row>
    <row r="702">
      <c r="A702" s="157"/>
      <c r="B702" s="161"/>
      <c r="C702" s="193"/>
      <c r="D702" s="161"/>
      <c r="E702" s="193"/>
      <c r="F702" s="161"/>
      <c r="G702" s="161"/>
      <c r="H702" s="161"/>
      <c r="I702" s="161"/>
      <c r="J702" s="157"/>
      <c r="K702" s="161"/>
      <c r="L702" s="161"/>
      <c r="M702" s="161"/>
      <c r="N702" s="161"/>
      <c r="O702" s="161"/>
      <c r="P702" s="161"/>
      <c r="Q702" s="161"/>
      <c r="R702" s="161"/>
      <c r="S702" s="161"/>
      <c r="T702" s="161"/>
      <c r="U702" s="161"/>
      <c r="V702" s="161"/>
    </row>
    <row r="703">
      <c r="A703" s="157"/>
      <c r="B703" s="161"/>
      <c r="C703" s="193"/>
      <c r="D703" s="161"/>
      <c r="E703" s="193"/>
      <c r="F703" s="161"/>
      <c r="G703" s="161"/>
      <c r="H703" s="161"/>
      <c r="I703" s="161"/>
      <c r="J703" s="157"/>
      <c r="K703" s="161"/>
      <c r="L703" s="161"/>
      <c r="M703" s="161"/>
      <c r="N703" s="161"/>
      <c r="O703" s="161"/>
      <c r="P703" s="161"/>
      <c r="Q703" s="161"/>
      <c r="R703" s="161"/>
      <c r="S703" s="161"/>
      <c r="T703" s="161"/>
      <c r="U703" s="161"/>
      <c r="V703" s="161"/>
    </row>
    <row r="704">
      <c r="A704" s="157"/>
      <c r="B704" s="161"/>
      <c r="C704" s="193"/>
      <c r="D704" s="161"/>
      <c r="E704" s="193"/>
      <c r="F704" s="161"/>
      <c r="G704" s="161"/>
      <c r="H704" s="161"/>
      <c r="I704" s="161"/>
      <c r="J704" s="157"/>
      <c r="K704" s="161"/>
      <c r="L704" s="161"/>
      <c r="M704" s="161"/>
      <c r="N704" s="161"/>
      <c r="O704" s="161"/>
      <c r="P704" s="161"/>
      <c r="Q704" s="161"/>
      <c r="R704" s="161"/>
      <c r="S704" s="161"/>
      <c r="T704" s="161"/>
      <c r="U704" s="161"/>
      <c r="V704" s="161"/>
    </row>
    <row r="705">
      <c r="A705" s="157"/>
      <c r="B705" s="161"/>
      <c r="C705" s="193"/>
      <c r="D705" s="161"/>
      <c r="E705" s="193"/>
      <c r="F705" s="161"/>
      <c r="G705" s="161"/>
      <c r="H705" s="161"/>
      <c r="I705" s="161"/>
      <c r="J705" s="157"/>
      <c r="K705" s="161"/>
      <c r="L705" s="161"/>
      <c r="M705" s="161"/>
      <c r="N705" s="161"/>
      <c r="O705" s="161"/>
      <c r="P705" s="161"/>
      <c r="Q705" s="161"/>
      <c r="R705" s="161"/>
      <c r="S705" s="161"/>
      <c r="T705" s="161"/>
      <c r="U705" s="161"/>
      <c r="V705" s="161"/>
    </row>
    <row r="706">
      <c r="A706" s="157"/>
      <c r="B706" s="161"/>
      <c r="C706" s="193"/>
      <c r="D706" s="161"/>
      <c r="E706" s="193"/>
      <c r="F706" s="161"/>
      <c r="G706" s="161"/>
      <c r="H706" s="161"/>
      <c r="I706" s="161"/>
      <c r="J706" s="157"/>
      <c r="K706" s="161"/>
      <c r="L706" s="161"/>
      <c r="M706" s="161"/>
      <c r="N706" s="161"/>
      <c r="O706" s="161"/>
      <c r="P706" s="161"/>
      <c r="Q706" s="161"/>
      <c r="R706" s="161"/>
      <c r="S706" s="161"/>
      <c r="T706" s="161"/>
      <c r="U706" s="161"/>
      <c r="V706" s="161"/>
    </row>
    <row r="707">
      <c r="A707" s="157"/>
      <c r="B707" s="161"/>
      <c r="C707" s="193"/>
      <c r="D707" s="161"/>
      <c r="E707" s="193"/>
      <c r="F707" s="161"/>
      <c r="G707" s="161"/>
      <c r="H707" s="161"/>
      <c r="I707" s="161"/>
      <c r="J707" s="157"/>
      <c r="K707" s="161"/>
      <c r="L707" s="161"/>
      <c r="M707" s="161"/>
      <c r="N707" s="161"/>
      <c r="O707" s="161"/>
      <c r="P707" s="161"/>
      <c r="Q707" s="161"/>
      <c r="R707" s="161"/>
      <c r="S707" s="161"/>
      <c r="T707" s="161"/>
      <c r="U707" s="161"/>
      <c r="V707" s="161"/>
    </row>
    <row r="708">
      <c r="A708" s="157"/>
      <c r="B708" s="161"/>
      <c r="C708" s="193"/>
      <c r="D708" s="161"/>
      <c r="E708" s="193"/>
      <c r="F708" s="161"/>
      <c r="G708" s="161"/>
      <c r="H708" s="161"/>
      <c r="I708" s="161"/>
      <c r="J708" s="157"/>
      <c r="K708" s="161"/>
      <c r="L708" s="161"/>
      <c r="M708" s="161"/>
      <c r="N708" s="161"/>
      <c r="O708" s="161"/>
      <c r="P708" s="161"/>
      <c r="Q708" s="161"/>
      <c r="R708" s="161"/>
      <c r="S708" s="161"/>
      <c r="T708" s="161"/>
      <c r="U708" s="161"/>
      <c r="V708" s="161"/>
    </row>
    <row r="709">
      <c r="A709" s="157"/>
      <c r="B709" s="161"/>
      <c r="C709" s="193"/>
      <c r="D709" s="161"/>
      <c r="E709" s="193"/>
      <c r="F709" s="161"/>
      <c r="G709" s="161"/>
      <c r="H709" s="161"/>
      <c r="I709" s="161"/>
      <c r="J709" s="157"/>
      <c r="K709" s="161"/>
      <c r="L709" s="161"/>
      <c r="M709" s="161"/>
      <c r="N709" s="161"/>
      <c r="O709" s="161"/>
      <c r="P709" s="161"/>
      <c r="Q709" s="161"/>
      <c r="R709" s="161"/>
      <c r="S709" s="161"/>
      <c r="T709" s="161"/>
      <c r="U709" s="161"/>
      <c r="V709" s="161"/>
    </row>
    <row r="710">
      <c r="A710" s="157"/>
      <c r="B710" s="161"/>
      <c r="C710" s="193"/>
      <c r="D710" s="161"/>
      <c r="E710" s="193"/>
      <c r="F710" s="161"/>
      <c r="G710" s="161"/>
      <c r="H710" s="161"/>
      <c r="I710" s="161"/>
      <c r="J710" s="157"/>
      <c r="K710" s="161"/>
      <c r="L710" s="161"/>
      <c r="M710" s="161"/>
      <c r="N710" s="161"/>
      <c r="O710" s="161"/>
      <c r="P710" s="161"/>
      <c r="Q710" s="161"/>
      <c r="R710" s="161"/>
      <c r="S710" s="161"/>
      <c r="T710" s="161"/>
      <c r="U710" s="161"/>
      <c r="V710" s="161"/>
    </row>
    <row r="711">
      <c r="A711" s="157"/>
      <c r="B711" s="161"/>
      <c r="C711" s="193"/>
      <c r="D711" s="161"/>
      <c r="E711" s="193"/>
      <c r="F711" s="161"/>
      <c r="G711" s="161"/>
      <c r="H711" s="161"/>
      <c r="I711" s="161"/>
      <c r="J711" s="157"/>
      <c r="K711" s="161"/>
      <c r="L711" s="161"/>
      <c r="M711" s="161"/>
      <c r="N711" s="161"/>
      <c r="O711" s="161"/>
      <c r="P711" s="161"/>
      <c r="Q711" s="161"/>
      <c r="R711" s="161"/>
      <c r="S711" s="161"/>
      <c r="T711" s="161"/>
      <c r="U711" s="161"/>
      <c r="V711" s="161"/>
    </row>
    <row r="712">
      <c r="A712" s="157"/>
      <c r="B712" s="161"/>
      <c r="C712" s="193"/>
      <c r="D712" s="161"/>
      <c r="E712" s="193"/>
      <c r="F712" s="161"/>
      <c r="G712" s="161"/>
      <c r="H712" s="161"/>
      <c r="I712" s="161"/>
      <c r="J712" s="157"/>
      <c r="K712" s="161"/>
      <c r="L712" s="161"/>
      <c r="M712" s="161"/>
      <c r="N712" s="161"/>
      <c r="O712" s="161"/>
      <c r="P712" s="161"/>
      <c r="Q712" s="161"/>
      <c r="R712" s="161"/>
      <c r="S712" s="161"/>
      <c r="T712" s="161"/>
      <c r="U712" s="161"/>
      <c r="V712" s="161"/>
    </row>
    <row r="713">
      <c r="A713" s="157"/>
      <c r="B713" s="161"/>
      <c r="C713" s="193"/>
      <c r="D713" s="161"/>
      <c r="E713" s="193"/>
      <c r="F713" s="161"/>
      <c r="G713" s="161"/>
      <c r="H713" s="161"/>
      <c r="I713" s="161"/>
      <c r="J713" s="157"/>
      <c r="K713" s="161"/>
      <c r="L713" s="161"/>
      <c r="M713" s="161"/>
      <c r="N713" s="161"/>
      <c r="O713" s="161"/>
      <c r="P713" s="161"/>
      <c r="Q713" s="161"/>
      <c r="R713" s="161"/>
      <c r="S713" s="161"/>
      <c r="T713" s="161"/>
      <c r="U713" s="161"/>
      <c r="V713" s="161"/>
    </row>
    <row r="714">
      <c r="A714" s="157"/>
      <c r="B714" s="161"/>
      <c r="C714" s="193"/>
      <c r="D714" s="161"/>
      <c r="E714" s="193"/>
      <c r="F714" s="161"/>
      <c r="G714" s="161"/>
      <c r="H714" s="161"/>
      <c r="I714" s="161"/>
      <c r="J714" s="157"/>
      <c r="K714" s="161"/>
      <c r="L714" s="161"/>
      <c r="M714" s="161"/>
      <c r="N714" s="161"/>
      <c r="O714" s="161"/>
      <c r="P714" s="161"/>
      <c r="Q714" s="161"/>
      <c r="R714" s="161"/>
      <c r="S714" s="161"/>
      <c r="T714" s="161"/>
      <c r="U714" s="161"/>
      <c r="V714" s="161"/>
    </row>
    <row r="715">
      <c r="A715" s="157"/>
      <c r="B715" s="161"/>
      <c r="C715" s="193"/>
      <c r="D715" s="161"/>
      <c r="E715" s="193"/>
      <c r="F715" s="161"/>
      <c r="G715" s="161"/>
      <c r="H715" s="161"/>
      <c r="I715" s="161"/>
      <c r="J715" s="157"/>
      <c r="K715" s="161"/>
      <c r="L715" s="161"/>
      <c r="M715" s="161"/>
      <c r="N715" s="161"/>
      <c r="O715" s="161"/>
      <c r="P715" s="161"/>
      <c r="Q715" s="161"/>
      <c r="R715" s="161"/>
      <c r="S715" s="161"/>
      <c r="T715" s="161"/>
      <c r="U715" s="161"/>
      <c r="V715" s="161"/>
    </row>
    <row r="716">
      <c r="A716" s="157"/>
      <c r="B716" s="161"/>
      <c r="C716" s="193"/>
      <c r="D716" s="161"/>
      <c r="E716" s="193"/>
      <c r="F716" s="161"/>
      <c r="G716" s="161"/>
      <c r="H716" s="161"/>
      <c r="I716" s="161"/>
      <c r="J716" s="157"/>
      <c r="K716" s="161"/>
      <c r="L716" s="161"/>
      <c r="M716" s="161"/>
      <c r="N716" s="161"/>
      <c r="O716" s="161"/>
      <c r="P716" s="161"/>
      <c r="Q716" s="161"/>
      <c r="R716" s="161"/>
      <c r="S716" s="161"/>
      <c r="T716" s="161"/>
      <c r="U716" s="161"/>
      <c r="V716" s="161"/>
    </row>
    <row r="717">
      <c r="A717" s="157"/>
      <c r="B717" s="161"/>
      <c r="C717" s="193"/>
      <c r="D717" s="161"/>
      <c r="E717" s="193"/>
      <c r="F717" s="161"/>
      <c r="G717" s="161"/>
      <c r="H717" s="161"/>
      <c r="I717" s="161"/>
      <c r="J717" s="157"/>
      <c r="K717" s="161"/>
      <c r="L717" s="161"/>
      <c r="M717" s="161"/>
      <c r="N717" s="161"/>
      <c r="O717" s="161"/>
      <c r="P717" s="161"/>
      <c r="Q717" s="161"/>
      <c r="R717" s="161"/>
      <c r="S717" s="161"/>
      <c r="T717" s="161"/>
      <c r="U717" s="161"/>
      <c r="V717" s="161"/>
    </row>
    <row r="718">
      <c r="A718" s="157"/>
      <c r="B718" s="161"/>
      <c r="C718" s="193"/>
      <c r="D718" s="161"/>
      <c r="E718" s="193"/>
      <c r="F718" s="161"/>
      <c r="G718" s="161"/>
      <c r="H718" s="161"/>
      <c r="I718" s="161"/>
      <c r="J718" s="157"/>
      <c r="K718" s="161"/>
      <c r="L718" s="161"/>
      <c r="M718" s="161"/>
      <c r="N718" s="161"/>
      <c r="O718" s="161"/>
      <c r="P718" s="161"/>
      <c r="Q718" s="161"/>
      <c r="R718" s="161"/>
      <c r="S718" s="161"/>
      <c r="T718" s="161"/>
      <c r="U718" s="161"/>
      <c r="V718" s="161"/>
    </row>
    <row r="719">
      <c r="A719" s="157"/>
      <c r="B719" s="161"/>
      <c r="C719" s="193"/>
      <c r="D719" s="161"/>
      <c r="E719" s="193"/>
      <c r="F719" s="161"/>
      <c r="G719" s="161"/>
      <c r="H719" s="161"/>
      <c r="I719" s="161"/>
      <c r="J719" s="157"/>
      <c r="K719" s="161"/>
      <c r="L719" s="161"/>
      <c r="M719" s="161"/>
      <c r="N719" s="161"/>
      <c r="O719" s="161"/>
      <c r="P719" s="161"/>
      <c r="Q719" s="161"/>
      <c r="R719" s="161"/>
      <c r="S719" s="161"/>
      <c r="T719" s="161"/>
      <c r="U719" s="161"/>
      <c r="V719" s="161"/>
    </row>
    <row r="720">
      <c r="A720" s="157"/>
      <c r="B720" s="161"/>
      <c r="C720" s="193"/>
      <c r="D720" s="161"/>
      <c r="E720" s="193"/>
      <c r="F720" s="161"/>
      <c r="G720" s="161"/>
      <c r="H720" s="161"/>
      <c r="I720" s="161"/>
      <c r="J720" s="157"/>
      <c r="K720" s="161"/>
      <c r="L720" s="161"/>
      <c r="M720" s="161"/>
      <c r="N720" s="161"/>
      <c r="O720" s="161"/>
      <c r="P720" s="161"/>
      <c r="Q720" s="161"/>
      <c r="R720" s="161"/>
      <c r="S720" s="161"/>
      <c r="T720" s="161"/>
      <c r="U720" s="161"/>
      <c r="V720" s="161"/>
    </row>
    <row r="721">
      <c r="A721" s="157"/>
      <c r="B721" s="161"/>
      <c r="C721" s="193"/>
      <c r="D721" s="161"/>
      <c r="E721" s="193"/>
      <c r="F721" s="161"/>
      <c r="G721" s="161"/>
      <c r="H721" s="161"/>
      <c r="I721" s="161"/>
      <c r="J721" s="157"/>
      <c r="K721" s="161"/>
      <c r="L721" s="161"/>
      <c r="M721" s="161"/>
      <c r="N721" s="161"/>
      <c r="O721" s="161"/>
      <c r="P721" s="161"/>
      <c r="Q721" s="161"/>
      <c r="R721" s="161"/>
      <c r="S721" s="161"/>
      <c r="T721" s="161"/>
      <c r="U721" s="161"/>
      <c r="V721" s="161"/>
    </row>
    <row r="722">
      <c r="A722" s="157"/>
      <c r="B722" s="161"/>
      <c r="C722" s="193"/>
      <c r="D722" s="161"/>
      <c r="E722" s="193"/>
      <c r="F722" s="161"/>
      <c r="G722" s="161"/>
      <c r="H722" s="161"/>
      <c r="I722" s="161"/>
      <c r="J722" s="157"/>
      <c r="K722" s="161"/>
      <c r="L722" s="161"/>
      <c r="M722" s="161"/>
      <c r="N722" s="161"/>
      <c r="O722" s="161"/>
      <c r="P722" s="161"/>
      <c r="Q722" s="161"/>
      <c r="R722" s="161"/>
      <c r="S722" s="161"/>
      <c r="T722" s="161"/>
      <c r="U722" s="161"/>
      <c r="V722" s="161"/>
    </row>
    <row r="723">
      <c r="A723" s="157"/>
      <c r="B723" s="161"/>
      <c r="C723" s="193"/>
      <c r="D723" s="161"/>
      <c r="E723" s="193"/>
      <c r="F723" s="161"/>
      <c r="G723" s="161"/>
      <c r="H723" s="161"/>
      <c r="I723" s="161"/>
      <c r="J723" s="157"/>
      <c r="K723" s="161"/>
      <c r="L723" s="161"/>
      <c r="M723" s="161"/>
      <c r="N723" s="161"/>
      <c r="O723" s="161"/>
      <c r="P723" s="161"/>
      <c r="Q723" s="161"/>
      <c r="R723" s="161"/>
      <c r="S723" s="161"/>
      <c r="T723" s="161"/>
      <c r="U723" s="161"/>
      <c r="V723" s="161"/>
    </row>
    <row r="724">
      <c r="A724" s="157"/>
      <c r="B724" s="161"/>
      <c r="C724" s="193"/>
      <c r="D724" s="161"/>
      <c r="E724" s="193"/>
      <c r="F724" s="161"/>
      <c r="G724" s="161"/>
      <c r="H724" s="161"/>
      <c r="I724" s="161"/>
      <c r="J724" s="157"/>
      <c r="K724" s="161"/>
      <c r="L724" s="161"/>
      <c r="M724" s="161"/>
      <c r="N724" s="161"/>
      <c r="O724" s="161"/>
      <c r="P724" s="161"/>
      <c r="Q724" s="161"/>
      <c r="R724" s="161"/>
      <c r="S724" s="161"/>
      <c r="T724" s="161"/>
      <c r="U724" s="161"/>
      <c r="V724" s="161"/>
    </row>
    <row r="725">
      <c r="A725" s="157"/>
      <c r="B725" s="161"/>
      <c r="C725" s="193"/>
      <c r="D725" s="161"/>
      <c r="E725" s="193"/>
      <c r="F725" s="161"/>
      <c r="G725" s="161"/>
      <c r="H725" s="161"/>
      <c r="I725" s="161"/>
      <c r="J725" s="157"/>
      <c r="K725" s="161"/>
      <c r="L725" s="161"/>
      <c r="M725" s="161"/>
      <c r="N725" s="161"/>
      <c r="O725" s="161"/>
      <c r="P725" s="161"/>
      <c r="Q725" s="161"/>
      <c r="R725" s="161"/>
      <c r="S725" s="161"/>
      <c r="T725" s="161"/>
      <c r="U725" s="161"/>
      <c r="V725" s="161"/>
    </row>
    <row r="726">
      <c r="A726" s="157"/>
      <c r="B726" s="161"/>
      <c r="C726" s="193"/>
      <c r="D726" s="161"/>
      <c r="E726" s="193"/>
      <c r="F726" s="161"/>
      <c r="G726" s="161"/>
      <c r="H726" s="161"/>
      <c r="I726" s="161"/>
      <c r="J726" s="157"/>
      <c r="K726" s="161"/>
      <c r="L726" s="161"/>
      <c r="M726" s="161"/>
      <c r="N726" s="161"/>
      <c r="O726" s="161"/>
      <c r="P726" s="161"/>
      <c r="Q726" s="161"/>
      <c r="R726" s="161"/>
      <c r="S726" s="161"/>
      <c r="T726" s="161"/>
      <c r="U726" s="161"/>
      <c r="V726" s="161"/>
    </row>
    <row r="727">
      <c r="A727" s="157"/>
      <c r="B727" s="161"/>
      <c r="C727" s="193"/>
      <c r="D727" s="161"/>
      <c r="E727" s="193"/>
      <c r="F727" s="161"/>
      <c r="G727" s="161"/>
      <c r="H727" s="161"/>
      <c r="I727" s="161"/>
      <c r="J727" s="157"/>
      <c r="K727" s="161"/>
      <c r="L727" s="161"/>
      <c r="M727" s="161"/>
      <c r="N727" s="161"/>
      <c r="O727" s="161"/>
      <c r="P727" s="161"/>
      <c r="Q727" s="161"/>
      <c r="R727" s="161"/>
      <c r="S727" s="161"/>
      <c r="T727" s="161"/>
      <c r="U727" s="161"/>
      <c r="V727" s="161"/>
    </row>
    <row r="728">
      <c r="A728" s="157"/>
      <c r="B728" s="161"/>
      <c r="C728" s="193"/>
      <c r="D728" s="161"/>
      <c r="E728" s="193"/>
      <c r="F728" s="161"/>
      <c r="G728" s="161"/>
      <c r="H728" s="161"/>
      <c r="I728" s="161"/>
      <c r="J728" s="157"/>
      <c r="K728" s="161"/>
      <c r="L728" s="161"/>
      <c r="M728" s="161"/>
      <c r="N728" s="161"/>
      <c r="O728" s="161"/>
      <c r="P728" s="161"/>
      <c r="Q728" s="161"/>
      <c r="R728" s="161"/>
      <c r="S728" s="161"/>
      <c r="T728" s="161"/>
      <c r="U728" s="161"/>
      <c r="V728" s="161"/>
    </row>
    <row r="729">
      <c r="A729" s="157"/>
      <c r="B729" s="161"/>
      <c r="C729" s="193"/>
      <c r="D729" s="161"/>
      <c r="E729" s="193"/>
      <c r="F729" s="161"/>
      <c r="G729" s="161"/>
      <c r="H729" s="161"/>
      <c r="I729" s="161"/>
      <c r="J729" s="157"/>
      <c r="K729" s="161"/>
      <c r="L729" s="161"/>
      <c r="M729" s="161"/>
      <c r="N729" s="161"/>
      <c r="O729" s="161"/>
      <c r="P729" s="161"/>
      <c r="Q729" s="161"/>
      <c r="R729" s="161"/>
      <c r="S729" s="161"/>
      <c r="T729" s="161"/>
      <c r="U729" s="161"/>
      <c r="V729" s="161"/>
    </row>
    <row r="730">
      <c r="A730" s="157"/>
      <c r="B730" s="161"/>
      <c r="C730" s="193"/>
      <c r="D730" s="161"/>
      <c r="E730" s="193"/>
      <c r="F730" s="161"/>
      <c r="G730" s="161"/>
      <c r="H730" s="161"/>
      <c r="I730" s="161"/>
      <c r="J730" s="157"/>
      <c r="K730" s="161"/>
      <c r="L730" s="161"/>
      <c r="M730" s="161"/>
      <c r="N730" s="161"/>
      <c r="O730" s="161"/>
      <c r="P730" s="161"/>
      <c r="Q730" s="161"/>
      <c r="R730" s="161"/>
      <c r="S730" s="161"/>
      <c r="T730" s="161"/>
      <c r="U730" s="161"/>
      <c r="V730" s="161"/>
    </row>
    <row r="731">
      <c r="A731" s="157"/>
      <c r="B731" s="161"/>
      <c r="C731" s="193"/>
      <c r="D731" s="161"/>
      <c r="E731" s="193"/>
      <c r="F731" s="161"/>
      <c r="G731" s="161"/>
      <c r="H731" s="161"/>
      <c r="I731" s="161"/>
      <c r="J731" s="157"/>
      <c r="K731" s="161"/>
      <c r="L731" s="161"/>
      <c r="M731" s="161"/>
      <c r="N731" s="161"/>
      <c r="O731" s="161"/>
      <c r="P731" s="161"/>
      <c r="Q731" s="161"/>
      <c r="R731" s="161"/>
      <c r="S731" s="161"/>
      <c r="T731" s="161"/>
      <c r="U731" s="161"/>
      <c r="V731" s="161"/>
    </row>
    <row r="732">
      <c r="A732" s="157"/>
      <c r="B732" s="161"/>
      <c r="C732" s="193"/>
      <c r="D732" s="161"/>
      <c r="E732" s="193"/>
      <c r="F732" s="161"/>
      <c r="G732" s="161"/>
      <c r="H732" s="161"/>
      <c r="I732" s="161"/>
      <c r="J732" s="157"/>
      <c r="K732" s="161"/>
      <c r="L732" s="161"/>
      <c r="M732" s="161"/>
      <c r="N732" s="161"/>
      <c r="O732" s="161"/>
      <c r="P732" s="161"/>
      <c r="Q732" s="161"/>
      <c r="R732" s="161"/>
      <c r="S732" s="161"/>
      <c r="T732" s="161"/>
      <c r="U732" s="161"/>
      <c r="V732" s="161"/>
    </row>
    <row r="733">
      <c r="A733" s="157"/>
      <c r="B733" s="161"/>
      <c r="C733" s="193"/>
      <c r="D733" s="161"/>
      <c r="E733" s="193"/>
      <c r="F733" s="161"/>
      <c r="G733" s="161"/>
      <c r="H733" s="161"/>
      <c r="I733" s="161"/>
      <c r="J733" s="157"/>
      <c r="K733" s="161"/>
      <c r="L733" s="161"/>
      <c r="M733" s="161"/>
      <c r="N733" s="161"/>
      <c r="O733" s="161"/>
      <c r="P733" s="161"/>
      <c r="Q733" s="161"/>
      <c r="R733" s="161"/>
      <c r="S733" s="161"/>
      <c r="T733" s="161"/>
      <c r="U733" s="161"/>
      <c r="V733" s="161"/>
    </row>
    <row r="734">
      <c r="A734" s="157"/>
      <c r="B734" s="161"/>
      <c r="C734" s="193"/>
      <c r="D734" s="161"/>
      <c r="E734" s="193"/>
      <c r="F734" s="161"/>
      <c r="G734" s="161"/>
      <c r="H734" s="161"/>
      <c r="I734" s="161"/>
      <c r="J734" s="157"/>
      <c r="K734" s="161"/>
      <c r="L734" s="161"/>
      <c r="M734" s="161"/>
      <c r="N734" s="161"/>
      <c r="O734" s="161"/>
      <c r="P734" s="161"/>
      <c r="Q734" s="161"/>
      <c r="R734" s="161"/>
      <c r="S734" s="161"/>
      <c r="T734" s="161"/>
      <c r="U734" s="161"/>
      <c r="V734" s="161"/>
    </row>
    <row r="735">
      <c r="A735" s="157"/>
      <c r="B735" s="161"/>
      <c r="C735" s="193"/>
      <c r="D735" s="161"/>
      <c r="E735" s="193"/>
      <c r="F735" s="161"/>
      <c r="G735" s="161"/>
      <c r="H735" s="161"/>
      <c r="I735" s="161"/>
      <c r="J735" s="157"/>
      <c r="K735" s="161"/>
      <c r="L735" s="161"/>
      <c r="M735" s="161"/>
      <c r="N735" s="161"/>
      <c r="O735" s="161"/>
      <c r="P735" s="161"/>
      <c r="Q735" s="161"/>
      <c r="R735" s="161"/>
      <c r="S735" s="161"/>
      <c r="T735" s="161"/>
      <c r="U735" s="161"/>
      <c r="V735" s="161"/>
    </row>
    <row r="736">
      <c r="A736" s="157"/>
      <c r="B736" s="161"/>
      <c r="C736" s="193"/>
      <c r="D736" s="161"/>
      <c r="E736" s="193"/>
      <c r="F736" s="161"/>
      <c r="G736" s="161"/>
      <c r="H736" s="161"/>
      <c r="I736" s="161"/>
      <c r="J736" s="157"/>
      <c r="K736" s="161"/>
      <c r="L736" s="161"/>
      <c r="M736" s="161"/>
      <c r="N736" s="161"/>
      <c r="O736" s="161"/>
      <c r="P736" s="161"/>
      <c r="Q736" s="161"/>
      <c r="R736" s="161"/>
      <c r="S736" s="161"/>
      <c r="T736" s="161"/>
      <c r="U736" s="161"/>
      <c r="V736" s="161"/>
    </row>
    <row r="737">
      <c r="A737" s="157"/>
      <c r="B737" s="161"/>
      <c r="C737" s="193"/>
      <c r="D737" s="161"/>
      <c r="E737" s="193"/>
      <c r="F737" s="161"/>
      <c r="G737" s="161"/>
      <c r="H737" s="161"/>
      <c r="I737" s="161"/>
      <c r="J737" s="157"/>
      <c r="K737" s="161"/>
      <c r="L737" s="161"/>
      <c r="M737" s="161"/>
      <c r="N737" s="161"/>
      <c r="O737" s="161"/>
      <c r="P737" s="161"/>
      <c r="Q737" s="161"/>
      <c r="R737" s="161"/>
      <c r="S737" s="161"/>
      <c r="T737" s="161"/>
      <c r="U737" s="161"/>
      <c r="V737" s="161"/>
    </row>
    <row r="738">
      <c r="A738" s="157"/>
      <c r="B738" s="161"/>
      <c r="C738" s="193"/>
      <c r="D738" s="161"/>
      <c r="E738" s="193"/>
      <c r="F738" s="161"/>
      <c r="G738" s="161"/>
      <c r="H738" s="161"/>
      <c r="I738" s="161"/>
      <c r="J738" s="157"/>
      <c r="K738" s="161"/>
      <c r="L738" s="161"/>
      <c r="M738" s="161"/>
      <c r="N738" s="161"/>
      <c r="O738" s="161"/>
      <c r="P738" s="161"/>
      <c r="Q738" s="161"/>
      <c r="R738" s="161"/>
      <c r="S738" s="161"/>
      <c r="T738" s="161"/>
      <c r="U738" s="161"/>
      <c r="V738" s="161"/>
    </row>
    <row r="739">
      <c r="A739" s="157"/>
      <c r="B739" s="161"/>
      <c r="C739" s="193"/>
      <c r="D739" s="161"/>
      <c r="E739" s="193"/>
      <c r="F739" s="161"/>
      <c r="G739" s="161"/>
      <c r="H739" s="161"/>
      <c r="I739" s="161"/>
      <c r="J739" s="157"/>
      <c r="K739" s="161"/>
      <c r="L739" s="161"/>
      <c r="M739" s="161"/>
      <c r="N739" s="161"/>
      <c r="O739" s="161"/>
      <c r="P739" s="161"/>
      <c r="Q739" s="161"/>
      <c r="R739" s="161"/>
      <c r="S739" s="161"/>
      <c r="T739" s="161"/>
      <c r="U739" s="161"/>
      <c r="V739" s="161"/>
    </row>
    <row r="740">
      <c r="A740" s="157"/>
      <c r="B740" s="161"/>
      <c r="C740" s="193"/>
      <c r="D740" s="161"/>
      <c r="E740" s="193"/>
      <c r="F740" s="161"/>
      <c r="G740" s="161"/>
      <c r="H740" s="161"/>
      <c r="I740" s="161"/>
      <c r="J740" s="157"/>
      <c r="K740" s="161"/>
      <c r="L740" s="161"/>
      <c r="M740" s="161"/>
      <c r="N740" s="161"/>
      <c r="O740" s="161"/>
      <c r="P740" s="161"/>
      <c r="Q740" s="161"/>
      <c r="R740" s="161"/>
      <c r="S740" s="161"/>
      <c r="T740" s="161"/>
      <c r="U740" s="161"/>
      <c r="V740" s="161"/>
    </row>
    <row r="741">
      <c r="A741" s="157"/>
      <c r="B741" s="161"/>
      <c r="C741" s="193"/>
      <c r="D741" s="161"/>
      <c r="E741" s="193"/>
      <c r="F741" s="161"/>
      <c r="G741" s="161"/>
      <c r="H741" s="161"/>
      <c r="I741" s="161"/>
      <c r="J741" s="157"/>
      <c r="K741" s="161"/>
      <c r="L741" s="161"/>
      <c r="M741" s="161"/>
      <c r="N741" s="161"/>
      <c r="O741" s="161"/>
      <c r="P741" s="161"/>
      <c r="Q741" s="161"/>
      <c r="R741" s="161"/>
      <c r="S741" s="161"/>
      <c r="T741" s="161"/>
      <c r="U741" s="161"/>
      <c r="V741" s="161"/>
    </row>
    <row r="742">
      <c r="A742" s="157"/>
      <c r="B742" s="161"/>
      <c r="C742" s="193"/>
      <c r="D742" s="161"/>
      <c r="E742" s="193"/>
      <c r="F742" s="161"/>
      <c r="G742" s="161"/>
      <c r="H742" s="161"/>
      <c r="I742" s="161"/>
      <c r="J742" s="157"/>
      <c r="K742" s="161"/>
      <c r="L742" s="161"/>
      <c r="M742" s="161"/>
      <c r="N742" s="161"/>
      <c r="O742" s="161"/>
      <c r="P742" s="161"/>
      <c r="Q742" s="161"/>
      <c r="R742" s="161"/>
      <c r="S742" s="161"/>
      <c r="T742" s="161"/>
      <c r="U742" s="161"/>
      <c r="V742" s="161"/>
    </row>
    <row r="743">
      <c r="A743" s="157"/>
      <c r="B743" s="161"/>
      <c r="C743" s="193"/>
      <c r="D743" s="161"/>
      <c r="E743" s="193"/>
      <c r="F743" s="161"/>
      <c r="G743" s="161"/>
      <c r="H743" s="161"/>
      <c r="I743" s="161"/>
      <c r="J743" s="157"/>
      <c r="K743" s="161"/>
      <c r="L743" s="161"/>
      <c r="M743" s="161"/>
      <c r="N743" s="161"/>
      <c r="O743" s="161"/>
      <c r="P743" s="161"/>
      <c r="Q743" s="161"/>
      <c r="R743" s="161"/>
      <c r="S743" s="161"/>
      <c r="T743" s="161"/>
      <c r="U743" s="161"/>
      <c r="V743" s="161"/>
    </row>
    <row r="744">
      <c r="A744" s="157"/>
      <c r="B744" s="161"/>
      <c r="C744" s="193"/>
      <c r="D744" s="161"/>
      <c r="E744" s="193"/>
      <c r="F744" s="161"/>
      <c r="G744" s="161"/>
      <c r="H744" s="161"/>
      <c r="I744" s="161"/>
      <c r="J744" s="157"/>
      <c r="K744" s="161"/>
      <c r="L744" s="161"/>
      <c r="M744" s="161"/>
      <c r="N744" s="161"/>
      <c r="O744" s="161"/>
      <c r="P744" s="161"/>
      <c r="Q744" s="161"/>
      <c r="R744" s="161"/>
      <c r="S744" s="161"/>
      <c r="T744" s="161"/>
      <c r="U744" s="161"/>
      <c r="V744" s="161"/>
    </row>
    <row r="745">
      <c r="A745" s="157"/>
      <c r="B745" s="161"/>
      <c r="C745" s="193"/>
      <c r="D745" s="161"/>
      <c r="E745" s="193"/>
      <c r="F745" s="161"/>
      <c r="G745" s="161"/>
      <c r="H745" s="161"/>
      <c r="I745" s="161"/>
      <c r="J745" s="157"/>
      <c r="K745" s="161"/>
      <c r="L745" s="161"/>
      <c r="M745" s="161"/>
      <c r="N745" s="161"/>
      <c r="O745" s="161"/>
      <c r="P745" s="161"/>
      <c r="Q745" s="161"/>
      <c r="R745" s="161"/>
      <c r="S745" s="161"/>
      <c r="T745" s="161"/>
      <c r="U745" s="161"/>
      <c r="V745" s="161"/>
    </row>
    <row r="746">
      <c r="A746" s="157"/>
      <c r="B746" s="161"/>
      <c r="C746" s="193"/>
      <c r="D746" s="161"/>
      <c r="E746" s="193"/>
      <c r="F746" s="161"/>
      <c r="G746" s="161"/>
      <c r="H746" s="161"/>
      <c r="I746" s="161"/>
      <c r="J746" s="157"/>
      <c r="K746" s="161"/>
      <c r="L746" s="161"/>
      <c r="M746" s="161"/>
      <c r="N746" s="161"/>
      <c r="O746" s="161"/>
      <c r="P746" s="161"/>
      <c r="Q746" s="161"/>
      <c r="R746" s="161"/>
      <c r="S746" s="161"/>
      <c r="T746" s="161"/>
      <c r="U746" s="161"/>
      <c r="V746" s="161"/>
    </row>
    <row r="747">
      <c r="A747" s="157"/>
      <c r="B747" s="161"/>
      <c r="C747" s="193"/>
      <c r="D747" s="161"/>
      <c r="E747" s="193"/>
      <c r="F747" s="161"/>
      <c r="G747" s="161"/>
      <c r="H747" s="161"/>
      <c r="I747" s="161"/>
      <c r="J747" s="157"/>
      <c r="K747" s="161"/>
      <c r="L747" s="161"/>
      <c r="M747" s="161"/>
      <c r="N747" s="161"/>
      <c r="O747" s="161"/>
      <c r="P747" s="161"/>
      <c r="Q747" s="161"/>
      <c r="R747" s="161"/>
      <c r="S747" s="161"/>
      <c r="T747" s="161"/>
      <c r="U747" s="161"/>
      <c r="V747" s="161"/>
    </row>
    <row r="748">
      <c r="A748" s="157"/>
      <c r="B748" s="161"/>
      <c r="C748" s="193"/>
      <c r="D748" s="161"/>
      <c r="E748" s="193"/>
      <c r="F748" s="161"/>
      <c r="G748" s="161"/>
      <c r="H748" s="161"/>
      <c r="I748" s="161"/>
      <c r="J748" s="157"/>
      <c r="K748" s="161"/>
      <c r="L748" s="161"/>
      <c r="M748" s="161"/>
      <c r="N748" s="161"/>
      <c r="O748" s="161"/>
      <c r="P748" s="161"/>
      <c r="Q748" s="161"/>
      <c r="R748" s="161"/>
      <c r="S748" s="161"/>
      <c r="T748" s="161"/>
      <c r="U748" s="161"/>
      <c r="V748" s="161"/>
    </row>
    <row r="749">
      <c r="A749" s="157"/>
      <c r="B749" s="161"/>
      <c r="C749" s="193"/>
      <c r="D749" s="161"/>
      <c r="E749" s="193"/>
      <c r="F749" s="161"/>
      <c r="G749" s="161"/>
      <c r="H749" s="161"/>
      <c r="I749" s="161"/>
      <c r="J749" s="157"/>
      <c r="K749" s="161"/>
      <c r="L749" s="161"/>
      <c r="M749" s="161"/>
      <c r="N749" s="161"/>
      <c r="O749" s="161"/>
      <c r="P749" s="161"/>
      <c r="Q749" s="161"/>
      <c r="R749" s="161"/>
      <c r="S749" s="161"/>
      <c r="T749" s="161"/>
      <c r="U749" s="161"/>
      <c r="V749" s="161"/>
    </row>
    <row r="750">
      <c r="A750" s="157"/>
      <c r="B750" s="161"/>
      <c r="C750" s="193"/>
      <c r="D750" s="161"/>
      <c r="E750" s="193"/>
      <c r="F750" s="161"/>
      <c r="G750" s="161"/>
      <c r="H750" s="161"/>
      <c r="I750" s="161"/>
      <c r="J750" s="157"/>
      <c r="K750" s="161"/>
      <c r="L750" s="161"/>
      <c r="M750" s="161"/>
      <c r="N750" s="161"/>
      <c r="O750" s="161"/>
      <c r="P750" s="161"/>
      <c r="Q750" s="161"/>
      <c r="R750" s="161"/>
      <c r="S750" s="161"/>
      <c r="T750" s="161"/>
      <c r="U750" s="161"/>
      <c r="V750" s="161"/>
    </row>
    <row r="751">
      <c r="A751" s="157"/>
      <c r="B751" s="161"/>
      <c r="C751" s="193"/>
      <c r="D751" s="161"/>
      <c r="E751" s="193"/>
      <c r="F751" s="161"/>
      <c r="G751" s="161"/>
      <c r="H751" s="161"/>
      <c r="I751" s="161"/>
      <c r="J751" s="157"/>
      <c r="K751" s="161"/>
      <c r="L751" s="161"/>
      <c r="M751" s="161"/>
      <c r="N751" s="161"/>
      <c r="O751" s="161"/>
      <c r="P751" s="161"/>
      <c r="Q751" s="161"/>
      <c r="R751" s="161"/>
      <c r="S751" s="161"/>
      <c r="T751" s="161"/>
      <c r="U751" s="161"/>
      <c r="V751" s="161"/>
    </row>
    <row r="752">
      <c r="A752" s="157"/>
      <c r="B752" s="161"/>
      <c r="C752" s="193"/>
      <c r="D752" s="161"/>
      <c r="E752" s="193"/>
      <c r="F752" s="161"/>
      <c r="G752" s="161"/>
      <c r="H752" s="161"/>
      <c r="I752" s="161"/>
      <c r="J752" s="157"/>
      <c r="K752" s="161"/>
      <c r="L752" s="161"/>
      <c r="M752" s="161"/>
      <c r="N752" s="161"/>
      <c r="O752" s="161"/>
      <c r="P752" s="161"/>
      <c r="Q752" s="161"/>
      <c r="R752" s="161"/>
      <c r="S752" s="161"/>
      <c r="T752" s="161"/>
      <c r="U752" s="161"/>
      <c r="V752" s="161"/>
    </row>
    <row r="753">
      <c r="A753" s="157"/>
      <c r="B753" s="161"/>
      <c r="C753" s="193"/>
      <c r="D753" s="161"/>
      <c r="E753" s="193"/>
      <c r="F753" s="161"/>
      <c r="G753" s="161"/>
      <c r="H753" s="161"/>
      <c r="I753" s="161"/>
      <c r="J753" s="157"/>
      <c r="K753" s="161"/>
      <c r="L753" s="161"/>
      <c r="M753" s="161"/>
      <c r="N753" s="161"/>
      <c r="O753" s="161"/>
      <c r="P753" s="161"/>
      <c r="Q753" s="161"/>
      <c r="R753" s="161"/>
      <c r="S753" s="161"/>
      <c r="T753" s="161"/>
      <c r="U753" s="161"/>
      <c r="V753" s="161"/>
    </row>
    <row r="754">
      <c r="A754" s="157"/>
      <c r="B754" s="161"/>
      <c r="C754" s="193"/>
      <c r="D754" s="161"/>
      <c r="E754" s="193"/>
      <c r="F754" s="161"/>
      <c r="G754" s="161"/>
      <c r="H754" s="161"/>
      <c r="I754" s="161"/>
      <c r="J754" s="157"/>
      <c r="K754" s="161"/>
      <c r="L754" s="161"/>
      <c r="M754" s="161"/>
      <c r="N754" s="161"/>
      <c r="O754" s="161"/>
      <c r="P754" s="161"/>
      <c r="Q754" s="161"/>
      <c r="R754" s="161"/>
      <c r="S754" s="161"/>
      <c r="T754" s="161"/>
      <c r="U754" s="161"/>
      <c r="V754" s="161"/>
    </row>
    <row r="755">
      <c r="A755" s="157"/>
      <c r="B755" s="161"/>
      <c r="C755" s="193"/>
      <c r="D755" s="161"/>
      <c r="E755" s="193"/>
      <c r="F755" s="161"/>
      <c r="G755" s="161"/>
      <c r="H755" s="161"/>
      <c r="I755" s="161"/>
      <c r="J755" s="157"/>
      <c r="K755" s="161"/>
      <c r="L755" s="161"/>
      <c r="M755" s="161"/>
      <c r="N755" s="161"/>
      <c r="O755" s="161"/>
      <c r="P755" s="161"/>
      <c r="Q755" s="161"/>
      <c r="R755" s="161"/>
      <c r="S755" s="161"/>
      <c r="T755" s="161"/>
      <c r="U755" s="161"/>
      <c r="V755" s="161"/>
    </row>
    <row r="756">
      <c r="A756" s="157"/>
      <c r="B756" s="161"/>
      <c r="C756" s="193"/>
      <c r="D756" s="161"/>
      <c r="E756" s="193"/>
      <c r="F756" s="161"/>
      <c r="G756" s="161"/>
      <c r="H756" s="161"/>
      <c r="I756" s="161"/>
      <c r="J756" s="157"/>
      <c r="K756" s="161"/>
      <c r="L756" s="161"/>
      <c r="M756" s="161"/>
      <c r="N756" s="161"/>
      <c r="O756" s="161"/>
      <c r="P756" s="161"/>
      <c r="Q756" s="161"/>
      <c r="R756" s="161"/>
      <c r="S756" s="161"/>
      <c r="T756" s="161"/>
      <c r="U756" s="161"/>
      <c r="V756" s="161"/>
    </row>
    <row r="757">
      <c r="A757" s="157"/>
      <c r="B757" s="161"/>
      <c r="C757" s="193"/>
      <c r="D757" s="161"/>
      <c r="E757" s="193"/>
      <c r="F757" s="161"/>
      <c r="G757" s="161"/>
      <c r="H757" s="161"/>
      <c r="I757" s="161"/>
      <c r="J757" s="157"/>
      <c r="K757" s="161"/>
      <c r="L757" s="161"/>
      <c r="M757" s="161"/>
      <c r="N757" s="161"/>
      <c r="O757" s="161"/>
      <c r="P757" s="161"/>
      <c r="Q757" s="161"/>
      <c r="R757" s="161"/>
      <c r="S757" s="161"/>
      <c r="T757" s="161"/>
      <c r="U757" s="161"/>
      <c r="V757" s="161"/>
    </row>
    <row r="758">
      <c r="A758" s="157"/>
      <c r="B758" s="161"/>
      <c r="C758" s="193"/>
      <c r="D758" s="161"/>
      <c r="E758" s="193"/>
      <c r="F758" s="161"/>
      <c r="G758" s="161"/>
      <c r="H758" s="161"/>
      <c r="I758" s="161"/>
      <c r="J758" s="157"/>
      <c r="K758" s="161"/>
      <c r="L758" s="161"/>
      <c r="M758" s="161"/>
      <c r="N758" s="161"/>
      <c r="O758" s="161"/>
      <c r="P758" s="161"/>
      <c r="Q758" s="161"/>
      <c r="R758" s="161"/>
      <c r="S758" s="161"/>
      <c r="T758" s="161"/>
      <c r="U758" s="161"/>
      <c r="V758" s="161"/>
    </row>
    <row r="759">
      <c r="A759" s="157"/>
      <c r="B759" s="161"/>
      <c r="C759" s="193"/>
      <c r="D759" s="161"/>
      <c r="E759" s="193"/>
      <c r="F759" s="161"/>
      <c r="G759" s="161"/>
      <c r="H759" s="161"/>
      <c r="I759" s="161"/>
      <c r="J759" s="157"/>
      <c r="K759" s="161"/>
      <c r="L759" s="161"/>
      <c r="M759" s="161"/>
      <c r="N759" s="161"/>
      <c r="O759" s="161"/>
      <c r="P759" s="161"/>
      <c r="Q759" s="161"/>
      <c r="R759" s="161"/>
      <c r="S759" s="161"/>
      <c r="T759" s="161"/>
      <c r="U759" s="161"/>
      <c r="V759" s="161"/>
    </row>
    <row r="760">
      <c r="A760" s="157"/>
      <c r="B760" s="161"/>
      <c r="C760" s="193"/>
      <c r="D760" s="161"/>
      <c r="E760" s="193"/>
      <c r="F760" s="161"/>
      <c r="G760" s="161"/>
      <c r="H760" s="161"/>
      <c r="I760" s="161"/>
      <c r="J760" s="157"/>
      <c r="K760" s="161"/>
      <c r="L760" s="161"/>
      <c r="M760" s="161"/>
      <c r="N760" s="161"/>
      <c r="O760" s="161"/>
      <c r="P760" s="161"/>
      <c r="Q760" s="161"/>
      <c r="R760" s="161"/>
      <c r="S760" s="161"/>
      <c r="T760" s="161"/>
      <c r="U760" s="161"/>
      <c r="V760" s="161"/>
    </row>
    <row r="761">
      <c r="A761" s="157"/>
      <c r="B761" s="161"/>
      <c r="C761" s="193"/>
      <c r="D761" s="161"/>
      <c r="E761" s="193"/>
      <c r="F761" s="161"/>
      <c r="G761" s="161"/>
      <c r="H761" s="161"/>
      <c r="I761" s="161"/>
      <c r="J761" s="157"/>
      <c r="K761" s="161"/>
      <c r="L761" s="161"/>
      <c r="M761" s="161"/>
      <c r="N761" s="161"/>
      <c r="O761" s="161"/>
      <c r="P761" s="161"/>
      <c r="Q761" s="161"/>
      <c r="R761" s="161"/>
      <c r="S761" s="161"/>
      <c r="T761" s="161"/>
      <c r="U761" s="161"/>
      <c r="V761" s="161"/>
    </row>
    <row r="762">
      <c r="A762" s="157"/>
      <c r="B762" s="161"/>
      <c r="C762" s="193"/>
      <c r="D762" s="161"/>
      <c r="E762" s="193"/>
      <c r="F762" s="161"/>
      <c r="G762" s="161"/>
      <c r="H762" s="161"/>
      <c r="I762" s="161"/>
      <c r="J762" s="157"/>
      <c r="K762" s="161"/>
      <c r="L762" s="161"/>
      <c r="M762" s="161"/>
      <c r="N762" s="161"/>
      <c r="O762" s="161"/>
      <c r="P762" s="161"/>
      <c r="Q762" s="161"/>
      <c r="R762" s="161"/>
      <c r="S762" s="161"/>
      <c r="T762" s="161"/>
      <c r="U762" s="161"/>
      <c r="V762" s="161"/>
    </row>
    <row r="763">
      <c r="A763" s="157"/>
      <c r="B763" s="161"/>
      <c r="C763" s="193"/>
      <c r="D763" s="161"/>
      <c r="E763" s="193"/>
      <c r="F763" s="161"/>
      <c r="G763" s="161"/>
      <c r="H763" s="161"/>
      <c r="I763" s="161"/>
      <c r="J763" s="157"/>
      <c r="K763" s="161"/>
      <c r="L763" s="161"/>
      <c r="M763" s="161"/>
      <c r="N763" s="161"/>
      <c r="O763" s="161"/>
      <c r="P763" s="161"/>
      <c r="Q763" s="161"/>
      <c r="R763" s="161"/>
      <c r="S763" s="161"/>
      <c r="T763" s="161"/>
      <c r="U763" s="161"/>
      <c r="V763" s="161"/>
    </row>
    <row r="764">
      <c r="A764" s="157"/>
      <c r="B764" s="161"/>
      <c r="C764" s="193"/>
      <c r="D764" s="161"/>
      <c r="E764" s="193"/>
      <c r="F764" s="161"/>
      <c r="G764" s="161"/>
      <c r="H764" s="161"/>
      <c r="I764" s="161"/>
      <c r="J764" s="157"/>
      <c r="K764" s="161"/>
      <c r="L764" s="161"/>
      <c r="M764" s="161"/>
      <c r="N764" s="161"/>
      <c r="O764" s="161"/>
      <c r="P764" s="161"/>
      <c r="Q764" s="161"/>
      <c r="R764" s="161"/>
      <c r="S764" s="161"/>
      <c r="T764" s="161"/>
      <c r="U764" s="161"/>
      <c r="V764" s="161"/>
    </row>
    <row r="765">
      <c r="A765" s="157"/>
      <c r="B765" s="161"/>
      <c r="C765" s="193"/>
      <c r="D765" s="161"/>
      <c r="E765" s="193"/>
      <c r="F765" s="161"/>
      <c r="G765" s="161"/>
      <c r="H765" s="161"/>
      <c r="I765" s="161"/>
      <c r="J765" s="157"/>
      <c r="K765" s="161"/>
      <c r="L765" s="161"/>
      <c r="M765" s="161"/>
      <c r="N765" s="161"/>
      <c r="O765" s="161"/>
      <c r="P765" s="161"/>
      <c r="Q765" s="161"/>
      <c r="R765" s="161"/>
      <c r="S765" s="161"/>
      <c r="T765" s="161"/>
      <c r="U765" s="161"/>
      <c r="V765" s="161"/>
    </row>
    <row r="766">
      <c r="A766" s="157"/>
      <c r="B766" s="161"/>
      <c r="C766" s="193"/>
      <c r="D766" s="161"/>
      <c r="E766" s="193"/>
      <c r="F766" s="161"/>
      <c r="G766" s="161"/>
      <c r="H766" s="161"/>
      <c r="I766" s="161"/>
      <c r="J766" s="157"/>
      <c r="K766" s="161"/>
      <c r="L766" s="161"/>
      <c r="M766" s="161"/>
      <c r="N766" s="161"/>
      <c r="O766" s="161"/>
      <c r="P766" s="161"/>
      <c r="Q766" s="161"/>
      <c r="R766" s="161"/>
      <c r="S766" s="161"/>
      <c r="T766" s="161"/>
      <c r="U766" s="161"/>
      <c r="V766" s="161"/>
    </row>
    <row r="767">
      <c r="A767" s="157"/>
      <c r="B767" s="161"/>
      <c r="C767" s="193"/>
      <c r="D767" s="161"/>
      <c r="E767" s="193"/>
      <c r="F767" s="161"/>
      <c r="G767" s="161"/>
      <c r="H767" s="161"/>
      <c r="I767" s="161"/>
      <c r="J767" s="157"/>
      <c r="K767" s="161"/>
      <c r="L767" s="161"/>
      <c r="M767" s="161"/>
      <c r="N767" s="161"/>
      <c r="O767" s="161"/>
      <c r="P767" s="161"/>
      <c r="Q767" s="161"/>
      <c r="R767" s="161"/>
      <c r="S767" s="161"/>
      <c r="T767" s="161"/>
      <c r="U767" s="161"/>
      <c r="V767" s="161"/>
    </row>
    <row r="768">
      <c r="A768" s="157"/>
      <c r="B768" s="161"/>
      <c r="C768" s="193"/>
      <c r="D768" s="161"/>
      <c r="E768" s="193"/>
      <c r="F768" s="161"/>
      <c r="G768" s="161"/>
      <c r="H768" s="161"/>
      <c r="I768" s="161"/>
      <c r="J768" s="157"/>
      <c r="K768" s="161"/>
      <c r="L768" s="161"/>
      <c r="M768" s="161"/>
      <c r="N768" s="161"/>
      <c r="O768" s="161"/>
      <c r="P768" s="161"/>
      <c r="Q768" s="161"/>
      <c r="R768" s="161"/>
      <c r="S768" s="161"/>
      <c r="T768" s="161"/>
      <c r="U768" s="161"/>
      <c r="V768" s="161"/>
    </row>
    <row r="769">
      <c r="A769" s="157"/>
      <c r="B769" s="161"/>
      <c r="C769" s="193"/>
      <c r="D769" s="161"/>
      <c r="E769" s="193"/>
      <c r="F769" s="161"/>
      <c r="G769" s="161"/>
      <c r="H769" s="161"/>
      <c r="I769" s="161"/>
      <c r="J769" s="157"/>
      <c r="K769" s="161"/>
      <c r="L769" s="161"/>
      <c r="M769" s="161"/>
      <c r="N769" s="161"/>
      <c r="O769" s="161"/>
      <c r="P769" s="161"/>
      <c r="Q769" s="161"/>
      <c r="R769" s="161"/>
      <c r="S769" s="161"/>
      <c r="T769" s="161"/>
      <c r="U769" s="161"/>
      <c r="V769" s="161"/>
    </row>
    <row r="770">
      <c r="A770" s="157"/>
      <c r="B770" s="161"/>
      <c r="C770" s="193"/>
      <c r="D770" s="161"/>
      <c r="E770" s="193"/>
      <c r="F770" s="161"/>
      <c r="G770" s="161"/>
      <c r="H770" s="161"/>
      <c r="I770" s="161"/>
      <c r="J770" s="157"/>
      <c r="K770" s="161"/>
      <c r="L770" s="161"/>
      <c r="M770" s="161"/>
      <c r="N770" s="161"/>
      <c r="O770" s="161"/>
      <c r="P770" s="161"/>
      <c r="Q770" s="161"/>
      <c r="R770" s="161"/>
      <c r="S770" s="161"/>
      <c r="T770" s="161"/>
      <c r="U770" s="161"/>
      <c r="V770" s="161"/>
    </row>
    <row r="771">
      <c r="A771" s="157"/>
      <c r="B771" s="161"/>
      <c r="C771" s="193"/>
      <c r="D771" s="161"/>
      <c r="E771" s="193"/>
      <c r="F771" s="161"/>
      <c r="G771" s="161"/>
      <c r="H771" s="161"/>
      <c r="I771" s="161"/>
      <c r="J771" s="157"/>
      <c r="K771" s="161"/>
      <c r="L771" s="161"/>
      <c r="M771" s="161"/>
      <c r="N771" s="161"/>
      <c r="O771" s="161"/>
      <c r="P771" s="161"/>
      <c r="Q771" s="161"/>
      <c r="R771" s="161"/>
      <c r="S771" s="161"/>
      <c r="T771" s="161"/>
      <c r="U771" s="161"/>
      <c r="V771" s="161"/>
    </row>
    <row r="772">
      <c r="A772" s="157"/>
      <c r="B772" s="161"/>
      <c r="C772" s="193"/>
      <c r="D772" s="161"/>
      <c r="E772" s="193"/>
      <c r="F772" s="161"/>
      <c r="G772" s="161"/>
      <c r="H772" s="161"/>
      <c r="I772" s="161"/>
      <c r="J772" s="157"/>
      <c r="K772" s="161"/>
      <c r="L772" s="161"/>
      <c r="M772" s="161"/>
      <c r="N772" s="161"/>
      <c r="O772" s="161"/>
      <c r="P772" s="161"/>
      <c r="Q772" s="161"/>
      <c r="R772" s="161"/>
      <c r="S772" s="161"/>
      <c r="T772" s="161"/>
      <c r="U772" s="161"/>
      <c r="V772" s="161"/>
    </row>
    <row r="773">
      <c r="A773" s="157"/>
      <c r="B773" s="161"/>
      <c r="C773" s="193"/>
      <c r="D773" s="161"/>
      <c r="E773" s="193"/>
      <c r="F773" s="161"/>
      <c r="G773" s="161"/>
      <c r="H773" s="161"/>
      <c r="I773" s="161"/>
      <c r="J773" s="157"/>
      <c r="K773" s="161"/>
      <c r="L773" s="161"/>
      <c r="M773" s="161"/>
      <c r="N773" s="161"/>
      <c r="O773" s="161"/>
      <c r="P773" s="161"/>
      <c r="Q773" s="161"/>
      <c r="R773" s="161"/>
      <c r="S773" s="161"/>
      <c r="T773" s="161"/>
      <c r="U773" s="161"/>
      <c r="V773" s="161"/>
    </row>
    <row r="774">
      <c r="A774" s="157"/>
      <c r="B774" s="161"/>
      <c r="C774" s="193"/>
      <c r="D774" s="161"/>
      <c r="E774" s="193"/>
      <c r="F774" s="161"/>
      <c r="G774" s="161"/>
      <c r="H774" s="161"/>
      <c r="I774" s="161"/>
      <c r="J774" s="157"/>
      <c r="K774" s="161"/>
      <c r="L774" s="161"/>
      <c r="M774" s="161"/>
      <c r="N774" s="161"/>
      <c r="O774" s="161"/>
      <c r="P774" s="161"/>
      <c r="Q774" s="161"/>
      <c r="R774" s="161"/>
      <c r="S774" s="161"/>
      <c r="T774" s="161"/>
      <c r="U774" s="161"/>
      <c r="V774" s="161"/>
    </row>
    <row r="775">
      <c r="A775" s="157"/>
      <c r="B775" s="161"/>
      <c r="C775" s="193"/>
      <c r="D775" s="161"/>
      <c r="E775" s="193"/>
      <c r="F775" s="161"/>
      <c r="G775" s="161"/>
      <c r="H775" s="161"/>
      <c r="I775" s="161"/>
      <c r="J775" s="157"/>
      <c r="K775" s="161"/>
      <c r="L775" s="161"/>
      <c r="M775" s="161"/>
      <c r="N775" s="161"/>
      <c r="O775" s="161"/>
      <c r="P775" s="161"/>
      <c r="Q775" s="161"/>
      <c r="R775" s="161"/>
      <c r="S775" s="161"/>
      <c r="T775" s="161"/>
      <c r="U775" s="161"/>
      <c r="V775" s="161"/>
    </row>
    <row r="776">
      <c r="A776" s="157"/>
      <c r="B776" s="161"/>
      <c r="C776" s="193"/>
      <c r="D776" s="161"/>
      <c r="E776" s="193"/>
      <c r="F776" s="161"/>
      <c r="G776" s="161"/>
      <c r="H776" s="161"/>
      <c r="I776" s="161"/>
      <c r="J776" s="157"/>
      <c r="K776" s="161"/>
      <c r="L776" s="161"/>
      <c r="M776" s="161"/>
      <c r="N776" s="161"/>
      <c r="O776" s="161"/>
      <c r="P776" s="161"/>
      <c r="Q776" s="161"/>
      <c r="R776" s="161"/>
      <c r="S776" s="161"/>
      <c r="T776" s="161"/>
      <c r="U776" s="161"/>
      <c r="V776" s="161"/>
    </row>
    <row r="777">
      <c r="A777" s="157"/>
      <c r="B777" s="161"/>
      <c r="C777" s="193"/>
      <c r="D777" s="161"/>
      <c r="E777" s="193"/>
      <c r="F777" s="161"/>
      <c r="G777" s="161"/>
      <c r="H777" s="161"/>
      <c r="I777" s="161"/>
      <c r="J777" s="157"/>
      <c r="K777" s="161"/>
      <c r="L777" s="161"/>
      <c r="M777" s="161"/>
      <c r="N777" s="161"/>
      <c r="O777" s="161"/>
      <c r="P777" s="161"/>
      <c r="Q777" s="161"/>
      <c r="R777" s="161"/>
      <c r="S777" s="161"/>
      <c r="T777" s="161"/>
      <c r="U777" s="161"/>
      <c r="V777" s="161"/>
    </row>
    <row r="778">
      <c r="A778" s="157"/>
      <c r="B778" s="161"/>
      <c r="C778" s="193"/>
      <c r="D778" s="161"/>
      <c r="E778" s="193"/>
      <c r="F778" s="161"/>
      <c r="G778" s="161"/>
      <c r="H778" s="161"/>
      <c r="I778" s="161"/>
      <c r="J778" s="157"/>
      <c r="K778" s="161"/>
      <c r="L778" s="161"/>
      <c r="M778" s="161"/>
      <c r="N778" s="161"/>
      <c r="O778" s="161"/>
      <c r="P778" s="161"/>
      <c r="Q778" s="161"/>
      <c r="R778" s="161"/>
      <c r="S778" s="161"/>
      <c r="T778" s="161"/>
      <c r="U778" s="161"/>
      <c r="V778" s="161"/>
    </row>
    <row r="779">
      <c r="A779" s="157"/>
      <c r="B779" s="161"/>
      <c r="C779" s="193"/>
      <c r="D779" s="161"/>
      <c r="E779" s="193"/>
      <c r="F779" s="161"/>
      <c r="G779" s="161"/>
      <c r="H779" s="161"/>
      <c r="I779" s="161"/>
      <c r="J779" s="157"/>
      <c r="K779" s="161"/>
      <c r="L779" s="161"/>
      <c r="M779" s="161"/>
      <c r="N779" s="161"/>
      <c r="O779" s="161"/>
      <c r="P779" s="161"/>
      <c r="Q779" s="161"/>
      <c r="R779" s="161"/>
      <c r="S779" s="161"/>
      <c r="T779" s="161"/>
      <c r="U779" s="161"/>
      <c r="V779" s="161"/>
    </row>
    <row r="780">
      <c r="A780" s="157"/>
      <c r="B780" s="161"/>
      <c r="C780" s="193"/>
      <c r="D780" s="161"/>
      <c r="E780" s="193"/>
      <c r="F780" s="161"/>
      <c r="G780" s="161"/>
      <c r="H780" s="161"/>
      <c r="I780" s="161"/>
      <c r="J780" s="157"/>
      <c r="K780" s="161"/>
      <c r="L780" s="161"/>
      <c r="M780" s="161"/>
      <c r="N780" s="161"/>
      <c r="O780" s="161"/>
      <c r="P780" s="161"/>
      <c r="Q780" s="161"/>
      <c r="R780" s="161"/>
      <c r="S780" s="161"/>
      <c r="T780" s="161"/>
      <c r="U780" s="161"/>
      <c r="V780" s="161"/>
    </row>
    <row r="781">
      <c r="A781" s="157"/>
      <c r="B781" s="161"/>
      <c r="C781" s="193"/>
      <c r="D781" s="161"/>
      <c r="E781" s="193"/>
      <c r="F781" s="161"/>
      <c r="G781" s="161"/>
      <c r="H781" s="161"/>
      <c r="I781" s="161"/>
      <c r="J781" s="157"/>
      <c r="K781" s="161"/>
      <c r="L781" s="161"/>
      <c r="M781" s="161"/>
      <c r="N781" s="161"/>
      <c r="O781" s="161"/>
      <c r="P781" s="161"/>
      <c r="Q781" s="161"/>
      <c r="R781" s="161"/>
      <c r="S781" s="161"/>
      <c r="T781" s="161"/>
      <c r="U781" s="161"/>
      <c r="V781" s="161"/>
    </row>
    <row r="782">
      <c r="A782" s="157"/>
      <c r="B782" s="161"/>
      <c r="C782" s="193"/>
      <c r="D782" s="161"/>
      <c r="E782" s="193"/>
      <c r="F782" s="161"/>
      <c r="G782" s="161"/>
      <c r="H782" s="161"/>
      <c r="I782" s="161"/>
      <c r="J782" s="157"/>
      <c r="K782" s="161"/>
      <c r="L782" s="161"/>
      <c r="M782" s="161"/>
      <c r="N782" s="161"/>
      <c r="O782" s="161"/>
      <c r="P782" s="161"/>
      <c r="Q782" s="161"/>
      <c r="R782" s="161"/>
      <c r="S782" s="161"/>
      <c r="T782" s="161"/>
      <c r="U782" s="161"/>
      <c r="V782" s="161"/>
    </row>
    <row r="783">
      <c r="A783" s="157"/>
      <c r="B783" s="161"/>
      <c r="C783" s="193"/>
      <c r="D783" s="161"/>
      <c r="E783" s="193"/>
      <c r="F783" s="161"/>
      <c r="G783" s="161"/>
      <c r="H783" s="161"/>
      <c r="I783" s="161"/>
      <c r="J783" s="157"/>
      <c r="K783" s="161"/>
      <c r="L783" s="161"/>
      <c r="M783" s="161"/>
      <c r="N783" s="161"/>
      <c r="O783" s="161"/>
      <c r="P783" s="161"/>
      <c r="Q783" s="161"/>
      <c r="R783" s="161"/>
      <c r="S783" s="161"/>
      <c r="T783" s="161"/>
      <c r="U783" s="161"/>
      <c r="V783" s="161"/>
    </row>
    <row r="784">
      <c r="A784" s="157"/>
      <c r="B784" s="161"/>
      <c r="C784" s="193"/>
      <c r="D784" s="161"/>
      <c r="E784" s="193"/>
      <c r="F784" s="161"/>
      <c r="G784" s="161"/>
      <c r="H784" s="161"/>
      <c r="I784" s="161"/>
      <c r="J784" s="157"/>
      <c r="K784" s="161"/>
      <c r="L784" s="161"/>
      <c r="M784" s="161"/>
      <c r="N784" s="161"/>
      <c r="O784" s="161"/>
      <c r="P784" s="161"/>
      <c r="Q784" s="161"/>
      <c r="R784" s="161"/>
      <c r="S784" s="161"/>
      <c r="T784" s="161"/>
      <c r="U784" s="161"/>
      <c r="V784" s="161"/>
    </row>
    <row r="785">
      <c r="A785" s="157"/>
      <c r="B785" s="161"/>
      <c r="C785" s="193"/>
      <c r="D785" s="161"/>
      <c r="E785" s="193"/>
      <c r="F785" s="161"/>
      <c r="G785" s="161"/>
      <c r="H785" s="161"/>
      <c r="I785" s="161"/>
      <c r="J785" s="157"/>
      <c r="K785" s="161"/>
      <c r="L785" s="161"/>
      <c r="M785" s="161"/>
      <c r="N785" s="161"/>
      <c r="O785" s="161"/>
      <c r="P785" s="161"/>
      <c r="Q785" s="161"/>
      <c r="R785" s="161"/>
      <c r="S785" s="161"/>
      <c r="T785" s="161"/>
      <c r="U785" s="161"/>
      <c r="V785" s="161"/>
    </row>
    <row r="786">
      <c r="A786" s="157"/>
      <c r="B786" s="161"/>
      <c r="C786" s="193"/>
      <c r="D786" s="161"/>
      <c r="E786" s="193"/>
      <c r="F786" s="161"/>
      <c r="G786" s="161"/>
      <c r="H786" s="161"/>
      <c r="I786" s="161"/>
      <c r="J786" s="157"/>
      <c r="K786" s="161"/>
      <c r="L786" s="161"/>
      <c r="M786" s="161"/>
      <c r="N786" s="161"/>
      <c r="O786" s="161"/>
      <c r="P786" s="161"/>
      <c r="Q786" s="161"/>
      <c r="R786" s="161"/>
      <c r="S786" s="161"/>
      <c r="T786" s="161"/>
      <c r="U786" s="161"/>
      <c r="V786" s="161"/>
    </row>
    <row r="787">
      <c r="A787" s="157"/>
      <c r="B787" s="161"/>
      <c r="C787" s="193"/>
      <c r="D787" s="161"/>
      <c r="E787" s="193"/>
      <c r="F787" s="161"/>
      <c r="G787" s="161"/>
      <c r="H787" s="161"/>
      <c r="I787" s="161"/>
      <c r="J787" s="157"/>
      <c r="K787" s="161"/>
      <c r="L787" s="161"/>
      <c r="M787" s="161"/>
      <c r="N787" s="161"/>
      <c r="O787" s="161"/>
      <c r="P787" s="161"/>
      <c r="Q787" s="161"/>
      <c r="R787" s="161"/>
      <c r="S787" s="161"/>
      <c r="T787" s="161"/>
      <c r="U787" s="161"/>
      <c r="V787" s="161"/>
    </row>
    <row r="788">
      <c r="A788" s="157"/>
      <c r="B788" s="161"/>
      <c r="C788" s="193"/>
      <c r="D788" s="161"/>
      <c r="E788" s="193"/>
      <c r="F788" s="161"/>
      <c r="G788" s="161"/>
      <c r="H788" s="161"/>
      <c r="I788" s="161"/>
      <c r="J788" s="157"/>
      <c r="K788" s="161"/>
      <c r="L788" s="161"/>
      <c r="M788" s="161"/>
      <c r="N788" s="161"/>
      <c r="O788" s="161"/>
      <c r="P788" s="161"/>
      <c r="Q788" s="161"/>
      <c r="R788" s="161"/>
      <c r="S788" s="161"/>
      <c r="T788" s="161"/>
      <c r="U788" s="161"/>
      <c r="V788" s="161"/>
    </row>
    <row r="789">
      <c r="A789" s="157"/>
      <c r="B789" s="161"/>
      <c r="C789" s="193"/>
      <c r="D789" s="161"/>
      <c r="E789" s="193"/>
      <c r="F789" s="161"/>
      <c r="G789" s="161"/>
      <c r="H789" s="161"/>
      <c r="I789" s="161"/>
      <c r="J789" s="157"/>
      <c r="K789" s="161"/>
      <c r="L789" s="161"/>
      <c r="M789" s="161"/>
      <c r="N789" s="161"/>
      <c r="O789" s="161"/>
      <c r="P789" s="161"/>
      <c r="Q789" s="161"/>
      <c r="R789" s="161"/>
      <c r="S789" s="161"/>
      <c r="T789" s="161"/>
      <c r="U789" s="161"/>
      <c r="V789" s="161"/>
    </row>
    <row r="790">
      <c r="A790" s="157"/>
      <c r="B790" s="161"/>
      <c r="C790" s="193"/>
      <c r="D790" s="161"/>
      <c r="E790" s="193"/>
      <c r="F790" s="161"/>
      <c r="G790" s="161"/>
      <c r="H790" s="161"/>
      <c r="I790" s="161"/>
      <c r="J790" s="157"/>
      <c r="K790" s="161"/>
      <c r="L790" s="161"/>
      <c r="M790" s="161"/>
      <c r="N790" s="161"/>
      <c r="O790" s="161"/>
      <c r="P790" s="161"/>
      <c r="Q790" s="161"/>
      <c r="R790" s="161"/>
      <c r="S790" s="161"/>
      <c r="T790" s="161"/>
      <c r="U790" s="161"/>
      <c r="V790" s="161"/>
    </row>
    <row r="791">
      <c r="A791" s="157"/>
      <c r="B791" s="161"/>
      <c r="C791" s="193"/>
      <c r="D791" s="161"/>
      <c r="E791" s="193"/>
      <c r="F791" s="161"/>
      <c r="G791" s="161"/>
      <c r="H791" s="161"/>
      <c r="I791" s="161"/>
      <c r="J791" s="157"/>
      <c r="K791" s="161"/>
      <c r="L791" s="161"/>
      <c r="M791" s="161"/>
      <c r="N791" s="161"/>
      <c r="O791" s="161"/>
      <c r="P791" s="161"/>
      <c r="Q791" s="161"/>
      <c r="R791" s="161"/>
      <c r="S791" s="161"/>
      <c r="T791" s="161"/>
      <c r="U791" s="161"/>
      <c r="V791" s="161"/>
    </row>
    <row r="792">
      <c r="A792" s="157"/>
      <c r="B792" s="161"/>
      <c r="C792" s="193"/>
      <c r="D792" s="161"/>
      <c r="E792" s="193"/>
      <c r="F792" s="161"/>
      <c r="G792" s="161"/>
      <c r="H792" s="161"/>
      <c r="I792" s="161"/>
      <c r="J792" s="157"/>
      <c r="K792" s="161"/>
      <c r="L792" s="161"/>
      <c r="M792" s="161"/>
      <c r="N792" s="161"/>
      <c r="O792" s="161"/>
      <c r="P792" s="161"/>
      <c r="Q792" s="161"/>
      <c r="R792" s="161"/>
      <c r="S792" s="161"/>
      <c r="T792" s="161"/>
      <c r="U792" s="161"/>
      <c r="V792" s="161"/>
    </row>
    <row r="793">
      <c r="A793" s="157"/>
      <c r="B793" s="161"/>
      <c r="C793" s="193"/>
      <c r="D793" s="161"/>
      <c r="E793" s="193"/>
      <c r="F793" s="161"/>
      <c r="G793" s="161"/>
      <c r="H793" s="161"/>
      <c r="I793" s="161"/>
      <c r="J793" s="157"/>
      <c r="K793" s="161"/>
      <c r="L793" s="161"/>
      <c r="M793" s="161"/>
      <c r="N793" s="161"/>
      <c r="O793" s="161"/>
      <c r="P793" s="161"/>
      <c r="Q793" s="161"/>
      <c r="R793" s="161"/>
      <c r="S793" s="161"/>
      <c r="T793" s="161"/>
      <c r="U793" s="161"/>
      <c r="V793" s="161"/>
    </row>
    <row r="794">
      <c r="A794" s="157"/>
      <c r="B794" s="161"/>
      <c r="C794" s="193"/>
      <c r="D794" s="161"/>
      <c r="E794" s="193"/>
      <c r="F794" s="161"/>
      <c r="G794" s="161"/>
      <c r="H794" s="161"/>
      <c r="I794" s="161"/>
      <c r="J794" s="157"/>
      <c r="K794" s="161"/>
      <c r="L794" s="161"/>
      <c r="M794" s="161"/>
      <c r="N794" s="161"/>
      <c r="O794" s="161"/>
      <c r="P794" s="161"/>
      <c r="Q794" s="161"/>
      <c r="R794" s="161"/>
      <c r="S794" s="161"/>
      <c r="T794" s="161"/>
      <c r="U794" s="161"/>
      <c r="V794" s="161"/>
    </row>
    <row r="795">
      <c r="A795" s="157"/>
      <c r="B795" s="161"/>
      <c r="C795" s="193"/>
      <c r="D795" s="161"/>
      <c r="E795" s="193"/>
      <c r="F795" s="161"/>
      <c r="G795" s="161"/>
      <c r="H795" s="161"/>
      <c r="I795" s="161"/>
      <c r="J795" s="157"/>
      <c r="K795" s="161"/>
      <c r="L795" s="161"/>
      <c r="M795" s="161"/>
      <c r="N795" s="161"/>
      <c r="O795" s="161"/>
      <c r="P795" s="161"/>
      <c r="Q795" s="161"/>
      <c r="R795" s="161"/>
      <c r="S795" s="161"/>
      <c r="T795" s="161"/>
      <c r="U795" s="161"/>
      <c r="V795" s="161"/>
    </row>
    <row r="796">
      <c r="A796" s="157"/>
      <c r="B796" s="161"/>
      <c r="C796" s="193"/>
      <c r="D796" s="161"/>
      <c r="E796" s="193"/>
      <c r="F796" s="161"/>
      <c r="G796" s="161"/>
      <c r="H796" s="161"/>
      <c r="I796" s="161"/>
      <c r="J796" s="157"/>
      <c r="K796" s="161"/>
      <c r="L796" s="161"/>
      <c r="M796" s="161"/>
      <c r="N796" s="161"/>
      <c r="O796" s="161"/>
      <c r="P796" s="161"/>
      <c r="Q796" s="161"/>
      <c r="R796" s="161"/>
      <c r="S796" s="161"/>
      <c r="T796" s="161"/>
      <c r="U796" s="161"/>
      <c r="V796" s="161"/>
    </row>
    <row r="797">
      <c r="A797" s="157"/>
      <c r="B797" s="161"/>
      <c r="C797" s="193"/>
      <c r="D797" s="161"/>
      <c r="E797" s="193"/>
      <c r="F797" s="161"/>
      <c r="G797" s="161"/>
      <c r="H797" s="161"/>
      <c r="I797" s="161"/>
      <c r="J797" s="157"/>
      <c r="K797" s="161"/>
      <c r="L797" s="161"/>
      <c r="M797" s="161"/>
      <c r="N797" s="161"/>
      <c r="O797" s="161"/>
      <c r="P797" s="161"/>
      <c r="Q797" s="161"/>
      <c r="R797" s="161"/>
      <c r="S797" s="161"/>
      <c r="T797" s="161"/>
      <c r="U797" s="161"/>
      <c r="V797" s="161"/>
    </row>
    <row r="798">
      <c r="A798" s="157"/>
      <c r="B798" s="161"/>
      <c r="C798" s="193"/>
      <c r="D798" s="161"/>
      <c r="E798" s="193"/>
      <c r="F798" s="161"/>
      <c r="G798" s="161"/>
      <c r="H798" s="161"/>
      <c r="I798" s="161"/>
      <c r="J798" s="157"/>
      <c r="K798" s="161"/>
      <c r="L798" s="161"/>
      <c r="M798" s="161"/>
      <c r="N798" s="161"/>
      <c r="O798" s="161"/>
      <c r="P798" s="161"/>
      <c r="Q798" s="161"/>
      <c r="R798" s="161"/>
      <c r="S798" s="161"/>
      <c r="T798" s="161"/>
      <c r="U798" s="161"/>
      <c r="V798" s="161"/>
    </row>
    <row r="799">
      <c r="A799" s="157"/>
      <c r="B799" s="161"/>
      <c r="C799" s="193"/>
      <c r="D799" s="161"/>
      <c r="E799" s="193"/>
      <c r="F799" s="161"/>
      <c r="G799" s="161"/>
      <c r="H799" s="161"/>
      <c r="I799" s="161"/>
      <c r="J799" s="157"/>
      <c r="K799" s="161"/>
      <c r="L799" s="161"/>
      <c r="M799" s="161"/>
      <c r="N799" s="161"/>
      <c r="O799" s="161"/>
      <c r="P799" s="161"/>
      <c r="Q799" s="161"/>
      <c r="R799" s="161"/>
      <c r="S799" s="161"/>
      <c r="T799" s="161"/>
      <c r="U799" s="161"/>
      <c r="V799" s="161"/>
    </row>
    <row r="800">
      <c r="A800" s="157"/>
      <c r="B800" s="161"/>
      <c r="C800" s="193"/>
      <c r="D800" s="161"/>
      <c r="E800" s="193"/>
      <c r="F800" s="161"/>
      <c r="G800" s="161"/>
      <c r="H800" s="161"/>
      <c r="I800" s="161"/>
      <c r="J800" s="157"/>
      <c r="K800" s="161"/>
      <c r="L800" s="161"/>
      <c r="M800" s="161"/>
      <c r="N800" s="161"/>
      <c r="O800" s="161"/>
      <c r="P800" s="161"/>
      <c r="Q800" s="161"/>
      <c r="R800" s="161"/>
      <c r="S800" s="161"/>
      <c r="T800" s="161"/>
      <c r="U800" s="161"/>
      <c r="V800" s="161"/>
    </row>
    <row r="801">
      <c r="A801" s="157"/>
      <c r="B801" s="161"/>
      <c r="C801" s="193"/>
      <c r="D801" s="161"/>
      <c r="E801" s="193"/>
      <c r="F801" s="161"/>
      <c r="G801" s="161"/>
      <c r="H801" s="161"/>
      <c r="I801" s="161"/>
      <c r="J801" s="157"/>
      <c r="K801" s="161"/>
      <c r="L801" s="161"/>
      <c r="M801" s="161"/>
      <c r="N801" s="161"/>
      <c r="O801" s="161"/>
      <c r="P801" s="161"/>
      <c r="Q801" s="161"/>
      <c r="R801" s="161"/>
      <c r="S801" s="161"/>
      <c r="T801" s="161"/>
      <c r="U801" s="161"/>
      <c r="V801" s="161"/>
    </row>
    <row r="802">
      <c r="A802" s="157"/>
      <c r="B802" s="161"/>
      <c r="C802" s="193"/>
      <c r="D802" s="161"/>
      <c r="E802" s="193"/>
      <c r="F802" s="161"/>
      <c r="G802" s="161"/>
      <c r="H802" s="161"/>
      <c r="I802" s="161"/>
      <c r="J802" s="157"/>
      <c r="K802" s="161"/>
      <c r="L802" s="161"/>
      <c r="M802" s="161"/>
      <c r="N802" s="161"/>
      <c r="O802" s="161"/>
      <c r="P802" s="161"/>
      <c r="Q802" s="161"/>
      <c r="R802" s="161"/>
      <c r="S802" s="161"/>
      <c r="T802" s="161"/>
      <c r="U802" s="161"/>
      <c r="V802" s="161"/>
    </row>
    <row r="803">
      <c r="A803" s="157"/>
      <c r="B803" s="161"/>
      <c r="C803" s="193"/>
      <c r="D803" s="161"/>
      <c r="E803" s="193"/>
      <c r="F803" s="161"/>
      <c r="G803" s="161"/>
      <c r="H803" s="161"/>
      <c r="I803" s="161"/>
      <c r="J803" s="157"/>
      <c r="K803" s="161"/>
      <c r="L803" s="161"/>
      <c r="M803" s="161"/>
      <c r="N803" s="161"/>
      <c r="O803" s="161"/>
      <c r="P803" s="161"/>
      <c r="Q803" s="161"/>
      <c r="R803" s="161"/>
      <c r="S803" s="161"/>
      <c r="T803" s="161"/>
      <c r="U803" s="161"/>
      <c r="V803" s="161"/>
    </row>
    <row r="804">
      <c r="A804" s="157"/>
      <c r="B804" s="161"/>
      <c r="C804" s="193"/>
      <c r="D804" s="161"/>
      <c r="E804" s="193"/>
      <c r="F804" s="161"/>
      <c r="G804" s="161"/>
      <c r="H804" s="161"/>
      <c r="I804" s="161"/>
      <c r="J804" s="157"/>
      <c r="K804" s="161"/>
      <c r="L804" s="161"/>
      <c r="M804" s="161"/>
      <c r="N804" s="161"/>
      <c r="O804" s="161"/>
      <c r="P804" s="161"/>
      <c r="Q804" s="161"/>
      <c r="R804" s="161"/>
      <c r="S804" s="161"/>
      <c r="T804" s="161"/>
      <c r="U804" s="161"/>
      <c r="V804" s="161"/>
    </row>
    <row r="805">
      <c r="A805" s="157"/>
      <c r="B805" s="161"/>
      <c r="C805" s="193"/>
      <c r="D805" s="161"/>
      <c r="E805" s="193"/>
      <c r="F805" s="161"/>
      <c r="G805" s="161"/>
      <c r="H805" s="161"/>
      <c r="I805" s="161"/>
      <c r="J805" s="157"/>
      <c r="K805" s="161"/>
      <c r="L805" s="161"/>
      <c r="M805" s="161"/>
      <c r="N805" s="161"/>
      <c r="O805" s="161"/>
      <c r="P805" s="161"/>
      <c r="Q805" s="161"/>
      <c r="R805" s="161"/>
      <c r="S805" s="161"/>
      <c r="T805" s="161"/>
      <c r="U805" s="161"/>
      <c r="V805" s="161"/>
    </row>
    <row r="806">
      <c r="A806" s="157"/>
      <c r="B806" s="161"/>
      <c r="C806" s="193"/>
      <c r="D806" s="161"/>
      <c r="E806" s="193"/>
      <c r="F806" s="161"/>
      <c r="G806" s="161"/>
      <c r="H806" s="161"/>
      <c r="I806" s="161"/>
      <c r="J806" s="157"/>
      <c r="K806" s="161"/>
      <c r="L806" s="161"/>
      <c r="M806" s="161"/>
      <c r="N806" s="161"/>
      <c r="O806" s="161"/>
      <c r="P806" s="161"/>
      <c r="Q806" s="161"/>
      <c r="R806" s="161"/>
      <c r="S806" s="161"/>
      <c r="T806" s="161"/>
      <c r="U806" s="161"/>
      <c r="V806" s="161"/>
    </row>
    <row r="807">
      <c r="A807" s="157"/>
      <c r="B807" s="161"/>
      <c r="C807" s="193"/>
      <c r="D807" s="161"/>
      <c r="E807" s="193"/>
      <c r="F807" s="161"/>
      <c r="G807" s="161"/>
      <c r="H807" s="161"/>
      <c r="I807" s="161"/>
      <c r="J807" s="157"/>
      <c r="K807" s="161"/>
      <c r="L807" s="161"/>
      <c r="M807" s="161"/>
      <c r="N807" s="161"/>
      <c r="O807" s="161"/>
      <c r="P807" s="161"/>
      <c r="Q807" s="161"/>
      <c r="R807" s="161"/>
      <c r="S807" s="161"/>
      <c r="T807" s="161"/>
      <c r="U807" s="161"/>
      <c r="V807" s="161"/>
    </row>
    <row r="808">
      <c r="A808" s="157"/>
      <c r="B808" s="161"/>
      <c r="C808" s="193"/>
      <c r="D808" s="161"/>
      <c r="E808" s="193"/>
      <c r="F808" s="161"/>
      <c r="G808" s="161"/>
      <c r="H808" s="161"/>
      <c r="I808" s="161"/>
      <c r="J808" s="157"/>
      <c r="K808" s="161"/>
      <c r="L808" s="161"/>
      <c r="M808" s="161"/>
      <c r="N808" s="161"/>
      <c r="O808" s="161"/>
      <c r="P808" s="161"/>
      <c r="Q808" s="161"/>
      <c r="R808" s="161"/>
      <c r="S808" s="161"/>
      <c r="T808" s="161"/>
      <c r="U808" s="161"/>
      <c r="V808" s="161"/>
    </row>
    <row r="809">
      <c r="A809" s="157"/>
      <c r="B809" s="161"/>
      <c r="C809" s="193"/>
      <c r="D809" s="161"/>
      <c r="E809" s="193"/>
      <c r="F809" s="161"/>
      <c r="G809" s="161"/>
      <c r="H809" s="161"/>
      <c r="I809" s="161"/>
      <c r="J809" s="157"/>
      <c r="K809" s="161"/>
      <c r="L809" s="161"/>
      <c r="M809" s="161"/>
      <c r="N809" s="161"/>
      <c r="O809" s="161"/>
      <c r="P809" s="161"/>
      <c r="Q809" s="161"/>
      <c r="R809" s="161"/>
      <c r="S809" s="161"/>
      <c r="T809" s="161"/>
      <c r="U809" s="161"/>
      <c r="V809" s="161"/>
    </row>
    <row r="810">
      <c r="A810" s="157"/>
      <c r="B810" s="161"/>
      <c r="C810" s="193"/>
      <c r="D810" s="161"/>
      <c r="E810" s="193"/>
      <c r="F810" s="161"/>
      <c r="G810" s="161"/>
      <c r="H810" s="161"/>
      <c r="I810" s="161"/>
      <c r="J810" s="157"/>
      <c r="K810" s="161"/>
      <c r="L810" s="161"/>
      <c r="M810" s="161"/>
      <c r="N810" s="161"/>
      <c r="O810" s="161"/>
      <c r="P810" s="161"/>
      <c r="Q810" s="161"/>
      <c r="R810" s="161"/>
      <c r="S810" s="161"/>
      <c r="T810" s="161"/>
      <c r="U810" s="161"/>
      <c r="V810" s="161"/>
    </row>
    <row r="811">
      <c r="A811" s="157"/>
      <c r="B811" s="161"/>
      <c r="C811" s="193"/>
      <c r="D811" s="161"/>
      <c r="E811" s="193"/>
      <c r="F811" s="161"/>
      <c r="G811" s="161"/>
      <c r="H811" s="161"/>
      <c r="I811" s="161"/>
      <c r="J811" s="157"/>
      <c r="K811" s="161"/>
      <c r="L811" s="161"/>
      <c r="M811" s="161"/>
      <c r="N811" s="161"/>
      <c r="O811" s="161"/>
      <c r="P811" s="161"/>
      <c r="Q811" s="161"/>
      <c r="R811" s="161"/>
      <c r="S811" s="161"/>
      <c r="T811" s="161"/>
      <c r="U811" s="161"/>
      <c r="V811" s="161"/>
    </row>
    <row r="812">
      <c r="A812" s="157"/>
      <c r="B812" s="161"/>
      <c r="C812" s="193"/>
      <c r="D812" s="161"/>
      <c r="E812" s="193"/>
      <c r="F812" s="161"/>
      <c r="G812" s="161"/>
      <c r="H812" s="161"/>
      <c r="I812" s="161"/>
      <c r="J812" s="157"/>
      <c r="K812" s="161"/>
      <c r="L812" s="161"/>
      <c r="M812" s="161"/>
      <c r="N812" s="161"/>
      <c r="O812" s="161"/>
      <c r="P812" s="161"/>
      <c r="Q812" s="161"/>
      <c r="R812" s="161"/>
      <c r="S812" s="161"/>
      <c r="T812" s="161"/>
      <c r="U812" s="161"/>
      <c r="V812" s="161"/>
    </row>
    <row r="813">
      <c r="A813" s="157"/>
      <c r="B813" s="161"/>
      <c r="C813" s="193"/>
      <c r="D813" s="161"/>
      <c r="E813" s="193"/>
      <c r="F813" s="161"/>
      <c r="G813" s="161"/>
      <c r="H813" s="161"/>
      <c r="I813" s="161"/>
      <c r="J813" s="157"/>
      <c r="K813" s="161"/>
      <c r="L813" s="161"/>
      <c r="M813" s="161"/>
      <c r="N813" s="161"/>
      <c r="O813" s="161"/>
      <c r="P813" s="161"/>
      <c r="Q813" s="161"/>
      <c r="R813" s="161"/>
      <c r="S813" s="161"/>
      <c r="T813" s="161"/>
      <c r="U813" s="161"/>
      <c r="V813" s="161"/>
    </row>
    <row r="814">
      <c r="A814" s="157"/>
      <c r="B814" s="161"/>
      <c r="C814" s="193"/>
      <c r="D814" s="161"/>
      <c r="E814" s="193"/>
      <c r="F814" s="161"/>
      <c r="G814" s="161"/>
      <c r="H814" s="161"/>
      <c r="I814" s="161"/>
      <c r="J814" s="157"/>
      <c r="K814" s="161"/>
      <c r="L814" s="161"/>
      <c r="M814" s="161"/>
      <c r="N814" s="161"/>
      <c r="O814" s="161"/>
      <c r="P814" s="161"/>
      <c r="Q814" s="161"/>
      <c r="R814" s="161"/>
      <c r="S814" s="161"/>
      <c r="T814" s="161"/>
      <c r="U814" s="161"/>
      <c r="V814" s="161"/>
    </row>
    <row r="815">
      <c r="A815" s="157"/>
      <c r="B815" s="161"/>
      <c r="C815" s="193"/>
      <c r="D815" s="161"/>
      <c r="E815" s="193"/>
      <c r="F815" s="161"/>
      <c r="G815" s="161"/>
      <c r="H815" s="161"/>
      <c r="I815" s="161"/>
      <c r="J815" s="157"/>
      <c r="K815" s="161"/>
      <c r="L815" s="161"/>
      <c r="M815" s="161"/>
      <c r="N815" s="161"/>
      <c r="O815" s="161"/>
      <c r="P815" s="161"/>
      <c r="Q815" s="161"/>
      <c r="R815" s="161"/>
      <c r="S815" s="161"/>
      <c r="T815" s="161"/>
      <c r="U815" s="161"/>
      <c r="V815" s="161"/>
    </row>
    <row r="816">
      <c r="A816" s="157"/>
      <c r="B816" s="161"/>
      <c r="C816" s="193"/>
      <c r="D816" s="161"/>
      <c r="E816" s="193"/>
      <c r="F816" s="161"/>
      <c r="G816" s="161"/>
      <c r="H816" s="161"/>
      <c r="I816" s="161"/>
      <c r="J816" s="157"/>
      <c r="K816" s="161"/>
      <c r="L816" s="161"/>
      <c r="M816" s="161"/>
      <c r="N816" s="161"/>
      <c r="O816" s="161"/>
      <c r="P816" s="161"/>
      <c r="Q816" s="161"/>
      <c r="R816" s="161"/>
      <c r="S816" s="161"/>
      <c r="T816" s="161"/>
      <c r="U816" s="161"/>
      <c r="V816" s="161"/>
    </row>
    <row r="817">
      <c r="A817" s="157"/>
      <c r="B817" s="161"/>
      <c r="C817" s="193"/>
      <c r="D817" s="161"/>
      <c r="E817" s="193"/>
      <c r="F817" s="161"/>
      <c r="G817" s="161"/>
      <c r="H817" s="161"/>
      <c r="I817" s="161"/>
      <c r="J817" s="157"/>
      <c r="K817" s="161"/>
      <c r="L817" s="161"/>
      <c r="M817" s="161"/>
      <c r="N817" s="161"/>
      <c r="O817" s="161"/>
      <c r="P817" s="161"/>
      <c r="Q817" s="161"/>
      <c r="R817" s="161"/>
      <c r="S817" s="161"/>
      <c r="T817" s="161"/>
      <c r="U817" s="161"/>
      <c r="V817" s="161"/>
    </row>
    <row r="818">
      <c r="A818" s="157"/>
      <c r="B818" s="161"/>
      <c r="C818" s="193"/>
      <c r="D818" s="161"/>
      <c r="E818" s="193"/>
      <c r="F818" s="161"/>
      <c r="G818" s="161"/>
      <c r="H818" s="161"/>
      <c r="I818" s="161"/>
      <c r="J818" s="157"/>
      <c r="K818" s="161"/>
      <c r="L818" s="161"/>
      <c r="M818" s="161"/>
      <c r="N818" s="161"/>
      <c r="O818" s="161"/>
      <c r="P818" s="161"/>
      <c r="Q818" s="161"/>
      <c r="R818" s="161"/>
      <c r="S818" s="161"/>
      <c r="T818" s="161"/>
      <c r="U818" s="161"/>
      <c r="V818" s="161"/>
    </row>
    <row r="819">
      <c r="A819" s="157"/>
      <c r="B819" s="161"/>
      <c r="C819" s="193"/>
      <c r="D819" s="161"/>
      <c r="E819" s="193"/>
      <c r="F819" s="161"/>
      <c r="G819" s="161"/>
      <c r="H819" s="161"/>
      <c r="I819" s="161"/>
      <c r="J819" s="157"/>
      <c r="K819" s="161"/>
      <c r="L819" s="161"/>
      <c r="M819" s="161"/>
      <c r="N819" s="161"/>
      <c r="O819" s="161"/>
      <c r="P819" s="161"/>
      <c r="Q819" s="161"/>
      <c r="R819" s="161"/>
      <c r="S819" s="161"/>
      <c r="T819" s="161"/>
      <c r="U819" s="161"/>
      <c r="V819" s="161"/>
    </row>
    <row r="820">
      <c r="A820" s="157"/>
      <c r="B820" s="161"/>
      <c r="C820" s="193"/>
      <c r="D820" s="161"/>
      <c r="E820" s="193"/>
      <c r="F820" s="161"/>
      <c r="G820" s="161"/>
      <c r="H820" s="161"/>
      <c r="I820" s="161"/>
      <c r="J820" s="157"/>
      <c r="K820" s="161"/>
      <c r="L820" s="161"/>
      <c r="M820" s="161"/>
      <c r="N820" s="161"/>
      <c r="O820" s="161"/>
      <c r="P820" s="161"/>
      <c r="Q820" s="161"/>
      <c r="R820" s="161"/>
      <c r="S820" s="161"/>
      <c r="T820" s="161"/>
      <c r="U820" s="161"/>
      <c r="V820" s="161"/>
    </row>
    <row r="821">
      <c r="A821" s="157"/>
      <c r="B821" s="161"/>
      <c r="C821" s="193"/>
      <c r="D821" s="161"/>
      <c r="E821" s="193"/>
      <c r="F821" s="161"/>
      <c r="G821" s="161"/>
      <c r="H821" s="161"/>
      <c r="I821" s="161"/>
      <c r="J821" s="157"/>
      <c r="K821" s="161"/>
      <c r="L821" s="161"/>
      <c r="M821" s="161"/>
      <c r="N821" s="161"/>
      <c r="O821" s="161"/>
      <c r="P821" s="161"/>
      <c r="Q821" s="161"/>
      <c r="R821" s="161"/>
      <c r="S821" s="161"/>
      <c r="T821" s="161"/>
      <c r="U821" s="161"/>
      <c r="V821" s="161"/>
    </row>
    <row r="822">
      <c r="A822" s="157"/>
      <c r="B822" s="161"/>
      <c r="C822" s="193"/>
      <c r="D822" s="161"/>
      <c r="E822" s="193"/>
      <c r="F822" s="161"/>
      <c r="G822" s="161"/>
      <c r="H822" s="161"/>
      <c r="I822" s="161"/>
      <c r="J822" s="157"/>
      <c r="K822" s="161"/>
      <c r="L822" s="161"/>
      <c r="M822" s="161"/>
      <c r="N822" s="161"/>
      <c r="O822" s="161"/>
      <c r="P822" s="161"/>
      <c r="Q822" s="161"/>
      <c r="R822" s="161"/>
      <c r="S822" s="161"/>
      <c r="T822" s="161"/>
      <c r="U822" s="161"/>
      <c r="V822" s="161"/>
    </row>
    <row r="823">
      <c r="A823" s="157"/>
      <c r="B823" s="161"/>
      <c r="C823" s="193"/>
      <c r="D823" s="161"/>
      <c r="E823" s="193"/>
      <c r="F823" s="161"/>
      <c r="G823" s="161"/>
      <c r="H823" s="161"/>
      <c r="I823" s="161"/>
      <c r="J823" s="157"/>
      <c r="K823" s="161"/>
      <c r="L823" s="161"/>
      <c r="M823" s="161"/>
      <c r="N823" s="161"/>
      <c r="O823" s="161"/>
      <c r="P823" s="161"/>
      <c r="Q823" s="161"/>
      <c r="R823" s="161"/>
      <c r="S823" s="161"/>
      <c r="T823" s="161"/>
      <c r="U823" s="161"/>
      <c r="V823" s="161"/>
    </row>
    <row r="824">
      <c r="A824" s="157"/>
      <c r="B824" s="161"/>
      <c r="C824" s="193"/>
      <c r="D824" s="161"/>
      <c r="E824" s="193"/>
      <c r="F824" s="161"/>
      <c r="G824" s="161"/>
      <c r="H824" s="161"/>
      <c r="I824" s="161"/>
      <c r="J824" s="157"/>
      <c r="K824" s="161"/>
      <c r="L824" s="161"/>
      <c r="M824" s="161"/>
      <c r="N824" s="161"/>
      <c r="O824" s="161"/>
      <c r="P824" s="161"/>
      <c r="Q824" s="161"/>
      <c r="R824" s="161"/>
      <c r="S824" s="161"/>
      <c r="T824" s="161"/>
      <c r="U824" s="161"/>
      <c r="V824" s="161"/>
    </row>
    <row r="825">
      <c r="A825" s="157"/>
      <c r="B825" s="161"/>
      <c r="C825" s="193"/>
      <c r="D825" s="161"/>
      <c r="E825" s="193"/>
      <c r="F825" s="161"/>
      <c r="G825" s="161"/>
      <c r="H825" s="161"/>
      <c r="I825" s="161"/>
      <c r="J825" s="157"/>
      <c r="K825" s="161"/>
      <c r="L825" s="161"/>
      <c r="M825" s="161"/>
      <c r="N825" s="161"/>
      <c r="O825" s="161"/>
      <c r="P825" s="161"/>
      <c r="Q825" s="161"/>
      <c r="R825" s="161"/>
      <c r="S825" s="161"/>
      <c r="T825" s="161"/>
      <c r="U825" s="161"/>
      <c r="V825" s="161"/>
    </row>
    <row r="826">
      <c r="A826" s="157"/>
      <c r="B826" s="161"/>
      <c r="C826" s="193"/>
      <c r="D826" s="161"/>
      <c r="E826" s="193"/>
      <c r="F826" s="161"/>
      <c r="G826" s="161"/>
      <c r="H826" s="161"/>
      <c r="I826" s="161"/>
      <c r="J826" s="157"/>
      <c r="K826" s="161"/>
      <c r="L826" s="161"/>
      <c r="M826" s="161"/>
      <c r="N826" s="161"/>
      <c r="O826" s="161"/>
      <c r="P826" s="161"/>
      <c r="Q826" s="161"/>
      <c r="R826" s="161"/>
      <c r="S826" s="161"/>
      <c r="T826" s="161"/>
      <c r="U826" s="161"/>
      <c r="V826" s="161"/>
    </row>
    <row r="827">
      <c r="A827" s="157"/>
      <c r="B827" s="161"/>
      <c r="C827" s="193"/>
      <c r="D827" s="161"/>
      <c r="E827" s="193"/>
      <c r="F827" s="161"/>
      <c r="G827" s="161"/>
      <c r="H827" s="161"/>
      <c r="I827" s="161"/>
      <c r="J827" s="157"/>
      <c r="K827" s="161"/>
      <c r="L827" s="161"/>
      <c r="M827" s="161"/>
      <c r="N827" s="161"/>
      <c r="O827" s="161"/>
      <c r="P827" s="161"/>
      <c r="Q827" s="161"/>
      <c r="R827" s="161"/>
      <c r="S827" s="161"/>
      <c r="T827" s="161"/>
      <c r="U827" s="161"/>
      <c r="V827" s="161"/>
    </row>
    <row r="828">
      <c r="A828" s="157"/>
      <c r="B828" s="161"/>
      <c r="C828" s="193"/>
      <c r="D828" s="161"/>
      <c r="E828" s="193"/>
      <c r="F828" s="161"/>
      <c r="G828" s="161"/>
      <c r="H828" s="161"/>
      <c r="I828" s="161"/>
      <c r="J828" s="157"/>
      <c r="K828" s="161"/>
      <c r="L828" s="161"/>
      <c r="M828" s="161"/>
      <c r="N828" s="161"/>
      <c r="O828" s="161"/>
      <c r="P828" s="161"/>
      <c r="Q828" s="161"/>
      <c r="R828" s="161"/>
      <c r="S828" s="161"/>
      <c r="T828" s="161"/>
      <c r="U828" s="161"/>
      <c r="V828" s="161"/>
    </row>
    <row r="829">
      <c r="A829" s="157"/>
      <c r="B829" s="161"/>
      <c r="C829" s="193"/>
      <c r="D829" s="161"/>
      <c r="E829" s="193"/>
      <c r="F829" s="161"/>
      <c r="G829" s="161"/>
      <c r="H829" s="161"/>
      <c r="I829" s="161"/>
      <c r="J829" s="157"/>
      <c r="K829" s="161"/>
      <c r="L829" s="161"/>
      <c r="M829" s="161"/>
      <c r="N829" s="161"/>
      <c r="O829" s="161"/>
      <c r="P829" s="161"/>
      <c r="Q829" s="161"/>
      <c r="R829" s="161"/>
      <c r="S829" s="161"/>
      <c r="T829" s="161"/>
      <c r="U829" s="161"/>
      <c r="V829" s="161"/>
    </row>
    <row r="830">
      <c r="A830" s="157"/>
      <c r="B830" s="161"/>
      <c r="C830" s="193"/>
      <c r="D830" s="161"/>
      <c r="E830" s="193"/>
      <c r="F830" s="161"/>
      <c r="G830" s="161"/>
      <c r="H830" s="161"/>
      <c r="I830" s="161"/>
      <c r="J830" s="157"/>
      <c r="K830" s="161"/>
      <c r="L830" s="161"/>
      <c r="M830" s="161"/>
      <c r="N830" s="161"/>
      <c r="O830" s="161"/>
      <c r="P830" s="161"/>
      <c r="Q830" s="161"/>
      <c r="R830" s="161"/>
      <c r="S830" s="161"/>
      <c r="T830" s="161"/>
      <c r="U830" s="161"/>
      <c r="V830" s="161"/>
    </row>
    <row r="831">
      <c r="A831" s="157"/>
      <c r="B831" s="161"/>
      <c r="C831" s="193"/>
      <c r="D831" s="161"/>
      <c r="E831" s="193"/>
      <c r="F831" s="161"/>
      <c r="G831" s="161"/>
      <c r="H831" s="161"/>
      <c r="I831" s="161"/>
      <c r="J831" s="157"/>
      <c r="K831" s="161"/>
      <c r="L831" s="161"/>
      <c r="M831" s="161"/>
      <c r="N831" s="161"/>
      <c r="O831" s="161"/>
      <c r="P831" s="161"/>
      <c r="Q831" s="161"/>
      <c r="R831" s="161"/>
      <c r="S831" s="161"/>
      <c r="T831" s="161"/>
      <c r="U831" s="161"/>
      <c r="V831" s="161"/>
    </row>
    <row r="832">
      <c r="A832" s="157"/>
      <c r="B832" s="161"/>
      <c r="C832" s="193"/>
      <c r="D832" s="161"/>
      <c r="E832" s="193"/>
      <c r="F832" s="161"/>
      <c r="G832" s="161"/>
      <c r="H832" s="161"/>
      <c r="I832" s="161"/>
      <c r="J832" s="157"/>
      <c r="K832" s="161"/>
      <c r="L832" s="161"/>
      <c r="M832" s="161"/>
      <c r="N832" s="161"/>
      <c r="O832" s="161"/>
      <c r="P832" s="161"/>
      <c r="Q832" s="161"/>
      <c r="R832" s="161"/>
      <c r="S832" s="161"/>
      <c r="T832" s="161"/>
      <c r="U832" s="161"/>
      <c r="V832" s="161"/>
    </row>
    <row r="833">
      <c r="A833" s="157"/>
      <c r="B833" s="161"/>
      <c r="C833" s="193"/>
      <c r="D833" s="161"/>
      <c r="E833" s="193"/>
      <c r="F833" s="161"/>
      <c r="G833" s="161"/>
      <c r="H833" s="161"/>
      <c r="I833" s="161"/>
      <c r="J833" s="157"/>
      <c r="K833" s="161"/>
      <c r="L833" s="161"/>
      <c r="M833" s="161"/>
      <c r="N833" s="161"/>
      <c r="O833" s="161"/>
      <c r="P833" s="161"/>
      <c r="Q833" s="161"/>
      <c r="R833" s="161"/>
      <c r="S833" s="161"/>
      <c r="T833" s="161"/>
      <c r="U833" s="161"/>
      <c r="V833" s="161"/>
    </row>
    <row r="834">
      <c r="A834" s="157"/>
      <c r="B834" s="161"/>
      <c r="C834" s="193"/>
      <c r="D834" s="161"/>
      <c r="E834" s="193"/>
      <c r="F834" s="161"/>
      <c r="G834" s="161"/>
      <c r="H834" s="161"/>
      <c r="I834" s="161"/>
      <c r="J834" s="157"/>
      <c r="K834" s="161"/>
      <c r="L834" s="161"/>
      <c r="M834" s="161"/>
      <c r="N834" s="161"/>
      <c r="O834" s="161"/>
      <c r="P834" s="161"/>
      <c r="Q834" s="161"/>
      <c r="R834" s="161"/>
      <c r="S834" s="161"/>
      <c r="T834" s="161"/>
      <c r="U834" s="161"/>
      <c r="V834" s="161"/>
    </row>
    <row r="835">
      <c r="A835" s="157"/>
      <c r="B835" s="161"/>
      <c r="C835" s="193"/>
      <c r="D835" s="161"/>
      <c r="E835" s="193"/>
      <c r="F835" s="161"/>
      <c r="G835" s="161"/>
      <c r="H835" s="161"/>
      <c r="I835" s="161"/>
      <c r="J835" s="157"/>
      <c r="K835" s="161"/>
      <c r="L835" s="161"/>
      <c r="M835" s="161"/>
      <c r="N835" s="161"/>
      <c r="O835" s="161"/>
      <c r="P835" s="161"/>
      <c r="Q835" s="161"/>
      <c r="R835" s="161"/>
      <c r="S835" s="161"/>
      <c r="T835" s="161"/>
      <c r="U835" s="161"/>
      <c r="V835" s="161"/>
    </row>
    <row r="836">
      <c r="A836" s="157"/>
      <c r="B836" s="161"/>
      <c r="C836" s="193"/>
      <c r="D836" s="161"/>
      <c r="E836" s="193"/>
      <c r="F836" s="161"/>
      <c r="G836" s="161"/>
      <c r="H836" s="161"/>
      <c r="I836" s="161"/>
      <c r="J836" s="157"/>
      <c r="K836" s="161"/>
      <c r="L836" s="161"/>
      <c r="M836" s="161"/>
      <c r="N836" s="161"/>
      <c r="O836" s="161"/>
      <c r="P836" s="161"/>
      <c r="Q836" s="161"/>
      <c r="R836" s="161"/>
      <c r="S836" s="161"/>
      <c r="T836" s="161"/>
      <c r="U836" s="161"/>
      <c r="V836" s="161"/>
    </row>
    <row r="837">
      <c r="A837" s="157"/>
      <c r="B837" s="161"/>
      <c r="C837" s="193"/>
      <c r="D837" s="161"/>
      <c r="E837" s="193"/>
      <c r="F837" s="161"/>
      <c r="G837" s="161"/>
      <c r="H837" s="161"/>
      <c r="I837" s="161"/>
      <c r="J837" s="157"/>
      <c r="K837" s="161"/>
      <c r="L837" s="161"/>
      <c r="M837" s="161"/>
      <c r="N837" s="161"/>
      <c r="O837" s="161"/>
      <c r="P837" s="161"/>
      <c r="Q837" s="161"/>
      <c r="R837" s="161"/>
      <c r="S837" s="161"/>
      <c r="T837" s="161"/>
      <c r="U837" s="161"/>
      <c r="V837" s="161"/>
    </row>
    <row r="838">
      <c r="A838" s="157"/>
      <c r="B838" s="161"/>
      <c r="C838" s="193"/>
      <c r="D838" s="161"/>
      <c r="E838" s="193"/>
      <c r="F838" s="161"/>
      <c r="G838" s="161"/>
      <c r="H838" s="161"/>
      <c r="I838" s="161"/>
      <c r="J838" s="157"/>
      <c r="K838" s="161"/>
      <c r="L838" s="161"/>
      <c r="M838" s="161"/>
      <c r="N838" s="161"/>
      <c r="O838" s="161"/>
      <c r="P838" s="161"/>
      <c r="Q838" s="161"/>
      <c r="R838" s="161"/>
      <c r="S838" s="161"/>
      <c r="T838" s="161"/>
      <c r="U838" s="161"/>
      <c r="V838" s="161"/>
    </row>
    <row r="839">
      <c r="A839" s="157"/>
      <c r="B839" s="161"/>
      <c r="C839" s="193"/>
      <c r="D839" s="161"/>
      <c r="E839" s="193"/>
      <c r="F839" s="161"/>
      <c r="G839" s="161"/>
      <c r="H839" s="161"/>
      <c r="I839" s="161"/>
      <c r="J839" s="157"/>
      <c r="K839" s="161"/>
      <c r="L839" s="161"/>
      <c r="M839" s="161"/>
      <c r="N839" s="161"/>
      <c r="O839" s="161"/>
      <c r="P839" s="161"/>
      <c r="Q839" s="161"/>
      <c r="R839" s="161"/>
      <c r="S839" s="161"/>
      <c r="T839" s="161"/>
      <c r="U839" s="161"/>
      <c r="V839" s="161"/>
    </row>
    <row r="840">
      <c r="A840" s="157"/>
      <c r="B840" s="161"/>
      <c r="C840" s="193"/>
      <c r="D840" s="161"/>
      <c r="E840" s="193"/>
      <c r="F840" s="161"/>
      <c r="G840" s="161"/>
      <c r="H840" s="161"/>
      <c r="I840" s="161"/>
      <c r="J840" s="157"/>
      <c r="K840" s="161"/>
      <c r="L840" s="161"/>
      <c r="M840" s="161"/>
      <c r="N840" s="161"/>
      <c r="O840" s="161"/>
      <c r="P840" s="161"/>
      <c r="Q840" s="161"/>
      <c r="R840" s="161"/>
      <c r="S840" s="161"/>
      <c r="T840" s="161"/>
      <c r="U840" s="161"/>
      <c r="V840" s="161"/>
    </row>
    <row r="841">
      <c r="A841" s="157"/>
      <c r="B841" s="161"/>
      <c r="C841" s="193"/>
      <c r="D841" s="161"/>
      <c r="E841" s="193"/>
      <c r="F841" s="161"/>
      <c r="G841" s="161"/>
      <c r="H841" s="161"/>
      <c r="I841" s="161"/>
      <c r="J841" s="157"/>
      <c r="K841" s="161"/>
      <c r="L841" s="161"/>
      <c r="M841" s="161"/>
      <c r="N841" s="161"/>
      <c r="O841" s="161"/>
      <c r="P841" s="161"/>
      <c r="Q841" s="161"/>
      <c r="R841" s="161"/>
      <c r="S841" s="161"/>
      <c r="T841" s="161"/>
      <c r="U841" s="161"/>
      <c r="V841" s="161"/>
    </row>
    <row r="842">
      <c r="A842" s="157"/>
      <c r="B842" s="161"/>
      <c r="C842" s="193"/>
      <c r="D842" s="161"/>
      <c r="E842" s="193"/>
      <c r="F842" s="161"/>
      <c r="G842" s="161"/>
      <c r="H842" s="161"/>
      <c r="I842" s="161"/>
      <c r="J842" s="157"/>
      <c r="K842" s="161"/>
      <c r="L842" s="161"/>
      <c r="M842" s="161"/>
      <c r="N842" s="161"/>
      <c r="O842" s="161"/>
      <c r="P842" s="161"/>
      <c r="Q842" s="161"/>
      <c r="R842" s="161"/>
      <c r="S842" s="161"/>
      <c r="T842" s="161"/>
      <c r="U842" s="161"/>
      <c r="V842" s="161"/>
    </row>
    <row r="843">
      <c r="A843" s="157"/>
      <c r="B843" s="161"/>
      <c r="C843" s="193"/>
      <c r="D843" s="161"/>
      <c r="E843" s="193"/>
      <c r="F843" s="161"/>
      <c r="G843" s="161"/>
      <c r="H843" s="161"/>
      <c r="I843" s="161"/>
      <c r="J843" s="157"/>
      <c r="K843" s="161"/>
      <c r="L843" s="161"/>
      <c r="M843" s="161"/>
      <c r="N843" s="161"/>
      <c r="O843" s="161"/>
      <c r="P843" s="161"/>
      <c r="Q843" s="161"/>
      <c r="R843" s="161"/>
      <c r="S843" s="161"/>
      <c r="T843" s="161"/>
      <c r="U843" s="161"/>
      <c r="V843" s="161"/>
    </row>
    <row r="844">
      <c r="A844" s="157"/>
      <c r="B844" s="161"/>
      <c r="C844" s="193"/>
      <c r="D844" s="161"/>
      <c r="E844" s="193"/>
      <c r="F844" s="161"/>
      <c r="G844" s="161"/>
      <c r="H844" s="161"/>
      <c r="I844" s="161"/>
      <c r="J844" s="157"/>
      <c r="K844" s="161"/>
      <c r="L844" s="161"/>
      <c r="M844" s="161"/>
      <c r="N844" s="161"/>
      <c r="O844" s="161"/>
      <c r="P844" s="161"/>
      <c r="Q844" s="161"/>
      <c r="R844" s="161"/>
      <c r="S844" s="161"/>
      <c r="T844" s="161"/>
      <c r="U844" s="161"/>
      <c r="V844" s="161"/>
    </row>
    <row r="845">
      <c r="A845" s="157"/>
      <c r="B845" s="161"/>
      <c r="C845" s="193"/>
      <c r="D845" s="161"/>
      <c r="E845" s="193"/>
      <c r="F845" s="161"/>
      <c r="G845" s="161"/>
      <c r="H845" s="161"/>
      <c r="I845" s="161"/>
      <c r="J845" s="157"/>
      <c r="K845" s="161"/>
      <c r="L845" s="161"/>
      <c r="M845" s="161"/>
      <c r="N845" s="161"/>
      <c r="O845" s="161"/>
      <c r="P845" s="161"/>
      <c r="Q845" s="161"/>
      <c r="R845" s="161"/>
      <c r="S845" s="161"/>
      <c r="T845" s="161"/>
      <c r="U845" s="161"/>
      <c r="V845" s="161"/>
    </row>
    <row r="846">
      <c r="A846" s="157"/>
      <c r="B846" s="161"/>
      <c r="C846" s="193"/>
      <c r="D846" s="161"/>
      <c r="E846" s="193"/>
      <c r="F846" s="161"/>
      <c r="G846" s="161"/>
      <c r="H846" s="161"/>
      <c r="I846" s="161"/>
      <c r="J846" s="157"/>
      <c r="K846" s="161"/>
      <c r="L846" s="161"/>
      <c r="M846" s="161"/>
      <c r="N846" s="161"/>
      <c r="O846" s="161"/>
      <c r="P846" s="161"/>
      <c r="Q846" s="161"/>
      <c r="R846" s="161"/>
      <c r="S846" s="161"/>
      <c r="T846" s="161"/>
      <c r="U846" s="161"/>
      <c r="V846" s="161"/>
    </row>
    <row r="847">
      <c r="A847" s="157"/>
      <c r="B847" s="161"/>
      <c r="C847" s="193"/>
      <c r="D847" s="161"/>
      <c r="E847" s="193"/>
      <c r="F847" s="161"/>
      <c r="G847" s="161"/>
      <c r="H847" s="161"/>
      <c r="I847" s="161"/>
      <c r="J847" s="157"/>
      <c r="K847" s="161"/>
      <c r="L847" s="161"/>
      <c r="M847" s="161"/>
      <c r="N847" s="161"/>
      <c r="O847" s="161"/>
      <c r="P847" s="161"/>
      <c r="Q847" s="161"/>
      <c r="R847" s="161"/>
      <c r="S847" s="161"/>
      <c r="T847" s="161"/>
      <c r="U847" s="161"/>
      <c r="V847" s="161"/>
    </row>
    <row r="848">
      <c r="A848" s="157"/>
      <c r="B848" s="161"/>
      <c r="C848" s="193"/>
      <c r="D848" s="161"/>
      <c r="E848" s="193"/>
      <c r="F848" s="161"/>
      <c r="G848" s="161"/>
      <c r="H848" s="161"/>
      <c r="I848" s="161"/>
      <c r="J848" s="157"/>
      <c r="K848" s="161"/>
      <c r="L848" s="161"/>
      <c r="M848" s="161"/>
      <c r="N848" s="161"/>
      <c r="O848" s="161"/>
      <c r="P848" s="161"/>
      <c r="Q848" s="161"/>
      <c r="R848" s="161"/>
      <c r="S848" s="161"/>
      <c r="T848" s="161"/>
      <c r="U848" s="161"/>
      <c r="V848" s="161"/>
    </row>
    <row r="849">
      <c r="A849" s="157"/>
      <c r="B849" s="161"/>
      <c r="C849" s="193"/>
      <c r="D849" s="161"/>
      <c r="E849" s="193"/>
      <c r="F849" s="161"/>
      <c r="G849" s="161"/>
      <c r="H849" s="161"/>
      <c r="I849" s="161"/>
      <c r="J849" s="157"/>
      <c r="K849" s="161"/>
      <c r="L849" s="161"/>
      <c r="M849" s="161"/>
      <c r="N849" s="161"/>
      <c r="O849" s="161"/>
      <c r="P849" s="161"/>
      <c r="Q849" s="161"/>
      <c r="R849" s="161"/>
      <c r="S849" s="161"/>
      <c r="T849" s="161"/>
      <c r="U849" s="161"/>
      <c r="V849" s="161"/>
    </row>
    <row r="850">
      <c r="A850" s="157"/>
      <c r="B850" s="161"/>
      <c r="C850" s="193"/>
      <c r="D850" s="161"/>
      <c r="E850" s="193"/>
      <c r="F850" s="161"/>
      <c r="G850" s="161"/>
      <c r="H850" s="161"/>
      <c r="I850" s="161"/>
      <c r="J850" s="157"/>
      <c r="K850" s="161"/>
      <c r="L850" s="161"/>
      <c r="M850" s="161"/>
      <c r="N850" s="161"/>
      <c r="O850" s="161"/>
      <c r="P850" s="161"/>
      <c r="Q850" s="161"/>
      <c r="R850" s="161"/>
      <c r="S850" s="161"/>
      <c r="T850" s="161"/>
      <c r="U850" s="161"/>
      <c r="V850" s="161"/>
    </row>
    <row r="851">
      <c r="A851" s="157"/>
      <c r="B851" s="161"/>
      <c r="C851" s="193"/>
      <c r="D851" s="161"/>
      <c r="E851" s="193"/>
      <c r="F851" s="161"/>
      <c r="G851" s="161"/>
      <c r="H851" s="161"/>
      <c r="I851" s="161"/>
      <c r="J851" s="157"/>
      <c r="K851" s="161"/>
      <c r="L851" s="161"/>
      <c r="M851" s="161"/>
      <c r="N851" s="161"/>
      <c r="O851" s="161"/>
      <c r="P851" s="161"/>
      <c r="Q851" s="161"/>
      <c r="R851" s="161"/>
      <c r="S851" s="161"/>
      <c r="T851" s="161"/>
      <c r="U851" s="161"/>
      <c r="V851" s="161"/>
    </row>
    <row r="852">
      <c r="A852" s="157"/>
      <c r="B852" s="161"/>
      <c r="C852" s="193"/>
      <c r="D852" s="161"/>
      <c r="E852" s="193"/>
      <c r="F852" s="161"/>
      <c r="G852" s="161"/>
      <c r="H852" s="161"/>
      <c r="I852" s="161"/>
      <c r="J852" s="157"/>
      <c r="K852" s="161"/>
      <c r="L852" s="161"/>
      <c r="M852" s="161"/>
      <c r="N852" s="161"/>
      <c r="O852" s="161"/>
      <c r="P852" s="161"/>
      <c r="Q852" s="161"/>
      <c r="R852" s="161"/>
      <c r="S852" s="161"/>
      <c r="T852" s="161"/>
      <c r="U852" s="161"/>
      <c r="V852" s="161"/>
    </row>
    <row r="853">
      <c r="A853" s="157"/>
      <c r="B853" s="161"/>
      <c r="C853" s="193"/>
      <c r="D853" s="161"/>
      <c r="E853" s="193"/>
      <c r="F853" s="161"/>
      <c r="G853" s="161"/>
      <c r="H853" s="161"/>
      <c r="I853" s="161"/>
      <c r="J853" s="157"/>
      <c r="K853" s="161"/>
      <c r="L853" s="161"/>
      <c r="M853" s="161"/>
      <c r="N853" s="161"/>
      <c r="O853" s="161"/>
      <c r="P853" s="161"/>
      <c r="Q853" s="161"/>
      <c r="R853" s="161"/>
      <c r="S853" s="161"/>
      <c r="T853" s="161"/>
      <c r="U853" s="161"/>
      <c r="V853" s="161"/>
    </row>
    <row r="854">
      <c r="A854" s="157"/>
      <c r="B854" s="161"/>
      <c r="C854" s="193"/>
      <c r="D854" s="161"/>
      <c r="E854" s="193"/>
      <c r="F854" s="161"/>
      <c r="G854" s="161"/>
      <c r="H854" s="161"/>
      <c r="I854" s="161"/>
      <c r="J854" s="157"/>
      <c r="K854" s="161"/>
      <c r="L854" s="161"/>
      <c r="M854" s="161"/>
      <c r="N854" s="161"/>
      <c r="O854" s="161"/>
      <c r="P854" s="161"/>
      <c r="Q854" s="161"/>
      <c r="R854" s="161"/>
      <c r="S854" s="161"/>
      <c r="T854" s="161"/>
      <c r="U854" s="161"/>
      <c r="V854" s="161"/>
    </row>
    <row r="855">
      <c r="A855" s="157"/>
      <c r="B855" s="161"/>
      <c r="C855" s="193"/>
      <c r="D855" s="161"/>
      <c r="E855" s="193"/>
      <c r="F855" s="161"/>
      <c r="G855" s="161"/>
      <c r="H855" s="161"/>
      <c r="I855" s="161"/>
      <c r="J855" s="157"/>
      <c r="K855" s="161"/>
      <c r="L855" s="161"/>
      <c r="M855" s="161"/>
      <c r="N855" s="161"/>
      <c r="O855" s="161"/>
      <c r="P855" s="161"/>
      <c r="Q855" s="161"/>
      <c r="R855" s="161"/>
      <c r="S855" s="161"/>
      <c r="T855" s="161"/>
      <c r="U855" s="161"/>
      <c r="V855" s="161"/>
    </row>
    <row r="856">
      <c r="A856" s="157"/>
      <c r="B856" s="161"/>
      <c r="C856" s="193"/>
      <c r="D856" s="161"/>
      <c r="E856" s="193"/>
      <c r="F856" s="161"/>
      <c r="G856" s="161"/>
      <c r="H856" s="161"/>
      <c r="I856" s="161"/>
      <c r="J856" s="157"/>
      <c r="K856" s="161"/>
      <c r="L856" s="161"/>
      <c r="M856" s="161"/>
      <c r="N856" s="161"/>
      <c r="O856" s="161"/>
      <c r="P856" s="161"/>
      <c r="Q856" s="161"/>
      <c r="R856" s="161"/>
      <c r="S856" s="161"/>
      <c r="T856" s="161"/>
      <c r="U856" s="161"/>
      <c r="V856" s="161"/>
    </row>
    <row r="857">
      <c r="A857" s="157"/>
      <c r="B857" s="161"/>
      <c r="C857" s="193"/>
      <c r="D857" s="161"/>
      <c r="E857" s="193"/>
      <c r="F857" s="161"/>
      <c r="G857" s="161"/>
      <c r="H857" s="161"/>
      <c r="I857" s="161"/>
      <c r="J857" s="157"/>
      <c r="K857" s="161"/>
      <c r="L857" s="161"/>
      <c r="M857" s="161"/>
      <c r="N857" s="161"/>
      <c r="O857" s="161"/>
      <c r="P857" s="161"/>
      <c r="Q857" s="161"/>
      <c r="R857" s="161"/>
      <c r="S857" s="161"/>
      <c r="T857" s="161"/>
      <c r="U857" s="161"/>
      <c r="V857" s="161"/>
    </row>
    <row r="858">
      <c r="A858" s="157"/>
      <c r="B858" s="161"/>
      <c r="C858" s="193"/>
      <c r="D858" s="161"/>
      <c r="E858" s="193"/>
      <c r="F858" s="161"/>
      <c r="G858" s="161"/>
      <c r="H858" s="161"/>
      <c r="I858" s="161"/>
      <c r="J858" s="157"/>
      <c r="K858" s="161"/>
      <c r="L858" s="161"/>
      <c r="M858" s="161"/>
      <c r="N858" s="161"/>
      <c r="O858" s="161"/>
      <c r="P858" s="161"/>
      <c r="Q858" s="161"/>
      <c r="R858" s="161"/>
      <c r="S858" s="161"/>
      <c r="T858" s="161"/>
      <c r="U858" s="161"/>
      <c r="V858" s="161"/>
    </row>
    <row r="859">
      <c r="A859" s="157"/>
      <c r="B859" s="161"/>
      <c r="C859" s="193"/>
      <c r="D859" s="161"/>
      <c r="E859" s="193"/>
      <c r="F859" s="161"/>
      <c r="G859" s="161"/>
      <c r="H859" s="161"/>
      <c r="I859" s="161"/>
      <c r="J859" s="157"/>
      <c r="K859" s="161"/>
      <c r="L859" s="161"/>
      <c r="M859" s="161"/>
      <c r="N859" s="161"/>
      <c r="O859" s="161"/>
      <c r="P859" s="161"/>
      <c r="Q859" s="161"/>
      <c r="R859" s="161"/>
      <c r="S859" s="161"/>
      <c r="T859" s="161"/>
      <c r="U859" s="161"/>
      <c r="V859" s="161"/>
    </row>
    <row r="860">
      <c r="A860" s="157"/>
      <c r="B860" s="161"/>
      <c r="C860" s="193"/>
      <c r="D860" s="161"/>
      <c r="E860" s="193"/>
      <c r="F860" s="161"/>
      <c r="G860" s="161"/>
      <c r="H860" s="161"/>
      <c r="I860" s="161"/>
      <c r="J860" s="157"/>
      <c r="K860" s="161"/>
      <c r="L860" s="161"/>
      <c r="M860" s="161"/>
      <c r="N860" s="161"/>
      <c r="O860" s="161"/>
      <c r="P860" s="161"/>
      <c r="Q860" s="161"/>
      <c r="R860" s="161"/>
      <c r="S860" s="161"/>
      <c r="T860" s="161"/>
      <c r="U860" s="161"/>
      <c r="V860" s="161"/>
    </row>
    <row r="861">
      <c r="A861" s="157"/>
      <c r="B861" s="161"/>
      <c r="C861" s="193"/>
      <c r="D861" s="161"/>
      <c r="E861" s="193"/>
      <c r="F861" s="161"/>
      <c r="G861" s="161"/>
      <c r="H861" s="161"/>
      <c r="I861" s="161"/>
      <c r="J861" s="157"/>
      <c r="K861" s="161"/>
      <c r="L861" s="161"/>
      <c r="M861" s="161"/>
      <c r="N861" s="161"/>
      <c r="O861" s="161"/>
      <c r="P861" s="161"/>
      <c r="Q861" s="161"/>
      <c r="R861" s="161"/>
      <c r="S861" s="161"/>
      <c r="T861" s="161"/>
      <c r="U861" s="161"/>
      <c r="V861" s="161"/>
    </row>
    <row r="862">
      <c r="A862" s="157"/>
      <c r="B862" s="161"/>
      <c r="C862" s="193"/>
      <c r="D862" s="161"/>
      <c r="E862" s="193"/>
      <c r="F862" s="161"/>
      <c r="G862" s="161"/>
      <c r="H862" s="161"/>
      <c r="I862" s="161"/>
      <c r="J862" s="157"/>
      <c r="K862" s="161"/>
      <c r="L862" s="161"/>
      <c r="M862" s="161"/>
      <c r="N862" s="161"/>
      <c r="O862" s="161"/>
      <c r="P862" s="161"/>
      <c r="Q862" s="161"/>
      <c r="R862" s="161"/>
      <c r="S862" s="161"/>
      <c r="T862" s="161"/>
      <c r="U862" s="161"/>
      <c r="V862" s="161"/>
    </row>
    <row r="863">
      <c r="A863" s="157"/>
      <c r="B863" s="161"/>
      <c r="C863" s="193"/>
      <c r="D863" s="161"/>
      <c r="E863" s="193"/>
      <c r="F863" s="161"/>
      <c r="G863" s="161"/>
      <c r="H863" s="161"/>
      <c r="I863" s="161"/>
      <c r="J863" s="157"/>
      <c r="K863" s="161"/>
      <c r="L863" s="161"/>
      <c r="M863" s="161"/>
      <c r="N863" s="161"/>
      <c r="O863" s="161"/>
      <c r="P863" s="161"/>
      <c r="Q863" s="161"/>
      <c r="R863" s="161"/>
      <c r="S863" s="161"/>
      <c r="T863" s="161"/>
      <c r="U863" s="161"/>
      <c r="V863" s="161"/>
    </row>
    <row r="864">
      <c r="A864" s="157"/>
      <c r="B864" s="161"/>
      <c r="C864" s="193"/>
      <c r="D864" s="161"/>
      <c r="E864" s="193"/>
      <c r="F864" s="161"/>
      <c r="G864" s="161"/>
      <c r="H864" s="161"/>
      <c r="I864" s="161"/>
      <c r="J864" s="157"/>
      <c r="K864" s="161"/>
      <c r="L864" s="161"/>
      <c r="M864" s="161"/>
      <c r="N864" s="161"/>
      <c r="O864" s="161"/>
      <c r="P864" s="161"/>
      <c r="Q864" s="161"/>
      <c r="R864" s="161"/>
      <c r="S864" s="161"/>
      <c r="T864" s="161"/>
      <c r="U864" s="161"/>
      <c r="V864" s="161"/>
    </row>
    <row r="865">
      <c r="A865" s="157"/>
      <c r="B865" s="161"/>
      <c r="C865" s="193"/>
      <c r="D865" s="161"/>
      <c r="E865" s="193"/>
      <c r="F865" s="161"/>
      <c r="G865" s="161"/>
      <c r="H865" s="161"/>
      <c r="I865" s="161"/>
      <c r="J865" s="157"/>
      <c r="K865" s="161"/>
      <c r="L865" s="161"/>
      <c r="M865" s="161"/>
      <c r="N865" s="161"/>
      <c r="O865" s="161"/>
      <c r="P865" s="161"/>
      <c r="Q865" s="161"/>
      <c r="R865" s="161"/>
      <c r="S865" s="161"/>
      <c r="T865" s="161"/>
      <c r="U865" s="161"/>
      <c r="V865" s="161"/>
    </row>
    <row r="866">
      <c r="A866" s="157"/>
      <c r="B866" s="161"/>
      <c r="C866" s="193"/>
      <c r="D866" s="161"/>
      <c r="E866" s="193"/>
      <c r="F866" s="161"/>
      <c r="G866" s="161"/>
      <c r="H866" s="161"/>
      <c r="I866" s="161"/>
      <c r="J866" s="157"/>
      <c r="K866" s="161"/>
      <c r="L866" s="161"/>
      <c r="M866" s="161"/>
      <c r="N866" s="161"/>
      <c r="O866" s="161"/>
      <c r="P866" s="161"/>
      <c r="Q866" s="161"/>
      <c r="R866" s="161"/>
      <c r="S866" s="161"/>
      <c r="T866" s="161"/>
      <c r="U866" s="161"/>
      <c r="V866" s="161"/>
    </row>
    <row r="867">
      <c r="A867" s="157"/>
      <c r="B867" s="161"/>
      <c r="C867" s="193"/>
      <c r="D867" s="161"/>
      <c r="E867" s="193"/>
      <c r="F867" s="161"/>
      <c r="G867" s="161"/>
      <c r="H867" s="161"/>
      <c r="I867" s="161"/>
      <c r="J867" s="157"/>
      <c r="K867" s="161"/>
      <c r="L867" s="161"/>
      <c r="M867" s="161"/>
      <c r="N867" s="161"/>
      <c r="O867" s="161"/>
      <c r="P867" s="161"/>
      <c r="Q867" s="161"/>
      <c r="R867" s="161"/>
      <c r="S867" s="161"/>
      <c r="T867" s="161"/>
      <c r="U867" s="161"/>
      <c r="V867" s="161"/>
    </row>
    <row r="868">
      <c r="A868" s="157"/>
      <c r="B868" s="161"/>
      <c r="C868" s="193"/>
      <c r="D868" s="161"/>
      <c r="E868" s="193"/>
      <c r="F868" s="161"/>
      <c r="G868" s="161"/>
      <c r="H868" s="161"/>
      <c r="I868" s="161"/>
      <c r="J868" s="157"/>
      <c r="K868" s="161"/>
      <c r="L868" s="161"/>
      <c r="M868" s="161"/>
      <c r="N868" s="161"/>
      <c r="O868" s="161"/>
      <c r="P868" s="161"/>
      <c r="Q868" s="161"/>
      <c r="R868" s="161"/>
      <c r="S868" s="161"/>
      <c r="T868" s="161"/>
      <c r="U868" s="161"/>
      <c r="V868" s="161"/>
    </row>
    <row r="869">
      <c r="A869" s="157"/>
      <c r="B869" s="161"/>
      <c r="C869" s="193"/>
      <c r="D869" s="161"/>
      <c r="E869" s="193"/>
      <c r="F869" s="161"/>
      <c r="G869" s="161"/>
      <c r="H869" s="161"/>
      <c r="I869" s="161"/>
      <c r="J869" s="157"/>
      <c r="K869" s="161"/>
      <c r="L869" s="161"/>
      <c r="M869" s="161"/>
      <c r="N869" s="161"/>
      <c r="O869" s="161"/>
      <c r="P869" s="161"/>
      <c r="Q869" s="161"/>
      <c r="R869" s="161"/>
      <c r="S869" s="161"/>
      <c r="T869" s="161"/>
      <c r="U869" s="161"/>
      <c r="V869" s="161"/>
    </row>
    <row r="870">
      <c r="A870" s="157"/>
      <c r="B870" s="161"/>
      <c r="C870" s="193"/>
      <c r="D870" s="161"/>
      <c r="E870" s="193"/>
      <c r="F870" s="161"/>
      <c r="G870" s="161"/>
      <c r="H870" s="161"/>
      <c r="I870" s="161"/>
      <c r="J870" s="157"/>
      <c r="K870" s="161"/>
      <c r="L870" s="161"/>
      <c r="M870" s="161"/>
      <c r="N870" s="161"/>
      <c r="O870" s="161"/>
      <c r="P870" s="161"/>
      <c r="Q870" s="161"/>
      <c r="R870" s="161"/>
      <c r="S870" s="161"/>
      <c r="T870" s="161"/>
      <c r="U870" s="161"/>
      <c r="V870" s="161"/>
    </row>
    <row r="871">
      <c r="A871" s="157"/>
      <c r="B871" s="161"/>
      <c r="C871" s="193"/>
      <c r="D871" s="161"/>
      <c r="E871" s="193"/>
      <c r="F871" s="161"/>
      <c r="G871" s="161"/>
      <c r="H871" s="161"/>
      <c r="I871" s="161"/>
      <c r="J871" s="157"/>
      <c r="K871" s="161"/>
      <c r="L871" s="161"/>
      <c r="M871" s="161"/>
      <c r="N871" s="161"/>
      <c r="O871" s="161"/>
      <c r="P871" s="161"/>
      <c r="Q871" s="161"/>
      <c r="R871" s="161"/>
      <c r="S871" s="161"/>
      <c r="T871" s="161"/>
      <c r="U871" s="161"/>
      <c r="V871" s="161"/>
    </row>
    <row r="872">
      <c r="A872" s="157"/>
      <c r="B872" s="161"/>
      <c r="C872" s="193"/>
      <c r="D872" s="161"/>
      <c r="E872" s="193"/>
      <c r="F872" s="161"/>
      <c r="G872" s="161"/>
      <c r="H872" s="161"/>
      <c r="I872" s="161"/>
      <c r="J872" s="157"/>
      <c r="K872" s="161"/>
      <c r="L872" s="161"/>
      <c r="M872" s="161"/>
      <c r="N872" s="161"/>
      <c r="O872" s="161"/>
      <c r="P872" s="161"/>
      <c r="Q872" s="161"/>
      <c r="R872" s="161"/>
      <c r="S872" s="161"/>
      <c r="T872" s="161"/>
      <c r="U872" s="161"/>
      <c r="V872" s="161"/>
    </row>
    <row r="873">
      <c r="A873" s="157"/>
      <c r="B873" s="161"/>
      <c r="C873" s="193"/>
      <c r="D873" s="161"/>
      <c r="E873" s="193"/>
      <c r="F873" s="161"/>
      <c r="G873" s="161"/>
      <c r="H873" s="161"/>
      <c r="I873" s="161"/>
      <c r="J873" s="157"/>
      <c r="K873" s="161"/>
      <c r="L873" s="161"/>
      <c r="M873" s="161"/>
      <c r="N873" s="161"/>
      <c r="O873" s="161"/>
      <c r="P873" s="161"/>
      <c r="Q873" s="161"/>
      <c r="R873" s="161"/>
      <c r="S873" s="161"/>
      <c r="T873" s="161"/>
      <c r="U873" s="161"/>
      <c r="V873" s="161"/>
    </row>
    <row r="874">
      <c r="A874" s="157"/>
      <c r="B874" s="161"/>
      <c r="C874" s="193"/>
      <c r="D874" s="161"/>
      <c r="E874" s="193"/>
      <c r="F874" s="161"/>
      <c r="G874" s="161"/>
      <c r="H874" s="161"/>
      <c r="I874" s="161"/>
      <c r="J874" s="157"/>
      <c r="K874" s="161"/>
      <c r="L874" s="161"/>
      <c r="M874" s="161"/>
      <c r="N874" s="161"/>
      <c r="O874" s="161"/>
      <c r="P874" s="161"/>
      <c r="Q874" s="161"/>
      <c r="R874" s="161"/>
      <c r="S874" s="161"/>
      <c r="T874" s="161"/>
      <c r="U874" s="161"/>
      <c r="V874" s="161"/>
    </row>
    <row r="875">
      <c r="A875" s="157"/>
      <c r="B875" s="161"/>
      <c r="C875" s="193"/>
      <c r="D875" s="161"/>
      <c r="E875" s="193"/>
      <c r="F875" s="161"/>
      <c r="G875" s="161"/>
      <c r="H875" s="161"/>
      <c r="I875" s="161"/>
      <c r="J875" s="157"/>
      <c r="K875" s="161"/>
      <c r="L875" s="161"/>
      <c r="M875" s="161"/>
      <c r="N875" s="161"/>
      <c r="O875" s="161"/>
      <c r="P875" s="161"/>
      <c r="Q875" s="161"/>
      <c r="R875" s="161"/>
      <c r="S875" s="161"/>
      <c r="T875" s="161"/>
      <c r="U875" s="161"/>
      <c r="V875" s="161"/>
    </row>
    <row r="876">
      <c r="A876" s="157"/>
      <c r="B876" s="161"/>
      <c r="C876" s="193"/>
      <c r="D876" s="161"/>
      <c r="E876" s="193"/>
      <c r="F876" s="161"/>
      <c r="G876" s="161"/>
      <c r="H876" s="161"/>
      <c r="I876" s="161"/>
      <c r="J876" s="157"/>
      <c r="K876" s="161"/>
      <c r="L876" s="161"/>
      <c r="M876" s="161"/>
      <c r="N876" s="161"/>
      <c r="O876" s="161"/>
      <c r="P876" s="161"/>
      <c r="Q876" s="161"/>
      <c r="R876" s="161"/>
      <c r="S876" s="161"/>
      <c r="T876" s="161"/>
      <c r="U876" s="161"/>
      <c r="V876" s="161"/>
    </row>
    <row r="877">
      <c r="A877" s="157"/>
      <c r="B877" s="161"/>
      <c r="C877" s="193"/>
      <c r="D877" s="161"/>
      <c r="E877" s="193"/>
      <c r="F877" s="161"/>
      <c r="G877" s="161"/>
      <c r="H877" s="161"/>
      <c r="I877" s="161"/>
      <c r="J877" s="157"/>
      <c r="K877" s="161"/>
      <c r="L877" s="161"/>
      <c r="M877" s="161"/>
      <c r="N877" s="161"/>
      <c r="O877" s="161"/>
      <c r="P877" s="161"/>
      <c r="Q877" s="161"/>
      <c r="R877" s="161"/>
      <c r="S877" s="161"/>
      <c r="T877" s="161"/>
      <c r="U877" s="161"/>
      <c r="V877" s="161"/>
    </row>
    <row r="878">
      <c r="A878" s="157"/>
      <c r="B878" s="161"/>
      <c r="C878" s="193"/>
      <c r="D878" s="161"/>
      <c r="E878" s="193"/>
      <c r="F878" s="161"/>
      <c r="G878" s="161"/>
      <c r="H878" s="161"/>
      <c r="I878" s="161"/>
      <c r="J878" s="157"/>
      <c r="K878" s="161"/>
      <c r="L878" s="161"/>
      <c r="M878" s="161"/>
      <c r="N878" s="161"/>
      <c r="O878" s="161"/>
      <c r="P878" s="161"/>
      <c r="Q878" s="161"/>
      <c r="R878" s="161"/>
      <c r="S878" s="161"/>
      <c r="T878" s="161"/>
      <c r="U878" s="161"/>
      <c r="V878" s="161"/>
    </row>
    <row r="879">
      <c r="A879" s="157"/>
      <c r="B879" s="161"/>
      <c r="C879" s="193"/>
      <c r="D879" s="161"/>
      <c r="E879" s="193"/>
      <c r="F879" s="161"/>
      <c r="G879" s="161"/>
      <c r="H879" s="161"/>
      <c r="I879" s="161"/>
      <c r="J879" s="157"/>
      <c r="K879" s="161"/>
      <c r="L879" s="161"/>
      <c r="M879" s="161"/>
      <c r="N879" s="161"/>
      <c r="O879" s="161"/>
      <c r="P879" s="161"/>
      <c r="Q879" s="161"/>
      <c r="R879" s="161"/>
      <c r="S879" s="161"/>
      <c r="T879" s="161"/>
      <c r="U879" s="161"/>
      <c r="V879" s="161"/>
    </row>
    <row r="880">
      <c r="A880" s="157"/>
      <c r="B880" s="161"/>
      <c r="C880" s="193"/>
      <c r="D880" s="161"/>
      <c r="E880" s="193"/>
      <c r="F880" s="161"/>
      <c r="G880" s="161"/>
      <c r="H880" s="161"/>
      <c r="I880" s="161"/>
      <c r="J880" s="157"/>
      <c r="K880" s="161"/>
      <c r="L880" s="161"/>
      <c r="M880" s="161"/>
      <c r="N880" s="161"/>
      <c r="O880" s="161"/>
      <c r="P880" s="161"/>
      <c r="Q880" s="161"/>
      <c r="R880" s="161"/>
      <c r="S880" s="161"/>
      <c r="T880" s="161"/>
      <c r="U880" s="161"/>
      <c r="V880" s="161"/>
    </row>
    <row r="881">
      <c r="A881" s="157"/>
      <c r="B881" s="161"/>
      <c r="C881" s="193"/>
      <c r="D881" s="161"/>
      <c r="E881" s="193"/>
      <c r="F881" s="161"/>
      <c r="G881" s="161"/>
      <c r="H881" s="161"/>
      <c r="I881" s="161"/>
      <c r="J881" s="157"/>
      <c r="K881" s="161"/>
      <c r="L881" s="161"/>
      <c r="M881" s="161"/>
      <c r="N881" s="161"/>
      <c r="O881" s="161"/>
      <c r="P881" s="161"/>
      <c r="Q881" s="161"/>
      <c r="R881" s="161"/>
      <c r="S881" s="161"/>
      <c r="T881" s="161"/>
      <c r="U881" s="161"/>
      <c r="V881" s="161"/>
    </row>
    <row r="882">
      <c r="A882" s="157"/>
      <c r="B882" s="161"/>
      <c r="C882" s="193"/>
      <c r="D882" s="161"/>
      <c r="E882" s="193"/>
      <c r="F882" s="161"/>
      <c r="G882" s="161"/>
      <c r="H882" s="161"/>
      <c r="I882" s="161"/>
      <c r="J882" s="157"/>
      <c r="K882" s="161"/>
      <c r="L882" s="161"/>
      <c r="M882" s="161"/>
      <c r="N882" s="161"/>
      <c r="O882" s="161"/>
      <c r="P882" s="161"/>
      <c r="Q882" s="161"/>
      <c r="R882" s="161"/>
      <c r="S882" s="161"/>
      <c r="T882" s="161"/>
      <c r="U882" s="161"/>
      <c r="V882" s="161"/>
    </row>
    <row r="883">
      <c r="A883" s="157"/>
      <c r="B883" s="161"/>
      <c r="C883" s="193"/>
      <c r="D883" s="161"/>
      <c r="E883" s="193"/>
      <c r="F883" s="161"/>
      <c r="G883" s="161"/>
      <c r="H883" s="161"/>
      <c r="I883" s="161"/>
      <c r="J883" s="157"/>
      <c r="K883" s="161"/>
      <c r="L883" s="161"/>
      <c r="M883" s="161"/>
      <c r="N883" s="161"/>
      <c r="O883" s="161"/>
      <c r="P883" s="161"/>
      <c r="Q883" s="161"/>
      <c r="R883" s="161"/>
      <c r="S883" s="161"/>
      <c r="T883" s="161"/>
      <c r="U883" s="161"/>
      <c r="V883" s="161"/>
    </row>
    <row r="884">
      <c r="A884" s="157"/>
      <c r="B884" s="161"/>
      <c r="C884" s="193"/>
      <c r="D884" s="161"/>
      <c r="E884" s="193"/>
      <c r="F884" s="161"/>
      <c r="G884" s="161"/>
      <c r="H884" s="161"/>
      <c r="I884" s="161"/>
      <c r="J884" s="157"/>
      <c r="K884" s="161"/>
      <c r="L884" s="161"/>
      <c r="M884" s="161"/>
      <c r="N884" s="161"/>
      <c r="O884" s="161"/>
      <c r="P884" s="161"/>
      <c r="Q884" s="161"/>
      <c r="R884" s="161"/>
      <c r="S884" s="161"/>
      <c r="T884" s="161"/>
      <c r="U884" s="161"/>
      <c r="V884" s="161"/>
    </row>
    <row r="885">
      <c r="A885" s="157"/>
      <c r="B885" s="161"/>
      <c r="C885" s="193"/>
      <c r="D885" s="161"/>
      <c r="E885" s="193"/>
      <c r="F885" s="161"/>
      <c r="G885" s="161"/>
      <c r="H885" s="161"/>
      <c r="I885" s="161"/>
      <c r="J885" s="157"/>
      <c r="K885" s="161"/>
      <c r="L885" s="161"/>
      <c r="M885" s="161"/>
      <c r="N885" s="161"/>
      <c r="O885" s="161"/>
      <c r="P885" s="161"/>
      <c r="Q885" s="161"/>
      <c r="R885" s="161"/>
      <c r="S885" s="161"/>
      <c r="T885" s="161"/>
      <c r="U885" s="161"/>
      <c r="V885" s="161"/>
    </row>
    <row r="886">
      <c r="A886" s="157"/>
      <c r="B886" s="161"/>
      <c r="C886" s="193"/>
      <c r="D886" s="161"/>
      <c r="E886" s="193"/>
      <c r="F886" s="161"/>
      <c r="G886" s="161"/>
      <c r="H886" s="161"/>
      <c r="I886" s="161"/>
      <c r="J886" s="157"/>
      <c r="K886" s="161"/>
      <c r="L886" s="161"/>
      <c r="M886" s="161"/>
      <c r="N886" s="161"/>
      <c r="O886" s="161"/>
      <c r="P886" s="161"/>
      <c r="Q886" s="161"/>
      <c r="R886" s="161"/>
      <c r="S886" s="161"/>
      <c r="T886" s="161"/>
      <c r="U886" s="161"/>
      <c r="V886" s="161"/>
    </row>
    <row r="887">
      <c r="A887" s="157"/>
      <c r="B887" s="161"/>
      <c r="C887" s="193"/>
      <c r="D887" s="161"/>
      <c r="E887" s="193"/>
      <c r="F887" s="161"/>
      <c r="G887" s="161"/>
      <c r="H887" s="161"/>
      <c r="I887" s="161"/>
      <c r="J887" s="157"/>
      <c r="K887" s="161"/>
      <c r="L887" s="161"/>
      <c r="M887" s="161"/>
      <c r="N887" s="161"/>
      <c r="O887" s="161"/>
      <c r="P887" s="161"/>
      <c r="Q887" s="161"/>
      <c r="R887" s="161"/>
      <c r="S887" s="161"/>
      <c r="T887" s="161"/>
      <c r="U887" s="161"/>
      <c r="V887" s="161"/>
    </row>
    <row r="888">
      <c r="A888" s="157"/>
      <c r="B888" s="161"/>
      <c r="C888" s="193"/>
      <c r="D888" s="161"/>
      <c r="E888" s="193"/>
      <c r="F888" s="161"/>
      <c r="G888" s="161"/>
      <c r="H888" s="161"/>
      <c r="I888" s="161"/>
      <c r="J888" s="157"/>
      <c r="K888" s="161"/>
      <c r="L888" s="161"/>
      <c r="M888" s="161"/>
      <c r="N888" s="161"/>
      <c r="O888" s="161"/>
      <c r="P888" s="161"/>
      <c r="Q888" s="161"/>
      <c r="R888" s="161"/>
      <c r="S888" s="161"/>
      <c r="T888" s="161"/>
      <c r="U888" s="161"/>
      <c r="V888" s="161"/>
    </row>
    <row r="889">
      <c r="A889" s="157"/>
      <c r="B889" s="161"/>
      <c r="C889" s="193"/>
      <c r="D889" s="161"/>
      <c r="E889" s="193"/>
      <c r="F889" s="161"/>
      <c r="G889" s="161"/>
      <c r="H889" s="161"/>
      <c r="I889" s="161"/>
      <c r="J889" s="157"/>
      <c r="K889" s="161"/>
      <c r="L889" s="161"/>
      <c r="M889" s="161"/>
      <c r="N889" s="161"/>
      <c r="O889" s="161"/>
      <c r="P889" s="161"/>
      <c r="Q889" s="161"/>
      <c r="R889" s="161"/>
      <c r="S889" s="161"/>
      <c r="T889" s="161"/>
      <c r="U889" s="161"/>
      <c r="V889" s="161"/>
    </row>
    <row r="890">
      <c r="A890" s="157"/>
      <c r="B890" s="161"/>
      <c r="C890" s="193"/>
      <c r="D890" s="161"/>
      <c r="E890" s="193"/>
      <c r="F890" s="161"/>
      <c r="G890" s="161"/>
      <c r="H890" s="161"/>
      <c r="I890" s="161"/>
      <c r="J890" s="157"/>
      <c r="K890" s="161"/>
      <c r="L890" s="161"/>
      <c r="M890" s="161"/>
      <c r="N890" s="161"/>
      <c r="O890" s="161"/>
      <c r="P890" s="161"/>
      <c r="Q890" s="161"/>
      <c r="R890" s="161"/>
      <c r="S890" s="161"/>
      <c r="T890" s="161"/>
      <c r="U890" s="161"/>
      <c r="V890" s="161"/>
    </row>
    <row r="891">
      <c r="A891" s="157"/>
      <c r="B891" s="161"/>
      <c r="C891" s="193"/>
      <c r="D891" s="161"/>
      <c r="E891" s="193"/>
      <c r="F891" s="161"/>
      <c r="G891" s="161"/>
      <c r="H891" s="161"/>
      <c r="I891" s="161"/>
      <c r="J891" s="157"/>
      <c r="K891" s="161"/>
      <c r="L891" s="161"/>
      <c r="M891" s="161"/>
      <c r="N891" s="161"/>
      <c r="O891" s="161"/>
      <c r="P891" s="161"/>
      <c r="Q891" s="161"/>
      <c r="R891" s="161"/>
      <c r="S891" s="161"/>
      <c r="T891" s="161"/>
      <c r="U891" s="161"/>
      <c r="V891" s="161"/>
    </row>
    <row r="892">
      <c r="A892" s="157"/>
      <c r="B892" s="161"/>
      <c r="C892" s="193"/>
      <c r="D892" s="161"/>
      <c r="E892" s="193"/>
      <c r="F892" s="161"/>
      <c r="G892" s="161"/>
      <c r="H892" s="161"/>
      <c r="I892" s="161"/>
      <c r="J892" s="157"/>
      <c r="K892" s="161"/>
      <c r="L892" s="161"/>
      <c r="M892" s="161"/>
      <c r="N892" s="161"/>
      <c r="O892" s="161"/>
      <c r="P892" s="161"/>
      <c r="Q892" s="161"/>
      <c r="R892" s="161"/>
      <c r="S892" s="161"/>
      <c r="T892" s="161"/>
      <c r="U892" s="161"/>
      <c r="V892" s="161"/>
    </row>
    <row r="893">
      <c r="A893" s="157"/>
      <c r="B893" s="161"/>
      <c r="C893" s="193"/>
      <c r="D893" s="161"/>
      <c r="E893" s="193"/>
      <c r="F893" s="161"/>
      <c r="G893" s="161"/>
      <c r="H893" s="161"/>
      <c r="I893" s="161"/>
      <c r="J893" s="157"/>
      <c r="K893" s="161"/>
      <c r="L893" s="161"/>
      <c r="M893" s="161"/>
      <c r="N893" s="161"/>
      <c r="O893" s="161"/>
      <c r="P893" s="161"/>
      <c r="Q893" s="161"/>
      <c r="R893" s="161"/>
      <c r="S893" s="161"/>
      <c r="T893" s="161"/>
      <c r="U893" s="161"/>
      <c r="V893" s="161"/>
    </row>
    <row r="894">
      <c r="A894" s="157"/>
      <c r="B894" s="161"/>
      <c r="C894" s="193"/>
      <c r="D894" s="161"/>
      <c r="E894" s="193"/>
      <c r="F894" s="161"/>
      <c r="G894" s="161"/>
      <c r="H894" s="161"/>
      <c r="I894" s="161"/>
      <c r="J894" s="157"/>
      <c r="K894" s="161"/>
      <c r="L894" s="161"/>
      <c r="M894" s="161"/>
      <c r="N894" s="161"/>
      <c r="O894" s="161"/>
      <c r="P894" s="161"/>
      <c r="Q894" s="161"/>
      <c r="R894" s="161"/>
      <c r="S894" s="161"/>
      <c r="T894" s="161"/>
      <c r="U894" s="161"/>
      <c r="V894" s="161"/>
    </row>
    <row r="895">
      <c r="A895" s="157"/>
      <c r="B895" s="161"/>
      <c r="C895" s="193"/>
      <c r="D895" s="161"/>
      <c r="E895" s="193"/>
      <c r="F895" s="161"/>
      <c r="G895" s="161"/>
      <c r="H895" s="161"/>
      <c r="I895" s="161"/>
      <c r="J895" s="157"/>
      <c r="K895" s="161"/>
      <c r="L895" s="161"/>
      <c r="M895" s="161"/>
      <c r="N895" s="161"/>
      <c r="O895" s="161"/>
      <c r="P895" s="161"/>
      <c r="Q895" s="161"/>
      <c r="R895" s="161"/>
      <c r="S895" s="161"/>
      <c r="T895" s="161"/>
      <c r="U895" s="161"/>
      <c r="V895" s="161"/>
    </row>
    <row r="896">
      <c r="A896" s="157"/>
      <c r="B896" s="161"/>
      <c r="C896" s="193"/>
      <c r="D896" s="161"/>
      <c r="E896" s="193"/>
      <c r="F896" s="161"/>
      <c r="G896" s="161"/>
      <c r="H896" s="161"/>
      <c r="I896" s="161"/>
      <c r="J896" s="157"/>
      <c r="K896" s="161"/>
      <c r="L896" s="161"/>
      <c r="M896" s="161"/>
      <c r="N896" s="161"/>
      <c r="O896" s="161"/>
      <c r="P896" s="161"/>
      <c r="Q896" s="161"/>
      <c r="R896" s="161"/>
      <c r="S896" s="161"/>
      <c r="T896" s="161"/>
      <c r="U896" s="161"/>
      <c r="V896" s="161"/>
    </row>
    <row r="897">
      <c r="A897" s="157"/>
      <c r="B897" s="161"/>
      <c r="C897" s="193"/>
      <c r="D897" s="161"/>
      <c r="E897" s="193"/>
      <c r="F897" s="161"/>
      <c r="G897" s="161"/>
      <c r="H897" s="161"/>
      <c r="I897" s="161"/>
      <c r="J897" s="157"/>
      <c r="K897" s="161"/>
      <c r="L897" s="161"/>
      <c r="M897" s="161"/>
      <c r="N897" s="161"/>
      <c r="O897" s="161"/>
      <c r="P897" s="161"/>
      <c r="Q897" s="161"/>
      <c r="R897" s="161"/>
      <c r="S897" s="161"/>
      <c r="T897" s="161"/>
      <c r="U897" s="161"/>
      <c r="V897" s="161"/>
    </row>
    <row r="898">
      <c r="A898" s="157"/>
      <c r="B898" s="161"/>
      <c r="C898" s="193"/>
      <c r="D898" s="161"/>
      <c r="E898" s="193"/>
      <c r="F898" s="161"/>
      <c r="G898" s="161"/>
      <c r="H898" s="161"/>
      <c r="I898" s="161"/>
      <c r="J898" s="157"/>
      <c r="K898" s="161"/>
      <c r="L898" s="161"/>
      <c r="M898" s="161"/>
      <c r="N898" s="161"/>
      <c r="O898" s="161"/>
      <c r="P898" s="161"/>
      <c r="Q898" s="161"/>
      <c r="R898" s="161"/>
      <c r="S898" s="161"/>
      <c r="T898" s="161"/>
      <c r="U898" s="161"/>
      <c r="V898" s="161"/>
    </row>
    <row r="899">
      <c r="A899" s="157"/>
      <c r="B899" s="161"/>
      <c r="C899" s="193"/>
      <c r="D899" s="161"/>
      <c r="E899" s="193"/>
      <c r="F899" s="161"/>
      <c r="G899" s="161"/>
      <c r="H899" s="161"/>
      <c r="I899" s="161"/>
      <c r="J899" s="157"/>
      <c r="K899" s="161"/>
      <c r="L899" s="161"/>
      <c r="M899" s="161"/>
      <c r="N899" s="161"/>
      <c r="O899" s="161"/>
      <c r="P899" s="161"/>
      <c r="Q899" s="161"/>
      <c r="R899" s="161"/>
      <c r="S899" s="161"/>
      <c r="T899" s="161"/>
      <c r="U899" s="161"/>
      <c r="V899" s="161"/>
    </row>
    <row r="900">
      <c r="A900" s="157"/>
      <c r="B900" s="161"/>
      <c r="C900" s="193"/>
      <c r="D900" s="161"/>
      <c r="E900" s="193"/>
      <c r="F900" s="161"/>
      <c r="G900" s="161"/>
      <c r="H900" s="161"/>
      <c r="I900" s="161"/>
      <c r="J900" s="157"/>
      <c r="K900" s="161"/>
      <c r="L900" s="161"/>
      <c r="M900" s="161"/>
      <c r="N900" s="161"/>
      <c r="O900" s="161"/>
      <c r="P900" s="161"/>
      <c r="Q900" s="161"/>
      <c r="R900" s="161"/>
      <c r="S900" s="161"/>
      <c r="T900" s="161"/>
      <c r="U900" s="161"/>
      <c r="V900" s="161"/>
    </row>
    <row r="901">
      <c r="A901" s="157"/>
      <c r="B901" s="161"/>
      <c r="C901" s="193"/>
      <c r="D901" s="161"/>
      <c r="E901" s="193"/>
      <c r="F901" s="161"/>
      <c r="G901" s="161"/>
      <c r="H901" s="161"/>
      <c r="I901" s="161"/>
      <c r="J901" s="157"/>
      <c r="K901" s="161"/>
      <c r="L901" s="161"/>
      <c r="M901" s="161"/>
      <c r="N901" s="161"/>
      <c r="O901" s="161"/>
      <c r="P901" s="161"/>
      <c r="Q901" s="161"/>
      <c r="R901" s="161"/>
      <c r="S901" s="161"/>
      <c r="T901" s="161"/>
      <c r="U901" s="161"/>
      <c r="V901" s="161"/>
    </row>
    <row r="902">
      <c r="A902" s="157"/>
      <c r="B902" s="161"/>
      <c r="C902" s="193"/>
      <c r="D902" s="161"/>
      <c r="E902" s="193"/>
      <c r="F902" s="161"/>
      <c r="G902" s="161"/>
      <c r="H902" s="161"/>
      <c r="I902" s="161"/>
      <c r="J902" s="157"/>
      <c r="K902" s="161"/>
      <c r="L902" s="161"/>
      <c r="M902" s="161"/>
      <c r="N902" s="161"/>
      <c r="O902" s="161"/>
      <c r="P902" s="161"/>
      <c r="Q902" s="161"/>
      <c r="R902" s="161"/>
      <c r="S902" s="161"/>
      <c r="T902" s="161"/>
      <c r="U902" s="161"/>
      <c r="V902" s="161"/>
    </row>
    <row r="903">
      <c r="A903" s="157"/>
      <c r="B903" s="161"/>
      <c r="C903" s="193"/>
      <c r="D903" s="161"/>
      <c r="E903" s="193"/>
      <c r="F903" s="161"/>
      <c r="G903" s="161"/>
      <c r="H903" s="161"/>
      <c r="I903" s="161"/>
      <c r="J903" s="157"/>
      <c r="K903" s="161"/>
      <c r="L903" s="161"/>
      <c r="M903" s="161"/>
      <c r="N903" s="161"/>
      <c r="O903" s="161"/>
      <c r="P903" s="161"/>
      <c r="Q903" s="161"/>
      <c r="R903" s="161"/>
      <c r="S903" s="161"/>
      <c r="T903" s="161"/>
      <c r="U903" s="161"/>
      <c r="V903" s="161"/>
    </row>
    <row r="904">
      <c r="A904" s="157"/>
      <c r="B904" s="161"/>
      <c r="C904" s="193"/>
      <c r="D904" s="161"/>
      <c r="E904" s="193"/>
      <c r="F904" s="161"/>
      <c r="G904" s="161"/>
      <c r="H904" s="161"/>
      <c r="I904" s="161"/>
      <c r="J904" s="157"/>
      <c r="K904" s="161"/>
      <c r="L904" s="161"/>
      <c r="M904" s="161"/>
      <c r="N904" s="161"/>
      <c r="O904" s="161"/>
      <c r="P904" s="161"/>
      <c r="Q904" s="161"/>
      <c r="R904" s="161"/>
      <c r="S904" s="161"/>
      <c r="T904" s="161"/>
      <c r="U904" s="161"/>
      <c r="V904" s="161"/>
    </row>
    <row r="905">
      <c r="A905" s="157"/>
      <c r="B905" s="161"/>
      <c r="C905" s="193"/>
      <c r="D905" s="161"/>
      <c r="E905" s="193"/>
      <c r="F905" s="161"/>
      <c r="G905" s="161"/>
      <c r="H905" s="161"/>
      <c r="I905" s="161"/>
      <c r="J905" s="157"/>
      <c r="K905" s="161"/>
      <c r="L905" s="161"/>
      <c r="M905" s="161"/>
      <c r="N905" s="161"/>
      <c r="O905" s="161"/>
      <c r="P905" s="161"/>
      <c r="Q905" s="161"/>
      <c r="R905" s="161"/>
      <c r="S905" s="161"/>
      <c r="T905" s="161"/>
      <c r="U905" s="161"/>
      <c r="V905" s="161"/>
    </row>
    <row r="906">
      <c r="A906" s="157"/>
      <c r="B906" s="161"/>
      <c r="C906" s="193"/>
      <c r="D906" s="161"/>
      <c r="E906" s="193"/>
      <c r="F906" s="161"/>
      <c r="G906" s="161"/>
      <c r="H906" s="161"/>
      <c r="I906" s="161"/>
      <c r="J906" s="157"/>
      <c r="K906" s="161"/>
      <c r="L906" s="161"/>
      <c r="M906" s="161"/>
      <c r="N906" s="161"/>
      <c r="O906" s="161"/>
      <c r="P906" s="161"/>
      <c r="Q906" s="161"/>
      <c r="R906" s="161"/>
      <c r="S906" s="161"/>
      <c r="T906" s="161"/>
      <c r="U906" s="161"/>
      <c r="V906" s="161"/>
    </row>
    <row r="907">
      <c r="A907" s="157"/>
      <c r="B907" s="161"/>
      <c r="C907" s="193"/>
      <c r="D907" s="161"/>
      <c r="E907" s="193"/>
      <c r="F907" s="161"/>
      <c r="G907" s="161"/>
      <c r="H907" s="161"/>
      <c r="I907" s="161"/>
      <c r="J907" s="157"/>
      <c r="K907" s="161"/>
      <c r="L907" s="161"/>
      <c r="M907" s="161"/>
      <c r="N907" s="161"/>
      <c r="O907" s="161"/>
      <c r="P907" s="161"/>
      <c r="Q907" s="161"/>
      <c r="R907" s="161"/>
      <c r="S907" s="161"/>
      <c r="T907" s="161"/>
      <c r="U907" s="161"/>
      <c r="V907" s="161"/>
    </row>
    <row r="908">
      <c r="A908" s="157"/>
      <c r="B908" s="161"/>
      <c r="C908" s="193"/>
      <c r="D908" s="161"/>
      <c r="E908" s="193"/>
      <c r="F908" s="161"/>
      <c r="G908" s="161"/>
      <c r="H908" s="161"/>
      <c r="I908" s="161"/>
      <c r="J908" s="157"/>
      <c r="K908" s="161"/>
      <c r="L908" s="161"/>
      <c r="M908" s="161"/>
      <c r="N908" s="161"/>
      <c r="O908" s="161"/>
      <c r="P908" s="161"/>
      <c r="Q908" s="161"/>
      <c r="R908" s="161"/>
      <c r="S908" s="161"/>
      <c r="T908" s="161"/>
      <c r="U908" s="161"/>
      <c r="V908" s="161"/>
    </row>
    <row r="909">
      <c r="A909" s="157"/>
      <c r="B909" s="161"/>
      <c r="C909" s="193"/>
      <c r="D909" s="161"/>
      <c r="E909" s="193"/>
      <c r="F909" s="161"/>
      <c r="G909" s="161"/>
      <c r="H909" s="161"/>
      <c r="I909" s="161"/>
      <c r="J909" s="157"/>
      <c r="K909" s="161"/>
      <c r="L909" s="161"/>
      <c r="M909" s="161"/>
      <c r="N909" s="161"/>
      <c r="O909" s="161"/>
      <c r="P909" s="161"/>
      <c r="Q909" s="161"/>
      <c r="R909" s="161"/>
      <c r="S909" s="161"/>
      <c r="T909" s="161"/>
      <c r="U909" s="161"/>
      <c r="V909" s="161"/>
    </row>
    <row r="910">
      <c r="A910" s="157"/>
      <c r="B910" s="161"/>
      <c r="C910" s="193"/>
      <c r="D910" s="161"/>
      <c r="E910" s="193"/>
      <c r="F910" s="161"/>
      <c r="G910" s="161"/>
      <c r="H910" s="161"/>
      <c r="I910" s="161"/>
      <c r="J910" s="157"/>
      <c r="K910" s="161"/>
      <c r="L910" s="161"/>
      <c r="M910" s="161"/>
      <c r="N910" s="161"/>
      <c r="O910" s="161"/>
      <c r="P910" s="161"/>
      <c r="Q910" s="161"/>
      <c r="R910" s="161"/>
      <c r="S910" s="161"/>
      <c r="T910" s="161"/>
      <c r="U910" s="161"/>
      <c r="V910" s="161"/>
    </row>
    <row r="911">
      <c r="A911" s="157"/>
      <c r="B911" s="161"/>
      <c r="C911" s="193"/>
      <c r="D911" s="161"/>
      <c r="E911" s="193"/>
      <c r="F911" s="161"/>
      <c r="G911" s="161"/>
      <c r="H911" s="161"/>
      <c r="I911" s="161"/>
      <c r="J911" s="157"/>
      <c r="K911" s="161"/>
      <c r="L911" s="161"/>
      <c r="M911" s="161"/>
      <c r="N911" s="161"/>
      <c r="O911" s="161"/>
      <c r="P911" s="161"/>
      <c r="Q911" s="161"/>
      <c r="R911" s="161"/>
      <c r="S911" s="161"/>
      <c r="T911" s="161"/>
      <c r="U911" s="161"/>
      <c r="V911" s="161"/>
    </row>
    <row r="912">
      <c r="A912" s="157"/>
      <c r="B912" s="161"/>
      <c r="C912" s="193"/>
      <c r="D912" s="161"/>
      <c r="E912" s="193"/>
      <c r="F912" s="161"/>
      <c r="G912" s="161"/>
      <c r="H912" s="161"/>
      <c r="I912" s="161"/>
      <c r="J912" s="157"/>
      <c r="K912" s="161"/>
      <c r="L912" s="161"/>
      <c r="M912" s="161"/>
      <c r="N912" s="161"/>
      <c r="O912" s="161"/>
      <c r="P912" s="161"/>
      <c r="Q912" s="161"/>
      <c r="R912" s="161"/>
      <c r="S912" s="161"/>
      <c r="T912" s="161"/>
      <c r="U912" s="161"/>
      <c r="V912" s="161"/>
    </row>
    <row r="913">
      <c r="A913" s="157"/>
      <c r="B913" s="161"/>
      <c r="C913" s="193"/>
      <c r="D913" s="161"/>
      <c r="E913" s="193"/>
      <c r="F913" s="161"/>
      <c r="G913" s="161"/>
      <c r="H913" s="161"/>
      <c r="I913" s="161"/>
      <c r="J913" s="157"/>
      <c r="K913" s="161"/>
      <c r="L913" s="161"/>
      <c r="M913" s="161"/>
      <c r="N913" s="161"/>
      <c r="O913" s="161"/>
      <c r="P913" s="161"/>
      <c r="Q913" s="161"/>
      <c r="R913" s="161"/>
      <c r="S913" s="161"/>
      <c r="T913" s="161"/>
      <c r="U913" s="161"/>
      <c r="V913" s="161"/>
    </row>
    <row r="914">
      <c r="A914" s="157"/>
      <c r="B914" s="161"/>
      <c r="C914" s="193"/>
      <c r="D914" s="161"/>
      <c r="E914" s="193"/>
      <c r="F914" s="161"/>
      <c r="G914" s="161"/>
      <c r="H914" s="161"/>
      <c r="I914" s="161"/>
      <c r="J914" s="157"/>
      <c r="K914" s="161"/>
      <c r="L914" s="161"/>
      <c r="M914" s="161"/>
      <c r="N914" s="161"/>
      <c r="O914" s="161"/>
      <c r="P914" s="161"/>
      <c r="Q914" s="161"/>
      <c r="R914" s="161"/>
      <c r="S914" s="161"/>
      <c r="T914" s="161"/>
      <c r="U914" s="161"/>
      <c r="V914" s="161"/>
    </row>
    <row r="915">
      <c r="A915" s="157"/>
      <c r="B915" s="161"/>
      <c r="C915" s="193"/>
      <c r="D915" s="161"/>
      <c r="E915" s="193"/>
      <c r="F915" s="161"/>
      <c r="G915" s="161"/>
      <c r="H915" s="161"/>
      <c r="I915" s="161"/>
      <c r="J915" s="157"/>
      <c r="K915" s="161"/>
      <c r="L915" s="161"/>
      <c r="M915" s="161"/>
      <c r="N915" s="161"/>
      <c r="O915" s="161"/>
      <c r="P915" s="161"/>
      <c r="Q915" s="161"/>
      <c r="R915" s="161"/>
      <c r="S915" s="161"/>
      <c r="T915" s="161"/>
      <c r="U915" s="161"/>
      <c r="V915" s="161"/>
    </row>
    <row r="916">
      <c r="A916" s="157"/>
      <c r="B916" s="161"/>
      <c r="C916" s="193"/>
      <c r="D916" s="161"/>
      <c r="E916" s="193"/>
      <c r="F916" s="161"/>
      <c r="G916" s="161"/>
      <c r="H916" s="161"/>
      <c r="I916" s="161"/>
      <c r="J916" s="157"/>
      <c r="K916" s="161"/>
      <c r="L916" s="161"/>
      <c r="M916" s="161"/>
      <c r="N916" s="161"/>
      <c r="O916" s="161"/>
      <c r="P916" s="161"/>
      <c r="Q916" s="161"/>
      <c r="R916" s="161"/>
      <c r="S916" s="161"/>
      <c r="T916" s="161"/>
      <c r="U916" s="161"/>
      <c r="V916" s="161"/>
    </row>
    <row r="917">
      <c r="A917" s="157"/>
      <c r="B917" s="161"/>
      <c r="C917" s="193"/>
      <c r="D917" s="161"/>
      <c r="E917" s="193"/>
      <c r="F917" s="161"/>
      <c r="G917" s="161"/>
      <c r="H917" s="161"/>
      <c r="I917" s="161"/>
      <c r="J917" s="157"/>
      <c r="K917" s="161"/>
      <c r="L917" s="161"/>
      <c r="M917" s="161"/>
      <c r="N917" s="161"/>
      <c r="O917" s="161"/>
      <c r="P917" s="161"/>
      <c r="Q917" s="161"/>
      <c r="R917" s="161"/>
      <c r="S917" s="161"/>
      <c r="T917" s="161"/>
      <c r="U917" s="161"/>
      <c r="V917" s="161"/>
    </row>
    <row r="918">
      <c r="A918" s="157"/>
      <c r="B918" s="161"/>
      <c r="C918" s="193"/>
      <c r="D918" s="161"/>
      <c r="E918" s="193"/>
      <c r="F918" s="161"/>
      <c r="G918" s="161"/>
      <c r="H918" s="161"/>
      <c r="I918" s="161"/>
      <c r="J918" s="157"/>
      <c r="K918" s="161"/>
      <c r="L918" s="161"/>
      <c r="M918" s="161"/>
      <c r="N918" s="161"/>
      <c r="O918" s="161"/>
      <c r="P918" s="161"/>
      <c r="Q918" s="161"/>
      <c r="R918" s="161"/>
      <c r="S918" s="161"/>
      <c r="T918" s="161"/>
      <c r="U918" s="161"/>
      <c r="V918" s="161"/>
    </row>
    <row r="919">
      <c r="A919" s="157"/>
      <c r="B919" s="161"/>
      <c r="C919" s="193"/>
      <c r="D919" s="161"/>
      <c r="E919" s="193"/>
      <c r="F919" s="161"/>
      <c r="G919" s="161"/>
      <c r="H919" s="161"/>
      <c r="I919" s="161"/>
      <c r="J919" s="157"/>
      <c r="K919" s="161"/>
      <c r="L919" s="161"/>
      <c r="M919" s="161"/>
      <c r="N919" s="161"/>
      <c r="O919" s="161"/>
      <c r="P919" s="161"/>
      <c r="Q919" s="161"/>
      <c r="R919" s="161"/>
      <c r="S919" s="161"/>
      <c r="T919" s="161"/>
      <c r="U919" s="161"/>
      <c r="V919" s="161"/>
    </row>
    <row r="920">
      <c r="A920" s="157"/>
      <c r="B920" s="161"/>
      <c r="C920" s="193"/>
      <c r="D920" s="161"/>
      <c r="E920" s="193"/>
      <c r="F920" s="161"/>
      <c r="G920" s="161"/>
      <c r="H920" s="161"/>
      <c r="I920" s="161"/>
      <c r="J920" s="157"/>
      <c r="K920" s="161"/>
      <c r="L920" s="161"/>
      <c r="M920" s="161"/>
      <c r="N920" s="161"/>
      <c r="O920" s="161"/>
      <c r="P920" s="161"/>
      <c r="Q920" s="161"/>
      <c r="R920" s="161"/>
      <c r="S920" s="161"/>
      <c r="T920" s="161"/>
      <c r="U920" s="161"/>
      <c r="V920" s="161"/>
    </row>
    <row r="921">
      <c r="A921" s="157"/>
      <c r="B921" s="161"/>
      <c r="C921" s="193"/>
      <c r="D921" s="161"/>
      <c r="E921" s="193"/>
      <c r="F921" s="161"/>
      <c r="G921" s="161"/>
      <c r="H921" s="161"/>
      <c r="I921" s="161"/>
      <c r="J921" s="157"/>
      <c r="K921" s="161"/>
      <c r="L921" s="161"/>
      <c r="M921" s="161"/>
      <c r="N921" s="161"/>
      <c r="O921" s="161"/>
      <c r="P921" s="161"/>
      <c r="Q921" s="161"/>
      <c r="R921" s="161"/>
      <c r="S921" s="161"/>
      <c r="T921" s="161"/>
      <c r="U921" s="161"/>
      <c r="V921" s="161"/>
    </row>
    <row r="922">
      <c r="A922" s="157"/>
      <c r="B922" s="161"/>
      <c r="C922" s="193"/>
      <c r="D922" s="161"/>
      <c r="E922" s="193"/>
      <c r="F922" s="161"/>
      <c r="G922" s="161"/>
      <c r="H922" s="161"/>
      <c r="I922" s="161"/>
      <c r="J922" s="157"/>
      <c r="K922" s="161"/>
      <c r="L922" s="161"/>
      <c r="M922" s="161"/>
      <c r="N922" s="161"/>
      <c r="O922" s="161"/>
      <c r="P922" s="161"/>
      <c r="Q922" s="161"/>
      <c r="R922" s="161"/>
      <c r="S922" s="161"/>
      <c r="T922" s="161"/>
      <c r="U922" s="161"/>
      <c r="V922" s="161"/>
    </row>
    <row r="923">
      <c r="A923" s="157"/>
      <c r="B923" s="161"/>
      <c r="C923" s="193"/>
      <c r="D923" s="161"/>
      <c r="E923" s="193"/>
      <c r="F923" s="161"/>
      <c r="G923" s="161"/>
      <c r="H923" s="161"/>
      <c r="I923" s="161"/>
      <c r="J923" s="157"/>
      <c r="K923" s="161"/>
      <c r="L923" s="161"/>
      <c r="M923" s="161"/>
      <c r="N923" s="161"/>
      <c r="O923" s="161"/>
      <c r="P923" s="161"/>
      <c r="Q923" s="161"/>
      <c r="R923" s="161"/>
      <c r="S923" s="161"/>
      <c r="T923" s="161"/>
      <c r="U923" s="161"/>
      <c r="V923" s="161"/>
    </row>
    <row r="924">
      <c r="A924" s="157"/>
      <c r="B924" s="161"/>
      <c r="C924" s="193"/>
      <c r="D924" s="161"/>
      <c r="E924" s="193"/>
      <c r="F924" s="161"/>
      <c r="G924" s="161"/>
      <c r="H924" s="161"/>
      <c r="I924" s="161"/>
      <c r="J924" s="157"/>
      <c r="K924" s="161"/>
      <c r="L924" s="161"/>
      <c r="M924" s="161"/>
      <c r="N924" s="161"/>
      <c r="O924" s="161"/>
      <c r="P924" s="161"/>
      <c r="Q924" s="161"/>
      <c r="R924" s="161"/>
      <c r="S924" s="161"/>
      <c r="T924" s="161"/>
      <c r="U924" s="161"/>
      <c r="V924" s="161"/>
    </row>
    <row r="925">
      <c r="A925" s="157"/>
      <c r="B925" s="161"/>
      <c r="C925" s="193"/>
      <c r="D925" s="161"/>
      <c r="E925" s="193"/>
      <c r="F925" s="161"/>
      <c r="G925" s="161"/>
      <c r="H925" s="161"/>
      <c r="I925" s="161"/>
      <c r="J925" s="157"/>
      <c r="K925" s="161"/>
      <c r="L925" s="161"/>
      <c r="M925" s="161"/>
      <c r="N925" s="161"/>
      <c r="O925" s="161"/>
      <c r="P925" s="161"/>
      <c r="Q925" s="161"/>
      <c r="R925" s="161"/>
      <c r="S925" s="161"/>
      <c r="T925" s="161"/>
      <c r="U925" s="161"/>
      <c r="V925" s="161"/>
    </row>
    <row r="926">
      <c r="A926" s="157"/>
      <c r="B926" s="161"/>
      <c r="C926" s="193"/>
      <c r="D926" s="161"/>
      <c r="E926" s="193"/>
      <c r="F926" s="161"/>
      <c r="G926" s="161"/>
      <c r="H926" s="161"/>
      <c r="I926" s="161"/>
      <c r="J926" s="157"/>
      <c r="K926" s="161"/>
      <c r="L926" s="161"/>
      <c r="M926" s="161"/>
      <c r="N926" s="161"/>
      <c r="O926" s="161"/>
      <c r="P926" s="161"/>
      <c r="Q926" s="161"/>
      <c r="R926" s="161"/>
      <c r="S926" s="161"/>
      <c r="T926" s="161"/>
      <c r="U926" s="161"/>
      <c r="V926" s="161"/>
    </row>
    <row r="927">
      <c r="A927" s="157"/>
      <c r="B927" s="161"/>
      <c r="C927" s="193"/>
      <c r="D927" s="161"/>
      <c r="E927" s="193"/>
      <c r="F927" s="161"/>
      <c r="G927" s="161"/>
      <c r="H927" s="161"/>
      <c r="I927" s="161"/>
      <c r="J927" s="157"/>
      <c r="K927" s="161"/>
      <c r="L927" s="161"/>
      <c r="M927" s="161"/>
      <c r="N927" s="161"/>
      <c r="O927" s="161"/>
      <c r="P927" s="161"/>
      <c r="Q927" s="161"/>
      <c r="R927" s="161"/>
      <c r="S927" s="161"/>
      <c r="T927" s="161"/>
      <c r="U927" s="161"/>
      <c r="V927" s="161"/>
    </row>
    <row r="928">
      <c r="A928" s="157"/>
      <c r="B928" s="161"/>
      <c r="C928" s="193"/>
      <c r="D928" s="161"/>
      <c r="E928" s="193"/>
      <c r="F928" s="161"/>
      <c r="G928" s="161"/>
      <c r="H928" s="161"/>
      <c r="I928" s="161"/>
      <c r="J928" s="157"/>
      <c r="K928" s="161"/>
      <c r="L928" s="161"/>
      <c r="M928" s="161"/>
      <c r="N928" s="161"/>
      <c r="O928" s="161"/>
      <c r="P928" s="161"/>
      <c r="Q928" s="161"/>
      <c r="R928" s="161"/>
      <c r="S928" s="161"/>
      <c r="T928" s="161"/>
      <c r="U928" s="161"/>
      <c r="V928" s="161"/>
    </row>
    <row r="929">
      <c r="A929" s="157"/>
      <c r="B929" s="161"/>
      <c r="C929" s="193"/>
      <c r="D929" s="161"/>
      <c r="E929" s="193"/>
      <c r="F929" s="161"/>
      <c r="G929" s="161"/>
      <c r="H929" s="161"/>
      <c r="I929" s="161"/>
      <c r="J929" s="157"/>
      <c r="K929" s="161"/>
      <c r="L929" s="161"/>
      <c r="M929" s="161"/>
      <c r="N929" s="161"/>
      <c r="O929" s="161"/>
      <c r="P929" s="161"/>
      <c r="Q929" s="161"/>
      <c r="R929" s="161"/>
      <c r="S929" s="161"/>
      <c r="T929" s="161"/>
      <c r="U929" s="161"/>
      <c r="V929" s="161"/>
    </row>
    <row r="930">
      <c r="A930" s="157"/>
      <c r="B930" s="161"/>
      <c r="C930" s="193"/>
      <c r="D930" s="161"/>
      <c r="E930" s="193"/>
      <c r="F930" s="161"/>
      <c r="G930" s="161"/>
      <c r="H930" s="161"/>
      <c r="I930" s="161"/>
      <c r="J930" s="157"/>
      <c r="K930" s="161"/>
      <c r="L930" s="161"/>
      <c r="M930" s="161"/>
      <c r="N930" s="161"/>
      <c r="O930" s="161"/>
      <c r="P930" s="161"/>
      <c r="Q930" s="161"/>
      <c r="R930" s="161"/>
      <c r="S930" s="161"/>
      <c r="T930" s="161"/>
      <c r="U930" s="161"/>
      <c r="V930" s="161"/>
    </row>
    <row r="931">
      <c r="A931" s="157"/>
      <c r="B931" s="161"/>
      <c r="C931" s="193"/>
      <c r="D931" s="161"/>
      <c r="E931" s="193"/>
      <c r="F931" s="161"/>
      <c r="G931" s="161"/>
      <c r="H931" s="161"/>
      <c r="I931" s="161"/>
      <c r="J931" s="157"/>
      <c r="K931" s="161"/>
      <c r="L931" s="161"/>
      <c r="M931" s="161"/>
      <c r="N931" s="161"/>
      <c r="O931" s="161"/>
      <c r="P931" s="161"/>
      <c r="Q931" s="161"/>
      <c r="R931" s="161"/>
      <c r="S931" s="161"/>
      <c r="T931" s="161"/>
      <c r="U931" s="161"/>
      <c r="V931" s="161"/>
    </row>
    <row r="932">
      <c r="A932" s="157"/>
      <c r="B932" s="161"/>
      <c r="C932" s="193"/>
      <c r="D932" s="161"/>
      <c r="E932" s="193"/>
      <c r="F932" s="161"/>
      <c r="G932" s="161"/>
      <c r="H932" s="161"/>
      <c r="I932" s="161"/>
      <c r="J932" s="157"/>
      <c r="K932" s="161"/>
      <c r="L932" s="161"/>
      <c r="M932" s="161"/>
      <c r="N932" s="161"/>
      <c r="O932" s="161"/>
      <c r="P932" s="161"/>
      <c r="Q932" s="161"/>
      <c r="R932" s="161"/>
      <c r="S932" s="161"/>
      <c r="T932" s="161"/>
      <c r="U932" s="161"/>
      <c r="V932" s="161"/>
    </row>
    <row r="933">
      <c r="A933" s="157"/>
      <c r="B933" s="161"/>
      <c r="C933" s="193"/>
      <c r="D933" s="161"/>
      <c r="E933" s="193"/>
      <c r="F933" s="161"/>
      <c r="G933" s="161"/>
      <c r="H933" s="161"/>
      <c r="I933" s="161"/>
      <c r="J933" s="157"/>
      <c r="K933" s="161"/>
      <c r="L933" s="161"/>
      <c r="M933" s="161"/>
      <c r="N933" s="161"/>
      <c r="O933" s="161"/>
      <c r="P933" s="161"/>
      <c r="Q933" s="161"/>
      <c r="R933" s="161"/>
      <c r="S933" s="161"/>
      <c r="T933" s="161"/>
      <c r="U933" s="161"/>
      <c r="V933" s="161"/>
    </row>
    <row r="934">
      <c r="A934" s="157"/>
      <c r="B934" s="161"/>
      <c r="C934" s="193"/>
      <c r="D934" s="161"/>
      <c r="E934" s="193"/>
      <c r="F934" s="161"/>
      <c r="G934" s="161"/>
      <c r="H934" s="161"/>
      <c r="I934" s="161"/>
      <c r="J934" s="157"/>
      <c r="K934" s="161"/>
      <c r="L934" s="161"/>
      <c r="M934" s="161"/>
      <c r="N934" s="161"/>
      <c r="O934" s="161"/>
      <c r="P934" s="161"/>
      <c r="Q934" s="161"/>
      <c r="R934" s="161"/>
      <c r="S934" s="161"/>
      <c r="T934" s="161"/>
      <c r="U934" s="161"/>
      <c r="V934" s="161"/>
    </row>
    <row r="935">
      <c r="A935" s="157"/>
      <c r="B935" s="161"/>
      <c r="C935" s="193"/>
      <c r="D935" s="161"/>
      <c r="E935" s="193"/>
      <c r="F935" s="161"/>
      <c r="G935" s="161"/>
      <c r="H935" s="161"/>
      <c r="I935" s="161"/>
      <c r="J935" s="157"/>
      <c r="K935" s="161"/>
      <c r="L935" s="161"/>
      <c r="M935" s="161"/>
      <c r="N935" s="161"/>
      <c r="O935" s="161"/>
      <c r="P935" s="161"/>
      <c r="Q935" s="161"/>
      <c r="R935" s="161"/>
      <c r="S935" s="161"/>
      <c r="T935" s="161"/>
      <c r="U935" s="161"/>
      <c r="V935" s="161"/>
    </row>
    <row r="936">
      <c r="A936" s="157"/>
      <c r="B936" s="161"/>
      <c r="C936" s="193"/>
      <c r="D936" s="161"/>
      <c r="E936" s="193"/>
      <c r="F936" s="161"/>
      <c r="G936" s="161"/>
      <c r="H936" s="161"/>
      <c r="I936" s="161"/>
      <c r="J936" s="157"/>
      <c r="K936" s="161"/>
      <c r="L936" s="161"/>
      <c r="M936" s="161"/>
      <c r="N936" s="161"/>
      <c r="O936" s="161"/>
      <c r="P936" s="161"/>
      <c r="Q936" s="161"/>
      <c r="R936" s="161"/>
      <c r="S936" s="161"/>
      <c r="T936" s="161"/>
      <c r="U936" s="161"/>
      <c r="V936" s="161"/>
    </row>
    <row r="937">
      <c r="A937" s="157"/>
      <c r="B937" s="161"/>
      <c r="C937" s="193"/>
      <c r="D937" s="161"/>
      <c r="E937" s="193"/>
      <c r="F937" s="161"/>
      <c r="G937" s="161"/>
      <c r="H937" s="161"/>
      <c r="I937" s="161"/>
      <c r="J937" s="157"/>
      <c r="K937" s="161"/>
      <c r="L937" s="161"/>
      <c r="M937" s="161"/>
      <c r="N937" s="161"/>
      <c r="O937" s="161"/>
      <c r="P937" s="161"/>
      <c r="Q937" s="161"/>
      <c r="R937" s="161"/>
      <c r="S937" s="161"/>
      <c r="T937" s="161"/>
      <c r="U937" s="161"/>
      <c r="V937" s="161"/>
    </row>
    <row r="938">
      <c r="A938" s="157"/>
      <c r="B938" s="161"/>
      <c r="C938" s="193"/>
      <c r="D938" s="161"/>
      <c r="E938" s="193"/>
      <c r="F938" s="161"/>
      <c r="G938" s="161"/>
      <c r="H938" s="161"/>
      <c r="I938" s="161"/>
      <c r="J938" s="157"/>
      <c r="K938" s="161"/>
      <c r="L938" s="161"/>
      <c r="M938" s="161"/>
      <c r="N938" s="161"/>
      <c r="O938" s="161"/>
      <c r="P938" s="161"/>
      <c r="Q938" s="161"/>
      <c r="R938" s="161"/>
      <c r="S938" s="161"/>
      <c r="T938" s="161"/>
      <c r="U938" s="161"/>
      <c r="V938" s="161"/>
    </row>
    <row r="939">
      <c r="A939" s="157"/>
      <c r="B939" s="161"/>
      <c r="C939" s="193"/>
      <c r="D939" s="161"/>
      <c r="E939" s="193"/>
      <c r="F939" s="161"/>
      <c r="G939" s="161"/>
      <c r="H939" s="161"/>
      <c r="I939" s="161"/>
      <c r="J939" s="157"/>
      <c r="K939" s="161"/>
      <c r="L939" s="161"/>
      <c r="M939" s="161"/>
      <c r="N939" s="161"/>
      <c r="O939" s="161"/>
      <c r="P939" s="161"/>
      <c r="Q939" s="161"/>
      <c r="R939" s="161"/>
      <c r="S939" s="161"/>
      <c r="T939" s="161"/>
      <c r="U939" s="161"/>
      <c r="V939" s="161"/>
    </row>
    <row r="940">
      <c r="A940" s="157"/>
      <c r="B940" s="161"/>
      <c r="C940" s="193"/>
      <c r="D940" s="161"/>
      <c r="E940" s="193"/>
      <c r="F940" s="161"/>
      <c r="G940" s="161"/>
      <c r="H940" s="161"/>
      <c r="I940" s="161"/>
      <c r="J940" s="157"/>
      <c r="K940" s="161"/>
      <c r="L940" s="161"/>
      <c r="M940" s="161"/>
      <c r="N940" s="161"/>
      <c r="O940" s="161"/>
      <c r="P940" s="161"/>
      <c r="Q940" s="161"/>
      <c r="R940" s="161"/>
      <c r="S940" s="161"/>
      <c r="T940" s="161"/>
      <c r="U940" s="161"/>
      <c r="V940" s="161"/>
    </row>
    <row r="941">
      <c r="A941" s="157"/>
      <c r="B941" s="161"/>
      <c r="C941" s="193"/>
      <c r="D941" s="161"/>
      <c r="E941" s="193"/>
      <c r="F941" s="161"/>
      <c r="G941" s="161"/>
      <c r="H941" s="161"/>
      <c r="I941" s="161"/>
      <c r="J941" s="157"/>
      <c r="K941" s="161"/>
      <c r="L941" s="161"/>
      <c r="M941" s="161"/>
      <c r="N941" s="161"/>
      <c r="O941" s="161"/>
      <c r="P941" s="161"/>
      <c r="Q941" s="161"/>
      <c r="R941" s="161"/>
      <c r="S941" s="161"/>
      <c r="T941" s="161"/>
      <c r="U941" s="161"/>
      <c r="V941" s="161"/>
    </row>
    <row r="942">
      <c r="A942" s="157"/>
      <c r="B942" s="161"/>
      <c r="C942" s="193"/>
      <c r="D942" s="161"/>
      <c r="E942" s="193"/>
      <c r="F942" s="161"/>
      <c r="G942" s="161"/>
      <c r="H942" s="161"/>
      <c r="I942" s="161"/>
      <c r="J942" s="157"/>
      <c r="K942" s="161"/>
      <c r="L942" s="161"/>
      <c r="M942" s="161"/>
      <c r="N942" s="161"/>
      <c r="O942" s="161"/>
      <c r="P942" s="161"/>
      <c r="Q942" s="161"/>
      <c r="R942" s="161"/>
      <c r="S942" s="161"/>
      <c r="T942" s="161"/>
      <c r="U942" s="161"/>
      <c r="V942" s="161"/>
    </row>
    <row r="943">
      <c r="A943" s="157"/>
      <c r="B943" s="161"/>
      <c r="C943" s="193"/>
      <c r="D943" s="161"/>
      <c r="E943" s="193"/>
      <c r="F943" s="161"/>
      <c r="G943" s="161"/>
      <c r="H943" s="161"/>
      <c r="I943" s="161"/>
      <c r="J943" s="157"/>
      <c r="K943" s="161"/>
      <c r="L943" s="161"/>
      <c r="M943" s="161"/>
      <c r="N943" s="161"/>
      <c r="O943" s="161"/>
      <c r="P943" s="161"/>
      <c r="Q943" s="161"/>
      <c r="R943" s="161"/>
      <c r="S943" s="161"/>
      <c r="T943" s="161"/>
      <c r="U943" s="161"/>
      <c r="V943" s="161"/>
    </row>
    <row r="944">
      <c r="A944" s="157"/>
      <c r="B944" s="161"/>
      <c r="C944" s="193"/>
      <c r="D944" s="161"/>
      <c r="E944" s="193"/>
      <c r="F944" s="161"/>
      <c r="G944" s="161"/>
      <c r="H944" s="161"/>
      <c r="I944" s="161"/>
      <c r="J944" s="157"/>
      <c r="K944" s="161"/>
      <c r="L944" s="161"/>
      <c r="M944" s="161"/>
      <c r="N944" s="161"/>
      <c r="O944" s="161"/>
      <c r="P944" s="161"/>
      <c r="Q944" s="161"/>
      <c r="R944" s="161"/>
      <c r="S944" s="161"/>
      <c r="T944" s="161"/>
      <c r="U944" s="161"/>
      <c r="V944" s="161"/>
    </row>
    <row r="945">
      <c r="A945" s="157"/>
      <c r="B945" s="161"/>
      <c r="C945" s="193"/>
      <c r="D945" s="161"/>
      <c r="E945" s="193"/>
      <c r="F945" s="161"/>
      <c r="G945" s="161"/>
      <c r="H945" s="161"/>
      <c r="I945" s="161"/>
      <c r="J945" s="157"/>
      <c r="K945" s="161"/>
      <c r="L945" s="161"/>
      <c r="M945" s="161"/>
      <c r="N945" s="161"/>
      <c r="O945" s="161"/>
      <c r="P945" s="161"/>
      <c r="Q945" s="161"/>
      <c r="R945" s="161"/>
      <c r="S945" s="161"/>
      <c r="T945" s="161"/>
      <c r="U945" s="161"/>
      <c r="V945" s="161"/>
    </row>
    <row r="946">
      <c r="A946" s="157"/>
      <c r="B946" s="161"/>
      <c r="C946" s="193"/>
      <c r="D946" s="161"/>
      <c r="E946" s="193"/>
      <c r="F946" s="161"/>
      <c r="G946" s="161"/>
      <c r="H946" s="161"/>
      <c r="I946" s="161"/>
      <c r="J946" s="157"/>
      <c r="K946" s="161"/>
      <c r="L946" s="161"/>
      <c r="M946" s="161"/>
      <c r="N946" s="161"/>
      <c r="O946" s="161"/>
      <c r="P946" s="161"/>
      <c r="Q946" s="161"/>
      <c r="R946" s="161"/>
      <c r="S946" s="161"/>
      <c r="T946" s="161"/>
      <c r="U946" s="161"/>
      <c r="V946" s="161"/>
    </row>
    <row r="947">
      <c r="A947" s="157"/>
      <c r="B947" s="161"/>
      <c r="C947" s="193"/>
      <c r="D947" s="161"/>
      <c r="E947" s="193"/>
      <c r="F947" s="161"/>
      <c r="G947" s="161"/>
      <c r="H947" s="161"/>
      <c r="I947" s="161"/>
      <c r="J947" s="157"/>
      <c r="K947" s="161"/>
      <c r="L947" s="161"/>
      <c r="M947" s="161"/>
      <c r="N947" s="161"/>
      <c r="O947" s="161"/>
      <c r="P947" s="161"/>
      <c r="Q947" s="161"/>
      <c r="R947" s="161"/>
      <c r="S947" s="161"/>
      <c r="T947" s="161"/>
      <c r="U947" s="161"/>
      <c r="V947" s="161"/>
    </row>
    <row r="948">
      <c r="A948" s="157"/>
      <c r="B948" s="161"/>
      <c r="C948" s="193"/>
      <c r="D948" s="161"/>
      <c r="E948" s="193"/>
      <c r="F948" s="161"/>
      <c r="G948" s="161"/>
      <c r="H948" s="161"/>
      <c r="I948" s="161"/>
      <c r="J948" s="157"/>
      <c r="K948" s="161"/>
      <c r="L948" s="161"/>
      <c r="M948" s="161"/>
      <c r="N948" s="161"/>
      <c r="O948" s="161"/>
      <c r="P948" s="161"/>
      <c r="Q948" s="161"/>
      <c r="R948" s="161"/>
      <c r="S948" s="161"/>
      <c r="T948" s="161"/>
      <c r="U948" s="161"/>
      <c r="V948" s="161"/>
    </row>
    <row r="949">
      <c r="A949" s="157"/>
      <c r="B949" s="161"/>
      <c r="C949" s="193"/>
      <c r="D949" s="161"/>
      <c r="E949" s="193"/>
      <c r="F949" s="161"/>
      <c r="G949" s="161"/>
      <c r="H949" s="161"/>
      <c r="I949" s="161"/>
      <c r="J949" s="157"/>
      <c r="K949" s="161"/>
      <c r="L949" s="161"/>
      <c r="M949" s="161"/>
      <c r="N949" s="161"/>
      <c r="O949" s="161"/>
      <c r="P949" s="161"/>
      <c r="Q949" s="161"/>
      <c r="R949" s="161"/>
      <c r="S949" s="161"/>
      <c r="T949" s="161"/>
      <c r="U949" s="161"/>
      <c r="V949" s="161"/>
    </row>
    <row r="950">
      <c r="A950" s="157"/>
      <c r="B950" s="161"/>
      <c r="C950" s="193"/>
      <c r="D950" s="161"/>
      <c r="E950" s="193"/>
      <c r="F950" s="161"/>
      <c r="G950" s="161"/>
      <c r="H950" s="161"/>
      <c r="I950" s="161"/>
      <c r="J950" s="157"/>
      <c r="K950" s="161"/>
      <c r="L950" s="161"/>
      <c r="M950" s="161"/>
      <c r="N950" s="161"/>
      <c r="O950" s="161"/>
      <c r="P950" s="161"/>
      <c r="Q950" s="161"/>
      <c r="R950" s="161"/>
      <c r="S950" s="161"/>
      <c r="T950" s="161"/>
      <c r="U950" s="161"/>
      <c r="V950" s="161"/>
    </row>
    <row r="951">
      <c r="A951" s="157"/>
      <c r="B951" s="161"/>
      <c r="C951" s="193"/>
      <c r="D951" s="161"/>
      <c r="E951" s="193"/>
      <c r="F951" s="161"/>
      <c r="G951" s="161"/>
      <c r="H951" s="161"/>
      <c r="I951" s="161"/>
      <c r="J951" s="157"/>
      <c r="K951" s="161"/>
      <c r="L951" s="161"/>
      <c r="M951" s="161"/>
      <c r="N951" s="161"/>
      <c r="O951" s="161"/>
      <c r="P951" s="161"/>
      <c r="Q951" s="161"/>
      <c r="R951" s="161"/>
      <c r="S951" s="161"/>
      <c r="T951" s="161"/>
      <c r="U951" s="161"/>
      <c r="V951" s="161"/>
    </row>
    <row r="952">
      <c r="A952" s="157"/>
      <c r="B952" s="161"/>
      <c r="C952" s="193"/>
      <c r="D952" s="161"/>
      <c r="E952" s="193"/>
      <c r="F952" s="161"/>
      <c r="G952" s="161"/>
      <c r="H952" s="161"/>
      <c r="I952" s="161"/>
      <c r="J952" s="157"/>
      <c r="K952" s="161"/>
      <c r="L952" s="161"/>
      <c r="M952" s="161"/>
      <c r="N952" s="161"/>
      <c r="O952" s="161"/>
      <c r="P952" s="161"/>
      <c r="Q952" s="161"/>
      <c r="R952" s="161"/>
      <c r="S952" s="161"/>
      <c r="T952" s="161"/>
      <c r="U952" s="161"/>
      <c r="V952" s="161"/>
    </row>
    <row r="953">
      <c r="A953" s="157"/>
      <c r="B953" s="161"/>
      <c r="C953" s="193"/>
      <c r="D953" s="161"/>
      <c r="E953" s="193"/>
      <c r="F953" s="161"/>
      <c r="G953" s="161"/>
      <c r="H953" s="161"/>
      <c r="I953" s="161"/>
      <c r="J953" s="157"/>
      <c r="K953" s="161"/>
      <c r="L953" s="161"/>
      <c r="M953" s="161"/>
      <c r="N953" s="161"/>
      <c r="O953" s="161"/>
      <c r="P953" s="161"/>
      <c r="Q953" s="161"/>
      <c r="R953" s="161"/>
      <c r="S953" s="161"/>
      <c r="T953" s="161"/>
      <c r="U953" s="161"/>
      <c r="V953" s="161"/>
    </row>
    <row r="954">
      <c r="A954" s="157"/>
      <c r="B954" s="161"/>
      <c r="C954" s="193"/>
      <c r="D954" s="161"/>
      <c r="E954" s="193"/>
      <c r="F954" s="161"/>
      <c r="G954" s="161"/>
      <c r="H954" s="161"/>
      <c r="I954" s="161"/>
      <c r="J954" s="157"/>
      <c r="K954" s="161"/>
      <c r="L954" s="161"/>
      <c r="M954" s="161"/>
      <c r="N954" s="161"/>
      <c r="O954" s="161"/>
      <c r="P954" s="161"/>
      <c r="Q954" s="161"/>
      <c r="R954" s="161"/>
      <c r="S954" s="161"/>
      <c r="T954" s="161"/>
      <c r="U954" s="161"/>
      <c r="V954" s="161"/>
    </row>
    <row r="955">
      <c r="A955" s="157"/>
      <c r="B955" s="161"/>
      <c r="C955" s="193"/>
      <c r="D955" s="161"/>
      <c r="E955" s="193"/>
      <c r="F955" s="161"/>
      <c r="G955" s="161"/>
      <c r="H955" s="161"/>
      <c r="I955" s="161"/>
      <c r="J955" s="157"/>
      <c r="K955" s="161"/>
      <c r="L955" s="161"/>
      <c r="M955" s="161"/>
      <c r="N955" s="161"/>
      <c r="O955" s="161"/>
      <c r="P955" s="161"/>
      <c r="Q955" s="161"/>
      <c r="R955" s="161"/>
      <c r="S955" s="161"/>
      <c r="T955" s="161"/>
      <c r="U955" s="161"/>
      <c r="V955" s="161"/>
    </row>
    <row r="956">
      <c r="A956" s="157"/>
      <c r="B956" s="161"/>
      <c r="C956" s="193"/>
      <c r="D956" s="161"/>
      <c r="E956" s="193"/>
      <c r="F956" s="161"/>
      <c r="G956" s="161"/>
      <c r="H956" s="161"/>
      <c r="I956" s="161"/>
      <c r="J956" s="157"/>
      <c r="K956" s="161"/>
      <c r="L956" s="161"/>
      <c r="M956" s="161"/>
      <c r="N956" s="161"/>
      <c r="O956" s="161"/>
      <c r="P956" s="161"/>
      <c r="Q956" s="161"/>
      <c r="R956" s="161"/>
      <c r="S956" s="161"/>
      <c r="T956" s="161"/>
      <c r="U956" s="161"/>
      <c r="V956" s="161"/>
    </row>
    <row r="957">
      <c r="A957" s="157"/>
      <c r="B957" s="161"/>
      <c r="C957" s="193"/>
      <c r="D957" s="161"/>
      <c r="E957" s="193"/>
      <c r="F957" s="161"/>
      <c r="G957" s="161"/>
      <c r="H957" s="161"/>
      <c r="I957" s="161"/>
      <c r="J957" s="157"/>
      <c r="K957" s="161"/>
      <c r="L957" s="161"/>
      <c r="M957" s="161"/>
      <c r="N957" s="161"/>
      <c r="O957" s="161"/>
      <c r="P957" s="161"/>
      <c r="Q957" s="161"/>
      <c r="R957" s="161"/>
      <c r="S957" s="161"/>
      <c r="T957" s="161"/>
      <c r="U957" s="161"/>
      <c r="V957" s="161"/>
    </row>
    <row r="958">
      <c r="A958" s="157"/>
      <c r="B958" s="161"/>
      <c r="C958" s="193"/>
      <c r="D958" s="161"/>
      <c r="E958" s="193"/>
      <c r="F958" s="161"/>
      <c r="G958" s="161"/>
      <c r="H958" s="161"/>
      <c r="I958" s="161"/>
      <c r="J958" s="157"/>
      <c r="K958" s="161"/>
      <c r="L958" s="161"/>
      <c r="M958" s="161"/>
      <c r="N958" s="161"/>
      <c r="O958" s="161"/>
      <c r="P958" s="161"/>
      <c r="Q958" s="161"/>
      <c r="R958" s="161"/>
      <c r="S958" s="161"/>
      <c r="T958" s="161"/>
      <c r="U958" s="161"/>
      <c r="V958" s="161"/>
    </row>
    <row r="959">
      <c r="A959" s="157"/>
      <c r="B959" s="161"/>
      <c r="C959" s="193"/>
      <c r="D959" s="161"/>
      <c r="E959" s="193"/>
      <c r="F959" s="161"/>
      <c r="G959" s="161"/>
      <c r="H959" s="161"/>
      <c r="I959" s="161"/>
      <c r="J959" s="157"/>
      <c r="K959" s="161"/>
      <c r="L959" s="161"/>
      <c r="M959" s="161"/>
      <c r="N959" s="161"/>
      <c r="O959" s="161"/>
      <c r="P959" s="161"/>
      <c r="Q959" s="161"/>
      <c r="R959" s="161"/>
      <c r="S959" s="161"/>
      <c r="T959" s="161"/>
      <c r="U959" s="161"/>
      <c r="V959" s="161"/>
    </row>
    <row r="960">
      <c r="A960" s="157"/>
      <c r="B960" s="161"/>
      <c r="C960" s="193"/>
      <c r="D960" s="161"/>
      <c r="E960" s="193"/>
      <c r="F960" s="161"/>
      <c r="G960" s="161"/>
      <c r="H960" s="161"/>
      <c r="I960" s="161"/>
      <c r="J960" s="157"/>
      <c r="K960" s="161"/>
      <c r="L960" s="161"/>
      <c r="M960" s="161"/>
      <c r="N960" s="161"/>
      <c r="O960" s="161"/>
      <c r="P960" s="161"/>
      <c r="Q960" s="161"/>
      <c r="R960" s="161"/>
      <c r="S960" s="161"/>
      <c r="T960" s="161"/>
      <c r="U960" s="161"/>
      <c r="V960" s="161"/>
    </row>
    <row r="961">
      <c r="A961" s="157"/>
      <c r="B961" s="161"/>
      <c r="C961" s="193"/>
      <c r="D961" s="161"/>
      <c r="E961" s="193"/>
      <c r="F961" s="161"/>
      <c r="G961" s="161"/>
      <c r="H961" s="161"/>
      <c r="I961" s="161"/>
      <c r="J961" s="157"/>
      <c r="K961" s="161"/>
      <c r="L961" s="161"/>
      <c r="M961" s="161"/>
      <c r="N961" s="161"/>
      <c r="O961" s="161"/>
      <c r="P961" s="161"/>
      <c r="Q961" s="161"/>
      <c r="R961" s="161"/>
      <c r="S961" s="161"/>
      <c r="T961" s="161"/>
      <c r="U961" s="161"/>
      <c r="V961" s="161"/>
    </row>
    <row r="962">
      <c r="A962" s="157"/>
      <c r="B962" s="161"/>
      <c r="C962" s="193"/>
      <c r="D962" s="161"/>
      <c r="E962" s="193"/>
      <c r="F962" s="161"/>
      <c r="G962" s="161"/>
      <c r="H962" s="161"/>
      <c r="I962" s="161"/>
      <c r="J962" s="157"/>
      <c r="K962" s="161"/>
      <c r="L962" s="161"/>
      <c r="M962" s="161"/>
      <c r="N962" s="161"/>
      <c r="O962" s="161"/>
      <c r="P962" s="161"/>
      <c r="Q962" s="161"/>
      <c r="R962" s="161"/>
      <c r="S962" s="161"/>
      <c r="T962" s="161"/>
      <c r="U962" s="161"/>
      <c r="V962" s="161"/>
    </row>
    <row r="963">
      <c r="A963" s="157"/>
      <c r="B963" s="161"/>
      <c r="C963" s="193"/>
      <c r="D963" s="161"/>
      <c r="E963" s="193"/>
      <c r="F963" s="161"/>
      <c r="G963" s="161"/>
      <c r="H963" s="161"/>
      <c r="I963" s="161"/>
      <c r="J963" s="157"/>
      <c r="K963" s="161"/>
      <c r="L963" s="161"/>
      <c r="M963" s="161"/>
      <c r="N963" s="161"/>
      <c r="O963" s="161"/>
      <c r="P963" s="161"/>
      <c r="Q963" s="161"/>
      <c r="R963" s="161"/>
      <c r="S963" s="161"/>
      <c r="T963" s="161"/>
      <c r="U963" s="161"/>
      <c r="V963" s="161"/>
    </row>
    <row r="964">
      <c r="A964" s="157"/>
      <c r="B964" s="161"/>
      <c r="C964" s="193"/>
      <c r="D964" s="161"/>
      <c r="E964" s="193"/>
      <c r="F964" s="161"/>
      <c r="G964" s="161"/>
      <c r="H964" s="161"/>
      <c r="I964" s="161"/>
      <c r="J964" s="157"/>
      <c r="K964" s="161"/>
      <c r="L964" s="161"/>
      <c r="M964" s="161"/>
      <c r="N964" s="161"/>
      <c r="O964" s="161"/>
      <c r="P964" s="161"/>
      <c r="Q964" s="161"/>
      <c r="R964" s="161"/>
      <c r="S964" s="161"/>
      <c r="T964" s="161"/>
      <c r="U964" s="161"/>
      <c r="V964" s="161"/>
    </row>
    <row r="965">
      <c r="A965" s="157"/>
      <c r="B965" s="161"/>
      <c r="C965" s="193"/>
      <c r="D965" s="161"/>
      <c r="E965" s="193"/>
      <c r="F965" s="161"/>
      <c r="G965" s="161"/>
      <c r="H965" s="161"/>
      <c r="I965" s="161"/>
      <c r="J965" s="157"/>
      <c r="K965" s="161"/>
      <c r="L965" s="161"/>
      <c r="M965" s="161"/>
      <c r="N965" s="161"/>
      <c r="O965" s="161"/>
      <c r="P965" s="161"/>
      <c r="Q965" s="161"/>
      <c r="R965" s="161"/>
      <c r="S965" s="161"/>
      <c r="T965" s="161"/>
      <c r="U965" s="161"/>
      <c r="V965" s="161"/>
    </row>
    <row r="966">
      <c r="A966" s="157"/>
      <c r="B966" s="161"/>
      <c r="C966" s="193"/>
      <c r="D966" s="161"/>
      <c r="E966" s="193"/>
      <c r="F966" s="161"/>
      <c r="G966" s="161"/>
      <c r="H966" s="161"/>
      <c r="I966" s="161"/>
      <c r="J966" s="157"/>
      <c r="K966" s="161"/>
      <c r="L966" s="161"/>
      <c r="M966" s="161"/>
      <c r="N966" s="161"/>
      <c r="O966" s="161"/>
      <c r="P966" s="161"/>
      <c r="Q966" s="161"/>
      <c r="R966" s="161"/>
      <c r="S966" s="161"/>
      <c r="T966" s="161"/>
      <c r="U966" s="161"/>
      <c r="V966" s="161"/>
    </row>
    <row r="967">
      <c r="A967" s="157"/>
      <c r="B967" s="161"/>
      <c r="C967" s="193"/>
      <c r="D967" s="161"/>
      <c r="E967" s="193"/>
      <c r="F967" s="161"/>
      <c r="G967" s="161"/>
      <c r="H967" s="161"/>
      <c r="I967" s="161"/>
      <c r="J967" s="157"/>
      <c r="K967" s="161"/>
      <c r="L967" s="161"/>
      <c r="M967" s="161"/>
      <c r="N967" s="161"/>
      <c r="O967" s="161"/>
      <c r="P967" s="161"/>
      <c r="Q967" s="161"/>
      <c r="R967" s="161"/>
      <c r="S967" s="161"/>
      <c r="T967" s="161"/>
      <c r="U967" s="161"/>
      <c r="V967" s="161"/>
    </row>
    <row r="968">
      <c r="A968" s="157"/>
      <c r="B968" s="161"/>
      <c r="C968" s="193"/>
      <c r="D968" s="161"/>
      <c r="E968" s="193"/>
      <c r="F968" s="161"/>
      <c r="G968" s="161"/>
      <c r="H968" s="161"/>
      <c r="I968" s="161"/>
      <c r="J968" s="157"/>
      <c r="K968" s="161"/>
      <c r="L968" s="161"/>
      <c r="M968" s="161"/>
      <c r="N968" s="161"/>
      <c r="O968" s="161"/>
      <c r="P968" s="161"/>
      <c r="Q968" s="161"/>
      <c r="R968" s="161"/>
      <c r="S968" s="161"/>
      <c r="T968" s="161"/>
      <c r="U968" s="161"/>
      <c r="V968" s="161"/>
    </row>
    <row r="969">
      <c r="A969" s="157"/>
      <c r="B969" s="161"/>
      <c r="C969" s="193"/>
      <c r="D969" s="161"/>
      <c r="E969" s="193"/>
      <c r="F969" s="161"/>
      <c r="G969" s="161"/>
      <c r="H969" s="161"/>
      <c r="I969" s="161"/>
      <c r="J969" s="157"/>
      <c r="K969" s="161"/>
      <c r="L969" s="161"/>
      <c r="M969" s="161"/>
      <c r="N969" s="161"/>
      <c r="O969" s="161"/>
      <c r="P969" s="161"/>
      <c r="Q969" s="161"/>
      <c r="R969" s="161"/>
      <c r="S969" s="161"/>
      <c r="T969" s="161"/>
      <c r="U969" s="161"/>
      <c r="V969" s="161"/>
    </row>
    <row r="970">
      <c r="A970" s="157"/>
      <c r="B970" s="161"/>
      <c r="C970" s="193"/>
      <c r="D970" s="161"/>
      <c r="E970" s="193"/>
      <c r="F970" s="161"/>
      <c r="G970" s="161"/>
      <c r="H970" s="161"/>
      <c r="I970" s="161"/>
      <c r="J970" s="157"/>
      <c r="K970" s="161"/>
      <c r="L970" s="161"/>
      <c r="M970" s="161"/>
      <c r="N970" s="161"/>
      <c r="O970" s="161"/>
      <c r="P970" s="161"/>
      <c r="Q970" s="161"/>
      <c r="R970" s="161"/>
      <c r="S970" s="161"/>
      <c r="T970" s="161"/>
      <c r="U970" s="161"/>
      <c r="V970" s="161"/>
    </row>
    <row r="971">
      <c r="A971" s="157"/>
      <c r="B971" s="161"/>
      <c r="C971" s="193"/>
      <c r="D971" s="161"/>
      <c r="E971" s="193"/>
      <c r="F971" s="161"/>
      <c r="G971" s="161"/>
      <c r="H971" s="161"/>
      <c r="I971" s="161"/>
      <c r="J971" s="157"/>
      <c r="K971" s="161"/>
      <c r="L971" s="161"/>
      <c r="M971" s="161"/>
      <c r="N971" s="161"/>
      <c r="O971" s="161"/>
      <c r="P971" s="161"/>
      <c r="Q971" s="161"/>
      <c r="R971" s="161"/>
      <c r="S971" s="161"/>
      <c r="T971" s="161"/>
      <c r="U971" s="161"/>
      <c r="V971" s="161"/>
    </row>
    <row r="972">
      <c r="A972" s="157"/>
      <c r="B972" s="161"/>
      <c r="C972" s="193"/>
      <c r="D972" s="161"/>
      <c r="E972" s="193"/>
      <c r="F972" s="161"/>
      <c r="G972" s="161"/>
      <c r="H972" s="161"/>
      <c r="I972" s="161"/>
      <c r="J972" s="157"/>
      <c r="K972" s="161"/>
      <c r="L972" s="161"/>
      <c r="M972" s="161"/>
      <c r="N972" s="161"/>
      <c r="O972" s="161"/>
      <c r="P972" s="161"/>
      <c r="Q972" s="161"/>
      <c r="R972" s="161"/>
      <c r="S972" s="161"/>
      <c r="T972" s="161"/>
      <c r="U972" s="161"/>
      <c r="V972" s="161"/>
    </row>
    <row r="973">
      <c r="A973" s="157"/>
      <c r="B973" s="161"/>
      <c r="C973" s="193"/>
      <c r="D973" s="161"/>
      <c r="E973" s="193"/>
      <c r="F973" s="161"/>
      <c r="G973" s="161"/>
      <c r="H973" s="161"/>
      <c r="I973" s="161"/>
      <c r="J973" s="157"/>
      <c r="K973" s="161"/>
      <c r="L973" s="161"/>
      <c r="M973" s="161"/>
      <c r="N973" s="161"/>
      <c r="O973" s="161"/>
      <c r="P973" s="161"/>
      <c r="Q973" s="161"/>
      <c r="R973" s="161"/>
      <c r="S973" s="161"/>
      <c r="T973" s="161"/>
      <c r="U973" s="161"/>
      <c r="V973" s="161"/>
    </row>
    <row r="974">
      <c r="A974" s="157"/>
      <c r="B974" s="161"/>
      <c r="C974" s="193"/>
      <c r="D974" s="161"/>
      <c r="E974" s="193"/>
      <c r="F974" s="161"/>
      <c r="G974" s="161"/>
      <c r="H974" s="161"/>
      <c r="I974" s="161"/>
      <c r="J974" s="157"/>
      <c r="K974" s="161"/>
      <c r="L974" s="161"/>
      <c r="M974" s="161"/>
      <c r="N974" s="161"/>
      <c r="O974" s="161"/>
      <c r="P974" s="161"/>
      <c r="Q974" s="161"/>
      <c r="R974" s="161"/>
      <c r="S974" s="161"/>
      <c r="T974" s="161"/>
      <c r="U974" s="161"/>
      <c r="V974" s="161"/>
    </row>
    <row r="975">
      <c r="A975" s="157"/>
      <c r="B975" s="161"/>
      <c r="C975" s="193"/>
      <c r="D975" s="161"/>
      <c r="E975" s="193"/>
      <c r="F975" s="161"/>
      <c r="G975" s="161"/>
      <c r="H975" s="161"/>
      <c r="I975" s="161"/>
      <c r="J975" s="157"/>
      <c r="K975" s="161"/>
      <c r="L975" s="161"/>
      <c r="M975" s="161"/>
      <c r="N975" s="161"/>
      <c r="O975" s="161"/>
      <c r="P975" s="161"/>
      <c r="Q975" s="161"/>
      <c r="R975" s="161"/>
      <c r="S975" s="161"/>
      <c r="T975" s="161"/>
      <c r="U975" s="161"/>
      <c r="V975" s="161"/>
    </row>
    <row r="976">
      <c r="A976" s="157"/>
      <c r="B976" s="161"/>
      <c r="C976" s="193"/>
      <c r="D976" s="161"/>
      <c r="E976" s="193"/>
      <c r="F976" s="161"/>
      <c r="G976" s="161"/>
      <c r="H976" s="161"/>
      <c r="I976" s="161"/>
      <c r="J976" s="157"/>
      <c r="K976" s="161"/>
      <c r="L976" s="161"/>
      <c r="M976" s="161"/>
      <c r="N976" s="161"/>
      <c r="O976" s="161"/>
      <c r="P976" s="161"/>
      <c r="Q976" s="161"/>
      <c r="R976" s="161"/>
      <c r="S976" s="161"/>
      <c r="T976" s="161"/>
      <c r="U976" s="161"/>
      <c r="V976" s="161"/>
    </row>
    <row r="977">
      <c r="A977" s="157"/>
      <c r="B977" s="161"/>
      <c r="C977" s="193"/>
      <c r="D977" s="161"/>
      <c r="E977" s="193"/>
      <c r="F977" s="161"/>
      <c r="G977" s="161"/>
      <c r="H977" s="161"/>
      <c r="I977" s="161"/>
      <c r="J977" s="157"/>
      <c r="K977" s="161"/>
      <c r="L977" s="161"/>
      <c r="M977" s="161"/>
      <c r="N977" s="161"/>
      <c r="O977" s="161"/>
      <c r="P977" s="161"/>
      <c r="Q977" s="161"/>
      <c r="R977" s="161"/>
      <c r="S977" s="161"/>
      <c r="T977" s="161"/>
      <c r="U977" s="161"/>
      <c r="V977" s="161"/>
    </row>
    <row r="978">
      <c r="A978" s="157"/>
      <c r="B978" s="161"/>
      <c r="C978" s="193"/>
      <c r="D978" s="161"/>
      <c r="E978" s="193"/>
      <c r="F978" s="161"/>
      <c r="G978" s="161"/>
      <c r="H978" s="161"/>
      <c r="I978" s="161"/>
      <c r="J978" s="157"/>
      <c r="K978" s="161"/>
      <c r="L978" s="161"/>
      <c r="M978" s="161"/>
      <c r="N978" s="161"/>
      <c r="O978" s="161"/>
      <c r="P978" s="161"/>
      <c r="Q978" s="161"/>
      <c r="R978" s="161"/>
      <c r="S978" s="161"/>
      <c r="T978" s="161"/>
      <c r="U978" s="161"/>
      <c r="V978" s="161"/>
    </row>
    <row r="979">
      <c r="A979" s="157"/>
      <c r="B979" s="161"/>
      <c r="C979" s="193"/>
      <c r="D979" s="161"/>
      <c r="E979" s="193"/>
      <c r="F979" s="161"/>
      <c r="G979" s="161"/>
      <c r="H979" s="161"/>
      <c r="I979" s="161"/>
      <c r="J979" s="157"/>
      <c r="K979" s="161"/>
      <c r="L979" s="161"/>
      <c r="M979" s="161"/>
      <c r="N979" s="161"/>
      <c r="O979" s="161"/>
      <c r="P979" s="161"/>
      <c r="Q979" s="161"/>
      <c r="R979" s="161"/>
      <c r="S979" s="161"/>
      <c r="T979" s="161"/>
      <c r="U979" s="161"/>
      <c r="V979" s="161"/>
    </row>
    <row r="980">
      <c r="A980" s="157"/>
      <c r="B980" s="161"/>
      <c r="C980" s="193"/>
      <c r="D980" s="161"/>
      <c r="E980" s="193"/>
      <c r="F980" s="161"/>
      <c r="G980" s="161"/>
      <c r="H980" s="161"/>
      <c r="I980" s="161"/>
      <c r="J980" s="157"/>
      <c r="K980" s="161"/>
      <c r="L980" s="161"/>
      <c r="M980" s="161"/>
      <c r="N980" s="161"/>
      <c r="O980" s="161"/>
      <c r="P980" s="161"/>
      <c r="Q980" s="161"/>
      <c r="R980" s="161"/>
      <c r="S980" s="161"/>
      <c r="T980" s="161"/>
      <c r="U980" s="161"/>
      <c r="V980" s="161"/>
    </row>
    <row r="981">
      <c r="A981" s="157"/>
      <c r="B981" s="161"/>
      <c r="C981" s="193"/>
      <c r="D981" s="161"/>
      <c r="E981" s="193"/>
      <c r="F981" s="161"/>
      <c r="G981" s="161"/>
      <c r="H981" s="161"/>
      <c r="I981" s="161"/>
      <c r="J981" s="157"/>
      <c r="K981" s="161"/>
      <c r="L981" s="161"/>
      <c r="M981" s="161"/>
      <c r="N981" s="161"/>
      <c r="O981" s="161"/>
      <c r="P981" s="161"/>
      <c r="Q981" s="161"/>
      <c r="R981" s="161"/>
      <c r="S981" s="161"/>
      <c r="T981" s="161"/>
      <c r="U981" s="161"/>
      <c r="V981" s="161"/>
    </row>
    <row r="982">
      <c r="A982" s="157"/>
      <c r="B982" s="161"/>
      <c r="C982" s="193"/>
      <c r="D982" s="161"/>
      <c r="E982" s="193"/>
      <c r="F982" s="161"/>
      <c r="G982" s="161"/>
      <c r="H982" s="161"/>
      <c r="I982" s="161"/>
      <c r="J982" s="157"/>
      <c r="K982" s="161"/>
      <c r="L982" s="161"/>
      <c r="M982" s="161"/>
      <c r="N982" s="161"/>
      <c r="O982" s="161"/>
      <c r="P982" s="161"/>
      <c r="Q982" s="161"/>
      <c r="R982" s="161"/>
      <c r="S982" s="161"/>
      <c r="T982" s="161"/>
      <c r="U982" s="161"/>
      <c r="V982" s="161"/>
    </row>
    <row r="983">
      <c r="A983" s="157"/>
      <c r="B983" s="161"/>
      <c r="C983" s="193"/>
      <c r="D983" s="161"/>
      <c r="E983" s="193"/>
      <c r="F983" s="161"/>
      <c r="G983" s="161"/>
      <c r="H983" s="161"/>
      <c r="I983" s="161"/>
      <c r="J983" s="157"/>
      <c r="K983" s="161"/>
      <c r="L983" s="161"/>
      <c r="M983" s="161"/>
      <c r="N983" s="161"/>
      <c r="O983" s="161"/>
      <c r="P983" s="161"/>
      <c r="Q983" s="161"/>
      <c r="R983" s="161"/>
      <c r="S983" s="161"/>
      <c r="T983" s="161"/>
      <c r="U983" s="161"/>
      <c r="V983" s="161"/>
    </row>
    <row r="984">
      <c r="A984" s="157"/>
      <c r="B984" s="161"/>
      <c r="C984" s="193"/>
      <c r="D984" s="161"/>
      <c r="E984" s="193"/>
      <c r="F984" s="161"/>
      <c r="G984" s="161"/>
      <c r="H984" s="161"/>
      <c r="I984" s="161"/>
      <c r="J984" s="157"/>
      <c r="K984" s="161"/>
      <c r="L984" s="161"/>
      <c r="M984" s="161"/>
      <c r="N984" s="161"/>
      <c r="O984" s="161"/>
      <c r="P984" s="161"/>
      <c r="Q984" s="161"/>
      <c r="R984" s="161"/>
      <c r="S984" s="161"/>
      <c r="T984" s="161"/>
      <c r="U984" s="161"/>
      <c r="V984" s="161"/>
    </row>
    <row r="985">
      <c r="A985" s="157"/>
      <c r="B985" s="161"/>
      <c r="C985" s="193"/>
      <c r="D985" s="161"/>
      <c r="E985" s="193"/>
      <c r="F985" s="161"/>
      <c r="G985" s="161"/>
      <c r="H985" s="161"/>
      <c r="I985" s="161"/>
      <c r="J985" s="157"/>
      <c r="K985" s="161"/>
      <c r="L985" s="161"/>
      <c r="M985" s="161"/>
      <c r="N985" s="161"/>
      <c r="O985" s="161"/>
      <c r="P985" s="161"/>
      <c r="Q985" s="161"/>
      <c r="R985" s="161"/>
      <c r="S985" s="161"/>
      <c r="T985" s="161"/>
      <c r="U985" s="161"/>
      <c r="V985" s="161"/>
    </row>
    <row r="986">
      <c r="A986" s="157"/>
      <c r="B986" s="161"/>
      <c r="C986" s="193"/>
      <c r="D986" s="161"/>
      <c r="E986" s="193"/>
      <c r="F986" s="161"/>
      <c r="G986" s="161"/>
      <c r="H986" s="161"/>
      <c r="I986" s="161"/>
      <c r="J986" s="157"/>
      <c r="K986" s="161"/>
      <c r="L986" s="161"/>
      <c r="M986" s="161"/>
      <c r="N986" s="161"/>
      <c r="O986" s="161"/>
      <c r="P986" s="161"/>
      <c r="Q986" s="161"/>
      <c r="R986" s="161"/>
      <c r="S986" s="161"/>
      <c r="T986" s="161"/>
      <c r="U986" s="161"/>
      <c r="V986" s="161"/>
    </row>
    <row r="987">
      <c r="A987" s="157"/>
      <c r="B987" s="161"/>
      <c r="C987" s="193"/>
      <c r="D987" s="161"/>
      <c r="E987" s="193"/>
      <c r="F987" s="161"/>
      <c r="G987" s="161"/>
      <c r="H987" s="161"/>
      <c r="I987" s="161"/>
      <c r="J987" s="157"/>
      <c r="K987" s="161"/>
      <c r="L987" s="161"/>
      <c r="M987" s="161"/>
      <c r="N987" s="161"/>
      <c r="O987" s="161"/>
      <c r="P987" s="161"/>
      <c r="Q987" s="161"/>
      <c r="R987" s="161"/>
      <c r="S987" s="161"/>
      <c r="T987" s="161"/>
      <c r="U987" s="161"/>
      <c r="V987" s="161"/>
    </row>
    <row r="988">
      <c r="A988" s="157"/>
      <c r="B988" s="161"/>
      <c r="C988" s="193"/>
      <c r="D988" s="161"/>
      <c r="E988" s="193"/>
      <c r="F988" s="161"/>
      <c r="G988" s="161"/>
      <c r="H988" s="161"/>
      <c r="I988" s="161"/>
      <c r="J988" s="157"/>
      <c r="K988" s="161"/>
      <c r="L988" s="161"/>
      <c r="M988" s="161"/>
      <c r="N988" s="161"/>
      <c r="O988" s="161"/>
      <c r="P988" s="161"/>
      <c r="Q988" s="161"/>
      <c r="R988" s="161"/>
      <c r="S988" s="161"/>
      <c r="T988" s="161"/>
      <c r="U988" s="161"/>
      <c r="V988" s="161"/>
    </row>
    <row r="989">
      <c r="A989" s="157"/>
      <c r="B989" s="161"/>
      <c r="C989" s="193"/>
      <c r="D989" s="161"/>
      <c r="E989" s="193"/>
      <c r="F989" s="161"/>
      <c r="G989" s="161"/>
      <c r="H989" s="161"/>
      <c r="I989" s="161"/>
      <c r="J989" s="157"/>
      <c r="K989" s="161"/>
      <c r="L989" s="161"/>
      <c r="M989" s="161"/>
      <c r="N989" s="161"/>
      <c r="O989" s="161"/>
      <c r="P989" s="161"/>
      <c r="Q989" s="161"/>
      <c r="R989" s="161"/>
      <c r="S989" s="161"/>
      <c r="T989" s="161"/>
      <c r="U989" s="161"/>
      <c r="V989" s="161"/>
    </row>
    <row r="990">
      <c r="A990" s="157"/>
      <c r="B990" s="161"/>
      <c r="C990" s="193"/>
      <c r="D990" s="161"/>
      <c r="E990" s="193"/>
      <c r="F990" s="161"/>
      <c r="G990" s="161"/>
      <c r="H990" s="161"/>
      <c r="I990" s="161"/>
      <c r="J990" s="157"/>
      <c r="K990" s="161"/>
      <c r="L990" s="161"/>
      <c r="M990" s="161"/>
      <c r="N990" s="161"/>
      <c r="O990" s="161"/>
      <c r="P990" s="161"/>
      <c r="Q990" s="161"/>
      <c r="R990" s="161"/>
      <c r="S990" s="161"/>
      <c r="T990" s="161"/>
      <c r="U990" s="161"/>
      <c r="V990" s="161"/>
    </row>
    <row r="991">
      <c r="A991" s="157"/>
      <c r="B991" s="161"/>
      <c r="C991" s="193"/>
      <c r="D991" s="161"/>
      <c r="E991" s="193"/>
      <c r="F991" s="161"/>
      <c r="G991" s="161"/>
      <c r="H991" s="161"/>
      <c r="I991" s="161"/>
      <c r="J991" s="157"/>
      <c r="K991" s="161"/>
      <c r="L991" s="161"/>
      <c r="M991" s="161"/>
      <c r="N991" s="161"/>
      <c r="O991" s="161"/>
      <c r="P991" s="161"/>
      <c r="Q991" s="161"/>
      <c r="R991" s="161"/>
      <c r="S991" s="161"/>
      <c r="T991" s="161"/>
      <c r="U991" s="161"/>
      <c r="V991" s="161"/>
    </row>
    <row r="992">
      <c r="A992" s="157"/>
      <c r="B992" s="161"/>
      <c r="C992" s="193"/>
      <c r="D992" s="161"/>
      <c r="E992" s="193"/>
      <c r="F992" s="161"/>
      <c r="G992" s="161"/>
      <c r="H992" s="161"/>
      <c r="I992" s="161"/>
      <c r="J992" s="157"/>
      <c r="K992" s="161"/>
      <c r="L992" s="161"/>
      <c r="M992" s="161"/>
      <c r="N992" s="161"/>
      <c r="O992" s="161"/>
      <c r="P992" s="161"/>
      <c r="Q992" s="161"/>
      <c r="R992" s="161"/>
      <c r="S992" s="161"/>
      <c r="T992" s="161"/>
      <c r="U992" s="161"/>
      <c r="V992" s="161"/>
    </row>
  </sheetData>
  <conditionalFormatting sqref="L2 K4:Q6 K12:Q15">
    <cfRule type="containsText" dxfId="20" priority="1" operator="containsText" text="Completed">
      <formula>NOT(ISERROR(SEARCH(("Completed"),(L2))))</formula>
    </cfRule>
  </conditionalFormatting>
  <conditionalFormatting sqref="L2 K4:Q6 K12:Q15">
    <cfRule type="containsText" dxfId="21" priority="2" operator="containsText" text="Pending">
      <formula>NOT(ISERROR(SEARCH(("Pending"),(L2))))</formula>
    </cfRule>
  </conditionalFormatting>
  <conditionalFormatting sqref="A1:A992 J1:J992 K1:K15 M1:Q15 R1:R21 L2:L10 B3:I3 S3:V3 L12:L15">
    <cfRule type="containsText" dxfId="22" priority="3" operator="containsText" text="Linkedin">
      <formula>NOT(ISERROR(SEARCH(("Linkedin"),(A1))))</formula>
    </cfRule>
  </conditionalFormatting>
  <conditionalFormatting sqref="A1:A992 J1:J992 K1:K15 M1:Q15 R1:R21 L2:L10 B3:I3 S3:V3 L12:L15">
    <cfRule type="containsText" dxfId="23" priority="4" operator="containsText" text="Tweet">
      <formula>NOT(ISERROR(SEARCH(("Tweet"),(A1))))</formula>
    </cfRule>
  </conditionalFormatting>
  <conditionalFormatting sqref="K6:Q10 K12:Q15">
    <cfRule type="containsText" dxfId="24" priority="5" operator="containsText" text="Shorts">
      <formula>NOT(ISERROR(SEARCH(("Shorts"),(K6))))</formula>
    </cfRule>
  </conditionalFormatting>
  <conditionalFormatting sqref="K6:Q10 K12:Q15">
    <cfRule type="containsText" dxfId="25" priority="6" operator="containsText" text="Video">
      <formula>NOT(ISERROR(SEARCH(("Video"),(K6))))</formula>
    </cfRule>
  </conditionalFormatting>
  <conditionalFormatting sqref="K6:Q10 K12:Q15">
    <cfRule type="containsText" dxfId="26" priority="7" operator="containsText" text="Insta">
      <formula>NOT(ISERROR(SEARCH(("Insta"),(K6))))</formula>
    </cfRule>
  </conditionalFormatting>
  <conditionalFormatting sqref="K6:Q10 K12:Q15">
    <cfRule type="containsText" dxfId="27" priority="8" operator="containsText" text="Nvidia Project">
      <formula>NOT(ISERROR(SEARCH(("Nvidia Project"),(K6))))</formula>
    </cfRule>
  </conditionalFormatting>
  <conditionalFormatting sqref="K6:Q10 K12:Q15">
    <cfRule type="containsText" dxfId="28" priority="9" operator="containsText" text="Blog">
      <formula>NOT(ISERROR(SEARCH(("Blog"),(K6))))</formula>
    </cfRule>
  </conditionalFormatting>
  <conditionalFormatting sqref="K6:Q10 K12:Q15">
    <cfRule type="containsText" dxfId="29" priority="10" operator="containsText" text="Story">
      <formula>NOT(ISERROR(SEARCH(("Story"),(K6))))</formula>
    </cfRule>
  </conditionalFormatting>
  <conditionalFormatting sqref="G5:G24">
    <cfRule type="containsText" dxfId="30" priority="11" operator="containsText" text="Working On it">
      <formula>NOT(ISERROR(SEARCH(("Working On it"),(G5))))</formula>
    </cfRule>
  </conditionalFormatting>
  <conditionalFormatting sqref="G5:G24">
    <cfRule type="containsText" dxfId="2" priority="12" operator="containsText" text="Done">
      <formula>NOT(ISERROR(SEARCH(("Done"),(G5))))</formula>
    </cfRule>
  </conditionalFormatting>
  <conditionalFormatting sqref="G5:G24">
    <cfRule type="containsText" dxfId="31" priority="13" operator="containsText" text="In Review">
      <formula>NOT(ISERROR(SEARCH(("In Review"),(G5))))</formula>
    </cfRule>
  </conditionalFormatting>
  <conditionalFormatting sqref="H4:I24">
    <cfRule type="expression" dxfId="32" priority="14">
      <formula>AND(ISNUMBER(H4),TRUNC(H4)&lt;TODAY())</formula>
    </cfRule>
  </conditionalFormatting>
  <conditionalFormatting sqref="H4:I24">
    <cfRule type="timePeriod" dxfId="33" priority="15" timePeriod="today"/>
  </conditionalFormatting>
  <conditionalFormatting sqref="I4">
    <cfRule type="timePeriod" dxfId="34" priority="16" timePeriod="tomorrow"/>
  </conditionalFormatting>
  <conditionalFormatting sqref="G5:G24">
    <cfRule type="containsText" dxfId="35" priority="17" operator="containsText" text="On Hold">
      <formula>NOT(ISERROR(SEARCH(("On Hold"),(G5))))</formula>
    </cfRule>
  </conditionalFormatting>
  <dataValidations>
    <dataValidation type="list" allowBlank="1" showErrorMessage="1" sqref="F1">
      <formula1>Data_Validation!$D$2:$D$15</formula1>
    </dataValidation>
    <dataValidation type="custom" allowBlank="1" showDropDown="1" sqref="K4:Q4 K5:L5">
      <formula1>OR(NOT(ISERROR(DATEVALUE(K4))), AND(ISNUMBER(K4), LEFT(CELL("format", K4))="D"))</formula1>
    </dataValidation>
    <dataValidation type="list" allowBlank="1" showErrorMessage="1" sqref="L1 L11">
      <formula1>"TheMVP,Colorful Tech,Inno3D,Nvidia,MaCaw"</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6E677"/>
    <outlinePr summaryBelow="0" summaryRight="0"/>
    <pageSetUpPr fitToPage="1"/>
  </sheetPr>
  <sheetViews>
    <sheetView workbookViewId="0"/>
  </sheetViews>
  <sheetFormatPr customHeight="1" defaultColWidth="12.63" defaultRowHeight="15.75"/>
  <cols>
    <col customWidth="1" min="1" max="1" width="2.0"/>
    <col customWidth="1" min="2" max="4" width="24.5"/>
    <col customWidth="1" min="5" max="5" width="24.75"/>
    <col customWidth="1" min="6" max="6" width="24.63"/>
    <col customWidth="1" min="7" max="7" width="23.63"/>
    <col customWidth="1" min="8" max="8" width="24.13"/>
    <col customWidth="1" min="9" max="9" width="2.38"/>
  </cols>
  <sheetData>
    <row r="1" ht="19.5" customHeight="1">
      <c r="A1" s="165"/>
      <c r="B1" s="162" t="s">
        <v>1304</v>
      </c>
      <c r="C1" s="186" t="s">
        <v>18</v>
      </c>
      <c r="D1" s="164" t="str">
        <f>VLOOKUP(C1, Data_Validation!E:F, 2, FALSE)</f>
        <v>MVP</v>
      </c>
      <c r="E1" s="165"/>
      <c r="F1" s="166"/>
      <c r="G1" s="165"/>
      <c r="H1" s="165"/>
      <c r="I1" s="165"/>
    </row>
    <row r="2" ht="19.5" customHeight="1">
      <c r="A2" s="165"/>
      <c r="B2" s="162" t="s">
        <v>1306</v>
      </c>
      <c r="C2" s="170">
        <v>45237.0</v>
      </c>
      <c r="D2" s="165"/>
      <c r="E2" s="165"/>
      <c r="F2" s="166"/>
      <c r="G2" s="165"/>
      <c r="H2" s="165"/>
      <c r="I2" s="165"/>
    </row>
    <row r="3" ht="11.25" customHeight="1">
      <c r="A3" s="157"/>
      <c r="B3" s="157"/>
      <c r="C3" s="157"/>
      <c r="D3" s="157"/>
      <c r="E3" s="157"/>
      <c r="F3" s="157"/>
      <c r="G3" s="157"/>
      <c r="H3" s="157"/>
      <c r="I3" s="157"/>
    </row>
    <row r="4" ht="25.5" customHeight="1">
      <c r="A4" s="157"/>
      <c r="B4" s="194"/>
      <c r="C4" s="194"/>
      <c r="D4" s="195" t="s">
        <v>1313</v>
      </c>
      <c r="E4" s="196"/>
      <c r="F4" s="197"/>
      <c r="G4" s="197"/>
      <c r="H4" s="194"/>
      <c r="I4" s="157"/>
    </row>
    <row r="5">
      <c r="A5" s="157"/>
      <c r="B5" s="198">
        <f t="shared" ref="B5:H5" si="1">B6</f>
        <v>45235</v>
      </c>
      <c r="C5" s="198">
        <f t="shared" si="1"/>
        <v>45236</v>
      </c>
      <c r="D5" s="198">
        <f t="shared" si="1"/>
        <v>45237</v>
      </c>
      <c r="E5" s="198">
        <f t="shared" si="1"/>
        <v>45238</v>
      </c>
      <c r="F5" s="198">
        <f t="shared" si="1"/>
        <v>45239</v>
      </c>
      <c r="G5" s="198">
        <f t="shared" si="1"/>
        <v>45240</v>
      </c>
      <c r="H5" s="198">
        <f t="shared" si="1"/>
        <v>45241</v>
      </c>
      <c r="I5" s="157"/>
    </row>
    <row r="6" ht="17.25" customHeight="1">
      <c r="A6" s="157"/>
      <c r="B6" s="199">
        <f t="shared" ref="B6:C6" si="2">C6-1</f>
        <v>45235</v>
      </c>
      <c r="C6" s="199">
        <f t="shared" si="2"/>
        <v>45236</v>
      </c>
      <c r="D6" s="199">
        <f>C2</f>
        <v>45237</v>
      </c>
      <c r="E6" s="199">
        <f t="shared" ref="E6:H6" si="3">D6+1</f>
        <v>45238</v>
      </c>
      <c r="F6" s="199">
        <f t="shared" si="3"/>
        <v>45239</v>
      </c>
      <c r="G6" s="199">
        <f t="shared" si="3"/>
        <v>45240</v>
      </c>
      <c r="H6" s="199">
        <f t="shared" si="3"/>
        <v>45241</v>
      </c>
      <c r="I6" s="157"/>
    </row>
    <row r="7" ht="50.25" customHeight="1">
      <c r="A7" s="157"/>
      <c r="B7" s="200" t="str">
        <f>IFERROR(__xludf.DUMMYFUNCTION("IFERROR(QUERY(Content_Creation!4:648, ""Select U Where C &lt;&gt; '' AND B LIKE '%""&amp;$D$1&amp;""%' AND H=Date '""&amp;text(B$6, ""yyyy-mm-dd"")&amp;""'""), ""-"")"),"PC Landscape - Linkedin")</f>
        <v>PC Landscape - Linkedin</v>
      </c>
      <c r="C7" s="200" t="str">
        <f>IFERROR(__xludf.DUMMYFUNCTION("IFERROR(QUERY(Content_Creation!4:648, ""Select U Where C &lt;&gt; '' AND B LIKE '%""&amp;$D$1&amp;""%' AND H=Date '""&amp;text(C$6, ""yyyy-mm-dd"")&amp;""'""), ""-"")"),"Blender Downedit - Shorts")</f>
        <v>Blender Downedit - Shorts</v>
      </c>
      <c r="D7" s="200" t="str">
        <f>IFERROR(__xludf.DUMMYFUNCTION("IFERROR(QUERY(Content_Creation!4:648, ""Select U Where C &lt;&gt; '' AND B LIKE '%""&amp;$D$1&amp;""%' AND H=Date '""&amp;text(D$6, ""yyyy-mm-dd"")&amp;""'""), ""-"")"),"China Vlog 1 - YT Video")</f>
        <v>China Vlog 1 - YT Video</v>
      </c>
      <c r="E7" s="200" t="str">
        <f>IFERROR(__xludf.DUMMYFUNCTION("IFERROR(QUERY(Content_Creation!4:648, ""Select U Where C &lt;&gt; '' AND B LIKE '%""&amp;$D$1&amp;""%' AND H=Date '""&amp;text(E$6, ""yyyy-mm-dd"")&amp;""'""), ""-"")"),"#REF!")</f>
        <v>#REF!</v>
      </c>
      <c r="F7" s="200" t="str">
        <f>IFERROR(__xludf.DUMMYFUNCTION("IFERROR(QUERY(Content_Creation!4:648, ""Select U Where C &lt;&gt; '' AND B LIKE '%""&amp;$D$1&amp;""%' AND H=Date '""&amp;text(F$6, ""yyyy-mm-dd"")&amp;""'""), ""-"")"),"TrueNAS Setup - Blog")</f>
        <v>TrueNAS Setup - Blog</v>
      </c>
      <c r="G7" s="200" t="str">
        <f>IFERROR(__xludf.DUMMYFUNCTION("IFERROR(QUERY(Content_Creation!4:648, ""Select U Where C &lt;&gt; '' AND B LIKE '%""&amp;$D$1&amp;""%' AND H=Date '""&amp;text(G$6, ""yyyy-mm-dd"")&amp;""'""), ""-"")"),"Stock Trading Setup - Linkedin")</f>
        <v>Stock Trading Setup - Linkedin</v>
      </c>
      <c r="H7" s="200" t="str">
        <f>IFERROR(__xludf.DUMMYFUNCTION("IFERROR(QUERY(Content_Creation!4:648, ""Select U Where C &lt;&gt; '' AND B LIKE '%""&amp;$D$1&amp;""%' AND H=Date '""&amp;text(H$6, ""yyyy-mm-dd"")&amp;""'""), ""-"")"),"Nvidia L40s - YT Video")</f>
        <v>Nvidia L40s - YT Video</v>
      </c>
      <c r="I7" s="157"/>
    </row>
    <row r="8" ht="51.0" customHeight="1">
      <c r="A8" s="157"/>
      <c r="B8" s="200"/>
      <c r="C8" s="200" t="str">
        <f>IFERROR(__xludf.DUMMYFUNCTION("""COMPUTED_VALUE"""),"180TB SSds - Tweet")</f>
        <v>180TB SSds - Tweet</v>
      </c>
      <c r="D8" s="201"/>
      <c r="E8" s="200"/>
      <c r="F8" s="200" t="str">
        <f>IFERROR(__xludf.DUMMYFUNCTION("""COMPUTED_VALUE"""),"Ryzen + Radeon - All AMD - Shorts")</f>
        <v>Ryzen + Radeon - All AMD - Shorts</v>
      </c>
      <c r="G8" s="200" t="str">
        <f>IFERROR(__xludf.DUMMYFUNCTION("""COMPUTED_VALUE"""),"8K Gaming - RTX 4090 - Shorts")</f>
        <v>8K Gaming - RTX 4090 - Shorts</v>
      </c>
      <c r="H8" s="200" t="str">
        <f>IFERROR(__xludf.DUMMYFUNCTION("""COMPUTED_VALUE"""),"Build Photo - L40s Server - Insta")</f>
        <v>Build Photo - L40s Server - Insta</v>
      </c>
      <c r="I8" s="157"/>
    </row>
    <row r="9" ht="47.25" customHeight="1">
      <c r="A9" s="157"/>
      <c r="B9" s="200"/>
      <c r="C9" s="200"/>
      <c r="D9" s="201"/>
      <c r="E9" s="200"/>
      <c r="F9" s="200" t="str">
        <f>IFERROR(__xludf.DUMMYFUNCTION("""COMPUTED_VALUE"""),"Build Photo - H9 White + iGame - Insta")</f>
        <v>Build Photo - H9 White + iGame - Insta</v>
      </c>
      <c r="G9" s="200"/>
      <c r="H9" s="200" t="str">
        <f>IFERROR(__xludf.DUMMYFUNCTION("""COMPUTED_VALUE"""),"Idea Pending - Tweet")</f>
        <v>Idea Pending - Tweet</v>
      </c>
      <c r="I9" s="157"/>
    </row>
    <row r="10" ht="47.25" customHeight="1">
      <c r="A10" s="157"/>
      <c r="B10" s="200"/>
      <c r="C10" s="200"/>
      <c r="D10" s="201"/>
      <c r="E10" s="200"/>
      <c r="F10" s="200"/>
      <c r="G10" s="200"/>
      <c r="H10" s="200"/>
      <c r="I10" s="157"/>
    </row>
    <row r="11">
      <c r="A11" s="157"/>
      <c r="B11" s="198">
        <f t="shared" ref="B11:H11" si="4">B12</f>
        <v>45242</v>
      </c>
      <c r="C11" s="198">
        <f t="shared" si="4"/>
        <v>45243</v>
      </c>
      <c r="D11" s="198">
        <f t="shared" si="4"/>
        <v>45244</v>
      </c>
      <c r="E11" s="198">
        <f t="shared" si="4"/>
        <v>45245</v>
      </c>
      <c r="F11" s="198">
        <f t="shared" si="4"/>
        <v>45246</v>
      </c>
      <c r="G11" s="198">
        <f t="shared" si="4"/>
        <v>45247</v>
      </c>
      <c r="H11" s="198">
        <f t="shared" si="4"/>
        <v>45248</v>
      </c>
      <c r="I11" s="157"/>
    </row>
    <row r="12" ht="17.25" customHeight="1">
      <c r="A12" s="157"/>
      <c r="B12" s="199">
        <f t="shared" ref="B12:C12" si="5">C12-1</f>
        <v>45242</v>
      </c>
      <c r="C12" s="199">
        <f t="shared" si="5"/>
        <v>45243</v>
      </c>
      <c r="D12" s="199">
        <f>C2+7</f>
        <v>45244</v>
      </c>
      <c r="E12" s="199">
        <f t="shared" ref="E12:H12" si="6">D12+1</f>
        <v>45245</v>
      </c>
      <c r="F12" s="199">
        <f t="shared" si="6"/>
        <v>45246</v>
      </c>
      <c r="G12" s="199">
        <f t="shared" si="6"/>
        <v>45247</v>
      </c>
      <c r="H12" s="199">
        <f t="shared" si="6"/>
        <v>45248</v>
      </c>
      <c r="I12" s="157"/>
    </row>
    <row r="13" ht="48.0" customHeight="1">
      <c r="A13" s="157"/>
      <c r="B13" s="200" t="str">
        <f>IFERROR(__xludf.DUMMYFUNCTION("IFERROR(QUERY(Content_Creation!10:654, ""Select U Where C &lt;&gt; '' AND B LIKE '%""&amp;$D$1&amp;""%' AND H=Date '""&amp;text(B$12, ""yyyy-mm-dd"")&amp;""'""), ""-"")"),"12 Lakh GPU - Nvidia L40s - Shorts")</f>
        <v>12 Lakh GPU - Nvidia L40s - Shorts</v>
      </c>
      <c r="C13" s="200" t="str">
        <f>IFERROR(__xludf.DUMMYFUNCTION("IFERROR(QUERY(Content_Creation!10:654, ""Select U Where C &lt;&gt; '' AND B LIKE '%""&amp;$D$1&amp;""%' AND H=Date '""&amp;text(C$12, ""yyyy-mm-dd"")&amp;""'""), ""-"")"),"TrueNAS Setup Revamp - Blog")</f>
        <v>TrueNAS Setup Revamp - Blog</v>
      </c>
      <c r="D13" s="200" t="str">
        <f>IFERROR(__xludf.DUMMYFUNCTION("IFERROR(QUERY(Content_Creation!10:654, ""Select U Where C &lt;&gt; '' AND B LIKE '%""&amp;$D$1&amp;""%' AND H=Date '""&amp;text(D$12, ""yyyy-mm-dd"")&amp;""'""), ""-"")"),"AMD vs Intel - with GPUs - YT Video")</f>
        <v>AMD vs Intel - with GPUs - YT Video</v>
      </c>
      <c r="E13" s="200" t="str">
        <f>IFERROR(__xludf.DUMMYFUNCTION("IFERROR(QUERY(Content_Creation!10:654, ""Select U Where C &lt;&gt; '' AND B LIKE '%""&amp;$D$1&amp;""%' AND H=Date '""&amp;text(E$12, ""yyyy-mm-dd"")&amp;""'""), ""-"")"),"G Pro TKL - Logi Offer - Shorts")</f>
        <v>G Pro TKL - Logi Offer - Shorts</v>
      </c>
      <c r="F13" s="200" t="str">
        <f>IFERROR(__xludf.DUMMYFUNCTION("IFERROR(QUERY(Content_Creation!10:654, ""Select U Where C &lt;&gt; '' AND B LIKE '%""&amp;$D$1&amp;""%' AND H=Date '""&amp;text(F$12, ""yyyy-mm-dd"")&amp;""'""), ""-"")"),"Client Reviews - MasterCut - YT Video")</f>
        <v>Client Reviews - MasterCut - YT Video</v>
      </c>
      <c r="G13" s="200" t="str">
        <f>IFERROR(__xludf.DUMMYFUNCTION("IFERROR(QUERY(Content_Creation!10:654, ""Select U Where C &lt;&gt; '' AND B LIKE '%""&amp;$D$1&amp;""%' AND H=Date '""&amp;text(G$12, ""yyyy-mm-dd"")&amp;""'""), ""-"")"),"L40s GPU Server - Linkedin")</f>
        <v>L40s GPU Server - Linkedin</v>
      </c>
      <c r="H13" s="200" t="str">
        <f>IFERROR(__xludf.DUMMYFUNCTION("IFERROR(QUERY(Content_Creation!10:654, ""Select U Where C &lt;&gt; '' AND B LIKE '%""&amp;$D$1&amp;""%' AND H=Date '""&amp;text(H$12, ""yyyy-mm-dd"")&amp;""'""), ""-"")"),"Idea Pending - Tweet")</f>
        <v>Idea Pending - Tweet</v>
      </c>
      <c r="I13" s="157"/>
    </row>
    <row r="14" ht="57.0" customHeight="1">
      <c r="A14" s="157"/>
      <c r="B14" s="200"/>
      <c r="C14" s="200" t="str">
        <f>IFERROR(__xludf.DUMMYFUNCTION("""COMPUTED_VALUE"""),"Custom PC for VFX Worflow - Linkedin")</f>
        <v>Custom PC for VFX Worflow - Linkedin</v>
      </c>
      <c r="D14" s="200" t="str">
        <f>IFERROR(__xludf.DUMMYFUNCTION("""COMPUTED_VALUE"""),"Build Photo - 2x 4090 - Insta")</f>
        <v>Build Photo - 2x 4090 - Insta</v>
      </c>
      <c r="E14" s="200" t="str">
        <f>IFERROR(__xludf.DUMMYFUNCTION("""COMPUTED_VALUE"""),"Build Photo - North + ProArt - Insta")</f>
        <v>Build Photo - North + ProArt - Insta</v>
      </c>
      <c r="F14" s="200" t="str">
        <f>IFERROR(__xludf.DUMMYFUNCTION("""COMPUTED_VALUE"""),"Sneaker PC - Shorts")</f>
        <v>Sneaker PC - Shorts</v>
      </c>
      <c r="G14" s="200" t="str">
        <f>IFERROR(__xludf.DUMMYFUNCTION("""COMPUTED_VALUE"""),"Build a PC for Ansys - Shorts")</f>
        <v>Build a PC for Ansys - Shorts</v>
      </c>
      <c r="H14" s="200" t="str">
        <f>IFERROR(__xludf.DUMMYFUNCTION("""COMPUTED_VALUE"""),"Workstation for AR Dev. - Linkedin")</f>
        <v>Workstation for AR Dev. - Linkedin</v>
      </c>
      <c r="I14" s="157"/>
    </row>
    <row r="15" ht="57.0" customHeight="1">
      <c r="A15" s="157"/>
      <c r="B15" s="200"/>
      <c r="C15" s="200" t="str">
        <f>IFERROR(__xludf.DUMMYFUNCTION("""COMPUTED_VALUE"""),"G613 Keyboard - Logi Offer - Shorts")</f>
        <v>G613 Keyboard - Logi Offer - Shorts</v>
      </c>
      <c r="D15" s="200" t="str">
        <f>IFERROR(__xludf.DUMMYFUNCTION("""COMPUTED_VALUE"""),"G335 Headset - Logi Offer - Shorts")</f>
        <v>G335 Headset - Logi Offer - Shorts</v>
      </c>
      <c r="E15" s="200" t="str">
        <f>IFERROR(__xludf.DUMMYFUNCTION("""COMPUTED_VALUE"""),"Idea Pending - Tweet")</f>
        <v>Idea Pending - Tweet</v>
      </c>
      <c r="F15" s="200"/>
      <c r="G15" s="200"/>
      <c r="H15" s="200"/>
      <c r="I15" s="157"/>
    </row>
    <row r="16" ht="50.25" customHeight="1">
      <c r="A16" s="157"/>
      <c r="B16" s="200"/>
      <c r="C16" s="200"/>
      <c r="D16" s="200" t="str">
        <f>IFERROR(__xludf.DUMMYFUNCTION("""COMPUTED_VALUE"""),"Idea Pending - Tweet")</f>
        <v>Idea Pending - Tweet</v>
      </c>
      <c r="E16" s="200"/>
      <c r="F16" s="200"/>
      <c r="G16" s="200"/>
      <c r="H16" s="200"/>
      <c r="I16" s="157"/>
    </row>
    <row r="17">
      <c r="A17" s="202"/>
      <c r="B17" s="198">
        <f t="shared" ref="B17:H17" si="7">B18</f>
        <v>45249</v>
      </c>
      <c r="C17" s="198">
        <f t="shared" si="7"/>
        <v>45250</v>
      </c>
      <c r="D17" s="198">
        <f t="shared" si="7"/>
        <v>45251</v>
      </c>
      <c r="E17" s="198">
        <f t="shared" si="7"/>
        <v>45252</v>
      </c>
      <c r="F17" s="198">
        <f t="shared" si="7"/>
        <v>45253</v>
      </c>
      <c r="G17" s="198">
        <f t="shared" si="7"/>
        <v>45254</v>
      </c>
      <c r="H17" s="198">
        <f t="shared" si="7"/>
        <v>45255</v>
      </c>
      <c r="I17" s="203"/>
    </row>
    <row r="18">
      <c r="A18" s="202"/>
      <c r="B18" s="204">
        <f t="shared" ref="B18:C18" si="8">C18-1</f>
        <v>45249</v>
      </c>
      <c r="C18" s="204">
        <f t="shared" si="8"/>
        <v>45250</v>
      </c>
      <c r="D18" s="204">
        <f>C2+14</f>
        <v>45251</v>
      </c>
      <c r="E18" s="204">
        <f t="shared" ref="E18:H18" si="9">D18+1</f>
        <v>45252</v>
      </c>
      <c r="F18" s="204">
        <f t="shared" si="9"/>
        <v>45253</v>
      </c>
      <c r="G18" s="204">
        <f t="shared" si="9"/>
        <v>45254</v>
      </c>
      <c r="H18" s="204">
        <f t="shared" si="9"/>
        <v>45255</v>
      </c>
      <c r="I18" s="203"/>
    </row>
    <row r="19" ht="54.75" customHeight="1">
      <c r="A19" s="202"/>
      <c r="B19" s="200" t="str">
        <f>IFERROR(__xludf.DUMMYFUNCTION("IFERROR(QUERY(Content_Creation!16:660, ""Select U Where C &lt;&gt; '' AND B LIKE '%""&amp;$D$1&amp;""%' AND H=Date '""&amp;text(B$18, ""yyyy-mm-dd"")&amp;""'""), ""-"")"),"Build Photo - Enthoo Case - Insta")</f>
        <v>Build Photo - Enthoo Case - Insta</v>
      </c>
      <c r="C19" s="200" t="str">
        <f>IFERROR(__xludf.DUMMYFUNCTION("IFERROR(QUERY(Content_Creation!16:660, ""Select U Where C &lt;&gt; '' AND B LIKE '%""&amp;$D$1&amp;""%' AND H=Date '""&amp;text(C$18, ""yyyy-mm-dd"")&amp;""'""), ""-"")"),"How CPU works in 60 seconds - Shorts")</f>
        <v>How CPU works in 60 seconds - Shorts</v>
      </c>
      <c r="D19" s="200" t="str">
        <f>IFERROR(__xludf.DUMMYFUNCTION("IFERROR(QUERY(Content_Creation!16:660, ""Select U Where C &lt;&gt; '' AND B LIKE '%""&amp;$D$1&amp;""%' AND H=Date '""&amp;text(D$18, ""yyyy-mm-dd"")&amp;""'""), ""-"")"),"Video Editing Category Review - YT Video")</f>
        <v>Video Editing Category Review - YT Video</v>
      </c>
      <c r="E19" s="200" t="str">
        <f>IFERROR(__xludf.DUMMYFUNCTION("IFERROR(QUERY(Content_Creation!16:660, ""Select U Where C &lt;&gt; '' AND B LIKE '%""&amp;$D$1&amp;""%' AND H=Date '""&amp;text(E$18, ""yyyy-mm-dd"")&amp;""'""), ""-"")"),"")</f>
        <v/>
      </c>
      <c r="F19" s="200" t="str">
        <f>IFERROR(__xludf.DUMMYFUNCTION("IFERROR(QUERY(Content_Creation!16:660, ""Select U Where C &lt;&gt; '' AND B LIKE '%""&amp;$D$1&amp;""%' AND H=Date '""&amp;text(F$18, ""yyyy-mm-dd"")&amp;""'""), ""-"")"),"-")</f>
        <v>-</v>
      </c>
      <c r="G19" s="200" t="str">
        <f>IFERROR(__xludf.DUMMYFUNCTION("IFERROR(QUERY(Content_Creation!16:660, ""Select U Where C &lt;&gt; '' AND B LIKE '%""&amp;$D$1&amp;""%' AND H=Date '""&amp;text(G$18, ""yyyy-mm-dd"")&amp;""'""), ""-"")"),"-")</f>
        <v>-</v>
      </c>
      <c r="H19" s="200" t="str">
        <f>IFERROR(__xludf.DUMMYFUNCTION("IFERROR(QUERY(Content_Creation!16:660, ""Select U Where C &lt;&gt; '' AND B LIKE '%""&amp;$D$1&amp;""%' AND H=Date '""&amp;text(H$18, ""yyyy-mm-dd"")&amp;""'""), ""-"")"),"Logi Persona Reviews - YT Video")</f>
        <v>Logi Persona Reviews - YT Video</v>
      </c>
      <c r="I19" s="203"/>
    </row>
    <row r="20" ht="51.0" customHeight="1">
      <c r="A20" s="202"/>
      <c r="B20" s="205"/>
      <c r="C20" s="205" t="str">
        <f>IFERROR(__xludf.DUMMYFUNCTION("""COMPUTED_VALUE"""),"TrueNAS Setup - Linkedin")</f>
        <v>TrueNAS Setup - Linkedin</v>
      </c>
      <c r="D20" s="205" t="str">
        <f>IFERROR(__xludf.DUMMYFUNCTION("""COMPUTED_VALUE"""),"Idea Pending - Tweet")</f>
        <v>Idea Pending - Tweet</v>
      </c>
      <c r="E20" s="205" t="str">
        <f>IFERROR(__xludf.DUMMYFUNCTION("""COMPUTED_VALUE"""),"TrueNAS Setup - YT Video")</f>
        <v>TrueNAS Setup - YT Video</v>
      </c>
      <c r="F20" s="205"/>
      <c r="G20" s="205"/>
      <c r="H20" s="205"/>
      <c r="I20" s="203"/>
    </row>
    <row r="21" ht="51.0" customHeight="1">
      <c r="A21" s="202"/>
      <c r="B21" s="205"/>
      <c r="C21" s="205"/>
      <c r="D21" s="205"/>
      <c r="E21" s="205"/>
      <c r="F21" s="205"/>
      <c r="G21" s="205"/>
      <c r="H21" s="205"/>
      <c r="I21" s="203"/>
    </row>
    <row r="22" ht="55.5" customHeight="1">
      <c r="A22" s="202"/>
      <c r="B22" s="205"/>
      <c r="C22" s="205"/>
      <c r="D22" s="205"/>
      <c r="E22" s="205"/>
      <c r="F22" s="205"/>
      <c r="G22" s="205"/>
      <c r="H22" s="205"/>
      <c r="I22" s="203"/>
    </row>
    <row r="23" ht="13.5" customHeight="1">
      <c r="A23" s="206"/>
      <c r="B23" s="207"/>
      <c r="C23" s="207"/>
      <c r="D23" s="207"/>
      <c r="E23" s="207"/>
      <c r="F23" s="207"/>
      <c r="G23" s="207"/>
      <c r="H23" s="207"/>
      <c r="I23" s="206"/>
    </row>
  </sheetData>
  <mergeCells count="1">
    <mergeCell ref="E4:G4"/>
  </mergeCells>
  <conditionalFormatting sqref="C2 B4:H6 B11:H12 B17:H17">
    <cfRule type="containsText" dxfId="20" priority="1" operator="containsText" text="Completed">
      <formula>NOT(ISERROR(SEARCH(("Completed"),(C2))))</formula>
    </cfRule>
  </conditionalFormatting>
  <conditionalFormatting sqref="C2 B4:H6 B11:H12 B17:H17">
    <cfRule type="containsText" dxfId="21" priority="2" operator="containsText" text="Pending">
      <formula>NOT(ISERROR(SEARCH(("Pending"),(C2))))</formula>
    </cfRule>
  </conditionalFormatting>
  <conditionalFormatting sqref="A1:B23 D1:I23 C2:C23">
    <cfRule type="containsText" dxfId="22" priority="3" operator="containsText" text="Linkedin">
      <formula>NOT(ISERROR(SEARCH(("Linkedin"),(A1))))</formula>
    </cfRule>
  </conditionalFormatting>
  <conditionalFormatting sqref="A1:B23 D1:I23 C2:C23">
    <cfRule type="containsText" dxfId="23" priority="4" operator="containsText" text="Tweet">
      <formula>NOT(ISERROR(SEARCH(("Tweet"),(A1))))</formula>
    </cfRule>
  </conditionalFormatting>
  <conditionalFormatting sqref="B7:H22">
    <cfRule type="containsText" dxfId="24" priority="5" operator="containsText" text="Shorts">
      <formula>NOT(ISERROR(SEARCH(("Shorts"),(B7))))</formula>
    </cfRule>
  </conditionalFormatting>
  <conditionalFormatting sqref="B7:H22">
    <cfRule type="containsText" dxfId="25" priority="6" operator="containsText" text="Video">
      <formula>NOT(ISERROR(SEARCH(("Video"),(B7))))</formula>
    </cfRule>
  </conditionalFormatting>
  <conditionalFormatting sqref="B7:H22">
    <cfRule type="containsText" dxfId="26" priority="7" operator="containsText" text="Insta">
      <formula>NOT(ISERROR(SEARCH(("Insta"),(B7))))</formula>
    </cfRule>
  </conditionalFormatting>
  <conditionalFormatting sqref="B7:H22">
    <cfRule type="containsText" dxfId="27" priority="8" operator="containsText" text="Nvidia Project">
      <formula>NOT(ISERROR(SEARCH(("Nvidia Project"),(B7))))</formula>
    </cfRule>
  </conditionalFormatting>
  <conditionalFormatting sqref="B7:H22">
    <cfRule type="containsText" dxfId="28" priority="9" operator="containsText" text="Blog">
      <formula>NOT(ISERROR(SEARCH(("Blog"),(B7))))</formula>
    </cfRule>
  </conditionalFormatting>
  <conditionalFormatting sqref="B7:H22">
    <cfRule type="containsText" dxfId="29" priority="10" operator="containsText" text="Story">
      <formula>NOT(ISERROR(SEARCH(("Story"),(B7))))</formula>
    </cfRule>
  </conditionalFormatting>
  <dataValidations>
    <dataValidation type="custom" allowBlank="1" showDropDown="1" sqref="B5:H5 B6:C6 B11:H11 B12:C12 B17:H17 B18:C18">
      <formula1>OR(NOT(ISERROR(DATEVALUE(B5))), AND(ISNUMBER(B5), LEFT(CELL("format", B5))="D"))</formula1>
    </dataValidation>
    <dataValidation type="list" allowBlank="1" showErrorMessage="1" sqref="C1">
      <formula1>"TheMVP,Colorful Tech,Inno3D,Nvidia,MaCaw"</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6E677"/>
    <outlinePr summaryBelow="0" summaryRight="0"/>
  </sheetPr>
  <sheetViews>
    <sheetView showGridLines="0" workbookViewId="0"/>
  </sheetViews>
  <sheetFormatPr customHeight="1" defaultColWidth="12.63" defaultRowHeight="15.75"/>
  <cols>
    <col customWidth="1" min="1" max="1" width="12.25"/>
    <col customWidth="1" hidden="1" min="2" max="2" width="13.13"/>
    <col customWidth="1" hidden="1" min="3" max="3" width="12.38"/>
    <col customWidth="1" min="4" max="4" width="34.5"/>
    <col customWidth="1" min="5" max="5" width="12.25"/>
    <col customWidth="1" min="6" max="6" width="12.75"/>
    <col customWidth="1" min="7" max="7" width="14.75"/>
    <col customWidth="1" min="8" max="8" width="14.63"/>
    <col customWidth="1" min="9" max="9" width="13.63"/>
    <col customWidth="1" min="10" max="10" width="13.88"/>
    <col customWidth="1" hidden="1" min="11" max="11" width="14.0"/>
    <col hidden="1" min="12" max="12" width="12.63"/>
    <col customWidth="1" hidden="1" min="13" max="13" width="37.5"/>
    <col hidden="1" min="14" max="15" width="12.63"/>
  </cols>
  <sheetData>
    <row r="1" ht="24.0" customHeight="1">
      <c r="A1" s="208" t="s">
        <v>1314</v>
      </c>
      <c r="B1" s="208"/>
      <c r="C1" s="208"/>
      <c r="D1" s="208"/>
      <c r="E1" s="209"/>
      <c r="F1" s="208"/>
      <c r="G1" s="208"/>
      <c r="H1" s="208"/>
      <c r="I1" s="210"/>
      <c r="J1" s="208"/>
      <c r="K1" s="208"/>
      <c r="L1" s="211"/>
      <c r="M1" s="212"/>
      <c r="N1" s="212"/>
      <c r="O1" s="212"/>
    </row>
    <row r="2" ht="22.5" customHeight="1">
      <c r="A2" s="213" t="s">
        <v>955</v>
      </c>
      <c r="B2" s="213" t="s">
        <v>0</v>
      </c>
      <c r="C2" s="213" t="s">
        <v>15</v>
      </c>
      <c r="D2" s="213" t="s">
        <v>1308</v>
      </c>
      <c r="E2" s="213" t="s">
        <v>1309</v>
      </c>
      <c r="F2" s="213" t="s">
        <v>3</v>
      </c>
      <c r="G2" s="213" t="s">
        <v>1310</v>
      </c>
      <c r="H2" s="213" t="s">
        <v>1315</v>
      </c>
      <c r="I2" s="214" t="s">
        <v>1316</v>
      </c>
      <c r="J2" s="213" t="s">
        <v>1312</v>
      </c>
      <c r="K2" s="213"/>
      <c r="L2" s="213" t="s">
        <v>1310</v>
      </c>
      <c r="M2" s="215"/>
      <c r="N2" s="215"/>
      <c r="O2" s="215"/>
    </row>
    <row r="3" ht="24.0" customHeight="1">
      <c r="A3" s="216" t="str">
        <f>IFERROR(__xludf.DUMMYFUNCTION("ARRAYFORMULA(IFERROR(VLOOKUP(REGEXEXTRACT(B3, ""-(\w+)-""), {Data_Validation!$F$16:$F$29, Data_Validation!$E$16:$E$29}, 2, FALSE), """"))
"),"TheMVP")</f>
        <v>TheMVP</v>
      </c>
      <c r="B3" s="217" t="str">
        <f>IFERROR(__xludf.DUMMYFUNCTION("QUERY(Data_Validation!X:Z, ""SELECT X WHERE X IS NOT NULL
ORDER BY Z"", 0)
"),"PM-MVP-03.09")</f>
        <v>PM-MVP-03.09</v>
      </c>
      <c r="C3" s="218" t="str">
        <f>IFERROR(__xludf.DUMMYFUNCTION("IFERROR(REGEXEXTRACT(B3, ""^[A-Z]+-[A-Z]+-"") &amp; TEXT(VALUE(REGEXEXTRACT(B3, ""-(\d+)\."")), ""00""), """")"),"PM-MVP-03")</f>
        <v>PM-MVP-03</v>
      </c>
      <c r="D3" s="219" t="str">
        <f>IFERROR(VLOOKUP(C3, Content_Creation!B:D, 2, FALSE), IFERROR(VLOOKUP(C3, Project_Management!B:D, 2, FALSE), ""))
&amp; " - "
&amp; IFERROR(VLOOKUP(C3, Content_Creation!B:E, 4, FALSE), IFERROR(VLOOKUP(C3, Project_Management!B:E, 4, FALSE), ""))</f>
        <v>Nov-AdHoc - Misc</v>
      </c>
      <c r="E3" s="220" t="str">
        <f>IFERROR(
    VLOOKUP(B3, Content_Creation!B:D, 3, FALSE),
    IFERROR(VLOOKUP(B3, Project_Management!B:D, 3, FALSE),"")
  )</f>
        <v>Subtask 4</v>
      </c>
      <c r="F3" s="221" t="str">
        <f>IFERROR(VLOOKUP(B3, Content_Creation!B:F, 5, FALSE), IFERROR(VLOOKUP(B3, Project_Management!B:F, 5, FALSE), ""))</f>
        <v/>
      </c>
      <c r="G3" s="222" t="s">
        <v>179</v>
      </c>
      <c r="H3" s="223" t="str">
        <f>IFERROR(VLOOKUP(B3, Content_Creation!B:H, 7, FALSE), IFERROR(VLOOKUP(B3, Project_Management!B:H, 7, FALSE), ""))</f>
        <v/>
      </c>
      <c r="I3" s="224">
        <v>0.0</v>
      </c>
      <c r="J3" s="223">
        <f>IFERROR(VLOOKUP(C3, Content_Creation!B:H, 7, FALSE), IFERROR(VLOOKUP(C3, Project_Management!B:H, 7, FALSE), ""))</f>
        <v>45240</v>
      </c>
      <c r="K3" s="225"/>
      <c r="L3" s="225" t="str">
        <f>IFERROR(VLOOKUP(B3, Data_Validation!X:Y, 2, FALSE), "")</f>
        <v>Not Started</v>
      </c>
      <c r="M3" s="226" t="str">
        <f t="shared" ref="M3:M1001" si="1">CONCATENATE(A3," | ",D3," | ",E3)</f>
        <v>TheMVP | Nov-AdHoc - Misc | Subtask 4</v>
      </c>
      <c r="N3" s="226"/>
      <c r="O3" s="226"/>
    </row>
    <row r="4" ht="24.0" customHeight="1">
      <c r="A4" s="216" t="str">
        <f>IFERROR(__xludf.DUMMYFUNCTION("ARRAYFORMULA(IFERROR(VLOOKUP(REGEXEXTRACT(B4, ""-(\w+)-""), {Data_Validation!$F$16:$F$29, Data_Validation!$E$16:$E$29}, 2, FALSE), """"))
"),"Picture This!")</f>
        <v>Picture This!</v>
      </c>
      <c r="B4" s="217" t="str">
        <f>IFERROR(__xludf.DUMMYFUNCTION("""COMPUTED_VALUE"""),"CC-PTS-09.1")</f>
        <v>CC-PTS-09.1</v>
      </c>
      <c r="C4" s="218" t="str">
        <f>IFERROR(__xludf.DUMMYFUNCTION("IFERROR(REGEXEXTRACT(B4, ""^[A-Z]+-[A-Z]+-"") &amp; TEXT(VALUE(REGEXEXTRACT(B4, ""-(\d+)\."")), ""00""), """")"),"CC-PTS-09")</f>
        <v>CC-PTS-09</v>
      </c>
      <c r="D4" s="219" t="str">
        <f>IFERROR(VLOOKUP(C4, Content_Creation!B:D, 2, FALSE), IFERROR(VLOOKUP(C4, Project_Management!B:D, 2, FALSE), ""))
&amp; " - "
&amp; IFERROR(VLOOKUP(C4, Content_Creation!B:E, 4, FALSE), IFERROR(VLOOKUP(C4, Project_Management!B:E, 4, FALSE), ""))</f>
        <v>What is Sales Funnel - Blog</v>
      </c>
      <c r="E4" s="220" t="str">
        <f>IFERROR(
    VLOOKUP(B3:B1001, Content_Creation!B:D, 3, FALSE),
    IFERROR(VLOOKUP(B3:B1001, Project_Management!B:D, 3, FALSE),"")
  )</f>
        <v>Script</v>
      </c>
      <c r="F4" s="221" t="str">
        <f>IFERROR(VLOOKUP(B4, Content_Creation!B:F, 5, FALSE), IFERROR(VLOOKUP(B4, Project_Management!B:F, 5, FALSE), ""))</f>
        <v>Nasser</v>
      </c>
      <c r="G4" s="222" t="s">
        <v>26</v>
      </c>
      <c r="H4" s="223">
        <f>IFERROR(VLOOKUP(B4, Content_Creation!B:H, 7, FALSE), IFERROR(VLOOKUP(B4, Project_Management!B:H, 7, FALSE), ""))</f>
        <v>45136</v>
      </c>
      <c r="I4" s="224">
        <v>0.0</v>
      </c>
      <c r="J4" s="223">
        <f>IFERROR(VLOOKUP(C4, Content_Creation!B:H, 7, FALSE), IFERROR(VLOOKUP(C4, Project_Management!B:H, 7, FALSE), ""))</f>
        <v>45216</v>
      </c>
      <c r="K4" s="225"/>
      <c r="L4" s="225" t="str">
        <f>IFERROR(VLOOKUP(B4, Data_Validation!X:Y, 2, FALSE), "")</f>
        <v>Done</v>
      </c>
      <c r="M4" s="226" t="str">
        <f t="shared" si="1"/>
        <v>Picture This! | What is Sales Funnel - Blog | Script</v>
      </c>
      <c r="N4" s="226"/>
      <c r="O4" s="226"/>
    </row>
    <row r="5" ht="24.0" customHeight="1">
      <c r="A5" s="216" t="str">
        <f>IFERROR(__xludf.DUMMYFUNCTION("ARRAYFORMULA(IFERROR(VLOOKUP(REGEXEXTRACT(B5, ""-(\w+)-""), {Data_Validation!$F$16:$F$29, Data_Validation!$E$16:$E$29}, 2, FALSE), """"))
"),"Picture This!")</f>
        <v>Picture This!</v>
      </c>
      <c r="B5" s="217" t="str">
        <f>IFERROR(__xludf.DUMMYFUNCTION("""COMPUTED_VALUE"""),"CC-PTS-07.1")</f>
        <v>CC-PTS-07.1</v>
      </c>
      <c r="C5" s="218" t="str">
        <f>IFERROR(__xludf.DUMMYFUNCTION("IFERROR(REGEXEXTRACT(B5, ""^[A-Z]+-[A-Z]+-"") &amp; TEXT(VALUE(REGEXEXTRACT(B5, ""-(\d+)\."")), ""00""), """")"),"CC-PTS-07")</f>
        <v>CC-PTS-07</v>
      </c>
      <c r="D5" s="219" t="str">
        <f>IFERROR(VLOOKUP(C5, Content_Creation!B:D, 2, FALSE), IFERROR(VLOOKUP(C5, Project_Management!B:D, 2, FALSE), ""))
&amp; " - "
&amp; IFERROR(VLOOKUP(C5, Content_Creation!B:E, 4, FALSE), IFERROR(VLOOKUP(C5, Project_Management!B:E, 4, FALSE), ""))</f>
        <v>Startup Mistakes - Shorts</v>
      </c>
      <c r="E5" s="220" t="str">
        <f>IFERROR(
    VLOOKUP(B4:B1001, Content_Creation!B:D, 3, FALSE),
    IFERROR(VLOOKUP(B4:B1001, Project_Management!B:D, 3, FALSE),"")
  )</f>
        <v>Script</v>
      </c>
      <c r="F5" s="221" t="str">
        <f>IFERROR(VLOOKUP(B5, Content_Creation!B:F, 5, FALSE), IFERROR(VLOOKUP(B5, Project_Management!B:F, 5, FALSE), ""))</f>
        <v>Nasser</v>
      </c>
      <c r="G5" s="222" t="s">
        <v>26</v>
      </c>
      <c r="H5" s="223">
        <f>IFERROR(VLOOKUP(B5, Content_Creation!B:H, 7, FALSE), IFERROR(VLOOKUP(B5, Project_Management!B:H, 7, FALSE), ""))</f>
        <v>45139</v>
      </c>
      <c r="I5" s="224">
        <v>0.0</v>
      </c>
      <c r="J5" s="223">
        <f>IFERROR(VLOOKUP(C5, Content_Creation!B:H, 7, FALSE), IFERROR(VLOOKUP(C5, Project_Management!B:H, 7, FALSE), ""))</f>
        <v>45216</v>
      </c>
      <c r="K5" s="225"/>
      <c r="L5" s="225" t="str">
        <f>IFERROR(VLOOKUP(B5, Data_Validation!X:Y, 2, FALSE), "")</f>
        <v>Done</v>
      </c>
      <c r="M5" s="226" t="str">
        <f t="shared" si="1"/>
        <v>Picture This! | Startup Mistakes - Shorts | Script</v>
      </c>
      <c r="N5" s="226"/>
      <c r="O5" s="226"/>
    </row>
    <row r="6" ht="24.0" customHeight="1">
      <c r="A6" s="216" t="str">
        <f>IFERROR(__xludf.DUMMYFUNCTION("ARRAYFORMULA(IFERROR(VLOOKUP(REGEXEXTRACT(B6, ""-(\w+)-""), {Data_Validation!$F$16:$F$29, Data_Validation!$E$16:$E$29}, 2, FALSE), """"))
"),"Picture This!")</f>
        <v>Picture This!</v>
      </c>
      <c r="B6" s="217" t="str">
        <f>IFERROR(__xludf.DUMMYFUNCTION("""COMPUTED_VALUE"""),"PM-PTS-03.01")</f>
        <v>PM-PTS-03.01</v>
      </c>
      <c r="C6" s="218" t="str">
        <f>IFERROR(__xludf.DUMMYFUNCTION("IFERROR(REGEXEXTRACT(B6, ""^[A-Z]+-[A-Z]+-"") &amp; TEXT(VALUE(REGEXEXTRACT(B6, ""-(\d+)\."")), ""00""), """")"),"PM-PTS-03")</f>
        <v>PM-PTS-03</v>
      </c>
      <c r="D6" s="219" t="str">
        <f>IFERROR(VLOOKUP(C6, Content_Creation!B:D, 2, FALSE), IFERROR(VLOOKUP(C6, Project_Management!B:D, 2, FALSE), ""))
&amp; " - "
&amp; IFERROR(VLOOKUP(C6, Content_Creation!B:E, 4, FALSE), IFERROR(VLOOKUP(C6, Project_Management!B:E, 4, FALSE), ""))</f>
        <v>Company Profile - Docs</v>
      </c>
      <c r="E6" s="220" t="str">
        <f>IFERROR(
    VLOOKUP(B5:B1001, Content_Creation!B:D, 3, FALSE),
    IFERROR(VLOOKUP(B5:B1001, Project_Management!B:D, 3, FALSE),"")
  )</f>
        <v>About Us</v>
      </c>
      <c r="F6" s="221" t="str">
        <f>IFERROR(VLOOKUP(B6, Content_Creation!B:F, 5, FALSE), IFERROR(VLOOKUP(B6, Project_Management!B:F, 5, FALSE), ""))</f>
        <v>Talha</v>
      </c>
      <c r="G6" s="222" t="s">
        <v>26</v>
      </c>
      <c r="H6" s="223">
        <f>IFERROR(VLOOKUP(B6, Content_Creation!B:H, 7, FALSE), IFERROR(VLOOKUP(B6, Project_Management!B:H, 7, FALSE), ""))</f>
        <v>45162</v>
      </c>
      <c r="I6" s="224">
        <v>0.2916666666666667</v>
      </c>
      <c r="J6" s="223">
        <f>IFERROR(VLOOKUP(C6, Content_Creation!B:H, 7, FALSE), IFERROR(VLOOKUP(C6, Project_Management!B:H, 7, FALSE), ""))</f>
        <v>45162</v>
      </c>
      <c r="K6" s="225"/>
      <c r="L6" s="225" t="str">
        <f>IFERROR(VLOOKUP(B6, Data_Validation!X:Y, 2, FALSE), "")</f>
        <v>Done</v>
      </c>
      <c r="M6" s="226" t="str">
        <f t="shared" si="1"/>
        <v>Picture This! | Company Profile - Docs | About Us</v>
      </c>
      <c r="N6" s="226"/>
      <c r="O6" s="226"/>
    </row>
    <row r="7" ht="24.0" customHeight="1">
      <c r="A7" s="216" t="str">
        <f>IFERROR(__xludf.DUMMYFUNCTION("ARRAYFORMULA(IFERROR(VLOOKUP(REGEXEXTRACT(B7, ""-(\w+)-""), {Data_Validation!$F$16:$F$29, Data_Validation!$E$16:$E$29}, 2, FALSE), """"))
"),"Picture This!")</f>
        <v>Picture This!</v>
      </c>
      <c r="B7" s="217" t="str">
        <f>IFERROR(__xludf.DUMMYFUNCTION("""COMPUTED_VALUE"""),"PM-PTS-03.02")</f>
        <v>PM-PTS-03.02</v>
      </c>
      <c r="C7" s="218" t="str">
        <f>IFERROR(__xludf.DUMMYFUNCTION("IFERROR(REGEXEXTRACT(B7, ""^[A-Z]+-[A-Z]+-"") &amp; TEXT(VALUE(REGEXEXTRACT(B7, ""-(\d+)\."")), ""00""), """")"),"PM-PTS-03")</f>
        <v>PM-PTS-03</v>
      </c>
      <c r="D7" s="219" t="str">
        <f>IFERROR(VLOOKUP(C7, Content_Creation!B:D, 2, FALSE), IFERROR(VLOOKUP(C7, Project_Management!B:D, 2, FALSE), ""))
&amp; " - "
&amp; IFERROR(VLOOKUP(C7, Content_Creation!B:E, 4, FALSE), IFERROR(VLOOKUP(C7, Project_Management!B:E, 4, FALSE), ""))</f>
        <v>Company Profile - Docs</v>
      </c>
      <c r="E7" s="220" t="str">
        <f>IFERROR(
    VLOOKUP(B6:B1001, Content_Creation!B:D, 3, FALSE),
    IFERROR(VLOOKUP(B6:B1001, Project_Management!B:D, 3, FALSE),"")
  )</f>
        <v>Why Us</v>
      </c>
      <c r="F7" s="221" t="str">
        <f>IFERROR(VLOOKUP(B7, Content_Creation!B:F, 5, FALSE), IFERROR(VLOOKUP(B7, Project_Management!B:F, 5, FALSE), ""))</f>
        <v>Talha</v>
      </c>
      <c r="G7" s="222" t="s">
        <v>26</v>
      </c>
      <c r="H7" s="223">
        <f>IFERROR(VLOOKUP(B7, Content_Creation!B:H, 7, FALSE), IFERROR(VLOOKUP(B7, Project_Management!B:H, 7, FALSE), ""))</f>
        <v>45162</v>
      </c>
      <c r="I7" s="224">
        <v>0.0</v>
      </c>
      <c r="J7" s="223">
        <f>IFERROR(VLOOKUP(C7, Content_Creation!B:H, 7, FALSE), IFERROR(VLOOKUP(C7, Project_Management!B:H, 7, FALSE), ""))</f>
        <v>45162</v>
      </c>
      <c r="K7" s="225"/>
      <c r="L7" s="225" t="str">
        <f>IFERROR(VLOOKUP(B7, Data_Validation!X:Y, 2, FALSE), "")</f>
        <v>Done</v>
      </c>
      <c r="M7" s="226" t="str">
        <f t="shared" si="1"/>
        <v>Picture This! | Company Profile - Docs | Why Us</v>
      </c>
      <c r="N7" s="226"/>
      <c r="O7" s="226"/>
    </row>
    <row r="8" ht="24.0" customHeight="1">
      <c r="A8" s="216" t="str">
        <f>IFERROR(__xludf.DUMMYFUNCTION("ARRAYFORMULA(IFERROR(VLOOKUP(REGEXEXTRACT(B8, ""-(\w+)-""), {Data_Validation!$F$16:$F$29, Data_Validation!$E$16:$E$29}, 2, FALSE), """"))
"),"Picture This!")</f>
        <v>Picture This!</v>
      </c>
      <c r="B8" s="217" t="str">
        <f>IFERROR(__xludf.DUMMYFUNCTION("""COMPUTED_VALUE"""),"PM-PTS-03.03")</f>
        <v>PM-PTS-03.03</v>
      </c>
      <c r="C8" s="218" t="str">
        <f>IFERROR(__xludf.DUMMYFUNCTION("IFERROR(REGEXEXTRACT(B8, ""^[A-Z]+-[A-Z]+-"") &amp; TEXT(VALUE(REGEXEXTRACT(B8, ""-(\d+)\."")), ""00""), """")"),"PM-PTS-03")</f>
        <v>PM-PTS-03</v>
      </c>
      <c r="D8" s="219" t="str">
        <f>IFERROR(VLOOKUP(C8, Content_Creation!B:D, 2, FALSE), IFERROR(VLOOKUP(C8, Project_Management!B:D, 2, FALSE), ""))
&amp; " - "
&amp; IFERROR(VLOOKUP(C8, Content_Creation!B:E, 4, FALSE), IFERROR(VLOOKUP(C8, Project_Management!B:E, 4, FALSE), ""))</f>
        <v>Company Profile - Docs</v>
      </c>
      <c r="E8" s="220" t="str">
        <f>IFERROR(
    VLOOKUP(B7:B1001, Content_Creation!B:D, 3, FALSE),
    IFERROR(VLOOKUP(B7:B1001, Project_Management!B:D, 3, FALSE),"")
  )</f>
        <v>Clients</v>
      </c>
      <c r="F8" s="221" t="str">
        <f>IFERROR(VLOOKUP(B8, Content_Creation!B:F, 5, FALSE), IFERROR(VLOOKUP(B8, Project_Management!B:F, 5, FALSE), ""))</f>
        <v>Talha</v>
      </c>
      <c r="G8" s="222" t="s">
        <v>26</v>
      </c>
      <c r="H8" s="223">
        <f>IFERROR(VLOOKUP(B8, Content_Creation!B:H, 7, FALSE), IFERROR(VLOOKUP(B8, Project_Management!B:H, 7, FALSE), ""))</f>
        <v>45162</v>
      </c>
      <c r="I8" s="224">
        <v>0.0</v>
      </c>
      <c r="J8" s="223">
        <f>IFERROR(VLOOKUP(C8, Content_Creation!B:H, 7, FALSE), IFERROR(VLOOKUP(C8, Project_Management!B:H, 7, FALSE), ""))</f>
        <v>45162</v>
      </c>
      <c r="K8" s="225"/>
      <c r="L8" s="225" t="str">
        <f>IFERROR(VLOOKUP(B8, Data_Validation!X:Y, 2, FALSE), "")</f>
        <v>Done</v>
      </c>
      <c r="M8" s="226" t="str">
        <f t="shared" si="1"/>
        <v>Picture This! | Company Profile - Docs | Clients</v>
      </c>
      <c r="N8" s="226"/>
      <c r="O8" s="226"/>
    </row>
    <row r="9" ht="24.0" customHeight="1">
      <c r="A9" s="216" t="str">
        <f>IFERROR(__xludf.DUMMYFUNCTION("ARRAYFORMULA(IFERROR(VLOOKUP(REGEXEXTRACT(B9, ""-(\w+)-""), {Data_Validation!$F$16:$F$29, Data_Validation!$E$16:$E$29}, 2, FALSE), """"))
"),"Picture This!")</f>
        <v>Picture This!</v>
      </c>
      <c r="B9" s="217" t="str">
        <f>IFERROR(__xludf.DUMMYFUNCTION("""COMPUTED_VALUE"""),"PM-PTS-03.04")</f>
        <v>PM-PTS-03.04</v>
      </c>
      <c r="C9" s="218" t="str">
        <f>IFERROR(__xludf.DUMMYFUNCTION("IFERROR(REGEXEXTRACT(B9, ""^[A-Z]+-[A-Z]+-"") &amp; TEXT(VALUE(REGEXEXTRACT(B9, ""-(\d+)\."")), ""00""), """")"),"PM-PTS-03")</f>
        <v>PM-PTS-03</v>
      </c>
      <c r="D9" s="219" t="str">
        <f>IFERROR(VLOOKUP(C9, Content_Creation!B:D, 2, FALSE), IFERROR(VLOOKUP(C9, Project_Management!B:D, 2, FALSE), ""))
&amp; " - "
&amp; IFERROR(VLOOKUP(C9, Content_Creation!B:E, 4, FALSE), IFERROR(VLOOKUP(C9, Project_Management!B:E, 4, FALSE), ""))</f>
        <v>Company Profile - Docs</v>
      </c>
      <c r="E9" s="220" t="str">
        <f>IFERROR(
    VLOOKUP(B8:B1001, Content_Creation!B:D, 3, FALSE),
    IFERROR(VLOOKUP(B8:B1001, Project_Management!B:D, 3, FALSE),"")
  )</f>
        <v>Contact</v>
      </c>
      <c r="F9" s="221" t="str">
        <f>IFERROR(VLOOKUP(B9, Content_Creation!B:F, 5, FALSE), IFERROR(VLOOKUP(B9, Project_Management!B:F, 5, FALSE), ""))</f>
        <v>Talha</v>
      </c>
      <c r="G9" s="222" t="s">
        <v>26</v>
      </c>
      <c r="H9" s="223">
        <f>IFERROR(VLOOKUP(B9, Content_Creation!B:H, 7, FALSE), IFERROR(VLOOKUP(B9, Project_Management!B:H, 7, FALSE), ""))</f>
        <v>45162</v>
      </c>
      <c r="I9" s="224">
        <v>0.0</v>
      </c>
      <c r="J9" s="223">
        <f>IFERROR(VLOOKUP(C9, Content_Creation!B:H, 7, FALSE), IFERROR(VLOOKUP(C9, Project_Management!B:H, 7, FALSE), ""))</f>
        <v>45162</v>
      </c>
      <c r="K9" s="217"/>
      <c r="L9" s="225" t="str">
        <f>IFERROR(VLOOKUP(B9, Data_Validation!X:Y, 2, FALSE), "")</f>
        <v>Done</v>
      </c>
      <c r="M9" s="226" t="str">
        <f t="shared" si="1"/>
        <v>Picture This! | Company Profile - Docs | Contact</v>
      </c>
      <c r="N9" s="226"/>
      <c r="O9" s="226"/>
    </row>
    <row r="10" ht="24.0" customHeight="1">
      <c r="A10" s="216" t="str">
        <f>IFERROR(__xludf.DUMMYFUNCTION("ARRAYFORMULA(IFERROR(VLOOKUP(REGEXEXTRACT(B10, ""-(\w+)-""), {Data_Validation!$F$16:$F$29, Data_Validation!$E$16:$E$29}, 2, FALSE), """"))
"),"Picture This!")</f>
        <v>Picture This!</v>
      </c>
      <c r="B10" s="217" t="str">
        <f>IFERROR(__xludf.DUMMYFUNCTION("""COMPUTED_VALUE"""),"CC-PTS-07.2")</f>
        <v>CC-PTS-07.2</v>
      </c>
      <c r="C10" s="218" t="str">
        <f>IFERROR(__xludf.DUMMYFUNCTION("IFERROR(REGEXEXTRACT(B10, ""^[A-Z]+-[A-Z]+-"") &amp; TEXT(VALUE(REGEXEXTRACT(B10, ""-(\d+)\."")), ""00""), """")"),"CC-PTS-07")</f>
        <v>CC-PTS-07</v>
      </c>
      <c r="D10" s="219" t="str">
        <f>IFERROR(VLOOKUP(C10, Content_Creation!B:D, 2, FALSE), IFERROR(VLOOKUP(C10, Project_Management!B:D, 2, FALSE), ""))
&amp; " - "
&amp; IFERROR(VLOOKUP(C10, Content_Creation!B:E, 4, FALSE), IFERROR(VLOOKUP(C10, Project_Management!B:E, 4, FALSE), ""))</f>
        <v>Startup Mistakes - Shorts</v>
      </c>
      <c r="E10" s="220" t="str">
        <f>IFERROR(
    VLOOKUP(B9:B1001, Content_Creation!B:D, 3, FALSE),
    IFERROR(VLOOKUP(B9:B1001, Project_Management!B:D, 3, FALSE),"")
  )</f>
        <v>Voiceover</v>
      </c>
      <c r="F10" s="221" t="str">
        <f>IFERROR(VLOOKUP(B10, Content_Creation!B:F, 5, FALSE), IFERROR(VLOOKUP(B10, Project_Management!B:F, 5, FALSE), ""))</f>
        <v>Nasser</v>
      </c>
      <c r="G10" s="222" t="s">
        <v>26</v>
      </c>
      <c r="H10" s="223">
        <f>IFERROR(VLOOKUP(B10, Content_Creation!B:H, 7, FALSE), IFERROR(VLOOKUP(B10, Project_Management!B:H, 7, FALSE), ""))</f>
        <v>45163</v>
      </c>
      <c r="I10" s="224">
        <v>0.0</v>
      </c>
      <c r="J10" s="223">
        <f>IFERROR(VLOOKUP(C10, Content_Creation!B:H, 7, FALSE), IFERROR(VLOOKUP(C10, Project_Management!B:H, 7, FALSE), ""))</f>
        <v>45216</v>
      </c>
      <c r="K10" s="225"/>
      <c r="L10" s="225" t="str">
        <f>IFERROR(VLOOKUP(B10, Data_Validation!X:Y, 2, FALSE), "")</f>
        <v>Done</v>
      </c>
      <c r="M10" s="226" t="str">
        <f t="shared" si="1"/>
        <v>Picture This! | Startup Mistakes - Shorts | Voiceover</v>
      </c>
      <c r="N10" s="226"/>
      <c r="O10" s="226"/>
    </row>
    <row r="11" ht="24.0" customHeight="1">
      <c r="A11" s="216" t="str">
        <f>IFERROR(__xludf.DUMMYFUNCTION("ARRAYFORMULA(IFERROR(VLOOKUP(REGEXEXTRACT(B11, ""-(\w+)-""), {Data_Validation!$F$16:$F$29, Data_Validation!$E$16:$E$29}, 2, FALSE), """"))
"),"Picture This!")</f>
        <v>Picture This!</v>
      </c>
      <c r="B11" s="217" t="str">
        <f>IFERROR(__xludf.DUMMYFUNCTION("""COMPUTED_VALUE"""),"PM-PTS-01.05")</f>
        <v>PM-PTS-01.05</v>
      </c>
      <c r="C11" s="218" t="str">
        <f>IFERROR(__xludf.DUMMYFUNCTION("IFERROR(REGEXEXTRACT(B11, ""^[A-Z]+-[A-Z]+-"") &amp; TEXT(VALUE(REGEXEXTRACT(B11, ""-(\d+)\."")), ""00""), """")"),"PM-PTS-01")</f>
        <v>PM-PTS-01</v>
      </c>
      <c r="D11" s="219" t="str">
        <f>IFERROR(VLOOKUP(C11, Content_Creation!B:D, 2, FALSE), IFERROR(VLOOKUP(C11, Project_Management!B:D, 2, FALSE), ""))
&amp; " - "
&amp; IFERROR(VLOOKUP(C11, Content_Creation!B:E, 4, FALSE), IFERROR(VLOOKUP(C11, Project_Management!B:E, 4, FALSE), ""))</f>
        <v>SOPs - Misc</v>
      </c>
      <c r="E11" s="220" t="str">
        <f>IFERROR(
    VLOOKUP(B10:B1001, Content_Creation!B:D, 3, FALSE),
    IFERROR(VLOOKUP(B10:B1001, Project_Management!B:D, 3, FALSE),"")
  )</f>
        <v>Videos </v>
      </c>
      <c r="F11" s="221" t="str">
        <f>IFERROR(VLOOKUP(B11, Content_Creation!B:F, 5, FALSE), IFERROR(VLOOKUP(B11, Project_Management!B:F, 5, FALSE), ""))</f>
        <v>Nasser</v>
      </c>
      <c r="G11" s="222" t="s">
        <v>26</v>
      </c>
      <c r="H11" s="223">
        <f>IFERROR(VLOOKUP(B11, Content_Creation!B:H, 7, FALSE), IFERROR(VLOOKUP(B11, Project_Management!B:H, 7, FALSE), ""))</f>
        <v>45163</v>
      </c>
      <c r="I11" s="224">
        <v>0.0</v>
      </c>
      <c r="J11" s="223">
        <f>IFERROR(VLOOKUP(C11, Content_Creation!B:H, 7, FALSE), IFERROR(VLOOKUP(C11, Project_Management!B:H, 7, FALSE), ""))</f>
        <v>45240</v>
      </c>
      <c r="K11" s="217"/>
      <c r="L11" s="225" t="str">
        <f>IFERROR(VLOOKUP(B11, Data_Validation!X:Y, 2, FALSE), "")</f>
        <v>Done</v>
      </c>
      <c r="M11" s="226" t="str">
        <f t="shared" si="1"/>
        <v>Picture This! | SOPs - Misc | Videos </v>
      </c>
      <c r="N11" s="226"/>
      <c r="O11" s="226"/>
    </row>
    <row r="12" ht="24.0" customHeight="1">
      <c r="A12" s="216" t="str">
        <f>IFERROR(__xludf.DUMMYFUNCTION("ARRAYFORMULA(IFERROR(VLOOKUP(REGEXEXTRACT(B12, ""-(\w+)-""), {Data_Validation!$F$16:$F$29, Data_Validation!$E$16:$E$29}, 2, FALSE), """"))
"),"Nvidia")</f>
        <v>Nvidia</v>
      </c>
      <c r="B12" s="217" t="str">
        <f>IFERROR(__xludf.DUMMYFUNCTION("""COMPUTED_VALUE"""),"CC-NVI-12.01")</f>
        <v>CC-NVI-12.01</v>
      </c>
      <c r="C12" s="218" t="str">
        <f>IFERROR(__xludf.DUMMYFUNCTION("IFERROR(REGEXEXTRACT(B12, ""^[A-Z]+-[A-Z]+-"") &amp; TEXT(VALUE(REGEXEXTRACT(B12, ""-(\d+)\."")), ""00""), """")"),"CC-NVI-12")</f>
        <v>CC-NVI-12</v>
      </c>
      <c r="D12" s="219" t="str">
        <f>IFERROR(VLOOKUP(C12, Content_Creation!B:D, 2, FALSE), IFERROR(VLOOKUP(C12, Project_Management!B:D, 2, FALSE), ""))
&amp; " - "
&amp; IFERROR(VLOOKUP(C12, Content_Creation!B:E, 4, FALSE), IFERROR(VLOOKUP(C12, Project_Management!B:E, 4, FALSE), ""))</f>
        <v>Cyberpunk - Phantom Liberty - Shorts</v>
      </c>
      <c r="E12" s="220" t="str">
        <f>IFERROR(
    VLOOKUP(B11:B1001, Content_Creation!B:D, 3, FALSE),
    IFERROR(VLOOKUP(B11:B1001, Project_Management!B:D, 3, FALSE),"")
  )</f>
        <v>Script</v>
      </c>
      <c r="F12" s="221" t="str">
        <f>IFERROR(VLOOKUP(B12, Content_Creation!B:F, 5, FALSE), IFERROR(VLOOKUP(B12, Project_Management!B:F, 5, FALSE), ""))</f>
        <v>Nasser</v>
      </c>
      <c r="G12" s="222" t="s">
        <v>26</v>
      </c>
      <c r="H12" s="223">
        <f>IFERROR(VLOOKUP(B12, Content_Creation!B:H, 7, FALSE), IFERROR(VLOOKUP(B12, Project_Management!B:H, 7, FALSE), ""))</f>
        <v>45194.73787</v>
      </c>
      <c r="I12" s="224">
        <v>0.0</v>
      </c>
      <c r="J12" s="223">
        <f>IFERROR(VLOOKUP(C12, Content_Creation!B:H, 7, FALSE), IFERROR(VLOOKUP(C12, Project_Management!B:H, 7, FALSE), ""))</f>
        <v>45195</v>
      </c>
      <c r="K12" s="217"/>
      <c r="L12" s="225" t="str">
        <f>IFERROR(VLOOKUP(B12, Data_Validation!X:Y, 2, FALSE), "")</f>
        <v>Done</v>
      </c>
      <c r="M12" s="226" t="str">
        <f t="shared" si="1"/>
        <v>Nvidia | Cyberpunk - Phantom Liberty - Shorts | Script</v>
      </c>
      <c r="N12" s="226"/>
      <c r="O12" s="226"/>
    </row>
    <row r="13" ht="24.0" customHeight="1">
      <c r="A13" s="216" t="str">
        <f>IFERROR(__xludf.DUMMYFUNCTION("ARRAYFORMULA(IFERROR(VLOOKUP(REGEXEXTRACT(B13, ""-(\w+)-""), {Data_Validation!$F$16:$F$29, Data_Validation!$E$16:$E$29}, 2, FALSE), """"))
"),"Picture This!")</f>
        <v>Picture This!</v>
      </c>
      <c r="B13" s="217" t="str">
        <f>IFERROR(__xludf.DUMMYFUNCTION("""COMPUTED_VALUE"""),"CC-PTS-09.2")</f>
        <v>CC-PTS-09.2</v>
      </c>
      <c r="C13" s="218" t="str">
        <f>IFERROR(__xludf.DUMMYFUNCTION("IFERROR(REGEXEXTRACT(B13, ""^[A-Z]+-[A-Z]+-"") &amp; TEXT(VALUE(REGEXEXTRACT(B13, ""-(\d+)\."")), ""00""), """")"),"CC-PTS-09")</f>
        <v>CC-PTS-09</v>
      </c>
      <c r="D13" s="219" t="str">
        <f>IFERROR(VLOOKUP(C13, Content_Creation!B:D, 2, FALSE), IFERROR(VLOOKUP(C13, Project_Management!B:D, 2, FALSE), ""))
&amp; " - "
&amp; IFERROR(VLOOKUP(C13, Content_Creation!B:E, 4, FALSE), IFERROR(VLOOKUP(C13, Project_Management!B:E, 4, FALSE), ""))</f>
        <v>What is Sales Funnel - Blog</v>
      </c>
      <c r="E13" s="220" t="str">
        <f>IFERROR(
    VLOOKUP(B12:B1001, Content_Creation!B:D, 3, FALSE),
    IFERROR(VLOOKUP(B12:B1001, Project_Management!B:D, 3, FALSE),"")
  )</f>
        <v>Images</v>
      </c>
      <c r="F13" s="221" t="str">
        <f>IFERROR(VLOOKUP(B13, Content_Creation!B:F, 5, FALSE), IFERROR(VLOOKUP(B13, Project_Management!B:F, 5, FALSE), ""))</f>
        <v>Naveen</v>
      </c>
      <c r="G13" s="222" t="s">
        <v>26</v>
      </c>
      <c r="H13" s="223">
        <f>IFERROR(VLOOKUP(B13, Content_Creation!B:H, 7, FALSE), IFERROR(VLOOKUP(B13, Project_Management!B:H, 7, FALSE), ""))</f>
        <v>45182</v>
      </c>
      <c r="I13" s="224">
        <v>0.0</v>
      </c>
      <c r="J13" s="223">
        <f>IFERROR(VLOOKUP(C13, Content_Creation!B:H, 7, FALSE), IFERROR(VLOOKUP(C13, Project_Management!B:H, 7, FALSE), ""))</f>
        <v>45216</v>
      </c>
      <c r="K13" s="217"/>
      <c r="L13" s="225" t="str">
        <f>IFERROR(VLOOKUP(B13, Data_Validation!X:Y, 2, FALSE), "")</f>
        <v>Done</v>
      </c>
      <c r="M13" s="226" t="str">
        <f t="shared" si="1"/>
        <v>Picture This! | What is Sales Funnel - Blog | Images</v>
      </c>
      <c r="N13" s="226"/>
      <c r="O13" s="226"/>
    </row>
    <row r="14" ht="24.0" customHeight="1">
      <c r="A14" s="216" t="str">
        <f>IFERROR(__xludf.DUMMYFUNCTION("ARRAYFORMULA(IFERROR(VLOOKUP(REGEXEXTRACT(B14, ""-(\w+)-""), {Data_Validation!$F$16:$F$29, Data_Validation!$E$16:$E$29}, 2, FALSE), """"))
"),"Picture This!")</f>
        <v>Picture This!</v>
      </c>
      <c r="B14" s="217" t="str">
        <f>IFERROR(__xludf.DUMMYFUNCTION("""COMPUTED_VALUE"""),"CC-PTS-07.3")</f>
        <v>CC-PTS-07.3</v>
      </c>
      <c r="C14" s="218" t="str">
        <f>IFERROR(__xludf.DUMMYFUNCTION("IFERROR(REGEXEXTRACT(B14, ""^[A-Z]+-[A-Z]+-"") &amp; TEXT(VALUE(REGEXEXTRACT(B14, ""-(\d+)\."")), ""00""), """")"),"CC-PTS-07")</f>
        <v>CC-PTS-07</v>
      </c>
      <c r="D14" s="219" t="str">
        <f>IFERROR(VLOOKUP(C14, Content_Creation!B:D, 2, FALSE), IFERROR(VLOOKUP(C14, Project_Management!B:D, 2, FALSE), ""))
&amp; " - "
&amp; IFERROR(VLOOKUP(C14, Content_Creation!B:E, 4, FALSE), IFERROR(VLOOKUP(C14, Project_Management!B:E, 4, FALSE), ""))</f>
        <v>Startup Mistakes - Shorts</v>
      </c>
      <c r="E14" s="220" t="str">
        <f>IFERROR(
    VLOOKUP(B13:B1001, Content_Creation!B:D, 3, FALSE),
    IFERROR(VLOOKUP(B13:B1001, Project_Management!B:D, 3, FALSE),"")
  )</f>
        <v>Edit</v>
      </c>
      <c r="F14" s="221" t="str">
        <f>IFERROR(VLOOKUP(B14, Content_Creation!B:F, 5, FALSE), IFERROR(VLOOKUP(B14, Project_Management!B:F, 5, FALSE), ""))</f>
        <v>Tazeen</v>
      </c>
      <c r="G14" s="222" t="s">
        <v>26</v>
      </c>
      <c r="H14" s="223">
        <f>IFERROR(VLOOKUP(B14, Content_Creation!B:H, 7, FALSE), IFERROR(VLOOKUP(B14, Project_Management!B:H, 7, FALSE), ""))</f>
        <v>45183</v>
      </c>
      <c r="I14" s="224">
        <v>0.08333333333333333</v>
      </c>
      <c r="J14" s="223">
        <f>IFERROR(VLOOKUP(C14, Content_Creation!B:H, 7, FALSE), IFERROR(VLOOKUP(C14, Project_Management!B:H, 7, FALSE), ""))</f>
        <v>45216</v>
      </c>
      <c r="K14" s="217"/>
      <c r="L14" s="225" t="str">
        <f>IFERROR(VLOOKUP(B14, Data_Validation!X:Y, 2, FALSE), "")</f>
        <v>Done</v>
      </c>
      <c r="M14" s="226" t="str">
        <f t="shared" si="1"/>
        <v>Picture This! | Startup Mistakes - Shorts | Edit</v>
      </c>
      <c r="N14" s="226"/>
      <c r="O14" s="226"/>
    </row>
    <row r="15" ht="24.0" customHeight="1">
      <c r="A15" s="216" t="str">
        <f>IFERROR(__xludf.DUMMYFUNCTION("ARRAYFORMULA(IFERROR(VLOOKUP(REGEXEXTRACT(B15, ""-(\w+)-""), {Data_Validation!$F$16:$F$29, Data_Validation!$E$16:$E$29}, 2, FALSE), """"))
"),"Nvidia")</f>
        <v>Nvidia</v>
      </c>
      <c r="B15" s="217" t="str">
        <f>IFERROR(__xludf.DUMMYFUNCTION("""COMPUTED_VALUE"""),"CC-NVI-01.02")</f>
        <v>CC-NVI-01.02</v>
      </c>
      <c r="C15" s="218" t="str">
        <f>IFERROR(__xludf.DUMMYFUNCTION("IFERROR(REGEXEXTRACT(B15, ""^[A-Z]+-[A-Z]+-"") &amp; TEXT(VALUE(REGEXEXTRACT(B15, ""-(\d+)\."")), ""00""), """")"),"CC-NVI-01")</f>
        <v>CC-NVI-01</v>
      </c>
      <c r="D15" s="219" t="str">
        <f>IFERROR(VLOOKUP(C15, Content_Creation!B:D, 2, FALSE), IFERROR(VLOOKUP(C15, Project_Management!B:D, 2, FALSE), ""))
&amp; " - "
&amp; IFERROR(VLOOKUP(C15, Content_Creation!B:E, 4, FALSE), IFERROR(VLOOKUP(C15, Project_Management!B:E, 4, FALSE), ""))</f>
        <v>Asus F15 | RTX 2050 - Shorts</v>
      </c>
      <c r="E15" s="220" t="str">
        <f>IFERROR(
    VLOOKUP(B14:B1001, Content_Creation!B:D, 3, FALSE),
    IFERROR(VLOOKUP(B14:B1001, Project_Management!B:D, 3, FALSE),"")
  )</f>
        <v>Script</v>
      </c>
      <c r="F15" s="221" t="str">
        <f>IFERROR(VLOOKUP(B15, Content_Creation!B:F, 5, FALSE), IFERROR(VLOOKUP(B15, Project_Management!B:F, 5, FALSE), ""))</f>
        <v>Nasser</v>
      </c>
      <c r="G15" s="222" t="s">
        <v>26</v>
      </c>
      <c r="H15" s="223">
        <f>IFERROR(VLOOKUP(B15, Content_Creation!B:H, 7, FALSE), IFERROR(VLOOKUP(B15, Project_Management!B:H, 7, FALSE), ""))</f>
        <v>45188</v>
      </c>
      <c r="I15" s="224">
        <v>0.0</v>
      </c>
      <c r="J15" s="223">
        <f>IFERROR(VLOOKUP(C15, Content_Creation!B:H, 7, FALSE), IFERROR(VLOOKUP(C15, Project_Management!B:H, 7, FALSE), ""))</f>
        <v>45178</v>
      </c>
      <c r="K15" s="217"/>
      <c r="L15" s="225" t="str">
        <f>IFERROR(VLOOKUP(B15, Data_Validation!X:Y, 2, FALSE), "")</f>
        <v>Done</v>
      </c>
      <c r="M15" s="226" t="str">
        <f t="shared" si="1"/>
        <v>Nvidia | Asus F15 | RTX 2050 - Shorts | Script</v>
      </c>
      <c r="N15" s="226"/>
      <c r="O15" s="226"/>
    </row>
    <row r="16" ht="24.0" customHeight="1">
      <c r="A16" s="216" t="str">
        <f>IFERROR(__xludf.DUMMYFUNCTION("ARRAYFORMULA(IFERROR(VLOOKUP(REGEXEXTRACT(B16, ""-(\w+)-""), {Data_Validation!$F$16:$F$29, Data_Validation!$E$16:$E$29}, 2, FALSE), """"))
"),"Nvidia")</f>
        <v>Nvidia</v>
      </c>
      <c r="B16" s="217" t="str">
        <f>IFERROR(__xludf.DUMMYFUNCTION("""COMPUTED_VALUE"""),"CC-NVI-01.03")</f>
        <v>CC-NVI-01.03</v>
      </c>
      <c r="C16" s="218" t="str">
        <f>IFERROR(__xludf.DUMMYFUNCTION("IFERROR(REGEXEXTRACT(B16, ""^[A-Z]+-[A-Z]+-"") &amp; TEXT(VALUE(REGEXEXTRACT(B16, ""-(\d+)\."")), ""00""), """")"),"CC-NVI-01")</f>
        <v>CC-NVI-01</v>
      </c>
      <c r="D16" s="219" t="str">
        <f>IFERROR(VLOOKUP(C16, Content_Creation!B:D, 2, FALSE), IFERROR(VLOOKUP(C16, Project_Management!B:D, 2, FALSE), ""))
&amp; " - "
&amp; IFERROR(VLOOKUP(C16, Content_Creation!B:E, 4, FALSE), IFERROR(VLOOKUP(C16, Project_Management!B:E, 4, FALSE), ""))</f>
        <v>Asus F15 | RTX 2050 - Shorts</v>
      </c>
      <c r="E16" s="220" t="str">
        <f>IFERROR(
    VLOOKUP(B15:B1001, Content_Creation!B:D, 3, FALSE),
    IFERROR(VLOOKUP(B15:B1001, Project_Management!B:D, 3, FALSE),"")
  )</f>
        <v>Shoot</v>
      </c>
      <c r="F16" s="221" t="str">
        <f>IFERROR(VLOOKUP(B16, Content_Creation!B:F, 5, FALSE), IFERROR(VLOOKUP(B16, Project_Management!B:F, 5, FALSE), ""))</f>
        <v>Naveen</v>
      </c>
      <c r="G16" s="222" t="s">
        <v>26</v>
      </c>
      <c r="H16" s="223">
        <f>IFERROR(VLOOKUP(B16, Content_Creation!B:H, 7, FALSE), IFERROR(VLOOKUP(B16, Project_Management!B:H, 7, FALSE), ""))</f>
        <v>45189</v>
      </c>
      <c r="I16" s="224">
        <v>0.0</v>
      </c>
      <c r="J16" s="223">
        <f>IFERROR(VLOOKUP(C16, Content_Creation!B:H, 7, FALSE), IFERROR(VLOOKUP(C16, Project_Management!B:H, 7, FALSE), ""))</f>
        <v>45178</v>
      </c>
      <c r="K16" s="217"/>
      <c r="L16" s="225" t="str">
        <f>IFERROR(VLOOKUP(B16, Data_Validation!X:Y, 2, FALSE), "")</f>
        <v>Done</v>
      </c>
      <c r="M16" s="226" t="str">
        <f t="shared" si="1"/>
        <v>Nvidia | Asus F15 | RTX 2050 - Shorts | Shoot</v>
      </c>
      <c r="N16" s="226"/>
      <c r="O16" s="226"/>
    </row>
    <row r="17" ht="24.0" customHeight="1">
      <c r="A17" s="216" t="str">
        <f>IFERROR(__xludf.DUMMYFUNCTION("ARRAYFORMULA(IFERROR(VLOOKUP(REGEXEXTRACT(B17, ""-(\w+)-""), {Data_Validation!$F$16:$F$29, Data_Validation!$E$16:$E$29}, 2, FALSE), """"))
"),"Picture This!")</f>
        <v>Picture This!</v>
      </c>
      <c r="B17" s="217" t="str">
        <f>IFERROR(__xludf.DUMMYFUNCTION("""COMPUTED_VALUE"""),"PM-PTS-05.01")</f>
        <v>PM-PTS-05.01</v>
      </c>
      <c r="C17" s="218" t="str">
        <f>IFERROR(__xludf.DUMMYFUNCTION("IFERROR(REGEXEXTRACT(B17, ""^[A-Z]+-[A-Z]+-"") &amp; TEXT(VALUE(REGEXEXTRACT(B17, ""-(\d+)\."")), ""00""), """")"),"PM-PTS-05")</f>
        <v>PM-PTS-05</v>
      </c>
      <c r="D17" s="219" t="str">
        <f>IFERROR(VLOOKUP(C17, Content_Creation!B:D, 2, FALSE), IFERROR(VLOOKUP(C17, Project_Management!B:D, 2, FALSE), ""))
&amp; " - "
&amp; IFERROR(VLOOKUP(C17, Content_Creation!B:E, 4, FALSE), IFERROR(VLOOKUP(C17, Project_Management!B:E, 4, FALSE), ""))</f>
        <v>Picture This- AdHoc - Website</v>
      </c>
      <c r="E17" s="220" t="str">
        <f>IFERROR(
    VLOOKUP(B16:B1001, Content_Creation!B:D, 3, FALSE),
    IFERROR(VLOOKUP(B16:B1001, Project_Management!B:D, 3, FALSE),"")
  )</f>
        <v>Clients Update</v>
      </c>
      <c r="F17" s="221" t="str">
        <f>IFERROR(VLOOKUP(B17, Content_Creation!B:F, 5, FALSE), IFERROR(VLOOKUP(B17, Project_Management!B:F, 5, FALSE), ""))</f>
        <v>Talha</v>
      </c>
      <c r="G17" s="222" t="s">
        <v>26</v>
      </c>
      <c r="H17" s="223">
        <f>IFERROR(VLOOKUP(B17, Content_Creation!B:H, 7, FALSE), IFERROR(VLOOKUP(B17, Project_Management!B:H, 7, FALSE), ""))</f>
        <v>45190.4309</v>
      </c>
      <c r="I17" s="224">
        <v>0.0</v>
      </c>
      <c r="J17" s="223">
        <f>IFERROR(VLOOKUP(C17, Content_Creation!B:H, 7, FALSE), IFERROR(VLOOKUP(C17, Project_Management!B:H, 7, FALSE), ""))</f>
        <v>45241</v>
      </c>
      <c r="K17" s="217"/>
      <c r="L17" s="225" t="str">
        <f>IFERROR(VLOOKUP(B17, Data_Validation!X:Y, 2, FALSE), "")</f>
        <v>Done</v>
      </c>
      <c r="M17" s="226" t="str">
        <f t="shared" si="1"/>
        <v>Picture This! | Picture This- AdHoc - Website | Clients Update</v>
      </c>
      <c r="N17" s="226"/>
      <c r="O17" s="226"/>
    </row>
    <row r="18" ht="24.0" customHeight="1">
      <c r="A18" s="216" t="str">
        <f>IFERROR(__xludf.DUMMYFUNCTION("ARRAYFORMULA(IFERROR(VLOOKUP(REGEXEXTRACT(B18, ""-(\w+)-""), {Data_Validation!$F$16:$F$29, Data_Validation!$E$16:$E$29}, 2, FALSE), """"))
"),"Picture This!")</f>
        <v>Picture This!</v>
      </c>
      <c r="B18" s="217" t="str">
        <f>IFERROR(__xludf.DUMMYFUNCTION("""COMPUTED_VALUE"""),"PM-PTS-05.02")</f>
        <v>PM-PTS-05.02</v>
      </c>
      <c r="C18" s="218" t="str">
        <f>IFERROR(__xludf.DUMMYFUNCTION("IFERROR(REGEXEXTRACT(B18, ""^[A-Z]+-[A-Z]+-"") &amp; TEXT(VALUE(REGEXEXTRACT(B18, ""-(\d+)\."")), ""00""), """")"),"PM-PTS-05")</f>
        <v>PM-PTS-05</v>
      </c>
      <c r="D18" s="219" t="str">
        <f>IFERROR(VLOOKUP(C18, Content_Creation!B:D, 2, FALSE), IFERROR(VLOOKUP(C18, Project_Management!B:D, 2, FALSE), ""))
&amp; " - "
&amp; IFERROR(VLOOKUP(C18, Content_Creation!B:E, 4, FALSE), IFERROR(VLOOKUP(C18, Project_Management!B:E, 4, FALSE), ""))</f>
        <v>Picture This- AdHoc - Website</v>
      </c>
      <c r="E18" s="220" t="str">
        <f>IFERROR(
    VLOOKUP(B17:B1001, Content_Creation!B:D, 3, FALSE),
    IFERROR(VLOOKUP(B17:B1001, Project_Management!B:D, 3, FALSE),"")
  )</f>
        <v>Testimonials</v>
      </c>
      <c r="F18" s="221" t="str">
        <f>IFERROR(VLOOKUP(B18, Content_Creation!B:F, 5, FALSE), IFERROR(VLOOKUP(B18, Project_Management!B:F, 5, FALSE), ""))</f>
        <v>Talha</v>
      </c>
      <c r="G18" s="222" t="s">
        <v>26</v>
      </c>
      <c r="H18" s="223">
        <f>IFERROR(VLOOKUP(B18, Content_Creation!B:H, 7, FALSE), IFERROR(VLOOKUP(B18, Project_Management!B:H, 7, FALSE), ""))</f>
        <v>45190</v>
      </c>
      <c r="I18" s="224">
        <v>0.0</v>
      </c>
      <c r="J18" s="223">
        <f>IFERROR(VLOOKUP(C18, Content_Creation!B:H, 7, FALSE), IFERROR(VLOOKUP(C18, Project_Management!B:H, 7, FALSE), ""))</f>
        <v>45241</v>
      </c>
      <c r="K18" s="217"/>
      <c r="L18" s="225" t="str">
        <f>IFERROR(VLOOKUP(B18, Data_Validation!X:Y, 2, FALSE), "")</f>
        <v>Done</v>
      </c>
      <c r="M18" s="226" t="str">
        <f t="shared" si="1"/>
        <v>Picture This! | Picture This- AdHoc - Website | Testimonials</v>
      </c>
      <c r="N18" s="226"/>
      <c r="O18" s="226"/>
    </row>
    <row r="19" ht="24.0" customHeight="1">
      <c r="A19" s="216" t="str">
        <f>IFERROR(__xludf.DUMMYFUNCTION("ARRAYFORMULA(IFERROR(VLOOKUP(REGEXEXTRACT(B19, ""-(\w+)-""), {Data_Validation!$F$16:$F$29, Data_Validation!$E$16:$E$29}, 2, FALSE), """"))
"),"Picture This!")</f>
        <v>Picture This!</v>
      </c>
      <c r="B19" s="217" t="str">
        <f>IFERROR(__xludf.DUMMYFUNCTION("""COMPUTED_VALUE"""),"PM-PTS-01.03")</f>
        <v>PM-PTS-01.03</v>
      </c>
      <c r="C19" s="218" t="str">
        <f>IFERROR(__xludf.DUMMYFUNCTION("IFERROR(REGEXEXTRACT(B19, ""^[A-Z]+-[A-Z]+-"") &amp; TEXT(VALUE(REGEXEXTRACT(B19, ""-(\d+)\."")), ""00""), """")"),"PM-PTS-01")</f>
        <v>PM-PTS-01</v>
      </c>
      <c r="D19" s="219" t="str">
        <f>IFERROR(VLOOKUP(C19, Content_Creation!B:D, 2, FALSE), IFERROR(VLOOKUP(C19, Project_Management!B:D, 2, FALSE), ""))
&amp; " - "
&amp; IFERROR(VLOOKUP(C19, Content_Creation!B:E, 4, FALSE), IFERROR(VLOOKUP(C19, Project_Management!B:E, 4, FALSE), ""))</f>
        <v>SOPs - Misc</v>
      </c>
      <c r="E19" s="220" t="str">
        <f>IFERROR(
    VLOOKUP(B18:B1001, Content_Creation!B:D, 3, FALSE),
    IFERROR(VLOOKUP(B18:B1001, Project_Management!B:D, 3, FALSE),"")
  )</f>
        <v>Image Graphics</v>
      </c>
      <c r="F19" s="221" t="str">
        <f>IFERROR(VLOOKUP(B19, Content_Creation!B:F, 5, FALSE), IFERROR(VLOOKUP(B19, Project_Management!B:F, 5, FALSE), ""))</f>
        <v>Naveen</v>
      </c>
      <c r="G19" s="222" t="s">
        <v>26</v>
      </c>
      <c r="H19" s="223">
        <f>IFERROR(VLOOKUP(B19, Content_Creation!B:H, 7, FALSE), IFERROR(VLOOKUP(B19, Project_Management!B:H, 7, FALSE), ""))</f>
        <v>45191</v>
      </c>
      <c r="I19" s="224">
        <v>0.0</v>
      </c>
      <c r="J19" s="223">
        <f>IFERROR(VLOOKUP(C19, Content_Creation!B:H, 7, FALSE), IFERROR(VLOOKUP(C19, Project_Management!B:H, 7, FALSE), ""))</f>
        <v>45240</v>
      </c>
      <c r="K19" s="225"/>
      <c r="L19" s="225" t="str">
        <f>IFERROR(VLOOKUP(B19, Data_Validation!X:Y, 2, FALSE), "")</f>
        <v>Done</v>
      </c>
      <c r="M19" s="226" t="str">
        <f t="shared" si="1"/>
        <v>Picture This! | SOPs - Misc | Image Graphics</v>
      </c>
      <c r="N19" s="226"/>
      <c r="O19" s="226"/>
    </row>
    <row r="20" ht="24.0" customHeight="1">
      <c r="A20" s="216" t="str">
        <f>IFERROR(__xludf.DUMMYFUNCTION("ARRAYFORMULA(IFERROR(VLOOKUP(REGEXEXTRACT(B20, ""-(\w+)-""), {Data_Validation!$F$16:$F$29, Data_Validation!$E$16:$E$29}, 2, FALSE), """"))
"),"Nvidia")</f>
        <v>Nvidia</v>
      </c>
      <c r="B20" s="217" t="str">
        <f>IFERROR(__xludf.DUMMYFUNCTION("""COMPUTED_VALUE"""),"CC-NVI-02.01")</f>
        <v>CC-NVI-02.01</v>
      </c>
      <c r="C20" s="218" t="str">
        <f>IFERROR(__xludf.DUMMYFUNCTION("IFERROR(REGEXEXTRACT(B20, ""^[A-Z]+-[A-Z]+-"") &amp; TEXT(VALUE(REGEXEXTRACT(B20, ""-(\d+)\."")), ""00""), """")"),"CC-NVI-02")</f>
        <v>CC-NVI-02</v>
      </c>
      <c r="D20" s="219" t="str">
        <f>IFERROR(VLOOKUP(C20, Content_Creation!B:D, 2, FALSE), IFERROR(VLOOKUP(C20, Project_Management!B:D, 2, FALSE), ""))
&amp; " - "
&amp; IFERROR(VLOOKUP(C20, Content_Creation!B:E, 4, FALSE), IFERROR(VLOOKUP(C20, Project_Management!B:E, 4, FALSE), ""))</f>
        <v>MSI Sword 15 | RTX 4060 - Shorts</v>
      </c>
      <c r="E20" s="220" t="str">
        <f>IFERROR(
    VLOOKUP(B19:B1001, Content_Creation!B:D, 3, FALSE),
    IFERROR(VLOOKUP(B19:B1001, Project_Management!B:D, 3, FALSE),"")
  )</f>
        <v>Script</v>
      </c>
      <c r="F20" s="221" t="str">
        <f>IFERROR(VLOOKUP(B20, Content_Creation!B:F, 5, FALSE), IFERROR(VLOOKUP(B20, Project_Management!B:F, 5, FALSE), ""))</f>
        <v>Nasser</v>
      </c>
      <c r="G20" s="222" t="s">
        <v>26</v>
      </c>
      <c r="H20" s="223">
        <f>IFERROR(VLOOKUP(B20, Content_Creation!B:H, 7, FALSE), IFERROR(VLOOKUP(B20, Project_Management!B:H, 7, FALSE), ""))</f>
        <v>45192</v>
      </c>
      <c r="I20" s="224">
        <v>0.0</v>
      </c>
      <c r="J20" s="223">
        <f>IFERROR(VLOOKUP(C20, Content_Creation!B:H, 7, FALSE), IFERROR(VLOOKUP(C20, Project_Management!B:H, 7, FALSE), ""))</f>
        <v>45198</v>
      </c>
      <c r="K20" s="217"/>
      <c r="L20" s="225" t="str">
        <f>IFERROR(VLOOKUP(B20, Data_Validation!X:Y, 2, FALSE), "")</f>
        <v>Done</v>
      </c>
      <c r="M20" s="226" t="str">
        <f t="shared" si="1"/>
        <v>Nvidia | MSI Sword 15 | RTX 4060 - Shorts | Script</v>
      </c>
      <c r="N20" s="226"/>
      <c r="O20" s="226"/>
    </row>
    <row r="21" ht="24.0" customHeight="1">
      <c r="A21" s="216" t="str">
        <f>IFERROR(__xludf.DUMMYFUNCTION("ARRAYFORMULA(IFERROR(VLOOKUP(REGEXEXTRACT(B21, ""-(\w+)-""), {Data_Validation!$F$16:$F$29, Data_Validation!$E$16:$E$29}, 2, FALSE), """"))
"),"Nvidia")</f>
        <v>Nvidia</v>
      </c>
      <c r="B21" s="217" t="str">
        <f>IFERROR(__xludf.DUMMYFUNCTION("""COMPUTED_VALUE"""),"CC-NVI-02.02")</f>
        <v>CC-NVI-02.02</v>
      </c>
      <c r="C21" s="218" t="str">
        <f>IFERROR(__xludf.DUMMYFUNCTION("IFERROR(REGEXEXTRACT(B21, ""^[A-Z]+-[A-Z]+-"") &amp; TEXT(VALUE(REGEXEXTRACT(B21, ""-(\d+)\."")), ""00""), """")"),"CC-NVI-02")</f>
        <v>CC-NVI-02</v>
      </c>
      <c r="D21" s="219" t="str">
        <f>IFERROR(VLOOKUP(C21, Content_Creation!B:D, 2, FALSE), IFERROR(VLOOKUP(C21, Project_Management!B:D, 2, FALSE), ""))
&amp; " - "
&amp; IFERROR(VLOOKUP(C21, Content_Creation!B:E, 4, FALSE), IFERROR(VLOOKUP(C21, Project_Management!B:E, 4, FALSE), ""))</f>
        <v>MSI Sword 15 | RTX 4060 - Shorts</v>
      </c>
      <c r="E21" s="220" t="str">
        <f>IFERROR(
    VLOOKUP(B20:B1001, Content_Creation!B:D, 3, FALSE),
    IFERROR(VLOOKUP(B20:B1001, Project_Management!B:D, 3, FALSE),"")
  )</f>
        <v>Shoot</v>
      </c>
      <c r="F21" s="221" t="str">
        <f>IFERROR(VLOOKUP(B21, Content_Creation!B:F, 5, FALSE), IFERROR(VLOOKUP(B21, Project_Management!B:F, 5, FALSE), ""))</f>
        <v>Naveen</v>
      </c>
      <c r="G21" s="222" t="s">
        <v>26</v>
      </c>
      <c r="H21" s="223">
        <f>IFERROR(VLOOKUP(B21, Content_Creation!B:H, 7, FALSE), IFERROR(VLOOKUP(B21, Project_Management!B:H, 7, FALSE), ""))</f>
        <v>45192</v>
      </c>
      <c r="I21" s="224">
        <v>0.0</v>
      </c>
      <c r="J21" s="223">
        <f>IFERROR(VLOOKUP(C21, Content_Creation!B:H, 7, FALSE), IFERROR(VLOOKUP(C21, Project_Management!B:H, 7, FALSE), ""))</f>
        <v>45198</v>
      </c>
      <c r="K21" s="217"/>
      <c r="L21" s="225" t="str">
        <f>IFERROR(VLOOKUP(B21, Data_Validation!X:Y, 2, FALSE), "")</f>
        <v>Done</v>
      </c>
      <c r="M21" s="226" t="str">
        <f t="shared" si="1"/>
        <v>Nvidia | MSI Sword 15 | RTX 4060 - Shorts | Shoot</v>
      </c>
      <c r="N21" s="226"/>
      <c r="O21" s="226"/>
    </row>
    <row r="22" ht="24.0" customHeight="1">
      <c r="A22" s="216" t="str">
        <f>IFERROR(__xludf.DUMMYFUNCTION("ARRAYFORMULA(IFERROR(VLOOKUP(REGEXEXTRACT(B22, ""-(\w+)-""), {Data_Validation!$F$16:$F$29, Data_Validation!$E$16:$E$29}, 2, FALSE), """"))
"),"Nvidia")</f>
        <v>Nvidia</v>
      </c>
      <c r="B22" s="217" t="str">
        <f>IFERROR(__xludf.DUMMYFUNCTION("""COMPUTED_VALUE"""),"CC-NVI-04.01")</f>
        <v>CC-NVI-04.01</v>
      </c>
      <c r="C22" s="218" t="str">
        <f>IFERROR(__xludf.DUMMYFUNCTION("IFERROR(REGEXEXTRACT(B22, ""^[A-Z]+-[A-Z]+-"") &amp; TEXT(VALUE(REGEXEXTRACT(B22, ""-(\d+)\."")), ""00""), """")"),"CC-NVI-04")</f>
        <v>CC-NVI-04</v>
      </c>
      <c r="D22" s="219" t="str">
        <f>IFERROR(VLOOKUP(C22, Content_Creation!B:D, 2, FALSE), IFERROR(VLOOKUP(C22, Project_Management!B:D, 2, FALSE), ""))
&amp; " - "
&amp; IFERROR(VLOOKUP(C22, Content_Creation!B:E, 4, FALSE), IFERROR(VLOOKUP(C22, Project_Management!B:E, 4, FALSE), ""))</f>
        <v>Lenovo Legion | RTX 4060 - Shorts</v>
      </c>
      <c r="E22" s="220" t="str">
        <f>IFERROR(
    VLOOKUP(B21:B1001, Content_Creation!B:D, 3, FALSE),
    IFERROR(VLOOKUP(B21:B1001, Project_Management!B:D, 3, FALSE),"")
  )</f>
        <v>Script</v>
      </c>
      <c r="F22" s="221" t="str">
        <f>IFERROR(VLOOKUP(B22, Content_Creation!B:F, 5, FALSE), IFERROR(VLOOKUP(B22, Project_Management!B:F, 5, FALSE), ""))</f>
        <v>Nasser</v>
      </c>
      <c r="G22" s="222" t="s">
        <v>26</v>
      </c>
      <c r="H22" s="223">
        <f>IFERROR(VLOOKUP(B22, Content_Creation!B:H, 7, FALSE), IFERROR(VLOOKUP(B22, Project_Management!B:H, 7, FALSE), ""))</f>
        <v>45192</v>
      </c>
      <c r="I22" s="224">
        <v>0.0</v>
      </c>
      <c r="J22" s="223">
        <f>IFERROR(VLOOKUP(C22, Content_Creation!B:H, 7, FALSE), IFERROR(VLOOKUP(C22, Project_Management!B:H, 7, FALSE), ""))</f>
        <v>45230</v>
      </c>
      <c r="K22" s="225"/>
      <c r="L22" s="225" t="str">
        <f>IFERROR(VLOOKUP(B22, Data_Validation!X:Y, 2, FALSE), "")</f>
        <v>Done</v>
      </c>
      <c r="M22" s="226" t="str">
        <f t="shared" si="1"/>
        <v>Nvidia | Lenovo Legion | RTX 4060 - Shorts | Script</v>
      </c>
      <c r="N22" s="226"/>
      <c r="O22" s="226"/>
    </row>
    <row r="23" ht="24.0" customHeight="1">
      <c r="A23" s="216" t="str">
        <f>IFERROR(__xludf.DUMMYFUNCTION("ARRAYFORMULA(IFERROR(VLOOKUP(REGEXEXTRACT(B23, ""-(\w+)-""), {Data_Validation!$F$16:$F$29, Data_Validation!$E$16:$E$29}, 2, FALSE), """"))
"),"TheMVP")</f>
        <v>TheMVP</v>
      </c>
      <c r="B23" s="217" t="str">
        <f>IFERROR(__xludf.DUMMYFUNCTION("""COMPUTED_VALUE"""),"CC-MVP-24.01")</f>
        <v>CC-MVP-24.01</v>
      </c>
      <c r="C23" s="218" t="str">
        <f>IFERROR(__xludf.DUMMYFUNCTION("IFERROR(REGEXEXTRACT(B23, ""^[A-Z]+-[A-Z]+-"") &amp; TEXT(VALUE(REGEXEXTRACT(B23, ""-(\d+)\."")), ""00""), """")"),"CC-MVP-24")</f>
        <v>CC-MVP-24</v>
      </c>
      <c r="D23" s="219" t="str">
        <f>IFERROR(VLOOKUP(C23, Content_Creation!B:D, 2, FALSE), IFERROR(VLOOKUP(C23, Project_Management!B:D, 2, FALSE), ""))
&amp; " - "
&amp; IFERROR(VLOOKUP(C23, Content_Creation!B:E, 4, FALSE), IFERROR(VLOOKUP(C23, Project_Management!B:E, 4, FALSE), ""))</f>
        <v>AMD vs Intel - with GPUs - YT Video</v>
      </c>
      <c r="E23" s="220" t="str">
        <f>IFERROR(
    VLOOKUP(B23, Content_Creation!B:D, 3, FALSE),
    IFERROR(VLOOKUP(B23, Project_Management!B:D, 3, FALSE),"")
  )</f>
        <v>Script</v>
      </c>
      <c r="F23" s="221" t="str">
        <f>IFERROR(VLOOKUP(B23, Content_Creation!B:F, 5, FALSE), IFERROR(VLOOKUP(B23, Project_Management!B:F, 5, FALSE), ""))</f>
        <v>Nasser</v>
      </c>
      <c r="G23" s="222" t="s">
        <v>26</v>
      </c>
      <c r="H23" s="223">
        <f>IFERROR(VLOOKUP(B23, Content_Creation!B:H, 7, FALSE), IFERROR(VLOOKUP(B23, Project_Management!B:H, 7, FALSE), ""))</f>
        <v>45194</v>
      </c>
      <c r="I23" s="224">
        <v>0.08333333333333333</v>
      </c>
      <c r="J23" s="223">
        <f>IFERROR(VLOOKUP(C23, Content_Creation!B:H, 7, FALSE), IFERROR(VLOOKUP(C23, Project_Management!B:H, 7, FALSE), ""))</f>
        <v>45244</v>
      </c>
      <c r="K23" s="217"/>
      <c r="L23" s="225" t="str">
        <f>IFERROR(VLOOKUP(B23, Data_Validation!X:Y, 2, FALSE), "")</f>
        <v>Done</v>
      </c>
      <c r="M23" s="226" t="str">
        <f t="shared" si="1"/>
        <v>TheMVP | AMD vs Intel - with GPUs - YT Video | Script</v>
      </c>
      <c r="N23" s="226"/>
      <c r="O23" s="226"/>
    </row>
    <row r="24" ht="24.0" customHeight="1">
      <c r="A24" s="216" t="str">
        <f>IFERROR(__xludf.DUMMYFUNCTION("ARRAYFORMULA(IFERROR(VLOOKUP(REGEXEXTRACT(B24, ""-(\w+)-""), {Data_Validation!$F$16:$F$29, Data_Validation!$E$16:$E$29}, 2, FALSE), """"))
"),"Nvidia")</f>
        <v>Nvidia</v>
      </c>
      <c r="B24" s="217" t="str">
        <f>IFERROR(__xludf.DUMMYFUNCTION("""COMPUTED_VALUE"""),"CC-NVI-12.01")</f>
        <v>CC-NVI-12.01</v>
      </c>
      <c r="C24" s="218" t="str">
        <f>IFERROR(__xludf.DUMMYFUNCTION("IFERROR(REGEXEXTRACT(B24, ""^[A-Z]+-[A-Z]+-"") &amp; TEXT(VALUE(REGEXEXTRACT(B24, ""-(\d+)\."")), ""00""), """")"),"CC-NVI-12")</f>
        <v>CC-NVI-12</v>
      </c>
      <c r="D24" s="219" t="str">
        <f>IFERROR(VLOOKUP(C24, Content_Creation!B:D, 2, FALSE), IFERROR(VLOOKUP(C24, Project_Management!B:D, 2, FALSE), ""))
&amp; " - "
&amp; IFERROR(VLOOKUP(C24, Content_Creation!B:E, 4, FALSE), IFERROR(VLOOKUP(C24, Project_Management!B:E, 4, FALSE), ""))</f>
        <v>Cyberpunk - Phantom Liberty - Shorts</v>
      </c>
      <c r="E24" s="220" t="str">
        <f>IFERROR(
    VLOOKUP(B23:B1001, Content_Creation!B:D, 3, FALSE),
    IFERROR(VLOOKUP(B23:B1001, Project_Management!B:D, 3, FALSE),"")
  )</f>
        <v>Script</v>
      </c>
      <c r="F24" s="221" t="str">
        <f>IFERROR(VLOOKUP(B24, Content_Creation!B:F, 5, FALSE), IFERROR(VLOOKUP(B24, Project_Management!B:F, 5, FALSE), ""))</f>
        <v>Nasser</v>
      </c>
      <c r="G24" s="222" t="s">
        <v>26</v>
      </c>
      <c r="H24" s="223">
        <f>IFERROR(VLOOKUP(B24, Content_Creation!B:H, 7, FALSE), IFERROR(VLOOKUP(B24, Project_Management!B:H, 7, FALSE), ""))</f>
        <v>45194.73787</v>
      </c>
      <c r="I24" s="224">
        <v>0.0</v>
      </c>
      <c r="J24" s="223">
        <f>IFERROR(VLOOKUP(C24, Content_Creation!B:H, 7, FALSE), IFERROR(VLOOKUP(C24, Project_Management!B:H, 7, FALSE), ""))</f>
        <v>45195</v>
      </c>
      <c r="K24" s="217"/>
      <c r="L24" s="225" t="str">
        <f>IFERROR(VLOOKUP(B24, Data_Validation!X:Y, 2, FALSE), "")</f>
        <v>Done</v>
      </c>
      <c r="M24" s="226" t="str">
        <f t="shared" si="1"/>
        <v>Nvidia | Cyberpunk - Phantom Liberty - Shorts | Script</v>
      </c>
      <c r="N24" s="226"/>
      <c r="O24" s="226"/>
    </row>
    <row r="25" ht="24.0" customHeight="1">
      <c r="A25" s="216" t="str">
        <f>IFERROR(__xludf.DUMMYFUNCTION("ARRAYFORMULA(IFERROR(VLOOKUP(REGEXEXTRACT(B25, ""-(\w+)-""), {Data_Validation!$F$16:$F$29, Data_Validation!$E$16:$E$29}, 2, FALSE), """"))
"),"Nvidia")</f>
        <v>Nvidia</v>
      </c>
      <c r="B25" s="217" t="str">
        <f>IFERROR(__xludf.DUMMYFUNCTION("""COMPUTED_VALUE"""),"CC-NVI-12.02")</f>
        <v>CC-NVI-12.02</v>
      </c>
      <c r="C25" s="218" t="str">
        <f>IFERROR(__xludf.DUMMYFUNCTION("IFERROR(REGEXEXTRACT(B25, ""^[A-Z]+-[A-Z]+-"") &amp; TEXT(VALUE(REGEXEXTRACT(B25, ""-(\d+)\."")), ""00""), """")"),"CC-NVI-12")</f>
        <v>CC-NVI-12</v>
      </c>
      <c r="D25" s="219" t="str">
        <f>IFERROR(VLOOKUP(C25, Content_Creation!B:D, 2, FALSE), IFERROR(VLOOKUP(C25, Project_Management!B:D, 2, FALSE), ""))
&amp; " - "
&amp; IFERROR(VLOOKUP(C25, Content_Creation!B:E, 4, FALSE), IFERROR(VLOOKUP(C25, Project_Management!B:E, 4, FALSE), ""))</f>
        <v>Cyberpunk - Phantom Liberty - Shorts</v>
      </c>
      <c r="E25" s="220" t="str">
        <f>IFERROR(
    VLOOKUP(B24:B1001, Content_Creation!B:D, 3, FALSE),
    IFERROR(VLOOKUP(B24:B1001, Project_Management!B:D, 3, FALSE),"")
  )</f>
        <v>Voiceover</v>
      </c>
      <c r="F25" s="221" t="str">
        <f>IFERROR(VLOOKUP(B25, Content_Creation!B:F, 5, FALSE), IFERROR(VLOOKUP(B25, Project_Management!B:F, 5, FALSE), ""))</f>
        <v>Nasser</v>
      </c>
      <c r="G25" s="222" t="s">
        <v>26</v>
      </c>
      <c r="H25" s="223">
        <f>IFERROR(VLOOKUP(B25, Content_Creation!B:H, 7, FALSE), IFERROR(VLOOKUP(B25, Project_Management!B:H, 7, FALSE), ""))</f>
        <v>45194</v>
      </c>
      <c r="I25" s="224">
        <v>0.0</v>
      </c>
      <c r="J25" s="223">
        <f>IFERROR(VLOOKUP(C25, Content_Creation!B:H, 7, FALSE), IFERROR(VLOOKUP(C25, Project_Management!B:H, 7, FALSE), ""))</f>
        <v>45195</v>
      </c>
      <c r="K25" s="217"/>
      <c r="L25" s="225" t="str">
        <f>IFERROR(VLOOKUP(B25, Data_Validation!X:Y, 2, FALSE), "")</f>
        <v>Done</v>
      </c>
      <c r="M25" s="226" t="str">
        <f t="shared" si="1"/>
        <v>Nvidia | Cyberpunk - Phantom Liberty - Shorts | Voiceover</v>
      </c>
      <c r="N25" s="226"/>
      <c r="O25" s="226"/>
    </row>
    <row r="26" ht="24.0" customHeight="1">
      <c r="A26" s="216" t="str">
        <f>IFERROR(__xludf.DUMMYFUNCTION("ARRAYFORMULA(IFERROR(VLOOKUP(REGEXEXTRACT(B26, ""-(\w+)-""), {Data_Validation!$F$16:$F$29, Data_Validation!$E$16:$E$29}, 2, FALSE), """"))
"),"Nvidia")</f>
        <v>Nvidia</v>
      </c>
      <c r="B26" s="217" t="str">
        <f>IFERROR(__xludf.DUMMYFUNCTION("""COMPUTED_VALUE"""),"CC-NVI-12.03")</f>
        <v>CC-NVI-12.03</v>
      </c>
      <c r="C26" s="218" t="str">
        <f>IFERROR(__xludf.DUMMYFUNCTION("IFERROR(REGEXEXTRACT(B26, ""^[A-Z]+-[A-Z]+-"") &amp; TEXT(VALUE(REGEXEXTRACT(B26, ""-(\d+)\."")), ""00""), """")"),"CC-NVI-12")</f>
        <v>CC-NVI-12</v>
      </c>
      <c r="D26" s="219" t="str">
        <f>IFERROR(VLOOKUP(C26, Content_Creation!B:D, 2, FALSE), IFERROR(VLOOKUP(C26, Project_Management!B:D, 2, FALSE), ""))
&amp; " - "
&amp; IFERROR(VLOOKUP(C26, Content_Creation!B:E, 4, FALSE), IFERROR(VLOOKUP(C26, Project_Management!B:E, 4, FALSE), ""))</f>
        <v>Cyberpunk - Phantom Liberty - Shorts</v>
      </c>
      <c r="E26" s="220" t="str">
        <f>IFERROR(
    VLOOKUP(B25:B1001, Content_Creation!B:D, 3, FALSE),
    IFERROR(VLOOKUP(B25:B1001, Project_Management!B:D, 3, FALSE),"")
  )</f>
        <v>Editor Notes</v>
      </c>
      <c r="F26" s="221" t="str">
        <f>IFERROR(VLOOKUP(B26, Content_Creation!B:F, 5, FALSE), IFERROR(VLOOKUP(B26, Project_Management!B:F, 5, FALSE), ""))</f>
        <v>Nasser</v>
      </c>
      <c r="G26" s="222" t="s">
        <v>26</v>
      </c>
      <c r="H26" s="223">
        <f>IFERROR(VLOOKUP(B26, Content_Creation!B:H, 7, FALSE), IFERROR(VLOOKUP(B26, Project_Management!B:H, 7, FALSE), ""))</f>
        <v>45194.73787</v>
      </c>
      <c r="I26" s="224">
        <v>0.0</v>
      </c>
      <c r="J26" s="223">
        <f>IFERROR(VLOOKUP(C26, Content_Creation!B:H, 7, FALSE), IFERROR(VLOOKUP(C26, Project_Management!B:H, 7, FALSE), ""))</f>
        <v>45195</v>
      </c>
      <c r="K26" s="217"/>
      <c r="L26" s="225" t="str">
        <f>IFERROR(VLOOKUP(B26, Data_Validation!X:Y, 2, FALSE), "")</f>
        <v>Done</v>
      </c>
      <c r="M26" s="226" t="str">
        <f t="shared" si="1"/>
        <v>Nvidia | Cyberpunk - Phantom Liberty - Shorts | Editor Notes</v>
      </c>
      <c r="N26" s="226"/>
      <c r="O26" s="226"/>
    </row>
    <row r="27" ht="24.0" customHeight="1">
      <c r="A27" s="216" t="str">
        <f>IFERROR(__xludf.DUMMYFUNCTION("ARRAYFORMULA(IFERROR(VLOOKUP(REGEXEXTRACT(B27, ""-(\w+)-""), {Data_Validation!$F$16:$F$29, Data_Validation!$E$16:$E$29}, 2, FALSE), """"))
"),"Nvidia")</f>
        <v>Nvidia</v>
      </c>
      <c r="B27" s="217" t="str">
        <f>IFERROR(__xludf.DUMMYFUNCTION("""COMPUTED_VALUE"""),"CC-NVI-12.04")</f>
        <v>CC-NVI-12.04</v>
      </c>
      <c r="C27" s="218" t="str">
        <f>IFERROR(__xludf.DUMMYFUNCTION("IFERROR(REGEXEXTRACT(B27, ""^[A-Z]+-[A-Z]+-"") &amp; TEXT(VALUE(REGEXEXTRACT(B27, ""-(\d+)\."")), ""00""), """")"),"CC-NVI-12")</f>
        <v>CC-NVI-12</v>
      </c>
      <c r="D27" s="219" t="str">
        <f>IFERROR(VLOOKUP(C27, Content_Creation!B:D, 2, FALSE), IFERROR(VLOOKUP(C27, Project_Management!B:D, 2, FALSE), ""))
&amp; " - "
&amp; IFERROR(VLOOKUP(C27, Content_Creation!B:E, 4, FALSE), IFERROR(VLOOKUP(C27, Project_Management!B:E, 4, FALSE), ""))</f>
        <v>Cyberpunk - Phantom Liberty - Shorts</v>
      </c>
      <c r="E27" s="220" t="str">
        <f>IFERROR(
    VLOOKUP(B26:B1001, Content_Creation!B:D, 3, FALSE),
    IFERROR(VLOOKUP(B26:B1001, Project_Management!B:D, 3, FALSE),"")
  )</f>
        <v>Edit</v>
      </c>
      <c r="F27" s="221" t="str">
        <f>IFERROR(VLOOKUP(B27, Content_Creation!B:F, 5, FALSE), IFERROR(VLOOKUP(B27, Project_Management!B:F, 5, FALSE), ""))</f>
        <v>Tazeen</v>
      </c>
      <c r="G27" s="222" t="s">
        <v>26</v>
      </c>
      <c r="H27" s="223">
        <f>IFERROR(VLOOKUP(B27, Content_Creation!B:H, 7, FALSE), IFERROR(VLOOKUP(B27, Project_Management!B:H, 7, FALSE), ""))</f>
        <v>45194</v>
      </c>
      <c r="I27" s="224">
        <v>0.0</v>
      </c>
      <c r="J27" s="223">
        <f>IFERROR(VLOOKUP(C27, Content_Creation!B:H, 7, FALSE), IFERROR(VLOOKUP(C27, Project_Management!B:H, 7, FALSE), ""))</f>
        <v>45195</v>
      </c>
      <c r="K27" s="217"/>
      <c r="L27" s="225" t="str">
        <f>IFERROR(VLOOKUP(B27, Data_Validation!X:Y, 2, FALSE), "")</f>
        <v>Done</v>
      </c>
      <c r="M27" s="226" t="str">
        <f t="shared" si="1"/>
        <v>Nvidia | Cyberpunk - Phantom Liberty - Shorts | Edit</v>
      </c>
      <c r="N27" s="226"/>
      <c r="O27" s="226"/>
    </row>
    <row r="28" ht="24.0" customHeight="1">
      <c r="A28" s="216" t="str">
        <f>IFERROR(__xludf.DUMMYFUNCTION("ARRAYFORMULA(IFERROR(VLOOKUP(REGEXEXTRACT(B28, ""-(\w+)-""), {Data_Validation!$F$16:$F$29, Data_Validation!$E$16:$E$29}, 2, FALSE), """"))
"),"Nvidia")</f>
        <v>Nvidia</v>
      </c>
      <c r="B28" s="217" t="str">
        <f>IFERROR(__xludf.DUMMYFUNCTION("""COMPUTED_VALUE"""),"CC-NVI-02.05")</f>
        <v>CC-NVI-02.05</v>
      </c>
      <c r="C28" s="218" t="str">
        <f>IFERROR(__xludf.DUMMYFUNCTION("IFERROR(REGEXEXTRACT(B28, ""^[A-Z]+-[A-Z]+-"") &amp; TEXT(VALUE(REGEXEXTRACT(B28, ""-(\d+)\."")), ""00""), """")"),"CC-NVI-02")</f>
        <v>CC-NVI-02</v>
      </c>
      <c r="D28" s="219" t="str">
        <f>IFERROR(VLOOKUP(C28, Content_Creation!B:D, 2, FALSE), IFERROR(VLOOKUP(C28, Project_Management!B:D, 2, FALSE), ""))
&amp; " - "
&amp; IFERROR(VLOOKUP(C28, Content_Creation!B:E, 4, FALSE), IFERROR(VLOOKUP(C28, Project_Management!B:E, 4, FALSE), ""))</f>
        <v>MSI Sword 15 | RTX 4060 - Shorts</v>
      </c>
      <c r="E28" s="220" t="str">
        <f>IFERROR(
    VLOOKUP(B27:B1001, Content_Creation!B:D, 3, FALSE),
    IFERROR(VLOOKUP(B27:B1001, Project_Management!B:D, 3, FALSE),"")
  )</f>
        <v>Voiceover</v>
      </c>
      <c r="F28" s="221" t="str">
        <f>IFERROR(VLOOKUP(B28, Content_Creation!B:F, 5, FALSE), IFERROR(VLOOKUP(B28, Project_Management!B:F, 5, FALSE), ""))</f>
        <v>Nasser</v>
      </c>
      <c r="G28" s="222" t="s">
        <v>26</v>
      </c>
      <c r="H28" s="223">
        <f>IFERROR(VLOOKUP(B28, Content_Creation!B:H, 7, FALSE), IFERROR(VLOOKUP(B28, Project_Management!B:H, 7, FALSE), ""))</f>
        <v>45194</v>
      </c>
      <c r="I28" s="224">
        <v>0.375</v>
      </c>
      <c r="J28" s="223">
        <f>IFERROR(VLOOKUP(C28, Content_Creation!B:H, 7, FALSE), IFERROR(VLOOKUP(C28, Project_Management!B:H, 7, FALSE), ""))</f>
        <v>45198</v>
      </c>
      <c r="K28" s="217"/>
      <c r="L28" s="225" t="str">
        <f>IFERROR(VLOOKUP(B28, Data_Validation!X:Y, 2, FALSE), "")</f>
        <v>Done</v>
      </c>
      <c r="M28" s="226" t="str">
        <f t="shared" si="1"/>
        <v>Nvidia | MSI Sword 15 | RTX 4060 - Shorts | Voiceover</v>
      </c>
      <c r="N28" s="226"/>
      <c r="O28" s="226"/>
    </row>
    <row r="29" ht="24.0" customHeight="1">
      <c r="A29" s="216" t="str">
        <f>IFERROR(__xludf.DUMMYFUNCTION("ARRAYFORMULA(IFERROR(VLOOKUP(REGEXEXTRACT(B29, ""-(\w+)-""), {Data_Validation!$F$16:$F$29, Data_Validation!$E$16:$E$29}, 2, FALSE), """"))
"),"Picture This!")</f>
        <v>Picture This!</v>
      </c>
      <c r="B29" s="217" t="str">
        <f>IFERROR(__xludf.DUMMYFUNCTION("""COMPUTED_VALUE"""),"PM-PTS-05.03")</f>
        <v>PM-PTS-05.03</v>
      </c>
      <c r="C29" s="218" t="str">
        <f>IFERROR(__xludf.DUMMYFUNCTION("IFERROR(REGEXEXTRACT(B29, ""^[A-Z]+-[A-Z]+-"") &amp; TEXT(VALUE(REGEXEXTRACT(B29, ""-(\d+)\."")), ""00""), """")"),"PM-PTS-05")</f>
        <v>PM-PTS-05</v>
      </c>
      <c r="D29" s="219" t="str">
        <f>IFERROR(VLOOKUP(C29, Content_Creation!B:D, 2, FALSE), IFERROR(VLOOKUP(C29, Project_Management!B:D, 2, FALSE), ""))
&amp; " - "
&amp; IFERROR(VLOOKUP(C29, Content_Creation!B:E, 4, FALSE), IFERROR(VLOOKUP(C29, Project_Management!B:E, 4, FALSE), ""))</f>
        <v>Picture This- AdHoc - Website</v>
      </c>
      <c r="E29" s="220" t="str">
        <f>IFERROR(
    VLOOKUP(B28:B1001, Content_Creation!B:D, 3, FALSE),
    IFERROR(VLOOKUP(B28:B1001, Project_Management!B:D, 3, FALSE),"")
  )</f>
        <v>SOP</v>
      </c>
      <c r="F29" s="221" t="str">
        <f>IFERROR(VLOOKUP(B29, Content_Creation!B:F, 5, FALSE), IFERROR(VLOOKUP(B29, Project_Management!B:F, 5, FALSE), ""))</f>
        <v>Talha</v>
      </c>
      <c r="G29" s="222" t="s">
        <v>26</v>
      </c>
      <c r="H29" s="223">
        <f>IFERROR(VLOOKUP(B29, Content_Creation!B:H, 7, FALSE), IFERROR(VLOOKUP(B29, Project_Management!B:H, 7, FALSE), ""))</f>
        <v>45194</v>
      </c>
      <c r="I29" s="224">
        <v>0.125</v>
      </c>
      <c r="J29" s="223">
        <f>IFERROR(VLOOKUP(C29, Content_Creation!B:H, 7, FALSE), IFERROR(VLOOKUP(C29, Project_Management!B:H, 7, FALSE), ""))</f>
        <v>45241</v>
      </c>
      <c r="K29" s="225"/>
      <c r="L29" s="225" t="str">
        <f>IFERROR(VLOOKUP(B29, Data_Validation!X:Y, 2, FALSE), "")</f>
        <v>Done</v>
      </c>
      <c r="M29" s="226" t="str">
        <f t="shared" si="1"/>
        <v>Picture This! | Picture This- AdHoc - Website | SOP</v>
      </c>
      <c r="N29" s="226"/>
      <c r="O29" s="226"/>
    </row>
    <row r="30" ht="24.0" customHeight="1">
      <c r="A30" s="216" t="str">
        <f>IFERROR(__xludf.DUMMYFUNCTION("ARRAYFORMULA(IFERROR(VLOOKUP(REGEXEXTRACT(B30, ""-(\w+)-""), {Data_Validation!$F$16:$F$29, Data_Validation!$E$16:$E$29}, 2, FALSE), """"))
"),"Nvidia")</f>
        <v>Nvidia</v>
      </c>
      <c r="B30" s="217" t="str">
        <f>IFERROR(__xludf.DUMMYFUNCTION("""COMPUTED_VALUE"""),"CC-NVI-01.05")</f>
        <v>CC-NVI-01.05</v>
      </c>
      <c r="C30" s="218" t="str">
        <f>IFERROR(__xludf.DUMMYFUNCTION("IFERROR(REGEXEXTRACT(B30, ""^[A-Z]+-[A-Z]+-"") &amp; TEXT(VALUE(REGEXEXTRACT(B30, ""-(\d+)\."")), ""00""), """")"),"CC-NVI-01")</f>
        <v>CC-NVI-01</v>
      </c>
      <c r="D30" s="219" t="str">
        <f>IFERROR(VLOOKUP(C30, Content_Creation!B:D, 2, FALSE), IFERROR(VLOOKUP(C30, Project_Management!B:D, 2, FALSE), ""))
&amp; " - "
&amp; IFERROR(VLOOKUP(C30, Content_Creation!B:E, 4, FALSE), IFERROR(VLOOKUP(C30, Project_Management!B:E, 4, FALSE), ""))</f>
        <v>Asus F15 | RTX 2050 - Shorts</v>
      </c>
      <c r="E30" s="220" t="str">
        <f>IFERROR(
    VLOOKUP(B29:B1001, Content_Creation!B:D, 3, FALSE),
    IFERROR(VLOOKUP(B29:B1001, Project_Management!B:D, 3, FALSE),"")
  )</f>
        <v>Edit</v>
      </c>
      <c r="F30" s="221" t="str">
        <f>IFERROR(VLOOKUP(B30, Content_Creation!B:F, 5, FALSE), IFERROR(VLOOKUP(B30, Project_Management!B:F, 5, FALSE), ""))</f>
        <v>Naveen</v>
      </c>
      <c r="G30" s="222" t="s">
        <v>26</v>
      </c>
      <c r="H30" s="223">
        <f>IFERROR(VLOOKUP(B30, Content_Creation!B:H, 7, FALSE), IFERROR(VLOOKUP(B30, Project_Management!B:H, 7, FALSE), ""))</f>
        <v>45195</v>
      </c>
      <c r="I30" s="224">
        <v>0.08333333333333333</v>
      </c>
      <c r="J30" s="223">
        <f>IFERROR(VLOOKUP(C30, Content_Creation!B:H, 7, FALSE), IFERROR(VLOOKUP(C30, Project_Management!B:H, 7, FALSE), ""))</f>
        <v>45178</v>
      </c>
      <c r="K30" s="217"/>
      <c r="L30" s="225" t="str">
        <f>IFERROR(VLOOKUP(B30, Data_Validation!X:Y, 2, FALSE), "")</f>
        <v>Done</v>
      </c>
      <c r="M30" s="226" t="str">
        <f t="shared" si="1"/>
        <v>Nvidia | Asus F15 | RTX 2050 - Shorts | Edit</v>
      </c>
      <c r="N30" s="226"/>
      <c r="O30" s="226"/>
    </row>
    <row r="31" ht="24.0" customHeight="1">
      <c r="A31" s="216" t="str">
        <f>IFERROR(__xludf.DUMMYFUNCTION("ARRAYFORMULA(IFERROR(VLOOKUP(REGEXEXTRACT(B31, ""-(\w+)-""), {Data_Validation!$F$16:$F$29, Data_Validation!$E$16:$E$29}, 2, FALSE), """"))
"),"Nvidia")</f>
        <v>Nvidia</v>
      </c>
      <c r="B31" s="217" t="str">
        <f>IFERROR(__xludf.DUMMYFUNCTION("""COMPUTED_VALUE"""),"CC-NVI-01.06")</f>
        <v>CC-NVI-01.06</v>
      </c>
      <c r="C31" s="218" t="str">
        <f>IFERROR(__xludf.DUMMYFUNCTION("IFERROR(REGEXEXTRACT(B31, ""^[A-Z]+-[A-Z]+-"") &amp; TEXT(VALUE(REGEXEXTRACT(B31, ""-(\d+)\."")), ""00""), """")"),"CC-NVI-01")</f>
        <v>CC-NVI-01</v>
      </c>
      <c r="D31" s="219" t="str">
        <f>IFERROR(VLOOKUP(C31, Content_Creation!B:D, 2, FALSE), IFERROR(VLOOKUP(C31, Project_Management!B:D, 2, FALSE), ""))
&amp; " - "
&amp; IFERROR(VLOOKUP(C31, Content_Creation!B:E, 4, FALSE), IFERROR(VLOOKUP(C31, Project_Management!B:E, 4, FALSE), ""))</f>
        <v>Asus F15 | RTX 2050 - Shorts</v>
      </c>
      <c r="E31" s="220" t="str">
        <f>IFERROR(
    VLOOKUP(B30:B1001, Content_Creation!B:D, 3, FALSE),
    IFERROR(VLOOKUP(B30:B1001, Project_Management!B:D, 3, FALSE),"")
  )</f>
        <v>Ship</v>
      </c>
      <c r="F31" s="221" t="str">
        <f>IFERROR(VLOOKUP(B31, Content_Creation!B:F, 5, FALSE), IFERROR(VLOOKUP(B31, Project_Management!B:F, 5, FALSE), ""))</f>
        <v>Nasser</v>
      </c>
      <c r="G31" s="222" t="s">
        <v>26</v>
      </c>
      <c r="H31" s="223">
        <f>IFERROR(VLOOKUP(B31, Content_Creation!B:H, 7, FALSE), IFERROR(VLOOKUP(B31, Project_Management!B:H, 7, FALSE), ""))</f>
        <v>45195</v>
      </c>
      <c r="I31" s="224">
        <v>0.0</v>
      </c>
      <c r="J31" s="223">
        <f>IFERROR(VLOOKUP(C31, Content_Creation!B:H, 7, FALSE), IFERROR(VLOOKUP(C31, Project_Management!B:H, 7, FALSE), ""))</f>
        <v>45178</v>
      </c>
      <c r="K31" s="225"/>
      <c r="L31" s="225" t="str">
        <f>IFERROR(VLOOKUP(B31, Data_Validation!X:Y, 2, FALSE), "")</f>
        <v>Done</v>
      </c>
      <c r="M31" s="226" t="str">
        <f t="shared" si="1"/>
        <v>Nvidia | Asus F15 | RTX 2050 - Shorts | Ship</v>
      </c>
      <c r="N31" s="226"/>
      <c r="O31" s="226"/>
    </row>
    <row r="32" ht="24.0" customHeight="1">
      <c r="A32" s="216" t="str">
        <f>IFERROR(__xludf.DUMMYFUNCTION("ARRAYFORMULA(IFERROR(VLOOKUP(REGEXEXTRACT(B32, ""-(\w+)-""), {Data_Validation!$F$16:$F$29, Data_Validation!$E$16:$E$29}, 2, FALSE), """"))
"),"Nvidia")</f>
        <v>Nvidia</v>
      </c>
      <c r="B32" s="217" t="str">
        <f>IFERROR(__xludf.DUMMYFUNCTION("""COMPUTED_VALUE"""),"CC-NVI-01.07")</f>
        <v>CC-NVI-01.07</v>
      </c>
      <c r="C32" s="218" t="str">
        <f>IFERROR(__xludf.DUMMYFUNCTION("IFERROR(REGEXEXTRACT(B32, ""^[A-Z]+-[A-Z]+-"") &amp; TEXT(VALUE(REGEXEXTRACT(B32, ""-(\d+)\."")), ""00""), """")"),"CC-NVI-01")</f>
        <v>CC-NVI-01</v>
      </c>
      <c r="D32" s="219" t="str">
        <f>IFERROR(VLOOKUP(C32, Content_Creation!B:D, 2, FALSE), IFERROR(VLOOKUP(C32, Project_Management!B:D, 2, FALSE), ""))
&amp; " - "
&amp; IFERROR(VLOOKUP(C32, Content_Creation!B:E, 4, FALSE), IFERROR(VLOOKUP(C32, Project_Management!B:E, 4, FALSE), ""))</f>
        <v>Asus F15 | RTX 2050 - Shorts</v>
      </c>
      <c r="E32" s="220" t="str">
        <f>IFERROR(
    VLOOKUP(B31:B1001, Content_Creation!B:D, 3, FALSE),
    IFERROR(VLOOKUP(B31:B1001, Project_Management!B:D, 3, FALSE),"")
  )</f>
        <v>Finalise</v>
      </c>
      <c r="F32" s="221" t="str">
        <f>IFERROR(VLOOKUP(B32, Content_Creation!B:F, 5, FALSE), IFERROR(VLOOKUP(B32, Project_Management!B:F, 5, FALSE), ""))</f>
        <v>Naveen</v>
      </c>
      <c r="G32" s="222" t="s">
        <v>26</v>
      </c>
      <c r="H32" s="223">
        <f>IFERROR(VLOOKUP(B32, Content_Creation!B:H, 7, FALSE), IFERROR(VLOOKUP(B32, Project_Management!B:H, 7, FALSE), ""))</f>
        <v>45195</v>
      </c>
      <c r="I32" s="224">
        <v>0.0</v>
      </c>
      <c r="J32" s="223">
        <f>IFERROR(VLOOKUP(C32, Content_Creation!B:H, 7, FALSE), IFERROR(VLOOKUP(C32, Project_Management!B:H, 7, FALSE), ""))</f>
        <v>45178</v>
      </c>
      <c r="K32" s="217"/>
      <c r="L32" s="225" t="str">
        <f>IFERROR(VLOOKUP(B32, Data_Validation!X:Y, 2, FALSE), "")</f>
        <v>Done</v>
      </c>
      <c r="M32" s="226" t="str">
        <f t="shared" si="1"/>
        <v>Nvidia | Asus F15 | RTX 2050 - Shorts | Finalise</v>
      </c>
      <c r="N32" s="226"/>
      <c r="O32" s="226"/>
    </row>
    <row r="33" ht="24.0" customHeight="1">
      <c r="A33" s="216" t="str">
        <f>IFERROR(__xludf.DUMMYFUNCTION("ARRAYFORMULA(IFERROR(VLOOKUP(REGEXEXTRACT(B33, ""-(\w+)-""), {Data_Validation!$F$16:$F$29, Data_Validation!$E$16:$E$29}, 2, FALSE), """"))
"),"Nvidia")</f>
        <v>Nvidia</v>
      </c>
      <c r="B33" s="217" t="str">
        <f>IFERROR(__xludf.DUMMYFUNCTION("""COMPUTED_VALUE"""),"CC-NVI-12.05")</f>
        <v>CC-NVI-12.05</v>
      </c>
      <c r="C33" s="218" t="str">
        <f>IFERROR(__xludf.DUMMYFUNCTION("IFERROR(REGEXEXTRACT(B33, ""^[A-Z]+-[A-Z]+-"") &amp; TEXT(VALUE(REGEXEXTRACT(B33, ""-(\d+)\."")), ""00""), """")"),"CC-NVI-12")</f>
        <v>CC-NVI-12</v>
      </c>
      <c r="D33" s="219" t="str">
        <f>IFERROR(VLOOKUP(C33, Content_Creation!B:D, 2, FALSE), IFERROR(VLOOKUP(C33, Project_Management!B:D, 2, FALSE), ""))
&amp; " - "
&amp; IFERROR(VLOOKUP(C33, Content_Creation!B:E, 4, FALSE), IFERROR(VLOOKUP(C33, Project_Management!B:E, 4, FALSE), ""))</f>
        <v>Cyberpunk - Phantom Liberty - Shorts</v>
      </c>
      <c r="E33" s="220" t="str">
        <f>IFERROR(
    VLOOKUP(B32:B1001, Content_Creation!B:D, 3, FALSE),
    IFERROR(VLOOKUP(B32:B1001, Project_Management!B:D, 3, FALSE),"")
  )</f>
        <v>Thumbnail</v>
      </c>
      <c r="F33" s="221" t="str">
        <f>IFERROR(VLOOKUP(B33, Content_Creation!B:F, 5, FALSE), IFERROR(VLOOKUP(B33, Project_Management!B:F, 5, FALSE), ""))</f>
        <v>Naveen</v>
      </c>
      <c r="G33" s="222" t="s">
        <v>26</v>
      </c>
      <c r="H33" s="223">
        <f>IFERROR(VLOOKUP(B33, Content_Creation!B:H, 7, FALSE), IFERROR(VLOOKUP(B33, Project_Management!B:H, 7, FALSE), ""))</f>
        <v>45195</v>
      </c>
      <c r="I33" s="224">
        <v>0.375</v>
      </c>
      <c r="J33" s="223">
        <f>IFERROR(VLOOKUP(C33, Content_Creation!B:H, 7, FALSE), IFERROR(VLOOKUP(C33, Project_Management!B:H, 7, FALSE), ""))</f>
        <v>45195</v>
      </c>
      <c r="K33" s="217"/>
      <c r="L33" s="225" t="str">
        <f>IFERROR(VLOOKUP(B33, Data_Validation!X:Y, 2, FALSE), "")</f>
        <v>Done</v>
      </c>
      <c r="M33" s="226" t="str">
        <f t="shared" si="1"/>
        <v>Nvidia | Cyberpunk - Phantom Liberty - Shorts | Thumbnail</v>
      </c>
      <c r="N33" s="226"/>
      <c r="O33" s="226"/>
    </row>
    <row r="34" ht="24.0" customHeight="1">
      <c r="A34" s="216" t="str">
        <f>IFERROR(__xludf.DUMMYFUNCTION("ARRAYFORMULA(IFERROR(VLOOKUP(REGEXEXTRACT(B34, ""-(\w+)-""), {Data_Validation!$F$16:$F$29, Data_Validation!$E$16:$E$29}, 2, FALSE), """"))
"),"Nvidia")</f>
        <v>Nvidia</v>
      </c>
      <c r="B34" s="217" t="str">
        <f>IFERROR(__xludf.DUMMYFUNCTION("""COMPUTED_VALUE"""),"CC-NVI-12.06")</f>
        <v>CC-NVI-12.06</v>
      </c>
      <c r="C34" s="218" t="str">
        <f>IFERROR(__xludf.DUMMYFUNCTION("IFERROR(REGEXEXTRACT(B34, ""^[A-Z]+-[A-Z]+-"") &amp; TEXT(VALUE(REGEXEXTRACT(B34, ""-(\d+)\."")), ""00""), """")"),"CC-NVI-12")</f>
        <v>CC-NVI-12</v>
      </c>
      <c r="D34" s="219" t="str">
        <f>IFERROR(VLOOKUP(C34, Content_Creation!B:D, 2, FALSE), IFERROR(VLOOKUP(C34, Project_Management!B:D, 2, FALSE), ""))
&amp; " - "
&amp; IFERROR(VLOOKUP(C34, Content_Creation!B:E, 4, FALSE), IFERROR(VLOOKUP(C34, Project_Management!B:E, 4, FALSE), ""))</f>
        <v>Cyberpunk - Phantom Liberty - Shorts</v>
      </c>
      <c r="E34" s="220" t="str">
        <f>IFERROR(
    VLOOKUP(B33:B1001, Content_Creation!B:D, 3, FALSE),
    IFERROR(VLOOKUP(B33:B1001, Project_Management!B:D, 3, FALSE),"")
  )</f>
        <v>Upload</v>
      </c>
      <c r="F34" s="221" t="str">
        <f>IFERROR(VLOOKUP(B34, Content_Creation!B:F, 5, FALSE), IFERROR(VLOOKUP(B34, Project_Management!B:F, 5, FALSE), ""))</f>
        <v>Tazeen</v>
      </c>
      <c r="G34" s="222" t="s">
        <v>26</v>
      </c>
      <c r="H34" s="223">
        <f>IFERROR(VLOOKUP(B34, Content_Creation!B:H, 7, FALSE), IFERROR(VLOOKUP(B34, Project_Management!B:H, 7, FALSE), ""))</f>
        <v>45195</v>
      </c>
      <c r="I34" s="224">
        <v>0.0</v>
      </c>
      <c r="J34" s="223">
        <f>IFERROR(VLOOKUP(C34, Content_Creation!B:H, 7, FALSE), IFERROR(VLOOKUP(C34, Project_Management!B:H, 7, FALSE), ""))</f>
        <v>45195</v>
      </c>
      <c r="K34" s="217"/>
      <c r="L34" s="225" t="str">
        <f>IFERROR(VLOOKUP(B34, Data_Validation!X:Y, 2, FALSE), "")</f>
        <v>Done</v>
      </c>
      <c r="M34" s="226" t="str">
        <f t="shared" si="1"/>
        <v>Nvidia | Cyberpunk - Phantom Liberty - Shorts | Upload</v>
      </c>
      <c r="N34" s="226"/>
      <c r="O34" s="226"/>
    </row>
    <row r="35" ht="24.0" customHeight="1">
      <c r="A35" s="227" t="str">
        <f>IFERROR(__xludf.DUMMYFUNCTION("ARRAYFORMULA(IFERROR(VLOOKUP(REGEXEXTRACT(B35, ""-(\w+)-""), {Data_Validation!$F$16:$F$29, Data_Validation!$E$16:$E$29}, 2, FALSE), """"))
"),"Nvidia")</f>
        <v>Nvidia</v>
      </c>
      <c r="B35" s="228" t="str">
        <f>IFERROR(__xludf.DUMMYFUNCTION("""COMPUTED_VALUE"""),"CC-NVI-05.01")</f>
        <v>CC-NVI-05.01</v>
      </c>
      <c r="C35" s="218" t="str">
        <f>IFERROR(__xludf.DUMMYFUNCTION("IFERROR(REGEXEXTRACT(B35, ""^[A-Z]+-[A-Z]+-"") &amp; TEXT(VALUE(REGEXEXTRACT(B35, ""-(\d+)\."")), ""00""), """")"),"CC-NVI-05")</f>
        <v>CC-NVI-05</v>
      </c>
      <c r="D35" s="219" t="str">
        <f>IFERROR(VLOOKUP(C35, Content_Creation!B:D, 2, FALSE), IFERROR(VLOOKUP(C35, Project_Management!B:D, 2, FALSE), ""))
&amp; " - "
&amp; IFERROR(VLOOKUP(C35, Content_Creation!B:E, 4, FALSE), IFERROR(VLOOKUP(C35, Project_Management!B:E, 4, FALSE), ""))</f>
        <v>Acer Predator - Shorts</v>
      </c>
      <c r="E35" s="229" t="str">
        <f>IFERROR(
    VLOOKUP(B35, Content_Creation!B:D, 3, FALSE),
    IFERROR(VLOOKUP(B35, Project_Management!B:D, 3, FALSE),"")
  )</f>
        <v>Script</v>
      </c>
      <c r="F35" s="230" t="str">
        <f>IFERROR(VLOOKUP(B35, Content_Creation!B:F, 5, FALSE), IFERROR(VLOOKUP(B35, Project_Management!B:F, 5, FALSE), ""))</f>
        <v>Nasser</v>
      </c>
      <c r="G35" s="222" t="s">
        <v>26</v>
      </c>
      <c r="H35" s="231">
        <f>IFERROR(VLOOKUP(B35, Content_Creation!B:H, 7, FALSE), IFERROR(VLOOKUP(B35, Project_Management!B:H, 7, FALSE), ""))</f>
        <v>45195.42541</v>
      </c>
      <c r="I35" s="232">
        <v>0.375</v>
      </c>
      <c r="J35" s="223">
        <f>IFERROR(VLOOKUP(C35, Content_Creation!B:H, 7, FALSE), IFERROR(VLOOKUP(C35, Project_Management!B:H, 7, FALSE), ""))</f>
        <v>45229</v>
      </c>
      <c r="K35" s="228"/>
      <c r="L35" s="233" t="str">
        <f>IFERROR(VLOOKUP(B35, Data_Validation!X:Y, 2, FALSE), "")</f>
        <v>Done</v>
      </c>
      <c r="M35" s="226" t="str">
        <f t="shared" si="1"/>
        <v>Nvidia | Acer Predator - Shorts | Script</v>
      </c>
      <c r="N35" s="234"/>
      <c r="O35" s="234"/>
    </row>
    <row r="36" ht="24.0" customHeight="1">
      <c r="A36" s="216" t="str">
        <f>IFERROR(__xludf.DUMMYFUNCTION("ARRAYFORMULA(IFERROR(VLOOKUP(REGEXEXTRACT(B36, ""-(\w+)-""), {Data_Validation!$F$16:$F$29, Data_Validation!$E$16:$E$29}, 2, FALSE), """"))
"),"Nvidia")</f>
        <v>Nvidia</v>
      </c>
      <c r="B36" s="217" t="str">
        <f>IFERROR(__xludf.DUMMYFUNCTION("""COMPUTED_VALUE"""),"CC-NVI-05.02")</f>
        <v>CC-NVI-05.02</v>
      </c>
      <c r="C36" s="218" t="str">
        <f>IFERROR(__xludf.DUMMYFUNCTION("IFERROR(REGEXEXTRACT(B36, ""^[A-Z]+-[A-Z]+-"") &amp; TEXT(VALUE(REGEXEXTRACT(B36, ""-(\d+)\."")), ""00""), """")"),"CC-NVI-05")</f>
        <v>CC-NVI-05</v>
      </c>
      <c r="D36" s="219" t="str">
        <f>IFERROR(VLOOKUP(C36, Content_Creation!B:D, 2, FALSE), IFERROR(VLOOKUP(C36, Project_Management!B:D, 2, FALSE), ""))
&amp; " - "
&amp; IFERROR(VLOOKUP(C36, Content_Creation!B:E, 4, FALSE), IFERROR(VLOOKUP(C36, Project_Management!B:E, 4, FALSE), ""))</f>
        <v>Acer Predator - Shorts</v>
      </c>
      <c r="E36" s="220" t="str">
        <f>IFERROR(
    VLOOKUP(B35:B1001, Content_Creation!B:D, 3, FALSE),
    IFERROR(VLOOKUP(B35:B1001, Project_Management!B:D, 3, FALSE),"")
  )</f>
        <v>Shoot</v>
      </c>
      <c r="F36" s="221" t="str">
        <f>IFERROR(VLOOKUP(B36, Content_Creation!B:F, 5, FALSE), IFERROR(VLOOKUP(B36, Project_Management!B:F, 5, FALSE), ""))</f>
        <v>Naveen</v>
      </c>
      <c r="G36" s="222" t="s">
        <v>26</v>
      </c>
      <c r="H36" s="223">
        <f>IFERROR(VLOOKUP(B36, Content_Creation!B:H, 7, FALSE), IFERROR(VLOOKUP(B36, Project_Management!B:H, 7, FALSE), ""))</f>
        <v>45195</v>
      </c>
      <c r="I36" s="224">
        <v>0.125</v>
      </c>
      <c r="J36" s="223">
        <f>IFERROR(VLOOKUP(C36, Content_Creation!B:H, 7, FALSE), IFERROR(VLOOKUP(C36, Project_Management!B:H, 7, FALSE), ""))</f>
        <v>45229</v>
      </c>
      <c r="K36" s="217"/>
      <c r="L36" s="225" t="str">
        <f>IFERROR(VLOOKUP(B36, Data_Validation!X:Y, 2, FALSE), "")</f>
        <v>Done</v>
      </c>
      <c r="M36" s="226" t="str">
        <f t="shared" si="1"/>
        <v>Nvidia | Acer Predator - Shorts | Shoot</v>
      </c>
      <c r="N36" s="226"/>
      <c r="O36" s="226"/>
    </row>
    <row r="37" ht="24.0" customHeight="1">
      <c r="A37" s="216" t="str">
        <f>IFERROR(__xludf.DUMMYFUNCTION("ARRAYFORMULA(IFERROR(VLOOKUP(REGEXEXTRACT(B37, ""-(\w+)-""), {Data_Validation!$F$16:$F$29, Data_Validation!$E$16:$E$29}, 2, FALSE), """"))
"),"Nvidia")</f>
        <v>Nvidia</v>
      </c>
      <c r="B37" s="217" t="str">
        <f>IFERROR(__xludf.DUMMYFUNCTION("""COMPUTED_VALUE"""),"CC-NVI-06.01")</f>
        <v>CC-NVI-06.01</v>
      </c>
      <c r="C37" s="218" t="str">
        <f>IFERROR(__xludf.DUMMYFUNCTION("IFERROR(REGEXEXTRACT(B37, ""^[A-Z]+-[A-Z]+-"") &amp; TEXT(VALUE(REGEXEXTRACT(B37, ""-(\d+)\."")), ""00""), """")"),"CC-NVI-06")</f>
        <v>CC-NVI-06</v>
      </c>
      <c r="D37" s="219" t="str">
        <f>IFERROR(VLOOKUP(C37, Content_Creation!B:D, 2, FALSE), IFERROR(VLOOKUP(C37, Project_Management!B:D, 2, FALSE), ""))
&amp; " - "
&amp; IFERROR(VLOOKUP(C37, Content_Creation!B:E, 4, FALSE), IFERROR(VLOOKUP(C37, Project_Management!B:E, 4, FALSE), ""))</f>
        <v>Acer Predator Neo - Shorts</v>
      </c>
      <c r="E37" s="220" t="str">
        <f>IFERROR(
    VLOOKUP(B37, Content_Creation!B:D, 3, FALSE),
    IFERROR(VLOOKUP(B37, Project_Management!B:D, 3, FALSE),"")
  )</f>
        <v>Script</v>
      </c>
      <c r="F37" s="221" t="str">
        <f>IFERROR(VLOOKUP(B37, Content_Creation!B:F, 5, FALSE), IFERROR(VLOOKUP(B37, Project_Management!B:F, 5, FALSE), ""))</f>
        <v>Nasser</v>
      </c>
      <c r="G37" s="222" t="s">
        <v>26</v>
      </c>
      <c r="H37" s="223">
        <f>IFERROR(VLOOKUP(B37, Content_Creation!B:H, 7, FALSE), IFERROR(VLOOKUP(B37, Project_Management!B:H, 7, FALSE), ""))</f>
        <v>45195.42558</v>
      </c>
      <c r="I37" s="224">
        <v>0.0</v>
      </c>
      <c r="J37" s="223">
        <f>IFERROR(VLOOKUP(C37, Content_Creation!B:H, 7, FALSE), IFERROR(VLOOKUP(C37, Project_Management!B:H, 7, FALSE), ""))</f>
        <v>45230</v>
      </c>
      <c r="K37" s="217"/>
      <c r="L37" s="225" t="str">
        <f>IFERROR(VLOOKUP(B37, Data_Validation!X:Y, 2, FALSE), "")</f>
        <v>Done</v>
      </c>
      <c r="M37" s="226" t="str">
        <f t="shared" si="1"/>
        <v>Nvidia | Acer Predator Neo - Shorts | Script</v>
      </c>
      <c r="N37" s="226"/>
      <c r="O37" s="226"/>
    </row>
    <row r="38" ht="24.0" customHeight="1">
      <c r="A38" s="235" t="str">
        <f>IFERROR(__xludf.DUMMYFUNCTION("ARRAYFORMULA(IFERROR(VLOOKUP(REGEXEXTRACT(B38, ""-(\w+)-""), {Data_Validation!$F$16:$F$29, Data_Validation!$E$16:$E$29}, 2, FALSE), """"))
"),"Nvidia")</f>
        <v>Nvidia</v>
      </c>
      <c r="B38" s="236" t="str">
        <f>IFERROR(__xludf.DUMMYFUNCTION("""COMPUTED_VALUE"""),"CC-NVI-06.02")</f>
        <v>CC-NVI-06.02</v>
      </c>
      <c r="C38" s="218" t="str">
        <f>IFERROR(__xludf.DUMMYFUNCTION("IFERROR(REGEXEXTRACT(B38, ""^[A-Z]+-[A-Z]+-"") &amp; TEXT(VALUE(REGEXEXTRACT(B38, ""-(\d+)\."")), ""00""), """")"),"CC-NVI-06")</f>
        <v>CC-NVI-06</v>
      </c>
      <c r="D38" s="219" t="str">
        <f>IFERROR(VLOOKUP(C38, Content_Creation!B:D, 2, FALSE), IFERROR(VLOOKUP(C38, Project_Management!B:D, 2, FALSE), ""))
&amp; " - "
&amp; IFERROR(VLOOKUP(C38, Content_Creation!B:E, 4, FALSE), IFERROR(VLOOKUP(C38, Project_Management!B:E, 4, FALSE), ""))</f>
        <v>Acer Predator Neo - Shorts</v>
      </c>
      <c r="E38" s="237" t="str">
        <f>IFERROR(
    VLOOKUP(B38, Content_Creation!B:D, 3, FALSE),
    IFERROR(VLOOKUP(B38, Project_Management!B:D, 3, FALSE),"")
  )</f>
        <v>Shoot</v>
      </c>
      <c r="F38" s="238" t="str">
        <f>IFERROR(VLOOKUP(B38, Content_Creation!B:F, 5, FALSE), IFERROR(VLOOKUP(B38, Project_Management!B:F, 5, FALSE), ""))</f>
        <v>Naveen</v>
      </c>
      <c r="G38" s="222" t="s">
        <v>26</v>
      </c>
      <c r="H38" s="239">
        <f>IFERROR(VLOOKUP(B38, Content_Creation!B:H, 7, FALSE), IFERROR(VLOOKUP(B38, Project_Management!B:H, 7, FALSE), ""))</f>
        <v>45195</v>
      </c>
      <c r="I38" s="240">
        <v>0.0</v>
      </c>
      <c r="J38" s="223">
        <f>IFERROR(VLOOKUP(C38, Content_Creation!B:H, 7, FALSE), IFERROR(VLOOKUP(C38, Project_Management!B:H, 7, FALSE), ""))</f>
        <v>45230</v>
      </c>
      <c r="K38" s="236"/>
      <c r="L38" s="241" t="str">
        <f>IFERROR(VLOOKUP(B38, Data_Validation!X:Y, 2, FALSE), "")</f>
        <v>Done</v>
      </c>
      <c r="M38" s="226" t="str">
        <f t="shared" si="1"/>
        <v>Nvidia | Acer Predator Neo - Shorts | Shoot</v>
      </c>
      <c r="N38" s="242"/>
      <c r="O38" s="242"/>
    </row>
    <row r="39" ht="24.0" customHeight="1">
      <c r="A39" s="227" t="str">
        <f>IFERROR(__xludf.DUMMYFUNCTION("ARRAYFORMULA(IFERROR(VLOOKUP(REGEXEXTRACT(B39, ""-(\w+)-""), {Data_Validation!$F$16:$F$29, Data_Validation!$E$16:$E$29}, 2, FALSE), """"))
"),"Nvidia")</f>
        <v>Nvidia</v>
      </c>
      <c r="B39" s="228" t="str">
        <f>IFERROR(__xludf.DUMMYFUNCTION("""COMPUTED_VALUE"""),"PM-NVI-03.01")</f>
        <v>PM-NVI-03.01</v>
      </c>
      <c r="C39" s="218" t="str">
        <f>IFERROR(__xludf.DUMMYFUNCTION("IFERROR(REGEXEXTRACT(B39, ""^[A-Z]+-[A-Z]+-"") &amp; TEXT(VALUE(REGEXEXTRACT(B39, ""-(\d+)\."")), ""00""), """")"),"PM-NVI-03")</f>
        <v>PM-NVI-03</v>
      </c>
      <c r="D39" s="219" t="str">
        <f>IFERROR(VLOOKUP(C39, Content_Creation!B:D, 2, FALSE), IFERROR(VLOOKUP(C39, Project_Management!B:D, 2, FALSE), ""))
&amp; " - "
&amp; IFERROR(VLOOKUP(C39, Content_Creation!B:E, 4, FALSE), IFERROR(VLOOKUP(C39, Project_Management!B:E, 4, FALSE), ""))</f>
        <v>Laptop Projects &amp; Shipments - Misc</v>
      </c>
      <c r="E39" s="229" t="str">
        <f>IFERROR(
    VLOOKUP(B39, Content_Creation!B:D, 3, FALSE),
    IFERROR(VLOOKUP(B39, Project_Management!B:D, 3, FALSE),"")
  )</f>
        <v>ASUS RTX 2050</v>
      </c>
      <c r="F39" s="230" t="str">
        <f>IFERROR(VLOOKUP(B39, Content_Creation!B:F, 5, FALSE), IFERROR(VLOOKUP(B39, Project_Management!B:F, 5, FALSE), ""))</f>
        <v>Naveen</v>
      </c>
      <c r="G39" s="222" t="s">
        <v>26</v>
      </c>
      <c r="H39" s="231">
        <f>IFERROR(VLOOKUP(B39, Content_Creation!B:H, 7, FALSE), IFERROR(VLOOKUP(B39, Project_Management!B:H, 7, FALSE), ""))</f>
        <v>45195</v>
      </c>
      <c r="I39" s="232">
        <v>0.0</v>
      </c>
      <c r="J39" s="223">
        <f>IFERROR(VLOOKUP(C39, Content_Creation!B:H, 7, FALSE), IFERROR(VLOOKUP(C39, Project_Management!B:H, 7, FALSE), ""))</f>
        <v>45239</v>
      </c>
      <c r="K39" s="228"/>
      <c r="L39" s="233" t="str">
        <f>IFERROR(VLOOKUP(B39, Data_Validation!X:Y, 2, FALSE), "")</f>
        <v>Done</v>
      </c>
      <c r="M39" s="226" t="str">
        <f t="shared" si="1"/>
        <v>Nvidia | Laptop Projects &amp; Shipments - Misc | ASUS RTX 2050</v>
      </c>
      <c r="N39" s="234"/>
      <c r="O39" s="234"/>
    </row>
    <row r="40" ht="24.0" customHeight="1">
      <c r="A40" s="227" t="str">
        <f>IFERROR(__xludf.DUMMYFUNCTION("ARRAYFORMULA(IFERROR(VLOOKUP(REGEXEXTRACT(B40, ""-(\w+)-""), {Data_Validation!$F$16:$F$29, Data_Validation!$E$16:$E$29}, 2, FALSE), """"))
"),"Nvidia")</f>
        <v>Nvidia</v>
      </c>
      <c r="B40" s="228" t="str">
        <f>IFERROR(__xludf.DUMMYFUNCTION("""COMPUTED_VALUE"""),"PM-NVI-03.02")</f>
        <v>PM-NVI-03.02</v>
      </c>
      <c r="C40" s="218" t="str">
        <f>IFERROR(__xludf.DUMMYFUNCTION("IFERROR(REGEXEXTRACT(B40, ""^[A-Z]+-[A-Z]+-"") &amp; TEXT(VALUE(REGEXEXTRACT(B40, ""-(\d+)\."")), ""00""), """")"),"PM-NVI-03")</f>
        <v>PM-NVI-03</v>
      </c>
      <c r="D40" s="219" t="str">
        <f>IFERROR(VLOOKUP(C40, Content_Creation!B:D, 2, FALSE), IFERROR(VLOOKUP(C40, Project_Management!B:D, 2, FALSE), ""))
&amp; " - "
&amp; IFERROR(VLOOKUP(C40, Content_Creation!B:E, 4, FALSE), IFERROR(VLOOKUP(C40, Project_Management!B:E, 4, FALSE), ""))</f>
        <v>Laptop Projects &amp; Shipments - Misc</v>
      </c>
      <c r="E40" s="229" t="str">
        <f>IFERROR(
    VLOOKUP(B40, Content_Creation!B:D, 3, FALSE),
    IFERROR(VLOOKUP(B40, Project_Management!B:D, 3, FALSE),"")
  )</f>
        <v>MSI RTX 2060</v>
      </c>
      <c r="F40" s="230" t="str">
        <f>IFERROR(VLOOKUP(B40, Content_Creation!B:F, 5, FALSE), IFERROR(VLOOKUP(B40, Project_Management!B:F, 5, FALSE), ""))</f>
        <v>Naveen</v>
      </c>
      <c r="G40" s="222" t="s">
        <v>26</v>
      </c>
      <c r="H40" s="231">
        <f>IFERROR(VLOOKUP(B40, Content_Creation!B:H, 7, FALSE), IFERROR(VLOOKUP(B40, Project_Management!B:H, 7, FALSE), ""))</f>
        <v>45195</v>
      </c>
      <c r="I40" s="232">
        <v>0.08333333333333333</v>
      </c>
      <c r="J40" s="223">
        <f>IFERROR(VLOOKUP(C40, Content_Creation!B:H, 7, FALSE), IFERROR(VLOOKUP(C40, Project_Management!B:H, 7, FALSE), ""))</f>
        <v>45239</v>
      </c>
      <c r="K40" s="228"/>
      <c r="L40" s="233" t="str">
        <f>IFERROR(VLOOKUP(B40, Data_Validation!X:Y, 2, FALSE), "")</f>
        <v>Done</v>
      </c>
      <c r="M40" s="226" t="str">
        <f t="shared" si="1"/>
        <v>Nvidia | Laptop Projects &amp; Shipments - Misc | MSI RTX 2060</v>
      </c>
      <c r="N40" s="234"/>
      <c r="O40" s="234"/>
    </row>
    <row r="41" ht="24.0" customHeight="1">
      <c r="A41" s="235" t="str">
        <f>IFERROR(__xludf.DUMMYFUNCTION("ARRAYFORMULA(IFERROR(VLOOKUP(REGEXEXTRACT(B41, ""-(\w+)-""), {Data_Validation!$F$16:$F$29, Data_Validation!$E$16:$E$29}, 2, FALSE), """"))
"),"Picture This!")</f>
        <v>Picture This!</v>
      </c>
      <c r="B41" s="236" t="str">
        <f>IFERROR(__xludf.DUMMYFUNCTION("""COMPUTED_VALUE"""),"PM-PTS-05.04")</f>
        <v>PM-PTS-05.04</v>
      </c>
      <c r="C41" s="243" t="str">
        <f>IFERROR(__xludf.DUMMYFUNCTION("IFERROR(REGEXEXTRACT(B41, ""^[A-Z]+-[A-Z]+-"") &amp; TEXT(VALUE(REGEXEXTRACT(B41, ""-(\d+)\."")), ""00""), """")"),"PM-PTS-05")</f>
        <v>PM-PTS-05</v>
      </c>
      <c r="D41" s="219" t="str">
        <f>IFERROR(VLOOKUP(C41, Content_Creation!B:D, 2, FALSE), IFERROR(VLOOKUP(C41, Project_Management!B:D, 2, FALSE), ""))
&amp; " - "
&amp; IFERROR(VLOOKUP(C41, Content_Creation!B:E, 4, FALSE), IFERROR(VLOOKUP(C41, Project_Management!B:E, 4, FALSE), ""))</f>
        <v>Picture This- AdHoc - Website</v>
      </c>
      <c r="E41" s="237" t="str">
        <f>IFERROR(
    VLOOKUP(B41, Content_Creation!B:D, 3, FALSE),
    IFERROR(VLOOKUP(B41, Project_Management!B:D, 3, FALSE),"")
  )</f>
        <v>DevOps Ads</v>
      </c>
      <c r="F41" s="238" t="str">
        <f>IFERROR(VLOOKUP(B41, Content_Creation!B:F, 5, FALSE), IFERROR(VLOOKUP(B41, Project_Management!B:F, 5, FALSE), ""))</f>
        <v>Talha</v>
      </c>
      <c r="G41" s="244" t="s">
        <v>26</v>
      </c>
      <c r="H41" s="239">
        <f>IFERROR(VLOOKUP(B41, Content_Creation!B:H, 7, FALSE), IFERROR(VLOOKUP(B41, Project_Management!B:H, 7, FALSE), ""))</f>
        <v>45195</v>
      </c>
      <c r="I41" s="240">
        <v>0.0</v>
      </c>
      <c r="J41" s="223">
        <f>IFERROR(VLOOKUP(C41, Content_Creation!B:H, 7, FALSE), IFERROR(VLOOKUP(C41, Project_Management!B:H, 7, FALSE), ""))</f>
        <v>45241</v>
      </c>
      <c r="K41" s="236"/>
      <c r="L41" s="241" t="str">
        <f>IFERROR(VLOOKUP(B41, Data_Validation!X:Y, 2, FALSE), "")</f>
        <v>Done</v>
      </c>
      <c r="M41" s="226" t="str">
        <f t="shared" si="1"/>
        <v>Picture This! | Picture This- AdHoc - Website | DevOps Ads</v>
      </c>
      <c r="N41" s="242"/>
      <c r="O41" s="242"/>
    </row>
    <row r="42" ht="24.0" customHeight="1">
      <c r="A42" s="227" t="str">
        <f>IFERROR(__xludf.DUMMYFUNCTION("ARRAYFORMULA(IFERROR(VLOOKUP(REGEXEXTRACT(B42, ""-(\w+)-""), {Data_Validation!$F$16:$F$29, Data_Validation!$E$16:$E$29}, 2, FALSE), """"))
"),"Picture This!")</f>
        <v>Picture This!</v>
      </c>
      <c r="B42" s="228" t="str">
        <f>IFERROR(__xludf.DUMMYFUNCTION("""COMPUTED_VALUE"""),"PM-PTS-03.05")</f>
        <v>PM-PTS-03.05</v>
      </c>
      <c r="C42" s="218" t="str">
        <f>IFERROR(__xludf.DUMMYFUNCTION("IFERROR(REGEXEXTRACT(B42, ""^[A-Z]+-[A-Z]+-"") &amp; TEXT(VALUE(REGEXEXTRACT(B42, ""-(\d+)\."")), ""00""), """")"),"PM-PTS-03")</f>
        <v>PM-PTS-03</v>
      </c>
      <c r="D42" s="219" t="str">
        <f>IFERROR(VLOOKUP(C42, Content_Creation!B:D, 2, FALSE), IFERROR(VLOOKUP(C42, Project_Management!B:D, 2, FALSE), ""))
&amp; " - "
&amp; IFERROR(VLOOKUP(C42, Content_Creation!B:E, 4, FALSE), IFERROR(VLOOKUP(C42, Project_Management!B:E, 4, FALSE), ""))</f>
        <v>Company Profile - Docs</v>
      </c>
      <c r="E42" s="229" t="str">
        <f>IFERROR(
    VLOOKUP(B42, Content_Creation!B:D, 3, FALSE),
    IFERROR(VLOOKUP(B42, Project_Management!B:D, 3, FALSE),"")
  )</f>
        <v>PFP</v>
      </c>
      <c r="F42" s="230" t="str">
        <f>IFERROR(VLOOKUP(B42, Content_Creation!B:F, 5, FALSE), IFERROR(VLOOKUP(B42, Project_Management!B:F, 5, FALSE), ""))</f>
        <v>Naveen</v>
      </c>
      <c r="G42" s="222" t="s">
        <v>26</v>
      </c>
      <c r="H42" s="231">
        <f>IFERROR(VLOOKUP(B42, Content_Creation!B:H, 7, FALSE), IFERROR(VLOOKUP(B42, Project_Management!B:H, 7, FALSE), ""))</f>
        <v>45195</v>
      </c>
      <c r="I42" s="232">
        <v>0.0</v>
      </c>
      <c r="J42" s="223">
        <f>IFERROR(VLOOKUP(C42, Content_Creation!B:H, 7, FALSE), IFERROR(VLOOKUP(C42, Project_Management!B:H, 7, FALSE), ""))</f>
        <v>45162</v>
      </c>
      <c r="K42" s="228"/>
      <c r="L42" s="233" t="str">
        <f>IFERROR(VLOOKUP(B42, Data_Validation!X:Y, 2, FALSE), "")</f>
        <v>Done</v>
      </c>
      <c r="M42" s="226" t="str">
        <f t="shared" si="1"/>
        <v>Picture This! | Company Profile - Docs | PFP</v>
      </c>
      <c r="N42" s="234"/>
      <c r="O42" s="234"/>
    </row>
    <row r="43" ht="24.0" customHeight="1">
      <c r="A43" s="235" t="str">
        <f>IFERROR(__xludf.DUMMYFUNCTION("ARRAYFORMULA(IFERROR(VLOOKUP(REGEXEXTRACT(B43, ""-(\w+)-""), {Data_Validation!$F$16:$F$29, Data_Validation!$E$16:$E$29}, 2, FALSE), """"))
"),"Nvidia")</f>
        <v>Nvidia</v>
      </c>
      <c r="B43" s="236" t="str">
        <f>IFERROR(__xludf.DUMMYFUNCTION("""COMPUTED_VALUE"""),"CC-NVI-04.02")</f>
        <v>CC-NVI-04.02</v>
      </c>
      <c r="C43" s="218" t="str">
        <f>IFERROR(__xludf.DUMMYFUNCTION("IFERROR(REGEXEXTRACT(B43, ""^[A-Z]+-[A-Z]+-"") &amp; TEXT(VALUE(REGEXEXTRACT(B43, ""-(\d+)\."")), ""00""), """")"),"CC-NVI-04")</f>
        <v>CC-NVI-04</v>
      </c>
      <c r="D43" s="219" t="str">
        <f>IFERROR(VLOOKUP(C43, Content_Creation!B:D, 2, FALSE), IFERROR(VLOOKUP(C43, Project_Management!B:D, 2, FALSE), ""))
&amp; " - "
&amp; IFERROR(VLOOKUP(C43, Content_Creation!B:E, 4, FALSE), IFERROR(VLOOKUP(C43, Project_Management!B:E, 4, FALSE), ""))</f>
        <v>Lenovo Legion | RTX 4060 - Shorts</v>
      </c>
      <c r="E43" s="245" t="str">
        <f>IFERROR(
    VLOOKUP(B43, Content_Creation!B:D, 3, FALSE),
    IFERROR(VLOOKUP(B43, Project_Management!B:D, 3, FALSE),"")
  )</f>
        <v>Shoot</v>
      </c>
      <c r="F43" s="238" t="str">
        <f>IFERROR(VLOOKUP(B43, Content_Creation!B:F, 5, FALSE), IFERROR(VLOOKUP(B43, Project_Management!B:F, 5, FALSE), ""))</f>
        <v>Naveen</v>
      </c>
      <c r="G43" s="222" t="s">
        <v>26</v>
      </c>
      <c r="H43" s="239">
        <f>IFERROR(VLOOKUP(B43, Content_Creation!B:H, 7, FALSE), IFERROR(VLOOKUP(B43, Project_Management!B:H, 7, FALSE), ""))</f>
        <v>45197</v>
      </c>
      <c r="I43" s="240">
        <v>0.0</v>
      </c>
      <c r="J43" s="223">
        <f>IFERROR(VLOOKUP(C43, Content_Creation!B:H, 7, FALSE), IFERROR(VLOOKUP(C43, Project_Management!B:H, 7, FALSE), ""))</f>
        <v>45230</v>
      </c>
      <c r="K43" s="236"/>
      <c r="L43" s="241" t="str">
        <f>IFERROR(VLOOKUP(B43, Data_Validation!X:Y, 2, FALSE), "")</f>
        <v>Done</v>
      </c>
      <c r="M43" s="226" t="str">
        <f t="shared" si="1"/>
        <v>Nvidia | Lenovo Legion | RTX 4060 - Shorts | Shoot</v>
      </c>
      <c r="N43" s="242"/>
      <c r="O43" s="242"/>
    </row>
    <row r="44" ht="24.0" customHeight="1">
      <c r="A44" s="227" t="str">
        <f>IFERROR(__xludf.DUMMYFUNCTION("ARRAYFORMULA(IFERROR(VLOOKUP(REGEXEXTRACT(B44, ""-(\w+)-""), {Data_Validation!$F$16:$F$29, Data_Validation!$E$16:$E$29}, 2, FALSE), """"))
"),"Picture This!")</f>
        <v>Picture This!</v>
      </c>
      <c r="B44" s="228" t="str">
        <f>IFERROR(__xludf.DUMMYFUNCTION("""COMPUTED_VALUE"""),"PM-PTS-01.02")</f>
        <v>PM-PTS-01.02</v>
      </c>
      <c r="C44" s="218" t="str">
        <f>IFERROR(__xludf.DUMMYFUNCTION("IFERROR(REGEXEXTRACT(B44, ""^[A-Z]+-[A-Z]+-"") &amp; TEXT(VALUE(REGEXEXTRACT(B44, ""-(\d+)\."")), ""00""), """")"),"PM-PTS-01")</f>
        <v>PM-PTS-01</v>
      </c>
      <c r="D44" s="219" t="str">
        <f>IFERROR(VLOOKUP(C44, Content_Creation!B:D, 2, FALSE), IFERROR(VLOOKUP(C44, Project_Management!B:D, 2, FALSE), ""))
&amp; " - "
&amp; IFERROR(VLOOKUP(C44, Content_Creation!B:E, 4, FALSE), IFERROR(VLOOKUP(C44, Project_Management!B:E, 4, FALSE), ""))</f>
        <v>SOPs - Misc</v>
      </c>
      <c r="E44" s="229" t="str">
        <f>IFERROR(
    VLOOKUP(B44, Content_Creation!B:D, 3, FALSE),
    IFERROR(VLOOKUP(B44, Project_Management!B:D, 3, FALSE),"")
  )</f>
        <v>Logo &amp; Branding</v>
      </c>
      <c r="F44" s="230" t="str">
        <f>IFERROR(VLOOKUP(B44, Content_Creation!B:F, 5, FALSE), IFERROR(VLOOKUP(B44, Project_Management!B:F, 5, FALSE), ""))</f>
        <v>Naveen</v>
      </c>
      <c r="G44" s="222" t="s">
        <v>26</v>
      </c>
      <c r="H44" s="231">
        <f>IFERROR(VLOOKUP(B44, Content_Creation!B:H, 7, FALSE), IFERROR(VLOOKUP(B44, Project_Management!B:H, 7, FALSE), ""))</f>
        <v>45197</v>
      </c>
      <c r="I44" s="232">
        <v>0.0</v>
      </c>
      <c r="J44" s="223">
        <f>IFERROR(VLOOKUP(C44, Content_Creation!B:H, 7, FALSE), IFERROR(VLOOKUP(C44, Project_Management!B:H, 7, FALSE), ""))</f>
        <v>45240</v>
      </c>
      <c r="K44" s="228"/>
      <c r="L44" s="233" t="str">
        <f>IFERROR(VLOOKUP(B44, Data_Validation!X:Y, 2, FALSE), "")</f>
        <v>Done</v>
      </c>
      <c r="M44" s="226" t="str">
        <f t="shared" si="1"/>
        <v>Picture This! | SOPs - Misc | Logo &amp; Branding</v>
      </c>
      <c r="N44" s="234"/>
      <c r="O44" s="234"/>
    </row>
    <row r="45" ht="24.0" customHeight="1">
      <c r="A45" s="216" t="str">
        <f>IFERROR(__xludf.DUMMYFUNCTION("ARRAYFORMULA(IFERROR(VLOOKUP(REGEXEXTRACT(B45, ""-(\w+)-""), {Data_Validation!$F$16:$F$29, Data_Validation!$E$16:$E$29}, 2, FALSE), """"))
"),"Nvidia")</f>
        <v>Nvidia</v>
      </c>
      <c r="B45" s="246" t="str">
        <f>IFERROR(__xludf.DUMMYFUNCTION("""COMPUTED_VALUE"""),"CC-NVI-02.07")</f>
        <v>CC-NVI-02.07</v>
      </c>
      <c r="C45" s="218" t="str">
        <f>IFERROR(__xludf.DUMMYFUNCTION("IFERROR(REGEXEXTRACT(B45, ""^[A-Z]+-[A-Z]+-"") &amp; TEXT(VALUE(REGEXEXTRACT(B45, ""-(\d+)\."")), ""00""), """")"),"CC-NVI-02")</f>
        <v>CC-NVI-02</v>
      </c>
      <c r="D45" s="219" t="str">
        <f>IFERROR(VLOOKUP(C45, Content_Creation!B:D, 2, FALSE), IFERROR(VLOOKUP(C45, Project_Management!B:D, 2, FALSE), ""))
&amp; " - "
&amp; IFERROR(VLOOKUP(C45, Content_Creation!B:E, 4, FALSE), IFERROR(VLOOKUP(C45, Project_Management!B:E, 4, FALSE), ""))</f>
        <v>MSI Sword 15 | RTX 4060 - Shorts</v>
      </c>
      <c r="E45" s="220" t="str">
        <f>IFERROR(
    VLOOKUP(B44:B1001, Content_Creation!B:D, 3, FALSE),
    IFERROR(VLOOKUP(B44:B1001, Project_Management!B:D, 3, FALSE),"")
  )</f>
        <v>Edit</v>
      </c>
      <c r="F45" s="221" t="str">
        <f>IFERROR(VLOOKUP(B45, Content_Creation!B:F, 5, FALSE), IFERROR(VLOOKUP(B45, Project_Management!B:F, 5, FALSE), ""))</f>
        <v>Nasser</v>
      </c>
      <c r="G45" s="222" t="s">
        <v>26</v>
      </c>
      <c r="H45" s="223">
        <f>IFERROR(VLOOKUP(B45, Content_Creation!B:H, 7, FALSE), IFERROR(VLOOKUP(B45, Project_Management!B:H, 7, FALSE), ""))</f>
        <v>45198</v>
      </c>
      <c r="I45" s="224">
        <v>0.0</v>
      </c>
      <c r="J45" s="223">
        <f>IFERROR(VLOOKUP(C45, Content_Creation!B:H, 7, FALSE), IFERROR(VLOOKUP(C45, Project_Management!B:H, 7, FALSE), ""))</f>
        <v>45198</v>
      </c>
      <c r="K45" s="217"/>
      <c r="L45" s="225" t="str">
        <f>IFERROR(VLOOKUP(B45, Data_Validation!X:Y, 2, FALSE), "")</f>
        <v>Done</v>
      </c>
      <c r="M45" s="226" t="str">
        <f t="shared" si="1"/>
        <v>Nvidia | MSI Sword 15 | RTX 4060 - Shorts | Edit</v>
      </c>
      <c r="N45" s="226"/>
      <c r="O45" s="226"/>
    </row>
    <row r="46" ht="24.0" customHeight="1">
      <c r="A46" s="216" t="str">
        <f>IFERROR(__xludf.DUMMYFUNCTION("ARRAYFORMULA(IFERROR(VLOOKUP(REGEXEXTRACT(B46, ""-(\w+)-""), {Data_Validation!$F$16:$F$29, Data_Validation!$E$16:$E$29}, 2, FALSE), """"))
"),"Nvidia")</f>
        <v>Nvidia</v>
      </c>
      <c r="B46" s="246" t="str">
        <f>IFERROR(__xludf.DUMMYFUNCTION("""COMPUTED_VALUE"""),"CC-NVI-08.02")</f>
        <v>CC-NVI-08.02</v>
      </c>
      <c r="C46" s="218" t="str">
        <f>IFERROR(__xludf.DUMMYFUNCTION("IFERROR(REGEXEXTRACT(B46, ""^[A-Z]+-[A-Z]+-"") &amp; TEXT(VALUE(REGEXEXTRACT(B46, ""-(\d+)\."")), ""00""), """")"),"CC-NVI-08")</f>
        <v>CC-NVI-08</v>
      </c>
      <c r="D46" s="219" t="str">
        <f>IFERROR(VLOOKUP(C46, Content_Creation!B:D, 2, FALSE), IFERROR(VLOOKUP(C46, Project_Management!B:D, 2, FALSE), ""))
&amp; " - "
&amp; IFERROR(VLOOKUP(C46, Content_Creation!B:E, 4, FALSE), IFERROR(VLOOKUP(C46, Project_Management!B:E, 4, FALSE), ""))</f>
        <v>HP Victus 15-FA1124TX - Shorts</v>
      </c>
      <c r="E46" s="220" t="str">
        <f>IFERROR(
    VLOOKUP(B45:B1001, Content_Creation!B:D, 3, FALSE),
    IFERROR(VLOOKUP(B45:B1001, Project_Management!B:D, 3, FALSE),"")
  )</f>
        <v>Shoot</v>
      </c>
      <c r="F46" s="221" t="str">
        <f>IFERROR(VLOOKUP(B46, Content_Creation!B:F, 5, FALSE), IFERROR(VLOOKUP(B46, Project_Management!B:F, 5, FALSE), ""))</f>
        <v>Naveen</v>
      </c>
      <c r="G46" s="222" t="s">
        <v>26</v>
      </c>
      <c r="H46" s="223">
        <f>IFERROR(VLOOKUP(B46, Content_Creation!B:H, 7, FALSE), IFERROR(VLOOKUP(B46, Project_Management!B:H, 7, FALSE), ""))</f>
        <v>45198</v>
      </c>
      <c r="I46" s="224">
        <v>0.0</v>
      </c>
      <c r="J46" s="223">
        <f>IFERROR(VLOOKUP(C46, Content_Creation!B:H, 7, FALSE), IFERROR(VLOOKUP(C46, Project_Management!B:H, 7, FALSE), ""))</f>
        <v>45230</v>
      </c>
      <c r="K46" s="217"/>
      <c r="L46" s="225" t="str">
        <f>IFERROR(VLOOKUP(B46, Data_Validation!X:Y, 2, FALSE), "")</f>
        <v>Done</v>
      </c>
      <c r="M46" s="226" t="str">
        <f t="shared" si="1"/>
        <v>Nvidia | HP Victus 15-FA1124TX - Shorts | Shoot</v>
      </c>
      <c r="N46" s="226"/>
      <c r="O46" s="226"/>
    </row>
    <row r="47" ht="24.0" customHeight="1">
      <c r="A47" s="216" t="str">
        <f>IFERROR(__xludf.DUMMYFUNCTION("ARRAYFORMULA(IFERROR(VLOOKUP(REGEXEXTRACT(B47, ""-(\w+)-""), {Data_Validation!$F$16:$F$29, Data_Validation!$E$16:$E$29}, 2, FALSE), """"))
"),"Nvidia")</f>
        <v>Nvidia</v>
      </c>
      <c r="B47" s="246" t="str">
        <f>IFERROR(__xludf.DUMMYFUNCTION("""COMPUTED_VALUE"""),"CC-NVI-07.02")</f>
        <v>CC-NVI-07.02</v>
      </c>
      <c r="C47" s="218" t="str">
        <f>IFERROR(__xludf.DUMMYFUNCTION("IFERROR(REGEXEXTRACT(B47, ""^[A-Z]+-[A-Z]+-"") &amp; TEXT(VALUE(REGEXEXTRACT(B47, ""-(\d+)\."")), ""00""), """")"),"CC-NVI-07")</f>
        <v>CC-NVI-07</v>
      </c>
      <c r="D47" s="219" t="str">
        <f>IFERROR(VLOOKUP(C47, Content_Creation!B:D, 2, FALSE), IFERROR(VLOOKUP(C47, Project_Management!B:D, 2, FALSE), ""))
&amp; " - "
&amp; IFERROR(VLOOKUP(C47, Content_Creation!B:E, 4, FALSE), IFERROR(VLOOKUP(C47, Project_Management!B:E, 4, FALSE), ""))</f>
        <v>Acer Nitro V - Shorts</v>
      </c>
      <c r="E47" s="220" t="str">
        <f>IFERROR(
    VLOOKUP(B46:B1001, Content_Creation!B:D, 3, FALSE),
    IFERROR(VLOOKUP(B46:B1001, Project_Management!B:D, 3, FALSE),"")
  )</f>
        <v>Shoot</v>
      </c>
      <c r="F47" s="221" t="str">
        <f>IFERROR(VLOOKUP(B47, Content_Creation!B:F, 5, FALSE), IFERROR(VLOOKUP(B47, Project_Management!B:F, 5, FALSE), ""))</f>
        <v>Naveen</v>
      </c>
      <c r="G47" s="222" t="s">
        <v>26</v>
      </c>
      <c r="H47" s="223">
        <f>IFERROR(VLOOKUP(B47, Content_Creation!B:H, 7, FALSE), IFERROR(VLOOKUP(B47, Project_Management!B:H, 7, FALSE), ""))</f>
        <v>45198</v>
      </c>
      <c r="I47" s="224">
        <v>0.0</v>
      </c>
      <c r="J47" s="223">
        <f>IFERROR(VLOOKUP(C47, Content_Creation!B:H, 7, FALSE), IFERROR(VLOOKUP(C47, Project_Management!B:H, 7, FALSE), ""))</f>
        <v>45229</v>
      </c>
      <c r="K47" s="217"/>
      <c r="L47" s="225" t="str">
        <f>IFERROR(VLOOKUP(B47, Data_Validation!X:Y, 2, FALSE), "")</f>
        <v>Done</v>
      </c>
      <c r="M47" s="226" t="str">
        <f t="shared" si="1"/>
        <v>Nvidia | Acer Nitro V - Shorts | Shoot</v>
      </c>
      <c r="N47" s="226"/>
      <c r="O47" s="226"/>
    </row>
    <row r="48" ht="24.0" customHeight="1">
      <c r="A48" s="216" t="str">
        <f>IFERROR(__xludf.DUMMYFUNCTION("ARRAYFORMULA(IFERROR(VLOOKUP(REGEXEXTRACT(B48, ""-(\w+)-""), {Data_Validation!$F$16:$F$29, Data_Validation!$E$16:$E$29}, 2, FALSE), """"))
"),"Nvidia")</f>
        <v>Nvidia</v>
      </c>
      <c r="B48" s="246" t="str">
        <f>IFERROR(__xludf.DUMMYFUNCTION("""COMPUTED_VALUE"""),"CC-NVI-10.02")</f>
        <v>CC-NVI-10.02</v>
      </c>
      <c r="C48" s="218" t="str">
        <f>IFERROR(__xludf.DUMMYFUNCTION("IFERROR(REGEXEXTRACT(B48, ""^[A-Z]+-[A-Z]+-"") &amp; TEXT(VALUE(REGEXEXTRACT(B48, ""-(\d+)\."")), ""00""), """")"),"CC-NVI-10")</f>
        <v>CC-NVI-10</v>
      </c>
      <c r="D48" s="219" t="str">
        <f>IFERROR(VLOOKUP(C48, Content_Creation!B:D, 2, FALSE), IFERROR(VLOOKUP(C48, Project_Management!B:D, 2, FALSE), ""))
&amp; " - "
&amp; IFERROR(VLOOKUP(C48, Content_Creation!B:E, 4, FALSE), IFERROR(VLOOKUP(C48, Project_Management!B:E, 4, FALSE), ""))</f>
        <v>HP Victus 15-FA0555TX - Shorts</v>
      </c>
      <c r="E48" s="220" t="str">
        <f>IFERROR(
    VLOOKUP(B47:B1001, Content_Creation!B:D, 3, FALSE),
    IFERROR(VLOOKUP(B47:B1001, Project_Management!B:D, 3, FALSE),"")
  )</f>
        <v>Shoot</v>
      </c>
      <c r="F48" s="221" t="str">
        <f>IFERROR(VLOOKUP(B48, Content_Creation!B:F, 5, FALSE), IFERROR(VLOOKUP(B48, Project_Management!B:F, 5, FALSE), ""))</f>
        <v>Naveen</v>
      </c>
      <c r="G48" s="222" t="s">
        <v>26</v>
      </c>
      <c r="H48" s="223">
        <f>IFERROR(VLOOKUP(B48, Content_Creation!B:H, 7, FALSE), IFERROR(VLOOKUP(B48, Project_Management!B:H, 7, FALSE), ""))</f>
        <v>45198</v>
      </c>
      <c r="I48" s="224">
        <v>0.0</v>
      </c>
      <c r="J48" s="223">
        <f>IFERROR(VLOOKUP(C48, Content_Creation!B:H, 7, FALSE), IFERROR(VLOOKUP(C48, Project_Management!B:H, 7, FALSE), ""))</f>
        <v>45230</v>
      </c>
      <c r="K48" s="217"/>
      <c r="L48" s="225" t="str">
        <f>IFERROR(VLOOKUP(B48, Data_Validation!X:Y, 2, FALSE), "")</f>
        <v>Done</v>
      </c>
      <c r="M48" s="226" t="str">
        <f t="shared" si="1"/>
        <v>Nvidia | HP Victus 15-FA0555TX - Shorts | Shoot</v>
      </c>
      <c r="N48" s="226"/>
      <c r="O48" s="226"/>
    </row>
    <row r="49" ht="24.0" customHeight="1">
      <c r="A49" s="216" t="str">
        <f>IFERROR(__xludf.DUMMYFUNCTION("ARRAYFORMULA(IFERROR(VLOOKUP(REGEXEXTRACT(B49, ""-(\w+)-""), {Data_Validation!$F$16:$F$29, Data_Validation!$E$16:$E$29}, 2, FALSE), """"))
"),"Nvidia")</f>
        <v>Nvidia</v>
      </c>
      <c r="B49" s="247" t="str">
        <f>IFERROR(__xludf.DUMMYFUNCTION("""COMPUTED_VALUE"""),"CC-NVI-11.02")</f>
        <v>CC-NVI-11.02</v>
      </c>
      <c r="C49" s="218" t="str">
        <f>IFERROR(__xludf.DUMMYFUNCTION("IFERROR(REGEXEXTRACT(B49, ""^[A-Z]+-[A-Z]+-"") &amp; TEXT(VALUE(REGEXEXTRACT(B49, ""-(\d+)\."")), ""00""), """")"),"CC-NVI-11")</f>
        <v>CC-NVI-11</v>
      </c>
      <c r="D49" s="219" t="str">
        <f>IFERROR(VLOOKUP(C49, Content_Creation!B:D, 2, FALSE), IFERROR(VLOOKUP(C49, Project_Management!B:D, 2, FALSE), ""))
&amp; " - "
&amp; IFERROR(VLOOKUP(C49, Content_Creation!B:E, 4, FALSE), IFERROR(VLOOKUP(C49, Project_Management!B:E, 4, FALSE), ""))</f>
        <v>HP Omen 16-XF0060AX - Shorts</v>
      </c>
      <c r="E49" s="220" t="str">
        <f>IFERROR(
    VLOOKUP(B48:B1001, Content_Creation!B:D, 3, FALSE),
    IFERROR(VLOOKUP(B48:B1001, Project_Management!B:D, 3, FALSE),"")
  )</f>
        <v>Shoot</v>
      </c>
      <c r="F49" s="221" t="str">
        <f>IFERROR(VLOOKUP(B49, Content_Creation!B:F, 5, FALSE), IFERROR(VLOOKUP(B49, Project_Management!B:F, 5, FALSE), ""))</f>
        <v>Naveen</v>
      </c>
      <c r="G49" s="222" t="s">
        <v>26</v>
      </c>
      <c r="H49" s="223">
        <f>IFERROR(VLOOKUP(B49, Content_Creation!B:H, 7, FALSE), IFERROR(VLOOKUP(B49, Project_Management!B:H, 7, FALSE), ""))</f>
        <v>45198</v>
      </c>
      <c r="I49" s="224">
        <v>0.006944444444444444</v>
      </c>
      <c r="J49" s="223">
        <f>IFERROR(VLOOKUP(C49, Content_Creation!B:H, 7, FALSE), IFERROR(VLOOKUP(C49, Project_Management!B:H, 7, FALSE), ""))</f>
        <v>45231</v>
      </c>
      <c r="K49" s="248"/>
      <c r="L49" s="225" t="str">
        <f>IFERROR(VLOOKUP(B49, Data_Validation!X:Y, 2, FALSE), "")</f>
        <v>Done</v>
      </c>
      <c r="M49" s="226" t="str">
        <f t="shared" si="1"/>
        <v>Nvidia | HP Omen 16-XF0060AX - Shorts | Shoot</v>
      </c>
      <c r="N49" s="249"/>
      <c r="O49" s="249"/>
    </row>
    <row r="50" ht="24.0" customHeight="1">
      <c r="A50" s="216" t="str">
        <f>IFERROR(__xludf.DUMMYFUNCTION("ARRAYFORMULA(IFERROR(VLOOKUP(REGEXEXTRACT(B50, ""-(\w+)-""), {Data_Validation!$F$16:$F$29, Data_Validation!$E$16:$E$29}, 2, FALSE), """"))
"),"MaCaw")</f>
        <v>MaCaw</v>
      </c>
      <c r="B50" s="247" t="str">
        <f>IFERROR(__xludf.DUMMYFUNCTION("""COMPUTED_VALUE"""),"PM-MAC-01.01")</f>
        <v>PM-MAC-01.01</v>
      </c>
      <c r="C50" s="218" t="str">
        <f>IFERROR(__xludf.DUMMYFUNCTION("IFERROR(REGEXEXTRACT(B50, ""^[A-Z]+-[A-Z]+-"") &amp; TEXT(VALUE(REGEXEXTRACT(B50, ""-(\d+)\."")), ""00""), """")"),"PM-MAC-01")</f>
        <v>PM-MAC-01</v>
      </c>
      <c r="D50" s="219" t="str">
        <f>IFERROR(VLOOKUP(C50, Content_Creation!B:D, 2, FALSE), IFERROR(VLOOKUP(C50, Project_Management!B:D, 2, FALSE), ""))
&amp; " - "
&amp; IFERROR(VLOOKUP(C50, Content_Creation!B:E, 4, FALSE), IFERROR(VLOOKUP(C50, Project_Management!B:E, 4, FALSE), ""))</f>
        <v>Web Dev + AdHoc - Website</v>
      </c>
      <c r="E50" s="220" t="str">
        <f>IFERROR(
    VLOOKUP(B49:B1001, Content_Creation!B:D, 3, FALSE),
    IFERROR(VLOOKUP(B49:B1001, Project_Management!B:D, 3, FALSE),"")
  )</f>
        <v>Meeting</v>
      </c>
      <c r="F50" s="221" t="str">
        <f>IFERROR(VLOOKUP(B50, Content_Creation!B:F, 5, FALSE), IFERROR(VLOOKUP(B50, Project_Management!B:F, 5, FALSE), ""))</f>
        <v>Nasser</v>
      </c>
      <c r="G50" s="222" t="s">
        <v>26</v>
      </c>
      <c r="H50" s="223">
        <f>IFERROR(VLOOKUP(B50, Content_Creation!B:H, 7, FALSE), IFERROR(VLOOKUP(B50, Project_Management!B:H, 7, FALSE), ""))</f>
        <v>45198</v>
      </c>
      <c r="I50" s="224">
        <v>0.006944444444444444</v>
      </c>
      <c r="J50" s="223">
        <f>IFERROR(VLOOKUP(C50, Content_Creation!B:H, 7, FALSE), IFERROR(VLOOKUP(C50, Project_Management!B:H, 7, FALSE), ""))</f>
        <v>45248</v>
      </c>
      <c r="K50" s="248"/>
      <c r="L50" s="225" t="str">
        <f>IFERROR(VLOOKUP(B50, Data_Validation!X:Y, 2, FALSE), "")</f>
        <v>Done</v>
      </c>
      <c r="M50" s="226" t="str">
        <f t="shared" si="1"/>
        <v>MaCaw | Web Dev + AdHoc - Website | Meeting</v>
      </c>
      <c r="N50" s="249"/>
      <c r="O50" s="249"/>
    </row>
    <row r="51" ht="24.0" customHeight="1">
      <c r="A51" s="235" t="str">
        <f>IFERROR(__xludf.DUMMYFUNCTION("ARRAYFORMULA(IFERROR(VLOOKUP(REGEXEXTRACT(B51, ""-(\w+)-""), {Data_Validation!$F$16:$F$29, Data_Validation!$E$16:$E$29}, 2, FALSE), """"))
"),"TheMVP")</f>
        <v>TheMVP</v>
      </c>
      <c r="B51" s="250" t="str">
        <f>IFERROR(__xludf.DUMMYFUNCTION("""COMPUTED_VALUE"""),"CC-MVP-67.01")</f>
        <v>CC-MVP-67.01</v>
      </c>
      <c r="C51" s="218" t="str">
        <f>IFERROR(__xludf.DUMMYFUNCTION("IFERROR(REGEXEXTRACT(B51, ""^[A-Z]+-[A-Z]+-"") &amp; TEXT(VALUE(REGEXEXTRACT(B51, ""-(\d+)\."")), ""00""), """")"),"CC-MVP-67")</f>
        <v>CC-MVP-67</v>
      </c>
      <c r="D51" s="219" t="str">
        <f>IFERROR(VLOOKUP(C51, Content_Creation!B:D, 2, FALSE), IFERROR(VLOOKUP(C51, Project_Management!B:D, 2, FALSE), ""))
&amp; " - "
&amp; IFERROR(VLOOKUP(C51, Content_Creation!B:E, 4, FALSE), IFERROR(VLOOKUP(C51, Project_Management!B:E, 4, FALSE), ""))</f>
        <v>Know Your ABC - Blender - YT Video</v>
      </c>
      <c r="E51" s="237" t="str">
        <f>IFERROR(
    VLOOKUP(B51, Content_Creation!B:D, 3, FALSE),
    IFERROR(VLOOKUP(B51, Project_Management!B:D, 3, FALSE),"")
  )</f>
        <v>Script</v>
      </c>
      <c r="F51" s="238" t="str">
        <f>IFERROR(VLOOKUP(B51, Content_Creation!B:F, 5, FALSE), IFERROR(VLOOKUP(B51, Project_Management!B:F, 5, FALSE), ""))</f>
        <v>Tazeen</v>
      </c>
      <c r="G51" s="222" t="s">
        <v>26</v>
      </c>
      <c r="H51" s="251">
        <f>IFERROR(VLOOKUP(B51, Content_Creation!B:H, 7, FALSE), IFERROR(VLOOKUP(B51, Project_Management!B:H, 7, FALSE), ""))</f>
        <v>45200</v>
      </c>
      <c r="I51" s="240">
        <v>0.041666666666666664</v>
      </c>
      <c r="J51" s="223">
        <f>IFERROR(VLOOKUP(C51, Content_Creation!B:H, 7, FALSE), IFERROR(VLOOKUP(C51, Project_Management!B:H, 7, FALSE), ""))</f>
        <v>45233</v>
      </c>
      <c r="K51" s="250"/>
      <c r="L51" s="252" t="str">
        <f>IFERROR(VLOOKUP(B51, Data_Validation!X:Y, 2, FALSE), "")</f>
        <v>Done</v>
      </c>
      <c r="M51" s="226" t="str">
        <f t="shared" si="1"/>
        <v>TheMVP | Know Your ABC - Blender - YT Video | Script</v>
      </c>
      <c r="N51" s="131"/>
      <c r="O51" s="131"/>
    </row>
    <row r="52" ht="24.0" customHeight="1">
      <c r="A52" s="216" t="str">
        <f>IFERROR(__xludf.DUMMYFUNCTION("ARRAYFORMULA(IFERROR(VLOOKUP(REGEXEXTRACT(B52, ""-(\w+)-""), {Data_Validation!$F$16:$F$29, Data_Validation!$E$16:$E$29}, 2, FALSE), """"))
"),"TheMVP")</f>
        <v>TheMVP</v>
      </c>
      <c r="B52" s="248" t="str">
        <f>IFERROR(__xludf.DUMMYFUNCTION("""COMPUTED_VALUE"""),"CC-MVP-24.02")</f>
        <v>CC-MVP-24.02</v>
      </c>
      <c r="C52" s="218" t="str">
        <f>IFERROR(__xludf.DUMMYFUNCTION("IFERROR(REGEXEXTRACT(B52, ""^[A-Z]+-[A-Z]+-"") &amp; TEXT(VALUE(REGEXEXTRACT(B52, ""-(\d+)\."")), ""00""), """")"),"CC-MVP-24")</f>
        <v>CC-MVP-24</v>
      </c>
      <c r="D52" s="219" t="str">
        <f>IFERROR(VLOOKUP(C52, Content_Creation!B:D, 2, FALSE), IFERROR(VLOOKUP(C52, Project_Management!B:D, 2, FALSE), ""))
&amp; " - "
&amp; IFERROR(VLOOKUP(C52, Content_Creation!B:E, 4, FALSE), IFERROR(VLOOKUP(C52, Project_Management!B:E, 4, FALSE), ""))</f>
        <v>AMD vs Intel - with GPUs - YT Video</v>
      </c>
      <c r="E52" s="220" t="str">
        <f>IFERROR(
    VLOOKUP(B51:B1001, Content_Creation!B:D, 3, FALSE),
    IFERROR(VLOOKUP(B51:B1001, Project_Management!B:D, 3, FALSE),"")
  )</f>
        <v>Shoot</v>
      </c>
      <c r="F52" s="221" t="str">
        <f>IFERROR(VLOOKUP(B52, Content_Creation!B:F, 5, FALSE), IFERROR(VLOOKUP(B52, Project_Management!B:F, 5, FALSE), ""))</f>
        <v>Naveen</v>
      </c>
      <c r="G52" s="222" t="s">
        <v>26</v>
      </c>
      <c r="H52" s="223">
        <f>IFERROR(VLOOKUP(B52, Content_Creation!B:H, 7, FALSE), IFERROR(VLOOKUP(B52, Project_Management!B:H, 7, FALSE), ""))</f>
        <v>45200</v>
      </c>
      <c r="I52" s="224">
        <v>0.0</v>
      </c>
      <c r="J52" s="223">
        <f>IFERROR(VLOOKUP(C52, Content_Creation!B:H, 7, FALSE), IFERROR(VLOOKUP(C52, Project_Management!B:H, 7, FALSE), ""))</f>
        <v>45244</v>
      </c>
      <c r="K52" s="248"/>
      <c r="L52" s="225" t="str">
        <f>IFERROR(VLOOKUP(B52, Data_Validation!X:Y, 2, FALSE), "")</f>
        <v>Done</v>
      </c>
      <c r="M52" s="226" t="str">
        <f t="shared" si="1"/>
        <v>TheMVP | AMD vs Intel - with GPUs - YT Video | Shoot</v>
      </c>
      <c r="N52" s="249"/>
      <c r="O52" s="249"/>
    </row>
    <row r="53" ht="24.0" customHeight="1">
      <c r="A53" s="216" t="str">
        <f>IFERROR(__xludf.DUMMYFUNCTION("ARRAYFORMULA(IFERROR(VLOOKUP(REGEXEXTRACT(B53, ""-(\w+)-""), {Data_Validation!$F$16:$F$29, Data_Validation!$E$16:$E$29}, 2, FALSE), """"))
"),"Nvidia")</f>
        <v>Nvidia</v>
      </c>
      <c r="B53" s="248" t="str">
        <f>IFERROR(__xludf.DUMMYFUNCTION("""COMPUTED_VALUE"""),"CC-NVI-05.04")</f>
        <v>CC-NVI-05.04</v>
      </c>
      <c r="C53" s="218" t="str">
        <f>IFERROR(__xludf.DUMMYFUNCTION("IFERROR(REGEXEXTRACT(B53, ""^[A-Z]+-[A-Z]+-"") &amp; TEXT(VALUE(REGEXEXTRACT(B53, ""-(\d+)\."")), ""00""), """")"),"CC-NVI-05")</f>
        <v>CC-NVI-05</v>
      </c>
      <c r="D53" s="219" t="str">
        <f>IFERROR(VLOOKUP(C53, Content_Creation!B:D, 2, FALSE), IFERROR(VLOOKUP(C53, Project_Management!B:D, 2, FALSE), ""))
&amp; " - "
&amp; IFERROR(VLOOKUP(C53, Content_Creation!B:E, 4, FALSE), IFERROR(VLOOKUP(C53, Project_Management!B:E, 4, FALSE), ""))</f>
        <v>Acer Predator - Shorts</v>
      </c>
      <c r="E53" s="220" t="str">
        <f>IFERROR(
    VLOOKUP(B52:B1001, Content_Creation!B:D, 3, FALSE),
    IFERROR(VLOOKUP(B52:B1001, Project_Management!B:D, 3, FALSE),"")
  )</f>
        <v>Project Files</v>
      </c>
      <c r="F53" s="221" t="str">
        <f>IFERROR(VLOOKUP(B53, Content_Creation!B:F, 5, FALSE), IFERROR(VLOOKUP(B53, Project_Management!B:F, 5, FALSE), ""))</f>
        <v>Nasser</v>
      </c>
      <c r="G53" s="222" t="s">
        <v>26</v>
      </c>
      <c r="H53" s="223">
        <f>IFERROR(VLOOKUP(B53, Content_Creation!B:H, 7, FALSE), IFERROR(VLOOKUP(B53, Project_Management!B:H, 7, FALSE), ""))</f>
        <v>45201.42541</v>
      </c>
      <c r="I53" s="224">
        <v>0.4166666666666667</v>
      </c>
      <c r="J53" s="223">
        <f>IFERROR(VLOOKUP(C53, Content_Creation!B:H, 7, FALSE), IFERROR(VLOOKUP(C53, Project_Management!B:H, 7, FALSE), ""))</f>
        <v>45229</v>
      </c>
      <c r="K53" s="248"/>
      <c r="L53" s="225" t="str">
        <f>IFERROR(VLOOKUP(B53, Data_Validation!X:Y, 2, FALSE), "")</f>
        <v>Done</v>
      </c>
      <c r="M53" s="226" t="str">
        <f t="shared" si="1"/>
        <v>Nvidia | Acer Predator - Shorts | Project Files</v>
      </c>
      <c r="N53" s="249"/>
      <c r="O53" s="249"/>
    </row>
    <row r="54" ht="24.0" customHeight="1">
      <c r="A54" s="235" t="str">
        <f>IFERROR(__xludf.DUMMYFUNCTION("ARRAYFORMULA(IFERROR(VLOOKUP(REGEXEXTRACT(B54, ""-(\w+)-""), {Data_Validation!$F$16:$F$29, Data_Validation!$E$16:$E$29}, 2, FALSE), """"))
"),"Nvidia")</f>
        <v>Nvidia</v>
      </c>
      <c r="B54" s="253" t="str">
        <f>IFERROR(__xludf.DUMMYFUNCTION("""COMPUTED_VALUE"""),"CC-NVI-06.04")</f>
        <v>CC-NVI-06.04</v>
      </c>
      <c r="C54" s="218" t="str">
        <f>IFERROR(__xludf.DUMMYFUNCTION("IFERROR(REGEXEXTRACT(B54, ""^[A-Z]+-[A-Z]+-"") &amp; TEXT(VALUE(REGEXEXTRACT(B54, ""-(\d+)\."")), ""00""), """")"),"CC-NVI-06")</f>
        <v>CC-NVI-06</v>
      </c>
      <c r="D54" s="219" t="str">
        <f>IFERROR(VLOOKUP(C54, Content_Creation!B:D, 2, FALSE), IFERROR(VLOOKUP(C54, Project_Management!B:D, 2, FALSE), ""))
&amp; " - "
&amp; IFERROR(VLOOKUP(C54, Content_Creation!B:E, 4, FALSE), IFERROR(VLOOKUP(C54, Project_Management!B:E, 4, FALSE), ""))</f>
        <v>Acer Predator Neo - Shorts</v>
      </c>
      <c r="E54" s="237" t="str">
        <f>IFERROR(
    VLOOKUP(B54, Content_Creation!B:D, 3, FALSE),
    IFERROR(VLOOKUP(B54, Project_Management!B:D, 3, FALSE),"")
  )</f>
        <v>Project Files</v>
      </c>
      <c r="F54" s="238" t="str">
        <f>IFERROR(VLOOKUP(B54, Content_Creation!B:F, 5, FALSE), IFERROR(VLOOKUP(B54, Project_Management!B:F, 5, FALSE), ""))</f>
        <v>Nasser</v>
      </c>
      <c r="G54" s="222" t="s">
        <v>26</v>
      </c>
      <c r="H54" s="239">
        <f>IFERROR(VLOOKUP(B54, Content_Creation!B:H, 7, FALSE), IFERROR(VLOOKUP(B54, Project_Management!B:H, 7, FALSE), ""))</f>
        <v>45201.42558</v>
      </c>
      <c r="I54" s="240">
        <v>0.0</v>
      </c>
      <c r="J54" s="223">
        <f>IFERROR(VLOOKUP(C54, Content_Creation!B:H, 7, FALSE), IFERROR(VLOOKUP(C54, Project_Management!B:H, 7, FALSE), ""))</f>
        <v>45230</v>
      </c>
      <c r="K54" s="253"/>
      <c r="L54" s="241" t="str">
        <f>IFERROR(VLOOKUP(B54, Data_Validation!X:Y, 2, FALSE), "")</f>
        <v>Done</v>
      </c>
      <c r="M54" s="226" t="str">
        <f t="shared" si="1"/>
        <v>Nvidia | Acer Predator Neo - Shorts | Project Files</v>
      </c>
      <c r="N54" s="45"/>
      <c r="O54" s="45"/>
    </row>
    <row r="55" ht="24.0" customHeight="1">
      <c r="A55" s="216" t="str">
        <f>IFERROR(__xludf.DUMMYFUNCTION("ARRAYFORMULA(IFERROR(VLOOKUP(REGEXEXTRACT(B55, ""-(\w+)-""), {Data_Validation!$F$16:$F$29, Data_Validation!$E$16:$E$29}, 2, FALSE), """"))
"),"Nvidia")</f>
        <v>Nvidia</v>
      </c>
      <c r="B55" s="248" t="str">
        <f>IFERROR(__xludf.DUMMYFUNCTION("""COMPUTED_VALUE"""),"PM-NVI-03.04")</f>
        <v>PM-NVI-03.04</v>
      </c>
      <c r="C55" s="218" t="str">
        <f>IFERROR(__xludf.DUMMYFUNCTION("IFERROR(REGEXEXTRACT(B55, ""^[A-Z]+-[A-Z]+-"") &amp; TEXT(VALUE(REGEXEXTRACT(B55, ""-(\d+)\."")), ""00""), """")"),"PM-NVI-03")</f>
        <v>PM-NVI-03</v>
      </c>
      <c r="D55" s="219" t="str">
        <f>IFERROR(VLOOKUP(C55, Content_Creation!B:D, 2, FALSE), IFERROR(VLOOKUP(C55, Project_Management!B:D, 2, FALSE), ""))
&amp; " - "
&amp; IFERROR(VLOOKUP(C55, Content_Creation!B:E, 4, FALSE), IFERROR(VLOOKUP(C55, Project_Management!B:E, 4, FALSE), ""))</f>
        <v>Laptop Projects &amp; Shipments - Misc</v>
      </c>
      <c r="E55" s="220" t="str">
        <f>IFERROR(
    VLOOKUP(B55, Content_Creation!B:D, 3, FALSE),
    IFERROR(VLOOKUP(B55, Project_Management!B:D, 3, FALSE),"")
  )</f>
        <v>HP RTX 2050</v>
      </c>
      <c r="F55" s="221" t="str">
        <f>IFERROR(VLOOKUP(B55, Content_Creation!B:F, 5, FALSE), IFERROR(VLOOKUP(B55, Project_Management!B:F, 5, FALSE), ""))</f>
        <v>Naveen</v>
      </c>
      <c r="G55" s="222" t="s">
        <v>26</v>
      </c>
      <c r="H55" s="223">
        <f>IFERROR(VLOOKUP(B55, Content_Creation!B:H, 7, FALSE), IFERROR(VLOOKUP(B55, Project_Management!B:H, 7, FALSE), ""))</f>
        <v>45202</v>
      </c>
      <c r="I55" s="224">
        <v>0.006944444444444444</v>
      </c>
      <c r="J55" s="223">
        <f>IFERROR(VLOOKUP(C55, Content_Creation!B:H, 7, FALSE), IFERROR(VLOOKUP(C55, Project_Management!B:H, 7, FALSE), ""))</f>
        <v>45239</v>
      </c>
      <c r="K55" s="248"/>
      <c r="L55" s="225" t="str">
        <f>IFERROR(VLOOKUP(B55, Data_Validation!X:Y, 2, FALSE), "")</f>
        <v>Done</v>
      </c>
      <c r="M55" s="226" t="str">
        <f t="shared" si="1"/>
        <v>Nvidia | Laptop Projects &amp; Shipments - Misc | HP RTX 2050</v>
      </c>
      <c r="N55" s="249"/>
      <c r="O55" s="249"/>
    </row>
    <row r="56" ht="24.0" customHeight="1">
      <c r="A56" s="216" t="str">
        <f>IFERROR(__xludf.DUMMYFUNCTION("ARRAYFORMULA(IFERROR(VLOOKUP(REGEXEXTRACT(B56, ""-(\w+)-""), {Data_Validation!$F$16:$F$29, Data_Validation!$E$16:$E$29}, 2, FALSE), """"))
"),"Nvidia")</f>
        <v>Nvidia</v>
      </c>
      <c r="B56" s="248" t="str">
        <f>IFERROR(__xludf.DUMMYFUNCTION("""COMPUTED_VALUE"""),"PM-NVI-03.05")</f>
        <v>PM-NVI-03.05</v>
      </c>
      <c r="C56" s="218" t="str">
        <f>IFERROR(__xludf.DUMMYFUNCTION("IFERROR(REGEXEXTRACT(B56, ""^[A-Z]+-[A-Z]+-"") &amp; TEXT(VALUE(REGEXEXTRACT(B56, ""-(\d+)\."")), ""00""), """")"),"PM-NVI-03")</f>
        <v>PM-NVI-03</v>
      </c>
      <c r="D56" s="219" t="str">
        <f>IFERROR(VLOOKUP(C56, Content_Creation!B:D, 2, FALSE), IFERROR(VLOOKUP(C56, Project_Management!B:D, 2, FALSE), ""))
&amp; " - "
&amp; IFERROR(VLOOKUP(C56, Content_Creation!B:E, 4, FALSE), IFERROR(VLOOKUP(C56, Project_Management!B:E, 4, FALSE), ""))</f>
        <v>Laptop Projects &amp; Shipments - Misc</v>
      </c>
      <c r="E56" s="220" t="str">
        <f>IFERROR(
    VLOOKUP(B56, Content_Creation!B:D, 3, FALSE),
    IFERROR(VLOOKUP(B56, Project_Management!B:D, 3, FALSE),"")
  )</f>
        <v>2050 DLSS Benchmarks</v>
      </c>
      <c r="F56" s="221" t="str">
        <f>IFERROR(VLOOKUP(B56, Content_Creation!B:F, 5, FALSE), IFERROR(VLOOKUP(B56, Project_Management!B:F, 5, FALSE), ""))</f>
        <v>Naveen</v>
      </c>
      <c r="G56" s="222" t="s">
        <v>26</v>
      </c>
      <c r="H56" s="223">
        <f>IFERROR(VLOOKUP(B56, Content_Creation!B:H, 7, FALSE), IFERROR(VLOOKUP(B56, Project_Management!B:H, 7, FALSE), ""))</f>
        <v>45204</v>
      </c>
      <c r="I56" s="224">
        <v>0.0</v>
      </c>
      <c r="J56" s="223">
        <f>IFERROR(VLOOKUP(C56, Content_Creation!B:H, 7, FALSE), IFERROR(VLOOKUP(C56, Project_Management!B:H, 7, FALSE), ""))</f>
        <v>45239</v>
      </c>
      <c r="K56" s="248"/>
      <c r="L56" s="225" t="str">
        <f>IFERROR(VLOOKUP(B56, Data_Validation!X:Y, 2, FALSE), "")</f>
        <v>Done</v>
      </c>
      <c r="M56" s="226" t="str">
        <f t="shared" si="1"/>
        <v>Nvidia | Laptop Projects &amp; Shipments - Misc | 2050 DLSS Benchmarks</v>
      </c>
      <c r="N56" s="249"/>
      <c r="O56" s="249"/>
    </row>
    <row r="57" ht="24.0" customHeight="1">
      <c r="A57" s="216" t="str">
        <f>IFERROR(__xludf.DUMMYFUNCTION("ARRAYFORMULA(IFERROR(VLOOKUP(REGEXEXTRACT(B57, ""-(\w+)-""), {Data_Validation!$F$16:$F$29, Data_Validation!$E$16:$E$29}, 2, FALSE), """"))
"),"Nvidia")</f>
        <v>Nvidia</v>
      </c>
      <c r="B57" s="248" t="str">
        <f>IFERROR(__xludf.DUMMYFUNCTION("""COMPUTED_VALUE"""),"PM-NVI-03.06")</f>
        <v>PM-NVI-03.06</v>
      </c>
      <c r="C57" s="218" t="str">
        <f>IFERROR(__xludf.DUMMYFUNCTION("IFERROR(REGEXEXTRACT(B57, ""^[A-Z]+-[A-Z]+-"") &amp; TEXT(VALUE(REGEXEXTRACT(B57, ""-(\d+)\."")), ""00""), """")"),"PM-NVI-03")</f>
        <v>PM-NVI-03</v>
      </c>
      <c r="D57" s="219" t="str">
        <f>IFERROR(VLOOKUP(C57, Content_Creation!B:D, 2, FALSE), IFERROR(VLOOKUP(C57, Project_Management!B:D, 2, FALSE), ""))
&amp; " - "
&amp; IFERROR(VLOOKUP(C57, Content_Creation!B:E, 4, FALSE), IFERROR(VLOOKUP(C57, Project_Management!B:E, 4, FALSE), ""))</f>
        <v>Laptop Projects &amp; Shipments - Misc</v>
      </c>
      <c r="E57" s="220" t="str">
        <f>IFERROR(
    VLOOKUP(B57, Content_Creation!B:D, 3, FALSE),
    IFERROR(VLOOKUP(B57, Project_Management!B:D, 3, FALSE),"")
  )</f>
        <v>4080 RTX Benchmarks</v>
      </c>
      <c r="F57" s="221" t="str">
        <f>IFERROR(VLOOKUP(B57, Content_Creation!B:F, 5, FALSE), IFERROR(VLOOKUP(B57, Project_Management!B:F, 5, FALSE), ""))</f>
        <v>Naveen</v>
      </c>
      <c r="G57" s="222" t="s">
        <v>26</v>
      </c>
      <c r="H57" s="223">
        <f>IFERROR(VLOOKUP(B57, Content_Creation!B:H, 7, FALSE), IFERROR(VLOOKUP(B57, Project_Management!B:H, 7, FALSE), ""))</f>
        <v>45204</v>
      </c>
      <c r="I57" s="224">
        <v>0.0</v>
      </c>
      <c r="J57" s="223">
        <f>IFERROR(VLOOKUP(C57, Content_Creation!B:H, 7, FALSE), IFERROR(VLOOKUP(C57, Project_Management!B:H, 7, FALSE), ""))</f>
        <v>45239</v>
      </c>
      <c r="K57" s="248"/>
      <c r="L57" s="225" t="str">
        <f>IFERROR(VLOOKUP(B57, Data_Validation!X:Y, 2, FALSE), "")</f>
        <v>Done</v>
      </c>
      <c r="M57" s="226" t="str">
        <f t="shared" si="1"/>
        <v>Nvidia | Laptop Projects &amp; Shipments - Misc | 4080 RTX Benchmarks</v>
      </c>
      <c r="N57" s="249"/>
      <c r="O57" s="249"/>
    </row>
    <row r="58" ht="24.0" customHeight="1">
      <c r="A58" s="216" t="str">
        <f>IFERROR(__xludf.DUMMYFUNCTION("ARRAYFORMULA(IFERROR(VLOOKUP(REGEXEXTRACT(B58, ""-(\w+)-""), {Data_Validation!$F$16:$F$29, Data_Validation!$E$16:$E$29}, 2, FALSE), """"))
"),"Nvidia")</f>
        <v>Nvidia</v>
      </c>
      <c r="B58" s="248" t="str">
        <f>IFERROR(__xludf.DUMMYFUNCTION("""COMPUTED_VALUE"""),"CC-NVI-07.01")</f>
        <v>CC-NVI-07.01</v>
      </c>
      <c r="C58" s="218" t="str">
        <f>IFERROR(__xludf.DUMMYFUNCTION("IFERROR(REGEXEXTRACT(B58, ""^[A-Z]+-[A-Z]+-"") &amp; TEXT(VALUE(REGEXEXTRACT(B58, ""-(\d+)\."")), ""00""), """")"),"CC-NVI-07")</f>
        <v>CC-NVI-07</v>
      </c>
      <c r="D58" s="219" t="str">
        <f>IFERROR(VLOOKUP(C58, Content_Creation!B:D, 2, FALSE), IFERROR(VLOOKUP(C58, Project_Management!B:D, 2, FALSE), ""))
&amp; " - "
&amp; IFERROR(VLOOKUP(C58, Content_Creation!B:E, 4, FALSE), IFERROR(VLOOKUP(C58, Project_Management!B:E, 4, FALSE), ""))</f>
        <v>Acer Nitro V - Shorts</v>
      </c>
      <c r="E58" s="220" t="str">
        <f>IFERROR(
    VLOOKUP(B57:B1001, Content_Creation!B:D, 3, FALSE),
    IFERROR(VLOOKUP(B57:B1001, Project_Management!B:D, 3, FALSE),"")
  )</f>
        <v>Script</v>
      </c>
      <c r="F58" s="221" t="str">
        <f>IFERROR(VLOOKUP(B58, Content_Creation!B:F, 5, FALSE), IFERROR(VLOOKUP(B58, Project_Management!B:F, 5, FALSE), ""))</f>
        <v>Nasser</v>
      </c>
      <c r="G58" s="222" t="s">
        <v>26</v>
      </c>
      <c r="H58" s="223">
        <f>IFERROR(VLOOKUP(B58, Content_Creation!B:H, 7, FALSE), IFERROR(VLOOKUP(B58, Project_Management!B:H, 7, FALSE), ""))</f>
        <v>45206</v>
      </c>
      <c r="I58" s="224">
        <v>0.0</v>
      </c>
      <c r="J58" s="223">
        <f>IFERROR(VLOOKUP(C58, Content_Creation!B:H, 7, FALSE), IFERROR(VLOOKUP(C58, Project_Management!B:H, 7, FALSE), ""))</f>
        <v>45229</v>
      </c>
      <c r="K58" s="248"/>
      <c r="L58" s="225" t="str">
        <f>IFERROR(VLOOKUP(B58, Data_Validation!X:Y, 2, FALSE), "")</f>
        <v>Done</v>
      </c>
      <c r="M58" s="226" t="str">
        <f t="shared" si="1"/>
        <v>Nvidia | Acer Nitro V - Shorts | Script</v>
      </c>
      <c r="N58" s="249"/>
      <c r="O58" s="249"/>
    </row>
    <row r="59" ht="24.0" customHeight="1">
      <c r="A59" s="216" t="str">
        <f>IFERROR(__xludf.DUMMYFUNCTION("ARRAYFORMULA(IFERROR(VLOOKUP(REGEXEXTRACT(B59, ""-(\w+)-""), {Data_Validation!$F$16:$F$29, Data_Validation!$E$16:$E$29}, 2, FALSE), """"))
"),"Nvidia")</f>
        <v>Nvidia</v>
      </c>
      <c r="B59" s="248" t="str">
        <f>IFERROR(__xludf.DUMMYFUNCTION("""COMPUTED_VALUE"""),"CC-NVI-05.06")</f>
        <v>CC-NVI-05.06</v>
      </c>
      <c r="C59" s="218" t="str">
        <f>IFERROR(__xludf.DUMMYFUNCTION("IFERROR(REGEXEXTRACT(B59, ""^[A-Z]+-[A-Z]+-"") &amp; TEXT(VALUE(REGEXEXTRACT(B59, ""-(\d+)\."")), ""00""), """")"),"CC-NVI-05")</f>
        <v>CC-NVI-05</v>
      </c>
      <c r="D59" s="219" t="str">
        <f>IFERROR(VLOOKUP(C59, Content_Creation!B:D, 2, FALSE), IFERROR(VLOOKUP(C59, Project_Management!B:D, 2, FALSE), ""))
&amp; " - "
&amp; IFERROR(VLOOKUP(C59, Content_Creation!B:E, 4, FALSE), IFERROR(VLOOKUP(C59, Project_Management!B:E, 4, FALSE), ""))</f>
        <v>Acer Predator - Shorts</v>
      </c>
      <c r="E59" s="220" t="str">
        <f>IFERROR(
    VLOOKUP(B58:B1001, Content_Creation!B:D, 3, FALSE),
    IFERROR(VLOOKUP(B58:B1001, Project_Management!B:D, 3, FALSE),"")
  )</f>
        <v>Benchmarks</v>
      </c>
      <c r="F59" s="221" t="str">
        <f>IFERROR(VLOOKUP(B59, Content_Creation!B:F, 5, FALSE), IFERROR(VLOOKUP(B59, Project_Management!B:F, 5, FALSE), ""))</f>
        <v>Naveen</v>
      </c>
      <c r="G59" s="222" t="s">
        <v>26</v>
      </c>
      <c r="H59" s="223">
        <f>IFERROR(VLOOKUP(B59, Content_Creation!B:H, 7, FALSE), IFERROR(VLOOKUP(B59, Project_Management!B:H, 7, FALSE), ""))</f>
        <v>45207</v>
      </c>
      <c r="I59" s="224">
        <v>0.0</v>
      </c>
      <c r="J59" s="223">
        <f>IFERROR(VLOOKUP(C59, Content_Creation!B:H, 7, FALSE), IFERROR(VLOOKUP(C59, Project_Management!B:H, 7, FALSE), ""))</f>
        <v>45229</v>
      </c>
      <c r="K59" s="248"/>
      <c r="L59" s="225" t="str">
        <f>IFERROR(VLOOKUP(B59, Data_Validation!X:Y, 2, FALSE), "")</f>
        <v>Done</v>
      </c>
      <c r="M59" s="226" t="str">
        <f t="shared" si="1"/>
        <v>Nvidia | Acer Predator - Shorts | Benchmarks</v>
      </c>
      <c r="N59" s="249"/>
      <c r="O59" s="249"/>
    </row>
    <row r="60" ht="24.0" customHeight="1">
      <c r="A60" s="216" t="str">
        <f>IFERROR(__xludf.DUMMYFUNCTION("ARRAYFORMULA(IFERROR(VLOOKUP(REGEXEXTRACT(B60, ""-(\w+)-""), {Data_Validation!$F$16:$F$29, Data_Validation!$E$16:$E$29}, 2, FALSE), """"))
"),"Nvidia")</f>
        <v>Nvidia</v>
      </c>
      <c r="B60" s="248" t="str">
        <f>IFERROR(__xludf.DUMMYFUNCTION("""COMPUTED_VALUE"""),"CC-NVI-06.06")</f>
        <v>CC-NVI-06.06</v>
      </c>
      <c r="C60" s="218" t="str">
        <f>IFERROR(__xludf.DUMMYFUNCTION("IFERROR(REGEXEXTRACT(B60, ""^[A-Z]+-[A-Z]+-"") &amp; TEXT(VALUE(REGEXEXTRACT(B60, ""-(\d+)\."")), ""00""), """")"),"CC-NVI-06")</f>
        <v>CC-NVI-06</v>
      </c>
      <c r="D60" s="219" t="str">
        <f>IFERROR(VLOOKUP(C60, Content_Creation!B:D, 2, FALSE), IFERROR(VLOOKUP(C60, Project_Management!B:D, 2, FALSE), ""))
&amp; " - "
&amp; IFERROR(VLOOKUP(C60, Content_Creation!B:E, 4, FALSE), IFERROR(VLOOKUP(C60, Project_Management!B:E, 4, FALSE), ""))</f>
        <v>Acer Predator Neo - Shorts</v>
      </c>
      <c r="E60" s="220" t="str">
        <f>IFERROR(
    VLOOKUP(B60, Content_Creation!B:D, 3, FALSE),
    IFERROR(VLOOKUP(B60, Project_Management!B:D, 3, FALSE),"")
  )</f>
        <v>Benchmarks</v>
      </c>
      <c r="F60" s="221" t="str">
        <f>IFERROR(VLOOKUP(B60, Content_Creation!B:F, 5, FALSE), IFERROR(VLOOKUP(B60, Project_Management!B:F, 5, FALSE), ""))</f>
        <v>Naveen</v>
      </c>
      <c r="G60" s="222" t="s">
        <v>26</v>
      </c>
      <c r="H60" s="223">
        <f>IFERROR(VLOOKUP(B60, Content_Creation!B:H, 7, FALSE), IFERROR(VLOOKUP(B60, Project_Management!B:H, 7, FALSE), ""))</f>
        <v>45207</v>
      </c>
      <c r="I60" s="224">
        <v>0.0</v>
      </c>
      <c r="J60" s="223">
        <f>IFERROR(VLOOKUP(C60, Content_Creation!B:H, 7, FALSE), IFERROR(VLOOKUP(C60, Project_Management!B:H, 7, FALSE), ""))</f>
        <v>45230</v>
      </c>
      <c r="K60" s="248"/>
      <c r="L60" s="225" t="str">
        <f>IFERROR(VLOOKUP(B60, Data_Validation!X:Y, 2, FALSE), "")</f>
        <v>Done</v>
      </c>
      <c r="M60" s="226" t="str">
        <f t="shared" si="1"/>
        <v>Nvidia | Acer Predator Neo - Shorts | Benchmarks</v>
      </c>
      <c r="N60" s="249"/>
      <c r="O60" s="249"/>
    </row>
    <row r="61" ht="24.0" customHeight="1">
      <c r="A61" s="216" t="str">
        <f>IFERROR(__xludf.DUMMYFUNCTION("ARRAYFORMULA(IFERROR(VLOOKUP(REGEXEXTRACT(B61, ""-(\w+)-""), {Data_Validation!$F$16:$F$29, Data_Validation!$E$16:$E$29}, 2, FALSE), """"))
"),"Nvidia")</f>
        <v>Nvidia</v>
      </c>
      <c r="B61" s="248" t="str">
        <f>IFERROR(__xludf.DUMMYFUNCTION("""COMPUTED_VALUE"""),"CC-NVI-08.01")</f>
        <v>CC-NVI-08.01</v>
      </c>
      <c r="C61" s="218" t="str">
        <f>IFERROR(__xludf.DUMMYFUNCTION("IFERROR(REGEXEXTRACT(B61, ""^[A-Z]+-[A-Z]+-"") &amp; TEXT(VALUE(REGEXEXTRACT(B61, ""-(\d+)\."")), ""00""), """")"),"CC-NVI-08")</f>
        <v>CC-NVI-08</v>
      </c>
      <c r="D61" s="219" t="str">
        <f>IFERROR(VLOOKUP(C61, Content_Creation!B:D, 2, FALSE), IFERROR(VLOOKUP(C61, Project_Management!B:D, 2, FALSE), ""))
&amp; " - "
&amp; IFERROR(VLOOKUP(C61, Content_Creation!B:E, 4, FALSE), IFERROR(VLOOKUP(C61, Project_Management!B:E, 4, FALSE), ""))</f>
        <v>HP Victus 15-FA1124TX - Shorts</v>
      </c>
      <c r="E61" s="220" t="str">
        <f>IFERROR(
    VLOOKUP(B61, Content_Creation!B:D, 3, FALSE),
    IFERROR(VLOOKUP(B61, Project_Management!B:D, 3, FALSE),"")
  )</f>
        <v>Script</v>
      </c>
      <c r="F61" s="221" t="str">
        <f>IFERROR(VLOOKUP(B61, Content_Creation!B:F, 5, FALSE), IFERROR(VLOOKUP(B61, Project_Management!B:F, 5, FALSE), ""))</f>
        <v>Freelancer</v>
      </c>
      <c r="G61" s="222" t="s">
        <v>26</v>
      </c>
      <c r="H61" s="223">
        <f>IFERROR(VLOOKUP(B61, Content_Creation!B:H, 7, FALSE), IFERROR(VLOOKUP(B61, Project_Management!B:H, 7, FALSE), ""))</f>
        <v>45207</v>
      </c>
      <c r="I61" s="224">
        <v>0.0</v>
      </c>
      <c r="J61" s="223">
        <f>IFERROR(VLOOKUP(C61, Content_Creation!B:H, 7, FALSE), IFERROR(VLOOKUP(C61, Project_Management!B:H, 7, FALSE), ""))</f>
        <v>45230</v>
      </c>
      <c r="K61" s="248"/>
      <c r="L61" s="225" t="str">
        <f>IFERROR(VLOOKUP(B61, Data_Validation!X:Y, 2, FALSE), "")</f>
        <v>Done</v>
      </c>
      <c r="M61" s="226" t="str">
        <f t="shared" si="1"/>
        <v>Nvidia | HP Victus 15-FA1124TX - Shorts | Script</v>
      </c>
      <c r="N61" s="249"/>
      <c r="O61" s="249"/>
    </row>
    <row r="62" ht="24.0" customHeight="1">
      <c r="A62" s="216" t="str">
        <f>IFERROR(__xludf.DUMMYFUNCTION("ARRAYFORMULA(IFERROR(VLOOKUP(REGEXEXTRACT(B62, ""-(\w+)-""), {Data_Validation!$F$16:$F$29, Data_Validation!$E$16:$E$29}, 2, FALSE), """"))
"),"Nvidia")</f>
        <v>Nvidia</v>
      </c>
      <c r="B62" s="248" t="str">
        <f>IFERROR(__xludf.DUMMYFUNCTION("""COMPUTED_VALUE"""),"CC-NVI-08.04")</f>
        <v>CC-NVI-08.04</v>
      </c>
      <c r="C62" s="218" t="str">
        <f>IFERROR(__xludf.DUMMYFUNCTION("IFERROR(REGEXEXTRACT(B62, ""^[A-Z]+-[A-Z]+-"") &amp; TEXT(VALUE(REGEXEXTRACT(B62, ""-(\d+)\."")), ""00""), """")"),"CC-NVI-08")</f>
        <v>CC-NVI-08</v>
      </c>
      <c r="D62" s="219" t="str">
        <f>IFERROR(VLOOKUP(C62, Content_Creation!B:D, 2, FALSE), IFERROR(VLOOKUP(C62, Project_Management!B:D, 2, FALSE), ""))
&amp; " - "
&amp; IFERROR(VLOOKUP(C62, Content_Creation!B:E, 4, FALSE), IFERROR(VLOOKUP(C62, Project_Management!B:E, 4, FALSE), ""))</f>
        <v>HP Victus 15-FA1124TX - Shorts</v>
      </c>
      <c r="E62" s="220" t="str">
        <f>IFERROR(
    VLOOKUP(B62, Content_Creation!B:D, 3, FALSE),
    IFERROR(VLOOKUP(B62, Project_Management!B:D, 3, FALSE),"")
  )</f>
        <v>Project Files</v>
      </c>
      <c r="F62" s="221" t="str">
        <f>IFERROR(VLOOKUP(B62, Content_Creation!B:F, 5, FALSE), IFERROR(VLOOKUP(B62, Project_Management!B:F, 5, FALSE), ""))</f>
        <v>Naveen</v>
      </c>
      <c r="G62" s="222" t="s">
        <v>26</v>
      </c>
      <c r="H62" s="223">
        <f>IFERROR(VLOOKUP(B62, Content_Creation!B:H, 7, FALSE), IFERROR(VLOOKUP(B62, Project_Management!B:H, 7, FALSE), ""))</f>
        <v>45207</v>
      </c>
      <c r="I62" s="224">
        <v>0.125</v>
      </c>
      <c r="J62" s="223">
        <f>IFERROR(VLOOKUP(C62, Content_Creation!B:H, 7, FALSE), IFERROR(VLOOKUP(C62, Project_Management!B:H, 7, FALSE), ""))</f>
        <v>45230</v>
      </c>
      <c r="K62" s="248"/>
      <c r="L62" s="225" t="str">
        <f>IFERROR(VLOOKUP(B62, Data_Validation!X:Y, 2, FALSE), "")</f>
        <v>Done</v>
      </c>
      <c r="M62" s="226" t="str">
        <f t="shared" si="1"/>
        <v>Nvidia | HP Victus 15-FA1124TX - Shorts | Project Files</v>
      </c>
      <c r="N62" s="249"/>
      <c r="O62" s="249"/>
    </row>
    <row r="63" ht="24.0" customHeight="1">
      <c r="A63" s="216" t="str">
        <f>IFERROR(__xludf.DUMMYFUNCTION("ARRAYFORMULA(IFERROR(VLOOKUP(REGEXEXTRACT(B63, ""-(\w+)-""), {Data_Validation!$F$16:$F$29, Data_Validation!$E$16:$E$29}, 2, FALSE), """"))
"),"Nvidia")</f>
        <v>Nvidia</v>
      </c>
      <c r="B63" s="248" t="str">
        <f>IFERROR(__xludf.DUMMYFUNCTION("""COMPUTED_VALUE"""),"CC-NVI-07.04")</f>
        <v>CC-NVI-07.04</v>
      </c>
      <c r="C63" s="218" t="str">
        <f>IFERROR(__xludf.DUMMYFUNCTION("IFERROR(REGEXEXTRACT(B63, ""^[A-Z]+-[A-Z]+-"") &amp; TEXT(VALUE(REGEXEXTRACT(B63, ""-(\d+)\."")), ""00""), """")"),"CC-NVI-07")</f>
        <v>CC-NVI-07</v>
      </c>
      <c r="D63" s="219" t="str">
        <f>IFERROR(VLOOKUP(C63, Content_Creation!B:D, 2, FALSE), IFERROR(VLOOKUP(C63, Project_Management!B:D, 2, FALSE), ""))
&amp; " - "
&amp; IFERROR(VLOOKUP(C63, Content_Creation!B:E, 4, FALSE), IFERROR(VLOOKUP(C63, Project_Management!B:E, 4, FALSE), ""))</f>
        <v>Acer Nitro V - Shorts</v>
      </c>
      <c r="E63" s="220" t="str">
        <f>IFERROR(
    VLOOKUP(B63, Content_Creation!B:D, 3, FALSE),
    IFERROR(VLOOKUP(B63, Project_Management!B:D, 3, FALSE),"")
  )</f>
        <v>Project Files</v>
      </c>
      <c r="F63" s="221" t="str">
        <f>IFERROR(VLOOKUP(B63, Content_Creation!B:F, 5, FALSE), IFERROR(VLOOKUP(B63, Project_Management!B:F, 5, FALSE), ""))</f>
        <v>Naveen</v>
      </c>
      <c r="G63" s="222" t="s">
        <v>26</v>
      </c>
      <c r="H63" s="223">
        <f>IFERROR(VLOOKUP(B63, Content_Creation!B:H, 7, FALSE), IFERROR(VLOOKUP(B63, Project_Management!B:H, 7, FALSE), ""))</f>
        <v>45207</v>
      </c>
      <c r="I63" s="224">
        <v>0.0</v>
      </c>
      <c r="J63" s="223">
        <f>IFERROR(VLOOKUP(C63, Content_Creation!B:H, 7, FALSE), IFERROR(VLOOKUP(C63, Project_Management!B:H, 7, FALSE), ""))</f>
        <v>45229</v>
      </c>
      <c r="K63" s="248"/>
      <c r="L63" s="225" t="str">
        <f>IFERROR(VLOOKUP(B63, Data_Validation!X:Y, 2, FALSE), "")</f>
        <v>Done</v>
      </c>
      <c r="M63" s="226" t="str">
        <f t="shared" si="1"/>
        <v>Nvidia | Acer Nitro V - Shorts | Project Files</v>
      </c>
      <c r="N63" s="249"/>
      <c r="O63" s="249"/>
    </row>
    <row r="64" ht="24.0" customHeight="1">
      <c r="A64" s="216" t="str">
        <f>IFERROR(__xludf.DUMMYFUNCTION("ARRAYFORMULA(IFERROR(VLOOKUP(REGEXEXTRACT(B64, ""-(\w+)-""), {Data_Validation!$F$16:$F$29, Data_Validation!$E$16:$E$29}, 2, FALSE), """"))
"),"Nvidia")</f>
        <v>Nvidia</v>
      </c>
      <c r="B64" s="248" t="str">
        <f>IFERROR(__xludf.DUMMYFUNCTION("""COMPUTED_VALUE"""),"CC-NVI-10.01")</f>
        <v>CC-NVI-10.01</v>
      </c>
      <c r="C64" s="218" t="str">
        <f>IFERROR(__xludf.DUMMYFUNCTION("IFERROR(REGEXEXTRACT(B64, ""^[A-Z]+-[A-Z]+-"") &amp; TEXT(VALUE(REGEXEXTRACT(B64, ""-(\d+)\."")), ""00""), """")"),"CC-NVI-10")</f>
        <v>CC-NVI-10</v>
      </c>
      <c r="D64" s="219" t="str">
        <f>IFERROR(VLOOKUP(C64, Content_Creation!B:D, 2, FALSE), IFERROR(VLOOKUP(C64, Project_Management!B:D, 2, FALSE), ""))
&amp; " - "
&amp; IFERROR(VLOOKUP(C64, Content_Creation!B:E, 4, FALSE), IFERROR(VLOOKUP(C64, Project_Management!B:E, 4, FALSE), ""))</f>
        <v>HP Victus 15-FA0555TX - Shorts</v>
      </c>
      <c r="E64" s="220" t="str">
        <f>IFERROR(
    VLOOKUP(B64, Content_Creation!B:D, 3, FALSE),
    IFERROR(VLOOKUP(B64, Project_Management!B:D, 3, FALSE),"")
  )</f>
        <v>Script</v>
      </c>
      <c r="F64" s="221" t="str">
        <f>IFERROR(VLOOKUP(B64, Content_Creation!B:F, 5, FALSE), IFERROR(VLOOKUP(B64, Project_Management!B:F, 5, FALSE), ""))</f>
        <v>Freelancer</v>
      </c>
      <c r="G64" s="222" t="s">
        <v>26</v>
      </c>
      <c r="H64" s="223">
        <f>IFERROR(VLOOKUP(B64, Content_Creation!B:H, 7, FALSE), IFERROR(VLOOKUP(B64, Project_Management!B:H, 7, FALSE), ""))</f>
        <v>45207</v>
      </c>
      <c r="I64" s="224">
        <v>0.0</v>
      </c>
      <c r="J64" s="223">
        <f>IFERROR(VLOOKUP(C64, Content_Creation!B:H, 7, FALSE), IFERROR(VLOOKUP(C64, Project_Management!B:H, 7, FALSE), ""))</f>
        <v>45230</v>
      </c>
      <c r="K64" s="248"/>
      <c r="L64" s="225" t="str">
        <f>IFERROR(VLOOKUP(B64, Data_Validation!X:Y, 2, FALSE), "")</f>
        <v>Done</v>
      </c>
      <c r="M64" s="226" t="str">
        <f t="shared" si="1"/>
        <v>Nvidia | HP Victus 15-FA0555TX - Shorts | Script</v>
      </c>
      <c r="N64" s="249"/>
      <c r="O64" s="249"/>
    </row>
    <row r="65" ht="24.0" customHeight="1">
      <c r="A65" s="216" t="str">
        <f>IFERROR(__xludf.DUMMYFUNCTION("ARRAYFORMULA(IFERROR(VLOOKUP(REGEXEXTRACT(B65, ""-(\w+)-""), {Data_Validation!$F$16:$F$29, Data_Validation!$E$16:$E$29}, 2, FALSE), """"))
"),"Nvidia")</f>
        <v>Nvidia</v>
      </c>
      <c r="B65" s="248" t="str">
        <f>IFERROR(__xludf.DUMMYFUNCTION("""COMPUTED_VALUE"""),"CC-NVI-10.04")</f>
        <v>CC-NVI-10.04</v>
      </c>
      <c r="C65" s="218" t="str">
        <f>IFERROR(__xludf.DUMMYFUNCTION("IFERROR(REGEXEXTRACT(B65, ""^[A-Z]+-[A-Z]+-"") &amp; TEXT(VALUE(REGEXEXTRACT(B65, ""-(\d+)\."")), ""00""), """")"),"CC-NVI-10")</f>
        <v>CC-NVI-10</v>
      </c>
      <c r="D65" s="219" t="str">
        <f>IFERROR(VLOOKUP(C65, Content_Creation!B:D, 2, FALSE), IFERROR(VLOOKUP(C65, Project_Management!B:D, 2, FALSE), ""))
&amp; " - "
&amp; IFERROR(VLOOKUP(C65, Content_Creation!B:E, 4, FALSE), IFERROR(VLOOKUP(C65, Project_Management!B:E, 4, FALSE), ""))</f>
        <v>HP Victus 15-FA0555TX - Shorts</v>
      </c>
      <c r="E65" s="220" t="str">
        <f>IFERROR(
    VLOOKUP(B65, Content_Creation!B:D, 3, FALSE),
    IFERROR(VLOOKUP(B65, Project_Management!B:D, 3, FALSE),"")
  )</f>
        <v>Benchmarks</v>
      </c>
      <c r="F65" s="221" t="str">
        <f>IFERROR(VLOOKUP(B65, Content_Creation!B:F, 5, FALSE), IFERROR(VLOOKUP(B65, Project_Management!B:F, 5, FALSE), ""))</f>
        <v>Naveen</v>
      </c>
      <c r="G65" s="222" t="s">
        <v>26</v>
      </c>
      <c r="H65" s="223">
        <f>IFERROR(VLOOKUP(B65, Content_Creation!B:H, 7, FALSE), IFERROR(VLOOKUP(B65, Project_Management!B:H, 7, FALSE), ""))</f>
        <v>45207</v>
      </c>
      <c r="I65" s="224">
        <v>0.0</v>
      </c>
      <c r="J65" s="223">
        <f>IFERROR(VLOOKUP(C65, Content_Creation!B:H, 7, FALSE), IFERROR(VLOOKUP(C65, Project_Management!B:H, 7, FALSE), ""))</f>
        <v>45230</v>
      </c>
      <c r="K65" s="248"/>
      <c r="L65" s="225" t="str">
        <f>IFERROR(VLOOKUP(B65, Data_Validation!X:Y, 2, FALSE), "")</f>
        <v>Done</v>
      </c>
      <c r="M65" s="226" t="str">
        <f t="shared" si="1"/>
        <v>Nvidia | HP Victus 15-FA0555TX - Shorts | Benchmarks</v>
      </c>
      <c r="N65" s="249"/>
      <c r="O65" s="249"/>
    </row>
    <row r="66" ht="24.0" customHeight="1">
      <c r="A66" s="216" t="str">
        <f>IFERROR(__xludf.DUMMYFUNCTION("ARRAYFORMULA(IFERROR(VLOOKUP(REGEXEXTRACT(B66, ""-(\w+)-""), {Data_Validation!$F$16:$F$29, Data_Validation!$E$16:$E$29}, 2, FALSE), """"))
"),"Nvidia")</f>
        <v>Nvidia</v>
      </c>
      <c r="B66" s="248" t="str">
        <f>IFERROR(__xludf.DUMMYFUNCTION("""COMPUTED_VALUE"""),"CC-NVI-11.01")</f>
        <v>CC-NVI-11.01</v>
      </c>
      <c r="C66" s="218" t="str">
        <f>IFERROR(__xludf.DUMMYFUNCTION("IFERROR(REGEXEXTRACT(B66, ""^[A-Z]+-[A-Z]+-"") &amp; TEXT(VALUE(REGEXEXTRACT(B66, ""-(\d+)\."")), ""00""), """")"),"CC-NVI-11")</f>
        <v>CC-NVI-11</v>
      </c>
      <c r="D66" s="219" t="str">
        <f>IFERROR(VLOOKUP(C66, Content_Creation!B:D, 2, FALSE), IFERROR(VLOOKUP(C66, Project_Management!B:D, 2, FALSE), ""))
&amp; " - "
&amp; IFERROR(VLOOKUP(C66, Content_Creation!B:E, 4, FALSE), IFERROR(VLOOKUP(C66, Project_Management!B:E, 4, FALSE), ""))</f>
        <v>HP Omen 16-XF0060AX - Shorts</v>
      </c>
      <c r="E66" s="220" t="str">
        <f>IFERROR(
    VLOOKUP(B66, Content_Creation!B:D, 3, FALSE),
    IFERROR(VLOOKUP(B66, Project_Management!B:D, 3, FALSE),"")
  )</f>
        <v>Script</v>
      </c>
      <c r="F66" s="221" t="str">
        <f>IFERROR(VLOOKUP(B66, Content_Creation!B:F, 5, FALSE), IFERROR(VLOOKUP(B66, Project_Management!B:F, 5, FALSE), ""))</f>
        <v>Freelancer</v>
      </c>
      <c r="G66" s="222" t="s">
        <v>26</v>
      </c>
      <c r="H66" s="223">
        <f>IFERROR(VLOOKUP(B66, Content_Creation!B:H, 7, FALSE), IFERROR(VLOOKUP(B66, Project_Management!B:H, 7, FALSE), ""))</f>
        <v>45207</v>
      </c>
      <c r="I66" s="224">
        <v>0.3333333333333333</v>
      </c>
      <c r="J66" s="223">
        <f>IFERROR(VLOOKUP(C66, Content_Creation!B:H, 7, FALSE), IFERROR(VLOOKUP(C66, Project_Management!B:H, 7, FALSE), ""))</f>
        <v>45231</v>
      </c>
      <c r="K66" s="248"/>
      <c r="L66" s="225" t="str">
        <f>IFERROR(VLOOKUP(B66, Data_Validation!X:Y, 2, FALSE), "")</f>
        <v>Done</v>
      </c>
      <c r="M66" s="226" t="str">
        <f t="shared" si="1"/>
        <v>Nvidia | HP Omen 16-XF0060AX - Shorts | Script</v>
      </c>
      <c r="N66" s="249"/>
      <c r="O66" s="249"/>
    </row>
    <row r="67" ht="24.0" customHeight="1">
      <c r="A67" s="216" t="str">
        <f>IFERROR(__xludf.DUMMYFUNCTION("ARRAYFORMULA(IFERROR(VLOOKUP(REGEXEXTRACT(B67, ""-(\w+)-""), {Data_Validation!$F$16:$F$29, Data_Validation!$E$16:$E$29}, 2, FALSE), """"))
"),"Nvidia")</f>
        <v>Nvidia</v>
      </c>
      <c r="B67" s="248" t="str">
        <f>IFERROR(__xludf.DUMMYFUNCTION("""COMPUTED_VALUE"""),"CC-NVI-04.05")</f>
        <v>CC-NVI-04.05</v>
      </c>
      <c r="C67" s="218" t="str">
        <f>IFERROR(__xludf.DUMMYFUNCTION("IFERROR(REGEXEXTRACT(B67, ""^[A-Z]+-[A-Z]+-"") &amp; TEXT(VALUE(REGEXEXTRACT(B67, ""-(\d+)\."")), ""00""), """")"),"CC-NVI-04")</f>
        <v>CC-NVI-04</v>
      </c>
      <c r="D67" s="219" t="str">
        <f>IFERROR(VLOOKUP(C67, Content_Creation!B:D, 2, FALSE), IFERROR(VLOOKUP(C67, Project_Management!B:D, 2, FALSE), ""))
&amp; " - "
&amp; IFERROR(VLOOKUP(C67, Content_Creation!B:E, 4, FALSE), IFERROR(VLOOKUP(C67, Project_Management!B:E, 4, FALSE), ""))</f>
        <v>Lenovo Legion | RTX 4060 - Shorts</v>
      </c>
      <c r="E67" s="220" t="str">
        <f>IFERROR(
    VLOOKUP(B67, Content_Creation!B:D, 3, FALSE),
    IFERROR(VLOOKUP(B67, Project_Management!B:D, 3, FALSE),"")
  )</f>
        <v>Project Files</v>
      </c>
      <c r="F67" s="221" t="str">
        <f>IFERROR(VLOOKUP(B67, Content_Creation!B:F, 5, FALSE), IFERROR(VLOOKUP(B67, Project_Management!B:F, 5, FALSE), ""))</f>
        <v>Naveen</v>
      </c>
      <c r="G67" s="222" t="s">
        <v>26</v>
      </c>
      <c r="H67" s="223">
        <f>IFERROR(VLOOKUP(B67, Content_Creation!B:H, 7, FALSE), IFERROR(VLOOKUP(B67, Project_Management!B:H, 7, FALSE), ""))</f>
        <v>45208</v>
      </c>
      <c r="I67" s="224">
        <v>0.0</v>
      </c>
      <c r="J67" s="223">
        <f>IFERROR(VLOOKUP(C67, Content_Creation!B:H, 7, FALSE), IFERROR(VLOOKUP(C67, Project_Management!B:H, 7, FALSE), ""))</f>
        <v>45230</v>
      </c>
      <c r="K67" s="248"/>
      <c r="L67" s="225" t="str">
        <f>IFERROR(VLOOKUP(B67, Data_Validation!X:Y, 2, FALSE), "")</f>
        <v>Done</v>
      </c>
      <c r="M67" s="226" t="str">
        <f t="shared" si="1"/>
        <v>Nvidia | Lenovo Legion | RTX 4060 - Shorts | Project Files</v>
      </c>
      <c r="N67" s="249"/>
      <c r="O67" s="249"/>
    </row>
    <row r="68" ht="24.0" customHeight="1">
      <c r="A68" s="216" t="str">
        <f>IFERROR(__xludf.DUMMYFUNCTION("ARRAYFORMULA(IFERROR(VLOOKUP(REGEXEXTRACT(B68, ""-(\w+)-""), {Data_Validation!$F$16:$F$29, Data_Validation!$E$16:$E$29}, 2, FALSE), """"))
"),"Nvidia")</f>
        <v>Nvidia</v>
      </c>
      <c r="B68" s="248" t="str">
        <f>IFERROR(__xludf.DUMMYFUNCTION("""COMPUTED_VALUE"""),"CC-NVI-10.05")</f>
        <v>CC-NVI-10.05</v>
      </c>
      <c r="C68" s="218" t="str">
        <f>IFERROR(__xludf.DUMMYFUNCTION("IFERROR(REGEXEXTRACT(B68, ""^[A-Z]+-[A-Z]+-"") &amp; TEXT(VALUE(REGEXEXTRACT(B68, ""-(\d+)\."")), ""00""), """")"),"CC-NVI-10")</f>
        <v>CC-NVI-10</v>
      </c>
      <c r="D68" s="219" t="str">
        <f>IFERROR(VLOOKUP(C68, Content_Creation!B:D, 2, FALSE), IFERROR(VLOOKUP(C68, Project_Management!B:D, 2, FALSE), ""))
&amp; " - "
&amp; IFERROR(VLOOKUP(C68, Content_Creation!B:E, 4, FALSE), IFERROR(VLOOKUP(C68, Project_Management!B:E, 4, FALSE), ""))</f>
        <v>HP Victus 15-FA0555TX - Shorts</v>
      </c>
      <c r="E68" s="220" t="str">
        <f>IFERROR(
    VLOOKUP(B68, Content_Creation!B:D, 3, FALSE),
    IFERROR(VLOOKUP(B68, Project_Management!B:D, 3, FALSE),"")
  )</f>
        <v>Edit</v>
      </c>
      <c r="F68" s="221" t="str">
        <f>IFERROR(VLOOKUP(B68, Content_Creation!B:F, 5, FALSE), IFERROR(VLOOKUP(B68, Project_Management!B:F, 5, FALSE), ""))</f>
        <v>Freelancer</v>
      </c>
      <c r="G68" s="222" t="s">
        <v>26</v>
      </c>
      <c r="H68" s="223">
        <f>IFERROR(VLOOKUP(B68, Content_Creation!B:H, 7, FALSE), IFERROR(VLOOKUP(B68, Project_Management!B:H, 7, FALSE), ""))</f>
        <v>45208</v>
      </c>
      <c r="I68" s="224">
        <v>0.125</v>
      </c>
      <c r="J68" s="223">
        <f>IFERROR(VLOOKUP(C68, Content_Creation!B:H, 7, FALSE), IFERROR(VLOOKUP(C68, Project_Management!B:H, 7, FALSE), ""))</f>
        <v>45230</v>
      </c>
      <c r="K68" s="248"/>
      <c r="L68" s="225" t="str">
        <f>IFERROR(VLOOKUP(B68, Data_Validation!X:Y, 2, FALSE), "")</f>
        <v>Done</v>
      </c>
      <c r="M68" s="226" t="str">
        <f t="shared" si="1"/>
        <v>Nvidia | HP Victus 15-FA0555TX - Shorts | Edit</v>
      </c>
      <c r="N68" s="249"/>
      <c r="O68" s="249"/>
    </row>
    <row r="69" ht="24.0" customHeight="1">
      <c r="A69" s="216" t="str">
        <f>IFERROR(__xludf.DUMMYFUNCTION("ARRAYFORMULA(IFERROR(VLOOKUP(REGEXEXTRACT(B69, ""-(\w+)-""), {Data_Validation!$F$16:$F$29, Data_Validation!$E$16:$E$29}, 2, FALSE), """"))
"),"Nvidia")</f>
        <v>Nvidia</v>
      </c>
      <c r="B69" s="248" t="str">
        <f>IFERROR(__xludf.DUMMYFUNCTION("""COMPUTED_VALUE"""),"CC-NVI-11.04")</f>
        <v>CC-NVI-11.04</v>
      </c>
      <c r="C69" s="218" t="str">
        <f>IFERROR(__xludf.DUMMYFUNCTION("IFERROR(REGEXEXTRACT(B69, ""^[A-Z]+-[A-Z]+-"") &amp; TEXT(VALUE(REGEXEXTRACT(B69, ""-(\d+)\."")), ""00""), """")"),"CC-NVI-11")</f>
        <v>CC-NVI-11</v>
      </c>
      <c r="D69" s="219" t="str">
        <f>IFERROR(VLOOKUP(C69, Content_Creation!B:D, 2, FALSE), IFERROR(VLOOKUP(C69, Project_Management!B:D, 2, FALSE), ""))
&amp; " - "
&amp; IFERROR(VLOOKUP(C69, Content_Creation!B:E, 4, FALSE), IFERROR(VLOOKUP(C69, Project_Management!B:E, 4, FALSE), ""))</f>
        <v>HP Omen 16-XF0060AX - Shorts</v>
      </c>
      <c r="E69" s="220" t="str">
        <f>IFERROR(
    VLOOKUP(B69, Content_Creation!B:D, 3, FALSE),
    IFERROR(VLOOKUP(B69, Project_Management!B:D, 3, FALSE),"")
  )</f>
        <v>Benchmarks</v>
      </c>
      <c r="F69" s="221" t="str">
        <f>IFERROR(VLOOKUP(B69, Content_Creation!B:F, 5, FALSE), IFERROR(VLOOKUP(B69, Project_Management!B:F, 5, FALSE), ""))</f>
        <v>Naveen</v>
      </c>
      <c r="G69" s="222" t="s">
        <v>26</v>
      </c>
      <c r="H69" s="223">
        <f>IFERROR(VLOOKUP(B69, Content_Creation!B:H, 7, FALSE), IFERROR(VLOOKUP(B69, Project_Management!B:H, 7, FALSE), ""))</f>
        <v>45208</v>
      </c>
      <c r="I69" s="224">
        <v>0.0</v>
      </c>
      <c r="J69" s="223">
        <f>IFERROR(VLOOKUP(C69, Content_Creation!B:H, 7, FALSE), IFERROR(VLOOKUP(C69, Project_Management!B:H, 7, FALSE), ""))</f>
        <v>45231</v>
      </c>
      <c r="K69" s="248"/>
      <c r="L69" s="225" t="str">
        <f>IFERROR(VLOOKUP(B69, Data_Validation!X:Y, 2, FALSE), "")</f>
        <v>Done</v>
      </c>
      <c r="M69" s="226" t="str">
        <f t="shared" si="1"/>
        <v>Nvidia | HP Omen 16-XF0060AX - Shorts | Benchmarks</v>
      </c>
      <c r="N69" s="249"/>
      <c r="O69" s="249"/>
    </row>
    <row r="70" ht="24.0" customHeight="1">
      <c r="A70" s="216" t="str">
        <f>IFERROR(__xludf.DUMMYFUNCTION("ARRAYFORMULA(IFERROR(VLOOKUP(REGEXEXTRACT(B70, ""-(\w+)-""), {Data_Validation!$F$16:$F$29, Data_Validation!$E$16:$E$29}, 2, FALSE), """"))
"),"Nvidia")</f>
        <v>Nvidia</v>
      </c>
      <c r="B70" s="248" t="str">
        <f>IFERROR(__xludf.DUMMYFUNCTION("""COMPUTED_VALUE"""),"CC-NVI-08.07")</f>
        <v>CC-NVI-08.07</v>
      </c>
      <c r="C70" s="218" t="str">
        <f>IFERROR(__xludf.DUMMYFUNCTION("IFERROR(REGEXEXTRACT(B70, ""^[A-Z]+-[A-Z]+-"") &amp; TEXT(VALUE(REGEXEXTRACT(B70, ""-(\d+)\."")), ""00""), """")"),"CC-NVI-08")</f>
        <v>CC-NVI-08</v>
      </c>
      <c r="D70" s="219" t="str">
        <f>IFERROR(VLOOKUP(C70, Content_Creation!B:D, 2, FALSE), IFERROR(VLOOKUP(C70, Project_Management!B:D, 2, FALSE), ""))
&amp; " - "
&amp; IFERROR(VLOOKUP(C70, Content_Creation!B:E, 4, FALSE), IFERROR(VLOOKUP(C70, Project_Management!B:E, 4, FALSE), ""))</f>
        <v>HP Victus 15-FA1124TX - Shorts</v>
      </c>
      <c r="E70" s="220" t="str">
        <f>IFERROR(
    VLOOKUP(B70, Content_Creation!B:D, 3, FALSE),
    IFERROR(VLOOKUP(B70, Project_Management!B:D, 3, FALSE),"")
  )</f>
        <v>Benchmarks</v>
      </c>
      <c r="F70" s="221" t="str">
        <f>IFERROR(VLOOKUP(B70, Content_Creation!B:F, 5, FALSE), IFERROR(VLOOKUP(B70, Project_Management!B:F, 5, FALSE), ""))</f>
        <v>Naveen</v>
      </c>
      <c r="G70" s="222" t="s">
        <v>26</v>
      </c>
      <c r="H70" s="223">
        <f>IFERROR(VLOOKUP(B70, Content_Creation!B:H, 7, FALSE), IFERROR(VLOOKUP(B70, Project_Management!B:H, 7, FALSE), ""))</f>
        <v>45209</v>
      </c>
      <c r="I70" s="224">
        <v>0.0</v>
      </c>
      <c r="J70" s="223">
        <f>IFERROR(VLOOKUP(C70, Content_Creation!B:H, 7, FALSE), IFERROR(VLOOKUP(C70, Project_Management!B:H, 7, FALSE), ""))</f>
        <v>45230</v>
      </c>
      <c r="K70" s="248"/>
      <c r="L70" s="225" t="str">
        <f>IFERROR(VLOOKUP(B70, Data_Validation!X:Y, 2, FALSE), "")</f>
        <v>Done</v>
      </c>
      <c r="M70" s="226" t="str">
        <f t="shared" si="1"/>
        <v>Nvidia | HP Victus 15-FA1124TX - Shorts | Benchmarks</v>
      </c>
      <c r="N70" s="249"/>
      <c r="O70" s="249"/>
    </row>
    <row r="71" ht="24.0" customHeight="1">
      <c r="A71" s="235" t="str">
        <f>IFERROR(__xludf.DUMMYFUNCTION("ARRAYFORMULA(IFERROR(VLOOKUP(REGEXEXTRACT(B71, ""-(\w+)-""), {Data_Validation!$F$16:$F$29, Data_Validation!$E$16:$E$29}, 2, FALSE), """"))
"),"Nvidia")</f>
        <v>Nvidia</v>
      </c>
      <c r="B71" s="253" t="str">
        <f>IFERROR(__xludf.DUMMYFUNCTION("""COMPUTED_VALUE"""),"CC-NVI-07.06")</f>
        <v>CC-NVI-07.06</v>
      </c>
      <c r="C71" s="218" t="str">
        <f>IFERROR(__xludf.DUMMYFUNCTION("IFERROR(REGEXEXTRACT(B71, ""^[A-Z]+-[A-Z]+-"") &amp; TEXT(VALUE(REGEXEXTRACT(B71, ""-(\d+)\."")), ""00""), """")"),"CC-NVI-07")</f>
        <v>CC-NVI-07</v>
      </c>
      <c r="D71" s="219" t="str">
        <f>IFERROR(VLOOKUP(C71, Content_Creation!B:D, 2, FALSE), IFERROR(VLOOKUP(C71, Project_Management!B:D, 2, FALSE), ""))
&amp; " - "
&amp; IFERROR(VLOOKUP(C71, Content_Creation!B:E, 4, FALSE), IFERROR(VLOOKUP(C71, Project_Management!B:E, 4, FALSE), ""))</f>
        <v>Acer Nitro V - Shorts</v>
      </c>
      <c r="E71" s="237" t="str">
        <f>IFERROR(
    VLOOKUP(B71, Content_Creation!B:D, 3, FALSE),
    IFERROR(VLOOKUP(B71, Project_Management!B:D, 3, FALSE),"")
  )</f>
        <v>Voice Over</v>
      </c>
      <c r="F71" s="238" t="str">
        <f>IFERROR(VLOOKUP(B71, Content_Creation!B:F, 5, FALSE), IFERROR(VLOOKUP(B71, Project_Management!B:F, 5, FALSE), ""))</f>
        <v>Nasser</v>
      </c>
      <c r="G71" s="222" t="s">
        <v>26</v>
      </c>
      <c r="H71" s="239">
        <f>IFERROR(VLOOKUP(B71, Content_Creation!B:H, 7, FALSE), IFERROR(VLOOKUP(B71, Project_Management!B:H, 7, FALSE), ""))</f>
        <v>45209</v>
      </c>
      <c r="I71" s="240">
        <v>0.0</v>
      </c>
      <c r="J71" s="223">
        <f>IFERROR(VLOOKUP(C71, Content_Creation!B:H, 7, FALSE), IFERROR(VLOOKUP(C71, Project_Management!B:H, 7, FALSE), ""))</f>
        <v>45229</v>
      </c>
      <c r="K71" s="254"/>
      <c r="L71" s="255" t="str">
        <f>IFERROR(VLOOKUP(B71, Data_Validation!X:Y, 2, FALSE), "")</f>
        <v>Done</v>
      </c>
      <c r="M71" s="226" t="str">
        <f t="shared" si="1"/>
        <v>Nvidia | Acer Nitro V - Shorts | Voice Over</v>
      </c>
      <c r="N71" s="249"/>
      <c r="O71" s="249"/>
    </row>
    <row r="72" ht="24.0" customHeight="1">
      <c r="A72" s="235" t="str">
        <f>IFERROR(__xludf.DUMMYFUNCTION("ARRAYFORMULA(IFERROR(VLOOKUP(REGEXEXTRACT(B72, ""-(\w+)-""), {Data_Validation!$F$16:$F$29, Data_Validation!$E$16:$E$29}, 2, FALSE), """"))
"),"Nvidia")</f>
        <v>Nvidia</v>
      </c>
      <c r="B72" s="253" t="str">
        <f>IFERROR(__xludf.DUMMYFUNCTION("""COMPUTED_VALUE"""),"CC-NVI-10.06")</f>
        <v>CC-NVI-10.06</v>
      </c>
      <c r="C72" s="218" t="str">
        <f>IFERROR(__xludf.DUMMYFUNCTION("IFERROR(REGEXEXTRACT(B72, ""^[A-Z]+-[A-Z]+-"") &amp; TEXT(VALUE(REGEXEXTRACT(B72, ""-(\d+)\."")), ""00""), """")"),"CC-NVI-10")</f>
        <v>CC-NVI-10</v>
      </c>
      <c r="D72" s="219" t="str">
        <f>IFERROR(VLOOKUP(C72, Content_Creation!B:D, 2, FALSE), IFERROR(VLOOKUP(C72, Project_Management!B:D, 2, FALSE), ""))
&amp; " - "
&amp; IFERROR(VLOOKUP(C72, Content_Creation!B:E, 4, FALSE), IFERROR(VLOOKUP(C72, Project_Management!B:E, 4, FALSE), ""))</f>
        <v>HP Victus 15-FA0555TX - Shorts</v>
      </c>
      <c r="E72" s="245" t="str">
        <f>IFERROR(
    VLOOKUP(B72, Content_Creation!B:D, 3, FALSE),
    IFERROR(VLOOKUP(B72, Project_Management!B:D, 3, FALSE),"")
  )</f>
        <v>VoiceOver </v>
      </c>
      <c r="F72" s="238" t="str">
        <f>IFERROR(VLOOKUP(B72, Content_Creation!B:F, 5, FALSE), IFERROR(VLOOKUP(B72, Project_Management!B:F, 5, FALSE), ""))</f>
        <v>Nasser</v>
      </c>
      <c r="G72" s="222" t="s">
        <v>26</v>
      </c>
      <c r="H72" s="239">
        <f>IFERROR(VLOOKUP(B72, Content_Creation!B:H, 7, FALSE), IFERROR(VLOOKUP(B72, Project_Management!B:H, 7, FALSE), ""))</f>
        <v>45209</v>
      </c>
      <c r="I72" s="240">
        <v>0.0</v>
      </c>
      <c r="J72" s="223">
        <f>IFERROR(VLOOKUP(C72, Content_Creation!B:H, 7, FALSE), IFERROR(VLOOKUP(C72, Project_Management!B:H, 7, FALSE), ""))</f>
        <v>45230</v>
      </c>
      <c r="K72" s="253"/>
      <c r="L72" s="241" t="str">
        <f>IFERROR(VLOOKUP(B72, Data_Validation!X:Y, 2, FALSE), "")</f>
        <v>Done</v>
      </c>
      <c r="M72" s="226" t="str">
        <f t="shared" si="1"/>
        <v>Nvidia | HP Victus 15-FA0555TX - Shorts | VoiceOver </v>
      </c>
      <c r="N72" s="45"/>
      <c r="O72" s="45"/>
    </row>
    <row r="73" ht="24.0" customHeight="1">
      <c r="A73" s="216" t="str">
        <f>IFERROR(__xludf.DUMMYFUNCTION("ARRAYFORMULA(IFERROR(VLOOKUP(REGEXEXTRACT(B73, ""-(\w+)-""), {Data_Validation!$F$16:$F$29, Data_Validation!$E$16:$E$29}, 2, FALSE), """"))
"),"MaCaw")</f>
        <v>MaCaw</v>
      </c>
      <c r="B73" s="248" t="str">
        <f>IFERROR(__xludf.DUMMYFUNCTION("""COMPUTED_VALUE"""),"PM-MAC-01.02")</f>
        <v>PM-MAC-01.02</v>
      </c>
      <c r="C73" s="218" t="str">
        <f>IFERROR(__xludf.DUMMYFUNCTION("IFERROR(REGEXEXTRACT(B73, ""^[A-Z]+-[A-Z]+-"") &amp; TEXT(VALUE(REGEXEXTRACT(B73, ""-(\d+)\."")), ""00""), """")"),"PM-MAC-01")</f>
        <v>PM-MAC-01</v>
      </c>
      <c r="D73" s="219" t="str">
        <f>IFERROR(VLOOKUP(C73, Content_Creation!B:D, 2, FALSE), IFERROR(VLOOKUP(C73, Project_Management!B:D, 2, FALSE), ""))
&amp; " - "
&amp; IFERROR(VLOOKUP(C73, Content_Creation!B:E, 4, FALSE), IFERROR(VLOOKUP(C73, Project_Management!B:E, 4, FALSE), ""))</f>
        <v>Web Dev + AdHoc - Website</v>
      </c>
      <c r="E73" s="220" t="str">
        <f>IFERROR(
    VLOOKUP(B73, Content_Creation!B:D, 3, FALSE),
    IFERROR(VLOOKUP(B73, Project_Management!B:D, 3, FALSE),"")
  )</f>
        <v>A4 Design Change</v>
      </c>
      <c r="F73" s="221" t="str">
        <f>IFERROR(VLOOKUP(B73, Content_Creation!B:F, 5, FALSE), IFERROR(VLOOKUP(B73, Project_Management!B:F, 5, FALSE), ""))</f>
        <v>Naveen</v>
      </c>
      <c r="G73" s="222" t="s">
        <v>26</v>
      </c>
      <c r="H73" s="223">
        <f>IFERROR(VLOOKUP(B73, Content_Creation!B:H, 7, FALSE), IFERROR(VLOOKUP(B73, Project_Management!B:H, 7, FALSE), ""))</f>
        <v>45211</v>
      </c>
      <c r="I73" s="224">
        <v>0.0</v>
      </c>
      <c r="J73" s="223">
        <f>IFERROR(VLOOKUP(C73, Content_Creation!B:H, 7, FALSE), IFERROR(VLOOKUP(C73, Project_Management!B:H, 7, FALSE), ""))</f>
        <v>45248</v>
      </c>
      <c r="K73" s="248"/>
      <c r="L73" s="225" t="str">
        <f>IFERROR(VLOOKUP(B73, Data_Validation!X:Y, 2, FALSE), "")</f>
        <v>Done</v>
      </c>
      <c r="M73" s="226" t="str">
        <f t="shared" si="1"/>
        <v>MaCaw | Web Dev + AdHoc - Website | A4 Design Change</v>
      </c>
      <c r="N73" s="249"/>
      <c r="O73" s="249"/>
    </row>
    <row r="74" ht="24.0" customHeight="1">
      <c r="A74" s="216" t="str">
        <f>IFERROR(__xludf.DUMMYFUNCTION("ARRAYFORMULA(IFERROR(VLOOKUP(REGEXEXTRACT(B74, ""-(\w+)-""), {Data_Validation!$F$16:$F$29, Data_Validation!$E$16:$E$29}, 2, FALSE), """"))
"),"MotoYard")</f>
        <v>MotoYard</v>
      </c>
      <c r="B74" s="248" t="str">
        <f>IFERROR(__xludf.DUMMYFUNCTION("""COMPUTED_VALUE"""),"PM-MYD-01.01")</f>
        <v>PM-MYD-01.01</v>
      </c>
      <c r="C74" s="218" t="str">
        <f>IFERROR(__xludf.DUMMYFUNCTION("IFERROR(REGEXEXTRACT(B74, ""^[A-Z]+-[A-Z]+-"") &amp; TEXT(VALUE(REGEXEXTRACT(B74, ""-(\d+)\."")), ""00""), """")"),"PM-MYD-01")</f>
        <v>PM-MYD-01</v>
      </c>
      <c r="D74" s="219" t="str">
        <f>IFERROR(VLOOKUP(C74, Content_Creation!B:D, 2, FALSE), IFERROR(VLOOKUP(C74, Project_Management!B:D, 2, FALSE), ""))
&amp; " - "
&amp; IFERROR(VLOOKUP(C74, Content_Creation!B:E, 4, FALSE), IFERROR(VLOOKUP(C74, Project_Management!B:E, 4, FALSE), ""))</f>
        <v>Logo &amp; Branding - Graphics</v>
      </c>
      <c r="E74" s="220" t="str">
        <f>IFERROR(
    VLOOKUP(B74, Content_Creation!B:D, 3, FALSE),
    IFERROR(VLOOKUP(B74, Project_Management!B:D, 3, FALSE),"")
  )</f>
        <v>Moodboard</v>
      </c>
      <c r="F74" s="221" t="str">
        <f>IFERROR(VLOOKUP(B74, Content_Creation!B:F, 5, FALSE), IFERROR(VLOOKUP(B74, Project_Management!B:F, 5, FALSE), ""))</f>
        <v>Nasser</v>
      </c>
      <c r="G74" s="222" t="s">
        <v>26</v>
      </c>
      <c r="H74" s="223">
        <f>IFERROR(VLOOKUP(B74, Content_Creation!B:H, 7, FALSE), IFERROR(VLOOKUP(B74, Project_Management!B:H, 7, FALSE), ""))</f>
        <v>45211.05225</v>
      </c>
      <c r="I74" s="224">
        <v>0.0</v>
      </c>
      <c r="J74" s="223">
        <f>IFERROR(VLOOKUP(C74, Content_Creation!B:H, 7, FALSE), IFERROR(VLOOKUP(C74, Project_Management!B:H, 7, FALSE), ""))</f>
        <v>45248</v>
      </c>
      <c r="K74" s="248"/>
      <c r="L74" s="225" t="str">
        <f>IFERROR(VLOOKUP(B74, Data_Validation!X:Y, 2, FALSE), "")</f>
        <v>Done</v>
      </c>
      <c r="M74" s="226" t="str">
        <f t="shared" si="1"/>
        <v>MotoYard | Logo &amp; Branding - Graphics | Moodboard</v>
      </c>
      <c r="N74" s="249"/>
      <c r="O74" s="249"/>
    </row>
    <row r="75" ht="24.0" customHeight="1">
      <c r="A75" s="216" t="str">
        <f>IFERROR(__xludf.DUMMYFUNCTION("ARRAYFORMULA(IFERROR(VLOOKUP(REGEXEXTRACT(B75, ""-(\w+)-""), {Data_Validation!$F$16:$F$29, Data_Validation!$E$16:$E$29}, 2, FALSE), """"))
"),"MaCaw")</f>
        <v>MaCaw</v>
      </c>
      <c r="B75" s="248" t="str">
        <f>IFERROR(__xludf.DUMMYFUNCTION("""COMPUTED_VALUE"""),"CC-MAC-01.05")</f>
        <v>CC-MAC-01.05</v>
      </c>
      <c r="C75" s="218" t="str">
        <f>IFERROR(__xludf.DUMMYFUNCTION("IFERROR(REGEXEXTRACT(B75, ""^[A-Z]+-[A-Z]+-"") &amp; TEXT(VALUE(REGEXEXTRACT(B75, ""-(\d+)\."")), ""00""), """")"),"CC-MAC-01")</f>
        <v>CC-MAC-01</v>
      </c>
      <c r="D75" s="219" t="str">
        <f>IFERROR(VLOOKUP(C75, Content_Creation!B:D, 2, FALSE), IFERROR(VLOOKUP(C75, Project_Management!B:D, 2, FALSE), ""))
&amp; " - "
&amp; IFERROR(VLOOKUP(C75, Content_Creation!B:E, 4, FALSE), IFERROR(VLOOKUP(C75, Project_Management!B:E, 4, FALSE), ""))</f>
        <v>Coming Soon - Shorts</v>
      </c>
      <c r="E75" s="220" t="str">
        <f>IFERROR(
    VLOOKUP(B75, Content_Creation!B:D, 3, FALSE),
    IFERROR(VLOOKUP(B75, Project_Management!B:D, 3, FALSE),"")
  )</f>
        <v>Edit</v>
      </c>
      <c r="F75" s="221" t="str">
        <f>IFERROR(VLOOKUP(B75, Content_Creation!B:F, 5, FALSE), IFERROR(VLOOKUP(B75, Project_Management!B:F, 5, FALSE), ""))</f>
        <v>Akhil</v>
      </c>
      <c r="G75" s="222" t="s">
        <v>26</v>
      </c>
      <c r="H75" s="223">
        <f>IFERROR(VLOOKUP(B75, Content_Creation!B:H, 7, FALSE), IFERROR(VLOOKUP(B75, Project_Management!B:H, 7, FALSE), ""))</f>
        <v>45212</v>
      </c>
      <c r="I75" s="224">
        <v>0.0</v>
      </c>
      <c r="J75" s="223">
        <f>IFERROR(VLOOKUP(C75, Content_Creation!B:H, 7, FALSE), IFERROR(VLOOKUP(C75, Project_Management!B:H, 7, FALSE), ""))</f>
        <v>45218</v>
      </c>
      <c r="K75" s="248"/>
      <c r="L75" s="225" t="str">
        <f>IFERROR(VLOOKUP(B75, Data_Validation!X:Y, 2, FALSE), "")</f>
        <v>Done</v>
      </c>
      <c r="M75" s="226" t="str">
        <f t="shared" si="1"/>
        <v>MaCaw | Coming Soon - Shorts | Edit</v>
      </c>
      <c r="N75" s="249"/>
      <c r="O75" s="249"/>
    </row>
    <row r="76" ht="24.0" customHeight="1">
      <c r="A76" s="216" t="str">
        <f>IFERROR(__xludf.DUMMYFUNCTION("ARRAYFORMULA(IFERROR(VLOOKUP(REGEXEXTRACT(B76, ""-(\w+)-""), {Data_Validation!$F$16:$F$29, Data_Validation!$E$16:$E$29}, 2, FALSE), """"))
"),"Picture This!")</f>
        <v>Picture This!</v>
      </c>
      <c r="B76" s="248" t="str">
        <f>IFERROR(__xludf.DUMMYFUNCTION("""COMPUTED_VALUE"""),"PM-PTS-05.06")</f>
        <v>PM-PTS-05.06</v>
      </c>
      <c r="C76" s="218" t="str">
        <f>IFERROR(__xludf.DUMMYFUNCTION("IFERROR(REGEXEXTRACT(B76, ""^[A-Z]+-[A-Z]+-"") &amp; TEXT(VALUE(REGEXEXTRACT(B76, ""-(\d+)\."")), ""00""), """")"),"PM-PTS-05")</f>
        <v>PM-PTS-05</v>
      </c>
      <c r="D76" s="219" t="str">
        <f>IFERROR(VLOOKUP(C76, Content_Creation!B:D, 2, FALSE), IFERROR(VLOOKUP(C76, Project_Management!B:D, 2, FALSE), ""))
&amp; " - "
&amp; IFERROR(VLOOKUP(C76, Content_Creation!B:E, 4, FALSE), IFERROR(VLOOKUP(C76, Project_Management!B:E, 4, FALSE), ""))</f>
        <v>Picture This- AdHoc - Website</v>
      </c>
      <c r="E76" s="220" t="str">
        <f>IFERROR(
    VLOOKUP(B76, Content_Creation!B:D, 3, FALSE),
    IFERROR(VLOOKUP(B76, Project_Management!B:D, 3, FALSE),"")
  )</f>
        <v>Aretius Branding</v>
      </c>
      <c r="F76" s="221" t="str">
        <f>IFERROR(VLOOKUP(B76, Content_Creation!B:F, 5, FALSE), IFERROR(VLOOKUP(B76, Project_Management!B:F, 5, FALSE), ""))</f>
        <v>Naveen</v>
      </c>
      <c r="G76" s="222" t="s">
        <v>26</v>
      </c>
      <c r="H76" s="223">
        <f>IFERROR(VLOOKUP(B76, Content_Creation!B:H, 7, FALSE), IFERROR(VLOOKUP(B76, Project_Management!B:H, 7, FALSE), ""))</f>
        <v>45212</v>
      </c>
      <c r="I76" s="224">
        <v>0.0</v>
      </c>
      <c r="J76" s="223">
        <f>IFERROR(VLOOKUP(C76, Content_Creation!B:H, 7, FALSE), IFERROR(VLOOKUP(C76, Project_Management!B:H, 7, FALSE), ""))</f>
        <v>45241</v>
      </c>
      <c r="K76" s="248"/>
      <c r="L76" s="225" t="str">
        <f>IFERROR(VLOOKUP(B76, Data_Validation!X:Y, 2, FALSE), "")</f>
        <v>Done</v>
      </c>
      <c r="M76" s="226" t="str">
        <f t="shared" si="1"/>
        <v>Picture This! | Picture This- AdHoc - Website | Aretius Branding</v>
      </c>
      <c r="N76" s="249"/>
      <c r="O76" s="249"/>
    </row>
    <row r="77" ht="24.0" customHeight="1">
      <c r="A77" s="216" t="str">
        <f>IFERROR(__xludf.DUMMYFUNCTION("ARRAYFORMULA(IFERROR(VLOOKUP(REGEXEXTRACT(B77, ""-(\w+)-""), {Data_Validation!$F$16:$F$29, Data_Validation!$E$16:$E$29}, 2, FALSE), """"))
"),"MaCaw")</f>
        <v>MaCaw</v>
      </c>
      <c r="B77" s="248" t="str">
        <f>IFERROR(__xludf.DUMMYFUNCTION("""COMPUTED_VALUE"""),"CC-MAC-02.02")</f>
        <v>CC-MAC-02.02</v>
      </c>
      <c r="C77" s="218" t="str">
        <f>IFERROR(__xludf.DUMMYFUNCTION("IFERROR(REGEXEXTRACT(B77, ""^[A-Z]+-[A-Z]+-"") &amp; TEXT(VALUE(REGEXEXTRACT(B77, ""-(\d+)\."")), ""00""), """")"),"CC-MAC-02")</f>
        <v>CC-MAC-02</v>
      </c>
      <c r="D77" s="219" t="str">
        <f>IFERROR(VLOOKUP(C77, Content_Creation!B:D, 2, FALSE), IFERROR(VLOOKUP(C77, Project_Management!B:D, 2, FALSE), ""))
&amp; " - "
&amp; IFERROR(VLOOKUP(C77, Content_Creation!B:E, 4, FALSE), IFERROR(VLOOKUP(C77, Project_Management!B:E, 4, FALSE), ""))</f>
        <v>Kuchipudi Teacher Intro - Shorts</v>
      </c>
      <c r="E77" s="220" t="str">
        <f>IFERROR(
    VLOOKUP(B77, Content_Creation!B:D, 3, FALSE),
    IFERROR(VLOOKUP(B77, Project_Management!B:D, 3, FALSE),"")
  )</f>
        <v>Shoot</v>
      </c>
      <c r="F77" s="221" t="str">
        <f>IFERROR(VLOOKUP(B77, Content_Creation!B:F, 5, FALSE), IFERROR(VLOOKUP(B77, Project_Management!B:F, 5, FALSE), ""))</f>
        <v>Nasser</v>
      </c>
      <c r="G77" s="222" t="s">
        <v>26</v>
      </c>
      <c r="H77" s="223">
        <f>IFERROR(VLOOKUP(B77, Content_Creation!B:H, 7, FALSE), IFERROR(VLOOKUP(B77, Project_Management!B:H, 7, FALSE), ""))</f>
        <v>45213.87196</v>
      </c>
      <c r="I77" s="224">
        <v>0.0</v>
      </c>
      <c r="J77" s="223">
        <f>IFERROR(VLOOKUP(C77, Content_Creation!B:H, 7, FALSE), IFERROR(VLOOKUP(C77, Project_Management!B:H, 7, FALSE), ""))</f>
        <v>45226</v>
      </c>
      <c r="K77" s="248"/>
      <c r="L77" s="225" t="str">
        <f>IFERROR(VLOOKUP(B77, Data_Validation!X:Y, 2, FALSE), "")</f>
        <v>Done</v>
      </c>
      <c r="M77" s="226" t="str">
        <f t="shared" si="1"/>
        <v>MaCaw | Kuchipudi Teacher Intro - Shorts | Shoot</v>
      </c>
      <c r="N77" s="249"/>
      <c r="O77" s="249"/>
    </row>
    <row r="78" ht="24.0" customHeight="1">
      <c r="A78" s="216" t="str">
        <f>IFERROR(__xludf.DUMMYFUNCTION("ARRAYFORMULA(IFERROR(VLOOKUP(REGEXEXTRACT(B78, ""-(\w+)-""), {Data_Validation!$F$16:$F$29, Data_Validation!$E$16:$E$29}, 2, FALSE), """"))
"),"MaCaw")</f>
        <v>MaCaw</v>
      </c>
      <c r="B78" s="248" t="str">
        <f>IFERROR(__xludf.DUMMYFUNCTION("""COMPUTED_VALUE"""),"CC-MAC-03.02")</f>
        <v>CC-MAC-03.02</v>
      </c>
      <c r="C78" s="218" t="str">
        <f>IFERROR(__xludf.DUMMYFUNCTION("IFERROR(REGEXEXTRACT(B78, ""^[A-Z]+-[A-Z]+-"") &amp; TEXT(VALUE(REGEXEXTRACT(B78, ""-(\d+)\."")), ""00""), """")"),"CC-MAC-03")</f>
        <v>CC-MAC-03</v>
      </c>
      <c r="D78" s="219" t="str">
        <f>IFERROR(VLOOKUP(C78, Content_Creation!B:D, 2, FALSE), IFERROR(VLOOKUP(C78, Project_Management!B:D, 2, FALSE), ""))
&amp; " - "
&amp; IFERROR(VLOOKUP(C78, Content_Creation!B:E, 4, FALSE), IFERROR(VLOOKUP(C78, Project_Management!B:E, 4, FALSE), ""))</f>
        <v>Kuchipudi Teacher Photos - Insta</v>
      </c>
      <c r="E78" s="220" t="str">
        <f>IFERROR(
    VLOOKUP(B77:B1001, Content_Creation!B:D, 3, FALSE),
    IFERROR(VLOOKUP(B77:B1001, Project_Management!B:D, 3, FALSE),"")
  )</f>
        <v>Shoot</v>
      </c>
      <c r="F78" s="221" t="str">
        <f>IFERROR(VLOOKUP(B78, Content_Creation!B:F, 5, FALSE), IFERROR(VLOOKUP(B78, Project_Management!B:F, 5, FALSE), ""))</f>
        <v>Nasser</v>
      </c>
      <c r="G78" s="222" t="s">
        <v>26</v>
      </c>
      <c r="H78" s="223">
        <f>IFERROR(VLOOKUP(B78, Content_Creation!B:H, 7, FALSE), IFERROR(VLOOKUP(B78, Project_Management!B:H, 7, FALSE), ""))</f>
        <v>45213.87218</v>
      </c>
      <c r="I78" s="224">
        <v>0.0</v>
      </c>
      <c r="J78" s="223">
        <f>IFERROR(VLOOKUP(C78, Content_Creation!B:H, 7, FALSE), IFERROR(VLOOKUP(C78, Project_Management!B:H, 7, FALSE), ""))</f>
        <v>45226</v>
      </c>
      <c r="K78" s="248"/>
      <c r="L78" s="225" t="str">
        <f>IFERROR(VLOOKUP(B78, Data_Validation!X:Y, 2, FALSE), "")</f>
        <v>Done</v>
      </c>
      <c r="M78" s="226" t="str">
        <f t="shared" si="1"/>
        <v>MaCaw | Kuchipudi Teacher Photos - Insta | Shoot</v>
      </c>
      <c r="N78" s="249"/>
      <c r="O78" s="249"/>
    </row>
    <row r="79" ht="24.0" customHeight="1">
      <c r="A79" s="216" t="str">
        <f>IFERROR(__xludf.DUMMYFUNCTION("ARRAYFORMULA(IFERROR(VLOOKUP(REGEXEXTRACT(B79, ""-(\w+)-""), {Data_Validation!$F$16:$F$29, Data_Validation!$E$16:$E$29}, 2, FALSE), """"))
"),"MaCaw")</f>
        <v>MaCaw</v>
      </c>
      <c r="B79" s="248" t="str">
        <f>IFERROR(__xludf.DUMMYFUNCTION("""COMPUTED_VALUE"""),"CC-MAC-08.02")</f>
        <v>CC-MAC-08.02</v>
      </c>
      <c r="C79" s="218" t="str">
        <f>IFERROR(__xludf.DUMMYFUNCTION("IFERROR(REGEXEXTRACT(B79, ""^[A-Z]+-[A-Z]+-"") &amp; TEXT(VALUE(REGEXEXTRACT(B79, ""-(\d+)\."")), ""00""), """")"),"CC-MAC-08")</f>
        <v>CC-MAC-08</v>
      </c>
      <c r="D79" s="219" t="str">
        <f>IFERROR(VLOOKUP(C79, Content_Creation!B:D, 2, FALSE), IFERROR(VLOOKUP(C79, Project_Management!B:D, 2, FALSE), ""))
&amp; " - "
&amp; IFERROR(VLOOKUP(C79, Content_Creation!B:E, 4, FALSE), IFERROR(VLOOKUP(C79, Project_Management!B:E, 4, FALSE), ""))</f>
        <v>Art &amp; Craft Teacher Intro - Shorts</v>
      </c>
      <c r="E79" s="220" t="str">
        <f>IFERROR(
    VLOOKUP(B78:B1001, Content_Creation!B:D, 3, FALSE),
    IFERROR(VLOOKUP(B78:B1001, Project_Management!B:D, 3, FALSE),"")
  )</f>
        <v>Shoot</v>
      </c>
      <c r="F79" s="221" t="str">
        <f>IFERROR(VLOOKUP(B79, Content_Creation!B:F, 5, FALSE), IFERROR(VLOOKUP(B79, Project_Management!B:F, 5, FALSE), ""))</f>
        <v>Akhil</v>
      </c>
      <c r="G79" s="222" t="s">
        <v>26</v>
      </c>
      <c r="H79" s="223">
        <f>IFERROR(VLOOKUP(B79, Content_Creation!B:H, 7, FALSE), IFERROR(VLOOKUP(B79, Project_Management!B:H, 7, FALSE), ""))</f>
        <v>45213.87342</v>
      </c>
      <c r="I79" s="224">
        <v>0.0</v>
      </c>
      <c r="J79" s="223">
        <f>IFERROR(VLOOKUP(C79, Content_Creation!B:H, 7, FALSE), IFERROR(VLOOKUP(C79, Project_Management!B:H, 7, FALSE), ""))</f>
        <v>45228</v>
      </c>
      <c r="K79" s="248"/>
      <c r="L79" s="225" t="str">
        <f>IFERROR(VLOOKUP(B79, Data_Validation!X:Y, 2, FALSE), "")</f>
        <v>Done</v>
      </c>
      <c r="M79" s="226" t="str">
        <f t="shared" si="1"/>
        <v>MaCaw | Art &amp; Craft Teacher Intro - Shorts | Shoot</v>
      </c>
      <c r="N79" s="249"/>
      <c r="O79" s="249"/>
    </row>
    <row r="80" ht="24.0" customHeight="1">
      <c r="A80" s="216" t="str">
        <f>IFERROR(__xludf.DUMMYFUNCTION("ARRAYFORMULA(IFERROR(VLOOKUP(REGEXEXTRACT(B80, ""-(\w+)-""), {Data_Validation!$F$16:$F$29, Data_Validation!$E$16:$E$29}, 2, FALSE), """"))
"),"MaCaw")</f>
        <v>MaCaw</v>
      </c>
      <c r="B80" s="248" t="str">
        <f>IFERROR(__xludf.DUMMYFUNCTION("""COMPUTED_VALUE"""),"CC-MAC-09.02")</f>
        <v>CC-MAC-09.02</v>
      </c>
      <c r="C80" s="218" t="str">
        <f>IFERROR(__xludf.DUMMYFUNCTION("IFERROR(REGEXEXTRACT(B80, ""^[A-Z]+-[A-Z]+-"") &amp; TEXT(VALUE(REGEXEXTRACT(B80, ""-(\d+)\."")), ""00""), """")"),"CC-MAC-09")</f>
        <v>CC-MAC-09</v>
      </c>
      <c r="D80" s="219" t="str">
        <f>IFERROR(VLOOKUP(C80, Content_Creation!B:D, 2, FALSE), IFERROR(VLOOKUP(C80, Project_Management!B:D, 2, FALSE), ""))
&amp; " - "
&amp; IFERROR(VLOOKUP(C80, Content_Creation!B:E, 4, FALSE), IFERROR(VLOOKUP(C80, Project_Management!B:E, 4, FALSE), ""))</f>
        <v>Art &amp; Craft Teacher Photos - Insta</v>
      </c>
      <c r="E80" s="220" t="str">
        <f>IFERROR(
    VLOOKUP(B79:B1001, Content_Creation!B:D, 3, FALSE),
    IFERROR(VLOOKUP(B79:B1001, Project_Management!B:D, 3, FALSE),"")
  )</f>
        <v>Shoot</v>
      </c>
      <c r="F80" s="221" t="str">
        <f>IFERROR(VLOOKUP(B80, Content_Creation!B:F, 5, FALSE), IFERROR(VLOOKUP(B80, Project_Management!B:F, 5, FALSE), ""))</f>
        <v>Akhil</v>
      </c>
      <c r="G80" s="222" t="s">
        <v>26</v>
      </c>
      <c r="H80" s="223">
        <f>IFERROR(VLOOKUP(B80, Content_Creation!B:H, 7, FALSE), IFERROR(VLOOKUP(B80, Project_Management!B:H, 7, FALSE), ""))</f>
        <v>45213.87365</v>
      </c>
      <c r="I80" s="224">
        <v>0.0</v>
      </c>
      <c r="J80" s="223">
        <f>IFERROR(VLOOKUP(C80, Content_Creation!B:H, 7, FALSE), IFERROR(VLOOKUP(C80, Project_Management!B:H, 7, FALSE), ""))</f>
        <v>45228</v>
      </c>
      <c r="K80" s="248"/>
      <c r="L80" s="225" t="str">
        <f>IFERROR(VLOOKUP(B80, Data_Validation!X:Y, 2, FALSE), "")</f>
        <v>Done</v>
      </c>
      <c r="M80" s="226" t="str">
        <f t="shared" si="1"/>
        <v>MaCaw | Art &amp; Craft Teacher Photos - Insta | Shoot</v>
      </c>
      <c r="N80" s="249"/>
      <c r="O80" s="249"/>
    </row>
    <row r="81" ht="24.0" customHeight="1">
      <c r="A81" s="216" t="str">
        <f>IFERROR(__xludf.DUMMYFUNCTION("ARRAYFORMULA(IFERROR(VLOOKUP(REGEXEXTRACT(B81, ""-(\w+)-""), {Data_Validation!$F$16:$F$29, Data_Validation!$E$16:$E$29}, 2, FALSE), """"))
"),"MaCaw")</f>
        <v>MaCaw</v>
      </c>
      <c r="B81" s="248" t="str">
        <f>IFERROR(__xludf.DUMMYFUNCTION("""COMPUTED_VALUE"""),"CC-MAC-04.02")</f>
        <v>CC-MAC-04.02</v>
      </c>
      <c r="C81" s="218" t="str">
        <f>IFERROR(__xludf.DUMMYFUNCTION("IFERROR(REGEXEXTRACT(B81, ""^[A-Z]+-[A-Z]+-"") &amp; TEXT(VALUE(REGEXEXTRACT(B81, ""-(\d+)\."")), ""00""), """")"),"CC-MAC-04")</f>
        <v>CC-MAC-04</v>
      </c>
      <c r="D81" s="219" t="str">
        <f>IFERROR(VLOOKUP(C81, Content_Creation!B:D, 2, FALSE), IFERROR(VLOOKUP(C81, Project_Management!B:D, 2, FALSE), ""))
&amp; " - "
&amp; IFERROR(VLOOKUP(C81, Content_Creation!B:E, 4, FALSE), IFERROR(VLOOKUP(C81, Project_Management!B:E, 4, FALSE), ""))</f>
        <v>Music Teachers Intro - Shorts</v>
      </c>
      <c r="E81" s="220" t="str">
        <f>IFERROR(
    VLOOKUP(B80:B1001, Content_Creation!B:D, 3, FALSE),
    IFERROR(VLOOKUP(B80:B1001, Project_Management!B:D, 3, FALSE),"")
  )</f>
        <v>Shoot</v>
      </c>
      <c r="F81" s="221" t="str">
        <f>IFERROR(VLOOKUP(B81, Content_Creation!B:F, 5, FALSE), IFERROR(VLOOKUP(B81, Project_Management!B:F, 5, FALSE), ""))</f>
        <v>Akhil</v>
      </c>
      <c r="G81" s="222" t="s">
        <v>26</v>
      </c>
      <c r="H81" s="223">
        <f>IFERROR(VLOOKUP(B81, Content_Creation!B:H, 7, FALSE), IFERROR(VLOOKUP(B81, Project_Management!B:H, 7, FALSE), ""))</f>
        <v>45213</v>
      </c>
      <c r="I81" s="224">
        <v>0.0</v>
      </c>
      <c r="J81" s="223">
        <f>IFERROR(VLOOKUP(C81, Content_Creation!B:H, 7, FALSE), IFERROR(VLOOKUP(C81, Project_Management!B:H, 7, FALSE), ""))</f>
        <v>45231</v>
      </c>
      <c r="K81" s="248"/>
      <c r="L81" s="225" t="str">
        <f>IFERROR(VLOOKUP(B81, Data_Validation!X:Y, 2, FALSE), "")</f>
        <v>Done</v>
      </c>
      <c r="M81" s="226" t="str">
        <f t="shared" si="1"/>
        <v>MaCaw | Music Teachers Intro - Shorts | Shoot</v>
      </c>
      <c r="N81" s="249"/>
      <c r="O81" s="249"/>
    </row>
    <row r="82" ht="24.0" customHeight="1">
      <c r="A82" s="216" t="str">
        <f>IFERROR(__xludf.DUMMYFUNCTION("ARRAYFORMULA(IFERROR(VLOOKUP(REGEXEXTRACT(B82, ""-(\w+)-""), {Data_Validation!$F$16:$F$29, Data_Validation!$E$16:$E$29}, 2, FALSE), """"))
"),"MotoYard")</f>
        <v>MotoYard</v>
      </c>
      <c r="B82" s="248" t="str">
        <f>IFERROR(__xludf.DUMMYFUNCTION("""COMPUTED_VALUE"""),"PM-MYD-01.02")</f>
        <v>PM-MYD-01.02</v>
      </c>
      <c r="C82" s="218" t="str">
        <f>IFERROR(__xludf.DUMMYFUNCTION("IFERROR(REGEXEXTRACT(B82, ""^[A-Z]+-[A-Z]+-"") &amp; TEXT(VALUE(REGEXEXTRACT(B82, ""-(\d+)\."")), ""00""), """")"),"PM-MYD-01")</f>
        <v>PM-MYD-01</v>
      </c>
      <c r="D82" s="219" t="str">
        <f>IFERROR(VLOOKUP(C82, Content_Creation!B:D, 2, FALSE), IFERROR(VLOOKUP(C82, Project_Management!B:D, 2, FALSE), ""))
&amp; " - "
&amp; IFERROR(VLOOKUP(C82, Content_Creation!B:E, 4, FALSE), IFERROR(VLOOKUP(C82, Project_Management!B:E, 4, FALSE), ""))</f>
        <v>Logo &amp; Branding - Graphics</v>
      </c>
      <c r="E82" s="220" t="str">
        <f>IFERROR(
    VLOOKUP(B81:B1001, Content_Creation!B:D, 3, FALSE),
    IFERROR(VLOOKUP(B81:B1001, Project_Management!B:D, 3, FALSE),"")
  )</f>
        <v>Concepts</v>
      </c>
      <c r="F82" s="221" t="str">
        <f>IFERROR(VLOOKUP(B82, Content_Creation!B:F, 5, FALSE), IFERROR(VLOOKUP(B82, Project_Management!B:F, 5, FALSE), ""))</f>
        <v>Nasser</v>
      </c>
      <c r="G82" s="222" t="s">
        <v>26</v>
      </c>
      <c r="H82" s="223">
        <f>IFERROR(VLOOKUP(B82, Content_Creation!B:H, 7, FALSE), IFERROR(VLOOKUP(B82, Project_Management!B:H, 7, FALSE), ""))</f>
        <v>45213.05225</v>
      </c>
      <c r="I82" s="224">
        <v>0.0</v>
      </c>
      <c r="J82" s="223">
        <f>IFERROR(VLOOKUP(C82, Content_Creation!B:H, 7, FALSE), IFERROR(VLOOKUP(C82, Project_Management!B:H, 7, FALSE), ""))</f>
        <v>45248</v>
      </c>
      <c r="K82" s="248"/>
      <c r="L82" s="225" t="str">
        <f>IFERROR(VLOOKUP(B82, Data_Validation!X:Y, 2, FALSE), "")</f>
        <v>Done</v>
      </c>
      <c r="M82" s="226" t="str">
        <f t="shared" si="1"/>
        <v>MotoYard | Logo &amp; Branding - Graphics | Concepts</v>
      </c>
      <c r="N82" s="249"/>
      <c r="O82" s="249"/>
    </row>
    <row r="83" ht="24.0" customHeight="1">
      <c r="A83" s="216" t="str">
        <f>IFERROR(__xludf.DUMMYFUNCTION("ARRAYFORMULA(IFERROR(VLOOKUP(REGEXEXTRACT(B83, ""-(\w+)-""), {Data_Validation!$F$16:$F$29, Data_Validation!$E$16:$E$29}, 2, FALSE), """"))
"),"MaCaw")</f>
        <v>MaCaw</v>
      </c>
      <c r="B83" s="248" t="str">
        <f>IFERROR(__xludf.DUMMYFUNCTION("""COMPUTED_VALUE"""),"PM-MAC-01.06")</f>
        <v>PM-MAC-01.06</v>
      </c>
      <c r="C83" s="218" t="str">
        <f>IFERROR(__xludf.DUMMYFUNCTION("IFERROR(REGEXEXTRACT(B83, ""^[A-Z]+-[A-Z]+-"") &amp; TEXT(VALUE(REGEXEXTRACT(B83, ""-(\d+)\."")), ""00""), """")"),"PM-MAC-01")</f>
        <v>PM-MAC-01</v>
      </c>
      <c r="D83" s="219" t="str">
        <f>IFERROR(VLOOKUP(C83, Content_Creation!B:D, 2, FALSE), IFERROR(VLOOKUP(C83, Project_Management!B:D, 2, FALSE), ""))
&amp; " - "
&amp; IFERROR(VLOOKUP(C83, Content_Creation!B:E, 4, FALSE), IFERROR(VLOOKUP(C83, Project_Management!B:E, 4, FALSE), ""))</f>
        <v>Web Dev + AdHoc - Website</v>
      </c>
      <c r="E83" s="220" t="str">
        <f>IFERROR(
    VLOOKUP(B82:B1001, Content_Creation!B:D, 3, FALSE),
    IFERROR(VLOOKUP(B82:B1001, Project_Management!B:D, 3, FALSE),"")
  )</f>
        <v>Wire-Frame</v>
      </c>
      <c r="F83" s="221" t="str">
        <f>IFERROR(VLOOKUP(B83, Content_Creation!B:F, 5, FALSE), IFERROR(VLOOKUP(B83, Project_Management!B:F, 5, FALSE), ""))</f>
        <v>Talha</v>
      </c>
      <c r="G83" s="222" t="s">
        <v>26</v>
      </c>
      <c r="H83" s="223">
        <f>IFERROR(VLOOKUP(B83, Content_Creation!B:H, 7, FALSE), IFERROR(VLOOKUP(B83, Project_Management!B:H, 7, FALSE), ""))</f>
        <v>45214</v>
      </c>
      <c r="I83" s="224">
        <v>0.006944444444444444</v>
      </c>
      <c r="J83" s="223">
        <f>IFERROR(VLOOKUP(C83, Content_Creation!B:H, 7, FALSE), IFERROR(VLOOKUP(C83, Project_Management!B:H, 7, FALSE), ""))</f>
        <v>45248</v>
      </c>
      <c r="K83" s="248"/>
      <c r="L83" s="225" t="str">
        <f>IFERROR(VLOOKUP(B83, Data_Validation!X:Y, 2, FALSE), "")</f>
        <v>Done</v>
      </c>
      <c r="M83" s="226" t="str">
        <f t="shared" si="1"/>
        <v>MaCaw | Web Dev + AdHoc - Website | Wire-Frame</v>
      </c>
      <c r="N83" s="249"/>
      <c r="O83" s="249"/>
    </row>
    <row r="84" ht="24.0" customHeight="1">
      <c r="A84" s="216" t="str">
        <f>IFERROR(__xludf.DUMMYFUNCTION("ARRAYFORMULA(IFERROR(VLOOKUP(REGEXEXTRACT(B84, ""-(\w+)-""), {Data_Validation!$F$16:$F$29, Data_Validation!$E$16:$E$29}, 2, FALSE), """"))
"),"MaCaw")</f>
        <v>MaCaw</v>
      </c>
      <c r="B84" s="248" t="str">
        <f>IFERROR(__xludf.DUMMYFUNCTION("""COMPUTED_VALUE"""),"PM-MAC-01.07")</f>
        <v>PM-MAC-01.07</v>
      </c>
      <c r="C84" s="218" t="str">
        <f>IFERROR(__xludf.DUMMYFUNCTION("IFERROR(REGEXEXTRACT(B84, ""^[A-Z]+-[A-Z]+-"") &amp; TEXT(VALUE(REGEXEXTRACT(B84, ""-(\d+)\."")), ""00""), """")"),"PM-MAC-01")</f>
        <v>PM-MAC-01</v>
      </c>
      <c r="D84" s="219" t="str">
        <f>IFERROR(VLOOKUP(C84, Content_Creation!B:D, 2, FALSE), IFERROR(VLOOKUP(C84, Project_Management!B:D, 2, FALSE), ""))
&amp; " - "
&amp; IFERROR(VLOOKUP(C84, Content_Creation!B:E, 4, FALSE), IFERROR(VLOOKUP(C84, Project_Management!B:E, 4, FALSE), ""))</f>
        <v>Web Dev + AdHoc - Website</v>
      </c>
      <c r="E84" s="220" t="str">
        <f>IFERROR(
    VLOOKUP(B83:B1001, Content_Creation!B:D, 3, FALSE),
    IFERROR(VLOOKUP(B83:B1001, Project_Management!B:D, 3, FALSE),"")
  )</f>
        <v>IG Profile</v>
      </c>
      <c r="F84" s="221" t="str">
        <f>IFERROR(VLOOKUP(B84, Content_Creation!B:F, 5, FALSE), IFERROR(VLOOKUP(B84, Project_Management!B:F, 5, FALSE), ""))</f>
        <v>Akhil</v>
      </c>
      <c r="G84" s="222" t="s">
        <v>26</v>
      </c>
      <c r="H84" s="223">
        <f>IFERROR(VLOOKUP(B84, Content_Creation!B:H, 7, FALSE), IFERROR(VLOOKUP(B84, Project_Management!B:H, 7, FALSE), ""))</f>
        <v>45214</v>
      </c>
      <c r="I84" s="224">
        <v>0.08333333333333333</v>
      </c>
      <c r="J84" s="223">
        <f>IFERROR(VLOOKUP(C84, Content_Creation!B:H, 7, FALSE), IFERROR(VLOOKUP(C84, Project_Management!B:H, 7, FALSE), ""))</f>
        <v>45248</v>
      </c>
      <c r="K84" s="248"/>
      <c r="L84" s="225" t="str">
        <f>IFERROR(VLOOKUP(B84, Data_Validation!X:Y, 2, FALSE), "")</f>
        <v>Done</v>
      </c>
      <c r="M84" s="226" t="str">
        <f t="shared" si="1"/>
        <v>MaCaw | Web Dev + AdHoc - Website | IG Profile</v>
      </c>
      <c r="N84" s="249"/>
      <c r="O84" s="249"/>
    </row>
    <row r="85" ht="24.0" customHeight="1">
      <c r="A85" s="216" t="str">
        <f>IFERROR(__xludf.DUMMYFUNCTION("ARRAYFORMULA(IFERROR(VLOOKUP(REGEXEXTRACT(B85, ""-(\w+)-""), {Data_Validation!$F$16:$F$29, Data_Validation!$E$16:$E$29}, 2, FALSE), """"))
"),"Picture This!")</f>
        <v>Picture This!</v>
      </c>
      <c r="B85" s="248" t="str">
        <f>IFERROR(__xludf.DUMMYFUNCTION("""COMPUTED_VALUE"""),"CC-PTS-07.4")</f>
        <v>CC-PTS-07.4</v>
      </c>
      <c r="C85" s="218" t="str">
        <f>IFERROR(__xludf.DUMMYFUNCTION("IFERROR(REGEXEXTRACT(B85, ""^[A-Z]+-[A-Z]+-"") &amp; TEXT(VALUE(REGEXEXTRACT(B85, ""-(\d+)\."")), ""00""), """")"),"CC-PTS-07")</f>
        <v>CC-PTS-07</v>
      </c>
      <c r="D85" s="219" t="str">
        <f>IFERROR(VLOOKUP(C85, Content_Creation!B:D, 2, FALSE), IFERROR(VLOOKUP(C85, Project_Management!B:D, 2, FALSE), ""))
&amp; " - "
&amp; IFERROR(VLOOKUP(C85, Content_Creation!B:E, 4, FALSE), IFERROR(VLOOKUP(C85, Project_Management!B:E, 4, FALSE), ""))</f>
        <v>Startup Mistakes - Shorts</v>
      </c>
      <c r="E85" s="220" t="str">
        <f>IFERROR(
    VLOOKUP(B84:B1001, Content_Creation!B:D, 3, FALSE),
    IFERROR(VLOOKUP(B84:B1001, Project_Management!B:D, 3, FALSE),"")
  )</f>
        <v>Finalise</v>
      </c>
      <c r="F85" s="221" t="str">
        <f>IFERROR(VLOOKUP(B85, Content_Creation!B:F, 5, FALSE), IFERROR(VLOOKUP(B85, Project_Management!B:F, 5, FALSE), ""))</f>
        <v>Talha</v>
      </c>
      <c r="G85" s="222" t="s">
        <v>26</v>
      </c>
      <c r="H85" s="223">
        <f>IFERROR(VLOOKUP(B85, Content_Creation!B:H, 7, FALSE), IFERROR(VLOOKUP(B85, Project_Management!B:H, 7, FALSE), ""))</f>
        <v>45215</v>
      </c>
      <c r="I85" s="224">
        <v>0.041666666666666664</v>
      </c>
      <c r="J85" s="223">
        <f>IFERROR(VLOOKUP(C85, Content_Creation!B:H, 7, FALSE), IFERROR(VLOOKUP(C85, Project_Management!B:H, 7, FALSE), ""))</f>
        <v>45216</v>
      </c>
      <c r="K85" s="248"/>
      <c r="L85" s="225" t="str">
        <f>IFERROR(VLOOKUP(B85, Data_Validation!X:Y, 2, FALSE), "")</f>
        <v>Done</v>
      </c>
      <c r="M85" s="226" t="str">
        <f t="shared" si="1"/>
        <v>Picture This! | Startup Mistakes - Shorts | Finalise</v>
      </c>
      <c r="N85" s="249"/>
      <c r="O85" s="249"/>
    </row>
    <row r="86" ht="24.0" customHeight="1">
      <c r="A86" s="216" t="str">
        <f>IFERROR(__xludf.DUMMYFUNCTION("ARRAYFORMULA(IFERROR(VLOOKUP(REGEXEXTRACT(B86, ""-(\w+)-""), {Data_Validation!$F$16:$F$29, Data_Validation!$E$16:$E$29}, 2, FALSE), """"))
"),"Picture This!")</f>
        <v>Picture This!</v>
      </c>
      <c r="B86" s="248" t="str">
        <f>IFERROR(__xludf.DUMMYFUNCTION("""COMPUTED_VALUE"""),"CC-PTS-09.3")</f>
        <v>CC-PTS-09.3</v>
      </c>
      <c r="C86" s="218" t="str">
        <f>IFERROR(__xludf.DUMMYFUNCTION("IFERROR(REGEXEXTRACT(B86, ""^[A-Z]+-[A-Z]+-"") &amp; TEXT(VALUE(REGEXEXTRACT(B86, ""-(\d+)\."")), ""00""), """")"),"CC-PTS-09")</f>
        <v>CC-PTS-09</v>
      </c>
      <c r="D86" s="219" t="str">
        <f>IFERROR(VLOOKUP(C86, Content_Creation!B:D, 2, FALSE), IFERROR(VLOOKUP(C86, Project_Management!B:D, 2, FALSE), ""))
&amp; " - "
&amp; IFERROR(VLOOKUP(C86, Content_Creation!B:E, 4, FALSE), IFERROR(VLOOKUP(C86, Project_Management!B:E, 4, FALSE), ""))</f>
        <v>What is Sales Funnel - Blog</v>
      </c>
      <c r="E86" s="220" t="str">
        <f>IFERROR(
    VLOOKUP(B85:B1001, Content_Creation!B:D, 3, FALSE),
    IFERROR(VLOOKUP(B85:B1001, Project_Management!B:D, 3, FALSE),"")
  )</f>
        <v>Thumbanil</v>
      </c>
      <c r="F86" s="221" t="str">
        <f>IFERROR(VLOOKUP(B86, Content_Creation!B:F, 5, FALSE), IFERROR(VLOOKUP(B86, Project_Management!B:F, 5, FALSE), ""))</f>
        <v>Naveen</v>
      </c>
      <c r="G86" s="222" t="s">
        <v>26</v>
      </c>
      <c r="H86" s="223">
        <f>IFERROR(VLOOKUP(B86, Content_Creation!B:H, 7, FALSE), IFERROR(VLOOKUP(B86, Project_Management!B:H, 7, FALSE), ""))</f>
        <v>45215</v>
      </c>
      <c r="I86" s="224">
        <v>0.25</v>
      </c>
      <c r="J86" s="223">
        <f>IFERROR(VLOOKUP(C86, Content_Creation!B:H, 7, FALSE), IFERROR(VLOOKUP(C86, Project_Management!B:H, 7, FALSE), ""))</f>
        <v>45216</v>
      </c>
      <c r="K86" s="248"/>
      <c r="L86" s="225" t="str">
        <f>IFERROR(VLOOKUP(B86, Data_Validation!X:Y, 2, FALSE), "")</f>
        <v>Done</v>
      </c>
      <c r="M86" s="226" t="str">
        <f t="shared" si="1"/>
        <v>Picture This! | What is Sales Funnel - Blog | Thumbanil</v>
      </c>
      <c r="N86" s="249"/>
      <c r="O86" s="249"/>
    </row>
    <row r="87" ht="24.0" customHeight="1">
      <c r="A87" s="216" t="str">
        <f>IFERROR(__xludf.DUMMYFUNCTION("ARRAYFORMULA(IFERROR(VLOOKUP(REGEXEXTRACT(B87, ""-(\w+)-""), {Data_Validation!$F$16:$F$29, Data_Validation!$E$16:$E$29}, 2, FALSE), """"))
"),"Nvidia")</f>
        <v>Nvidia</v>
      </c>
      <c r="B87" s="248" t="str">
        <f>IFERROR(__xludf.DUMMYFUNCTION("""COMPUTED_VALUE"""),"CC-NVI-05.05")</f>
        <v>CC-NVI-05.05</v>
      </c>
      <c r="C87" s="218" t="str">
        <f>IFERROR(__xludf.DUMMYFUNCTION("IFERROR(REGEXEXTRACT(B87, ""^[A-Z]+-[A-Z]+-"") &amp; TEXT(VALUE(REGEXEXTRACT(B87, ""-(\d+)\."")), ""00""), """")"),"CC-NVI-05")</f>
        <v>CC-NVI-05</v>
      </c>
      <c r="D87" s="219" t="str">
        <f>IFERROR(VLOOKUP(C87, Content_Creation!B:D, 2, FALSE), IFERROR(VLOOKUP(C87, Project_Management!B:D, 2, FALSE), ""))
&amp; " - "
&amp; IFERROR(VLOOKUP(C87, Content_Creation!B:E, 4, FALSE), IFERROR(VLOOKUP(C87, Project_Management!B:E, 4, FALSE), ""))</f>
        <v>Acer Predator - Shorts</v>
      </c>
      <c r="E87" s="220" t="str">
        <f>IFERROR(
    VLOOKUP(B86:B1001, Content_Creation!B:D, 3, FALSE),
    IFERROR(VLOOKUP(B86:B1001, Project_Management!B:D, 3, FALSE),"")
  )</f>
        <v>Edit</v>
      </c>
      <c r="F87" s="221" t="str">
        <f>IFERROR(VLOOKUP(B87, Content_Creation!B:F, 5, FALSE), IFERROR(VLOOKUP(B87, Project_Management!B:F, 5, FALSE), ""))</f>
        <v>Freelancer</v>
      </c>
      <c r="G87" s="222" t="s">
        <v>26</v>
      </c>
      <c r="H87" s="223">
        <f>IFERROR(VLOOKUP(B87, Content_Creation!B:H, 7, FALSE), IFERROR(VLOOKUP(B87, Project_Management!B:H, 7, FALSE), ""))</f>
        <v>45215</v>
      </c>
      <c r="I87" s="224">
        <v>0.0</v>
      </c>
      <c r="J87" s="223">
        <f>IFERROR(VLOOKUP(C87, Content_Creation!B:H, 7, FALSE), IFERROR(VLOOKUP(C87, Project_Management!B:H, 7, FALSE), ""))</f>
        <v>45229</v>
      </c>
      <c r="K87" s="248"/>
      <c r="L87" s="225" t="str">
        <f>IFERROR(VLOOKUP(B87, Data_Validation!X:Y, 2, FALSE), "")</f>
        <v>Done</v>
      </c>
      <c r="M87" s="226" t="str">
        <f t="shared" si="1"/>
        <v>Nvidia | Acer Predator - Shorts | Edit</v>
      </c>
      <c r="N87" s="249"/>
      <c r="O87" s="249"/>
    </row>
    <row r="88" ht="24.0" customHeight="1">
      <c r="A88" s="216" t="str">
        <f>IFERROR(__xludf.DUMMYFUNCTION("ARRAYFORMULA(IFERROR(VLOOKUP(REGEXEXTRACT(B88, ""-(\w+)-""), {Data_Validation!$F$16:$F$29, Data_Validation!$E$16:$E$29}, 2, FALSE), """"))
"),"Nvidia")</f>
        <v>Nvidia</v>
      </c>
      <c r="B88" s="248" t="str">
        <f>IFERROR(__xludf.DUMMYFUNCTION("""COMPUTED_VALUE"""),"CC-NVI-06.05")</f>
        <v>CC-NVI-06.05</v>
      </c>
      <c r="C88" s="218" t="str">
        <f>IFERROR(__xludf.DUMMYFUNCTION("IFERROR(REGEXEXTRACT(B88, ""^[A-Z]+-[A-Z]+-"") &amp; TEXT(VALUE(REGEXEXTRACT(B88, ""-(\d+)\."")), ""00""), """")"),"CC-NVI-06")</f>
        <v>CC-NVI-06</v>
      </c>
      <c r="D88" s="219" t="str">
        <f>IFERROR(VLOOKUP(C88, Content_Creation!B:D, 2, FALSE), IFERROR(VLOOKUP(C88, Project_Management!B:D, 2, FALSE), ""))
&amp; " - "
&amp; IFERROR(VLOOKUP(C88, Content_Creation!B:E, 4, FALSE), IFERROR(VLOOKUP(C88, Project_Management!B:E, 4, FALSE), ""))</f>
        <v>Acer Predator Neo - Shorts</v>
      </c>
      <c r="E88" s="220" t="str">
        <f>IFERROR(
    VLOOKUP(B87:B1001, Content_Creation!B:D, 3, FALSE),
    IFERROR(VLOOKUP(B87:B1001, Project_Management!B:D, 3, FALSE),"")
  )</f>
        <v>Edit</v>
      </c>
      <c r="F88" s="221" t="str">
        <f>IFERROR(VLOOKUP(B88, Content_Creation!B:F, 5, FALSE), IFERROR(VLOOKUP(B88, Project_Management!B:F, 5, FALSE), ""))</f>
        <v>Freelancer</v>
      </c>
      <c r="G88" s="222" t="s">
        <v>26</v>
      </c>
      <c r="H88" s="223">
        <f>IFERROR(VLOOKUP(B88, Content_Creation!B:H, 7, FALSE), IFERROR(VLOOKUP(B88, Project_Management!B:H, 7, FALSE), ""))</f>
        <v>45215</v>
      </c>
      <c r="I88" s="224">
        <v>0.0</v>
      </c>
      <c r="J88" s="223">
        <f>IFERROR(VLOOKUP(C88, Content_Creation!B:H, 7, FALSE), IFERROR(VLOOKUP(C88, Project_Management!B:H, 7, FALSE), ""))</f>
        <v>45230</v>
      </c>
      <c r="K88" s="248"/>
      <c r="L88" s="225" t="str">
        <f>IFERROR(VLOOKUP(B88, Data_Validation!X:Y, 2, FALSE), "")</f>
        <v>Done</v>
      </c>
      <c r="M88" s="226" t="str">
        <f t="shared" si="1"/>
        <v>Nvidia | Acer Predator Neo - Shorts | Edit</v>
      </c>
      <c r="N88" s="249"/>
      <c r="O88" s="249"/>
    </row>
    <row r="89" ht="24.0" customHeight="1">
      <c r="A89" s="216" t="str">
        <f>IFERROR(__xludf.DUMMYFUNCTION("ARRAYFORMULA(IFERROR(VLOOKUP(REGEXEXTRACT(B89, ""-(\w+)-""), {Data_Validation!$F$16:$F$29, Data_Validation!$E$16:$E$29}, 2, FALSE), """"))
"),"MaCaw")</f>
        <v>MaCaw</v>
      </c>
      <c r="B89" s="248" t="str">
        <f>IFERROR(__xludf.DUMMYFUNCTION("""COMPUTED_VALUE"""),"CC-MAC-10.01")</f>
        <v>CC-MAC-10.01</v>
      </c>
      <c r="C89" s="218" t="str">
        <f>IFERROR(__xludf.DUMMYFUNCTION("IFERROR(REGEXEXTRACT(B89, ""^[A-Z]+-[A-Z]+-"") &amp; TEXT(VALUE(REGEXEXTRACT(B89, ""-(\d+)\."")), ""00""), """")"),"CC-MAC-10")</f>
        <v>CC-MAC-10</v>
      </c>
      <c r="D89" s="219" t="str">
        <f>IFERROR(VLOOKUP(C89, Content_Creation!B:D, 2, FALSE), IFERROR(VLOOKUP(C89, Project_Management!B:D, 2, FALSE), ""))
&amp; " - "
&amp; IFERROR(VLOOKUP(C89, Content_Creation!B:E, 4, FALSE), IFERROR(VLOOKUP(C89, Project_Management!B:E, 4, FALSE), ""))</f>
        <v>Utopian Academy - Classes - Insta</v>
      </c>
      <c r="E89" s="220" t="str">
        <f>IFERROR(
    VLOOKUP(B88:B1001, Content_Creation!B:D, 3, FALSE),
    IFERROR(VLOOKUP(B88:B1001, Project_Management!B:D, 3, FALSE),"")
  )</f>
        <v>Edit &amp; Caption</v>
      </c>
      <c r="F89" s="221" t="str">
        <f>IFERROR(VLOOKUP(B89, Content_Creation!B:F, 5, FALSE), IFERROR(VLOOKUP(B89, Project_Management!B:F, 5, FALSE), ""))</f>
        <v>Akhil</v>
      </c>
      <c r="G89" s="222" t="s">
        <v>26</v>
      </c>
      <c r="H89" s="223">
        <f>IFERROR(VLOOKUP(B89, Content_Creation!B:H, 7, FALSE), IFERROR(VLOOKUP(B89, Project_Management!B:H, 7, FALSE), ""))</f>
        <v>45215</v>
      </c>
      <c r="I89" s="224">
        <v>0.16666666666666666</v>
      </c>
      <c r="J89" s="223">
        <f>IFERROR(VLOOKUP(C89, Content_Creation!B:H, 7, FALSE), IFERROR(VLOOKUP(C89, Project_Management!B:H, 7, FALSE), ""))</f>
        <v>45218</v>
      </c>
      <c r="K89" s="248"/>
      <c r="L89" s="225" t="str">
        <f>IFERROR(VLOOKUP(B89, Data_Validation!X:Y, 2, FALSE), "")</f>
        <v>Done</v>
      </c>
      <c r="M89" s="226" t="str">
        <f t="shared" si="1"/>
        <v>MaCaw | Utopian Academy - Classes - Insta | Edit &amp; Caption</v>
      </c>
      <c r="N89" s="249"/>
      <c r="O89" s="249"/>
    </row>
    <row r="90" ht="24.0" customHeight="1">
      <c r="A90" s="216" t="str">
        <f>IFERROR(__xludf.DUMMYFUNCTION("ARRAYFORMULA(IFERROR(VLOOKUP(REGEXEXTRACT(B90, ""-(\w+)-""), {Data_Validation!$F$16:$F$29, Data_Validation!$E$16:$E$29}, 2, FALSE), """"))
"),"MaCaw")</f>
        <v>MaCaw</v>
      </c>
      <c r="B90" s="217" t="str">
        <f>IFERROR(__xludf.DUMMYFUNCTION("""COMPUTED_VALUE"""),"CC-MAC-11.01")</f>
        <v>CC-MAC-11.01</v>
      </c>
      <c r="C90" s="218" t="str">
        <f>IFERROR(__xludf.DUMMYFUNCTION("IFERROR(REGEXEXTRACT(B90, ""^[A-Z]+-[A-Z]+-"") &amp; TEXT(VALUE(REGEXEXTRACT(B90, ""-(\d+)\."")), ""00""), """")"),"CC-MAC-11")</f>
        <v>CC-MAC-11</v>
      </c>
      <c r="D90" s="219" t="str">
        <f>IFERROR(VLOOKUP(C90, Content_Creation!B:D, 2, FALSE), IFERROR(VLOOKUP(C90, Project_Management!B:D, 2, FALSE), ""))
&amp; " - "
&amp; IFERROR(VLOOKUP(C90, Content_Creation!B:E, 4, FALSE), IFERROR(VLOOKUP(C90, Project_Management!B:E, 4, FALSE), ""))</f>
        <v>MaCaw School - Classes - Insta</v>
      </c>
      <c r="E90" s="220" t="str">
        <f>IFERROR(
    VLOOKUP(B89:B1001, Content_Creation!B:D, 3, FALSE),
    IFERROR(VLOOKUP(B89:B1001, Project_Management!B:D, 3, FALSE),"")
  )</f>
        <v>Edit &amp; Caption</v>
      </c>
      <c r="F90" s="221" t="str">
        <f>IFERROR(VLOOKUP(B90, Content_Creation!B:F, 5, FALSE), IFERROR(VLOOKUP(B90, Project_Management!B:F, 5, FALSE), ""))</f>
        <v>Akhil</v>
      </c>
      <c r="G90" s="222" t="s">
        <v>26</v>
      </c>
      <c r="H90" s="223">
        <f>IFERROR(VLOOKUP(B90, Content_Creation!B:H, 7, FALSE), IFERROR(VLOOKUP(B90, Project_Management!B:H, 7, FALSE), ""))</f>
        <v>45215</v>
      </c>
      <c r="I90" s="224">
        <v>0.0</v>
      </c>
      <c r="J90" s="223">
        <f>IFERROR(VLOOKUP(C90, Content_Creation!B:H, 7, FALSE), IFERROR(VLOOKUP(C90, Project_Management!B:H, 7, FALSE), ""))</f>
        <v>45219</v>
      </c>
      <c r="K90" s="217"/>
      <c r="L90" s="225" t="str">
        <f>IFERROR(VLOOKUP(B90, Data_Validation!X:Y, 2, FALSE), "")</f>
        <v>Done</v>
      </c>
      <c r="M90" s="226" t="str">
        <f t="shared" si="1"/>
        <v>MaCaw | MaCaw School - Classes - Insta | Edit &amp; Caption</v>
      </c>
      <c r="N90" s="226"/>
      <c r="O90" s="226"/>
    </row>
    <row r="91" ht="24.0" customHeight="1">
      <c r="A91" s="216" t="str">
        <f>IFERROR(__xludf.DUMMYFUNCTION("ARRAYFORMULA(IFERROR(VLOOKUP(REGEXEXTRACT(B91, ""-(\w+)-""), {Data_Validation!$F$16:$F$29, Data_Validation!$E$16:$E$29}, 2, FALSE), """"))
"),"MaCaw")</f>
        <v>MaCaw</v>
      </c>
      <c r="B91" s="217" t="str">
        <f>IFERROR(__xludf.DUMMYFUNCTION("""COMPUTED_VALUE"""),"CC-MAC-06.02")</f>
        <v>CC-MAC-06.02</v>
      </c>
      <c r="C91" s="218" t="str">
        <f>IFERROR(__xludf.DUMMYFUNCTION("IFERROR(REGEXEXTRACT(B91, ""^[A-Z]+-[A-Z]+-"") &amp; TEXT(VALUE(REGEXEXTRACT(B91, ""-(\d+)\."")), ""00""), """")"),"CC-MAC-06")</f>
        <v>CC-MAC-06</v>
      </c>
      <c r="D91" s="219" t="str">
        <f>IFERROR(VLOOKUP(C91, Content_Creation!B:D, 2, FALSE), IFERROR(VLOOKUP(C91, Project_Management!B:D, 2, FALSE), ""))
&amp; " - "
&amp; IFERROR(VLOOKUP(C91, Content_Creation!B:E, 4, FALSE), IFERROR(VLOOKUP(C91, Project_Management!B:E, 4, FALSE), ""))</f>
        <v>Yoga Teacher Intro - Shorts</v>
      </c>
      <c r="E91" s="220" t="str">
        <f>IFERROR(
    VLOOKUP(B90:B1001, Content_Creation!B:D, 3, FALSE),
    IFERROR(VLOOKUP(B90:B1001, Project_Management!B:D, 3, FALSE),"")
  )</f>
        <v>Shoot</v>
      </c>
      <c r="F91" s="221" t="str">
        <f>IFERROR(VLOOKUP(B91, Content_Creation!B:F, 5, FALSE), IFERROR(VLOOKUP(B91, Project_Management!B:F, 5, FALSE), ""))</f>
        <v>Ibraheem</v>
      </c>
      <c r="G91" s="222" t="s">
        <v>26</v>
      </c>
      <c r="H91" s="223">
        <f>IFERROR(VLOOKUP(B91, Content_Creation!B:H, 7, FALSE), IFERROR(VLOOKUP(B91, Project_Management!B:H, 7, FALSE), ""))</f>
        <v>45215</v>
      </c>
      <c r="I91" s="224">
        <v>0.0</v>
      </c>
      <c r="J91" s="223">
        <f>IFERROR(VLOOKUP(C91, Content_Creation!B:H, 7, FALSE), IFERROR(VLOOKUP(C91, Project_Management!B:H, 7, FALSE), ""))</f>
        <v>45227</v>
      </c>
      <c r="K91" s="217"/>
      <c r="L91" s="225" t="str">
        <f>IFERROR(VLOOKUP(B91, Data_Validation!X:Y, 2, FALSE), "")</f>
        <v>Done</v>
      </c>
      <c r="M91" s="226" t="str">
        <f t="shared" si="1"/>
        <v>MaCaw | Yoga Teacher Intro - Shorts | Shoot</v>
      </c>
      <c r="N91" s="226"/>
      <c r="O91" s="226"/>
    </row>
    <row r="92" ht="24.0" customHeight="1">
      <c r="A92" s="216" t="str">
        <f>IFERROR(__xludf.DUMMYFUNCTION("ARRAYFORMULA(IFERROR(VLOOKUP(REGEXEXTRACT(B92, ""-(\w+)-""), {Data_Validation!$F$16:$F$29, Data_Validation!$E$16:$E$29}, 2, FALSE), """"))
"),"MaCaw")</f>
        <v>MaCaw</v>
      </c>
      <c r="B92" s="217" t="str">
        <f>IFERROR(__xludf.DUMMYFUNCTION("""COMPUTED_VALUE"""),"PM-MAC-01.03")</f>
        <v>PM-MAC-01.03</v>
      </c>
      <c r="C92" s="218" t="str">
        <f>IFERROR(__xludf.DUMMYFUNCTION("IFERROR(REGEXEXTRACT(B92, ""^[A-Z]+-[A-Z]+-"") &amp; TEXT(VALUE(REGEXEXTRACT(B92, ""-(\d+)\."")), ""00""), """")"),"PM-MAC-01")</f>
        <v>PM-MAC-01</v>
      </c>
      <c r="D92" s="219" t="str">
        <f>IFERROR(VLOOKUP(C92, Content_Creation!B:D, 2, FALSE), IFERROR(VLOOKUP(C92, Project_Management!B:D, 2, FALSE), ""))
&amp; " - "
&amp; IFERROR(VLOOKUP(C92, Content_Creation!B:E, 4, FALSE), IFERROR(VLOOKUP(C92, Project_Management!B:E, 4, FALSE), ""))</f>
        <v>Web Dev + AdHoc - Website</v>
      </c>
      <c r="E92" s="220" t="str">
        <f>IFERROR(
    VLOOKUP(B91:B1001, Content_Creation!B:D, 3, FALSE),
    IFERROR(VLOOKUP(B91:B1001, Project_Management!B:D, 3, FALSE),"")
  )</f>
        <v>Write-Up</v>
      </c>
      <c r="F92" s="221" t="str">
        <f>IFERROR(VLOOKUP(B92, Content_Creation!B:F, 5, FALSE), IFERROR(VLOOKUP(B92, Project_Management!B:F, 5, FALSE), ""))</f>
        <v>Nasser</v>
      </c>
      <c r="G92" s="222" t="s">
        <v>26</v>
      </c>
      <c r="H92" s="223">
        <f>IFERROR(VLOOKUP(B92, Content_Creation!B:H, 7, FALSE), IFERROR(VLOOKUP(B92, Project_Management!B:H, 7, FALSE), ""))</f>
        <v>45215</v>
      </c>
      <c r="I92" s="224">
        <v>0.0</v>
      </c>
      <c r="J92" s="223">
        <f>IFERROR(VLOOKUP(C92, Content_Creation!B:H, 7, FALSE), IFERROR(VLOOKUP(C92, Project_Management!B:H, 7, FALSE), ""))</f>
        <v>45248</v>
      </c>
      <c r="K92" s="217"/>
      <c r="L92" s="225" t="str">
        <f>IFERROR(VLOOKUP(B92, Data_Validation!X:Y, 2, FALSE), "")</f>
        <v>Done</v>
      </c>
      <c r="M92" s="226" t="str">
        <f t="shared" si="1"/>
        <v>MaCaw | Web Dev + AdHoc - Website | Write-Up</v>
      </c>
      <c r="N92" s="226"/>
      <c r="O92" s="226"/>
    </row>
    <row r="93" ht="24.0" customHeight="1">
      <c r="A93" s="235" t="str">
        <f>IFERROR(__xludf.DUMMYFUNCTION("ARRAYFORMULA(IFERROR(VLOOKUP(REGEXEXTRACT(B93, ""-(\w+)-""), {Data_Validation!$F$16:$F$29, Data_Validation!$E$16:$E$29}, 2, FALSE), """"))
"),"MaCaw")</f>
        <v>MaCaw</v>
      </c>
      <c r="B93" s="236" t="str">
        <f>IFERROR(__xludf.DUMMYFUNCTION("""COMPUTED_VALUE"""),"PM-MAC-01.05")</f>
        <v>PM-MAC-01.05</v>
      </c>
      <c r="C93" s="218" t="str">
        <f>IFERROR(__xludf.DUMMYFUNCTION("IFERROR(REGEXEXTRACT(B93, ""^[A-Z]+-[A-Z]+-"") &amp; TEXT(VALUE(REGEXEXTRACT(B93, ""-(\d+)\."")), ""00""), """")"),"PM-MAC-01")</f>
        <v>PM-MAC-01</v>
      </c>
      <c r="D93" s="219" t="str">
        <f>IFERROR(VLOOKUP(C93, Content_Creation!B:D, 2, FALSE), IFERROR(VLOOKUP(C93, Project_Management!B:D, 2, FALSE), ""))
&amp; " - "
&amp; IFERROR(VLOOKUP(C93, Content_Creation!B:E, 4, FALSE), IFERROR(VLOOKUP(C93, Project_Management!B:E, 4, FALSE), ""))</f>
        <v>Web Dev + AdHoc - Website</v>
      </c>
      <c r="E93" s="245" t="str">
        <f>IFERROR(
    VLOOKUP(B92:B1001, Content_Creation!B:D, 3, FALSE),
    IFERROR(VLOOKUP(B92:B1001, Project_Management!B:D, 3, FALSE),"")
  )</f>
        <v>Adonmo Ad</v>
      </c>
      <c r="F93" s="238" t="str">
        <f>IFERROR(VLOOKUP(B93, Content_Creation!B:F, 5, FALSE), IFERROR(VLOOKUP(B93, Project_Management!B:F, 5, FALSE), ""))</f>
        <v>Nasser</v>
      </c>
      <c r="G93" s="222" t="s">
        <v>26</v>
      </c>
      <c r="H93" s="239">
        <f>IFERROR(VLOOKUP(B93, Content_Creation!B:H, 7, FALSE), IFERROR(VLOOKUP(B93, Project_Management!B:H, 7, FALSE), ""))</f>
        <v>45215</v>
      </c>
      <c r="I93" s="240">
        <v>0.020833333333333332</v>
      </c>
      <c r="J93" s="223">
        <f>IFERROR(VLOOKUP(C93, Content_Creation!B:H, 7, FALSE), IFERROR(VLOOKUP(C93, Project_Management!B:H, 7, FALSE), ""))</f>
        <v>45248</v>
      </c>
      <c r="K93" s="236"/>
      <c r="L93" s="241" t="str">
        <f>IFERROR(VLOOKUP(B93, Data_Validation!X:Y, 2, FALSE), "")</f>
        <v>Done</v>
      </c>
      <c r="M93" s="226" t="str">
        <f t="shared" si="1"/>
        <v>MaCaw | Web Dev + AdHoc - Website | Adonmo Ad</v>
      </c>
      <c r="N93" s="242"/>
      <c r="O93" s="242"/>
    </row>
    <row r="94" ht="24.0" customHeight="1">
      <c r="A94" s="216" t="str">
        <f>IFERROR(__xludf.DUMMYFUNCTION("ARRAYFORMULA(IFERROR(VLOOKUP(REGEXEXTRACT(B94, ""-(\w+)-""), {Data_Validation!$F$16:$F$29, Data_Validation!$E$16:$E$29}, 2, FALSE), """"))
"),"MotoYard")</f>
        <v>MotoYard</v>
      </c>
      <c r="B94" s="217" t="str">
        <f>IFERROR(__xludf.DUMMYFUNCTION("""COMPUTED_VALUE"""),"PM-MYD-01.03")</f>
        <v>PM-MYD-01.03</v>
      </c>
      <c r="C94" s="218" t="str">
        <f>IFERROR(__xludf.DUMMYFUNCTION("IFERROR(REGEXEXTRACT(B94, ""^[A-Z]+-[A-Z]+-"") &amp; TEXT(VALUE(REGEXEXTRACT(B94, ""-(\d+)\."")), ""00""), """")"),"PM-MYD-01")</f>
        <v>PM-MYD-01</v>
      </c>
      <c r="D94" s="219" t="str">
        <f>IFERROR(VLOOKUP(C94, Content_Creation!B:D, 2, FALSE), IFERROR(VLOOKUP(C94, Project_Management!B:D, 2, FALSE), ""))
&amp; " - "
&amp; IFERROR(VLOOKUP(C94, Content_Creation!B:E, 4, FALSE), IFERROR(VLOOKUP(C94, Project_Management!B:E, 4, FALSE), ""))</f>
        <v>Logo &amp; Branding - Graphics</v>
      </c>
      <c r="E94" s="220" t="str">
        <f>IFERROR(
    VLOOKUP(B93:B1001, Content_Creation!B:D, 3, FALSE),
    IFERROR(VLOOKUP(B93:B1001, Project_Management!B:D, 3, FALSE),"")
  )</f>
        <v>Options</v>
      </c>
      <c r="F94" s="221" t="str">
        <f>IFERROR(VLOOKUP(B94, Content_Creation!B:F, 5, FALSE), IFERROR(VLOOKUP(B94, Project_Management!B:F, 5, FALSE), ""))</f>
        <v>Nasser</v>
      </c>
      <c r="G94" s="222" t="s">
        <v>26</v>
      </c>
      <c r="H94" s="223">
        <f>IFERROR(VLOOKUP(B94, Content_Creation!B:H, 7, FALSE), IFERROR(VLOOKUP(B94, Project_Management!B:H, 7, FALSE), ""))</f>
        <v>45215.05225</v>
      </c>
      <c r="I94" s="224">
        <v>0.0</v>
      </c>
      <c r="J94" s="223">
        <f>IFERROR(VLOOKUP(C94, Content_Creation!B:H, 7, FALSE), IFERROR(VLOOKUP(C94, Project_Management!B:H, 7, FALSE), ""))</f>
        <v>45248</v>
      </c>
      <c r="K94" s="217"/>
      <c r="L94" s="225" t="str">
        <f>IFERROR(VLOOKUP(B94, Data_Validation!X:Y, 2, FALSE), "")</f>
        <v>Done</v>
      </c>
      <c r="M94" s="226" t="str">
        <f t="shared" si="1"/>
        <v>MotoYard | Logo &amp; Branding - Graphics | Options</v>
      </c>
      <c r="N94" s="226"/>
      <c r="O94" s="226"/>
    </row>
    <row r="95" ht="24.0" customHeight="1">
      <c r="A95" s="216" t="str">
        <f>IFERROR(__xludf.DUMMYFUNCTION("ARRAYFORMULA(IFERROR(VLOOKUP(REGEXEXTRACT(B95, ""-(\w+)-""), {Data_Validation!$F$16:$F$29, Data_Validation!$E$16:$E$29}, 2, FALSE), """"))
"),"MotoYard")</f>
        <v>MotoYard</v>
      </c>
      <c r="B95" s="217" t="str">
        <f>IFERROR(__xludf.DUMMYFUNCTION("""COMPUTED_VALUE"""),"PM-MYD-01.04")</f>
        <v>PM-MYD-01.04</v>
      </c>
      <c r="C95" s="218" t="str">
        <f>IFERROR(__xludf.DUMMYFUNCTION("IFERROR(REGEXEXTRACT(B95, ""^[A-Z]+-[A-Z]+-"") &amp; TEXT(VALUE(REGEXEXTRACT(B95, ""-(\d+)\."")), ""00""), """")"),"PM-MYD-01")</f>
        <v>PM-MYD-01</v>
      </c>
      <c r="D95" s="219" t="str">
        <f>IFERROR(VLOOKUP(C95, Content_Creation!B:D, 2, FALSE), IFERROR(VLOOKUP(C95, Project_Management!B:D, 2, FALSE), ""))
&amp; " - "
&amp; IFERROR(VLOOKUP(C95, Content_Creation!B:E, 4, FALSE), IFERROR(VLOOKUP(C95, Project_Management!B:E, 4, FALSE), ""))</f>
        <v>Logo &amp; Branding - Graphics</v>
      </c>
      <c r="E95" s="220" t="str">
        <f>IFERROR(
    VLOOKUP(B94:B1001, Content_Creation!B:D, 3, FALSE),
    IFERROR(VLOOKUP(B94:B1001, Project_Management!B:D, 3, FALSE),"")
  )</f>
        <v>Final Design</v>
      </c>
      <c r="F95" s="221" t="str">
        <f>IFERROR(VLOOKUP(B95, Content_Creation!B:F, 5, FALSE), IFERROR(VLOOKUP(B95, Project_Management!B:F, 5, FALSE), ""))</f>
        <v>Nasser</v>
      </c>
      <c r="G95" s="222" t="s">
        <v>26</v>
      </c>
      <c r="H95" s="223">
        <f>IFERROR(VLOOKUP(B95, Content_Creation!B:H, 7, FALSE), IFERROR(VLOOKUP(B95, Project_Management!B:H, 7, FALSE), ""))</f>
        <v>45215.05225</v>
      </c>
      <c r="I95" s="224">
        <v>0.0</v>
      </c>
      <c r="J95" s="223">
        <f>IFERROR(VLOOKUP(C95, Content_Creation!B:H, 7, FALSE), IFERROR(VLOOKUP(C95, Project_Management!B:H, 7, FALSE), ""))</f>
        <v>45248</v>
      </c>
      <c r="K95" s="217"/>
      <c r="L95" s="225" t="str">
        <f>IFERROR(VLOOKUP(B95, Data_Validation!X:Y, 2, FALSE), "")</f>
        <v>Done</v>
      </c>
      <c r="M95" s="226" t="str">
        <f t="shared" si="1"/>
        <v>MotoYard | Logo &amp; Branding - Graphics | Final Design</v>
      </c>
      <c r="N95" s="226"/>
      <c r="O95" s="226"/>
    </row>
    <row r="96" ht="24.0" customHeight="1">
      <c r="A96" s="216" t="str">
        <f>IFERROR(__xludf.DUMMYFUNCTION("ARRAYFORMULA(IFERROR(VLOOKUP(REGEXEXTRACT(B96, ""-(\w+)-""), {Data_Validation!$F$16:$F$29, Data_Validation!$E$16:$E$29}, 2, FALSE), """"))
"),"Picture This!")</f>
        <v>Picture This!</v>
      </c>
      <c r="B96" s="217" t="str">
        <f>IFERROR(__xludf.DUMMYFUNCTION("""COMPUTED_VALUE"""),"PM-PTS-05.05")</f>
        <v>PM-PTS-05.05</v>
      </c>
      <c r="C96" s="218" t="str">
        <f>IFERROR(__xludf.DUMMYFUNCTION("IFERROR(REGEXEXTRACT(B96, ""^[A-Z]+-[A-Z]+-"") &amp; TEXT(VALUE(REGEXEXTRACT(B96, ""-(\d+)\."")), ""00""), """")"),"PM-PTS-05")</f>
        <v>PM-PTS-05</v>
      </c>
      <c r="D96" s="219" t="str">
        <f>IFERROR(VLOOKUP(C96, Content_Creation!B:D, 2, FALSE), IFERROR(VLOOKUP(C96, Project_Management!B:D, 2, FALSE), ""))
&amp; " - "
&amp; IFERROR(VLOOKUP(C96, Content_Creation!B:E, 4, FALSE), IFERROR(VLOOKUP(C96, Project_Management!B:E, 4, FALSE), ""))</f>
        <v>Picture This- AdHoc - Website</v>
      </c>
      <c r="E96" s="220" t="str">
        <f>IFERROR(
    VLOOKUP(B95:B1001, Content_Creation!B:D, 3, FALSE),
    IFERROR(VLOOKUP(B95:B1001, Project_Management!B:D, 3, FALSE),"")
  )</f>
        <v>Barkery Ad Campaigns</v>
      </c>
      <c r="F96" s="221" t="str">
        <f>IFERROR(VLOOKUP(B96, Content_Creation!B:F, 5, FALSE), IFERROR(VLOOKUP(B96, Project_Management!B:F, 5, FALSE), ""))</f>
        <v>Talha</v>
      </c>
      <c r="G96" s="222" t="s">
        <v>26</v>
      </c>
      <c r="H96" s="223">
        <f>IFERROR(VLOOKUP(B96, Content_Creation!B:H, 7, FALSE), IFERROR(VLOOKUP(B96, Project_Management!B:H, 7, FALSE), ""))</f>
        <v>45215</v>
      </c>
      <c r="I96" s="224">
        <v>0.0</v>
      </c>
      <c r="J96" s="223">
        <f>IFERROR(VLOOKUP(C96, Content_Creation!B:H, 7, FALSE), IFERROR(VLOOKUP(C96, Project_Management!B:H, 7, FALSE), ""))</f>
        <v>45241</v>
      </c>
      <c r="K96" s="217"/>
      <c r="L96" s="225" t="str">
        <f>IFERROR(VLOOKUP(B96, Data_Validation!X:Y, 2, FALSE), "")</f>
        <v>Done</v>
      </c>
      <c r="M96" s="226" t="str">
        <f t="shared" si="1"/>
        <v>Picture This! | Picture This- AdHoc - Website | Barkery Ad Campaigns</v>
      </c>
      <c r="N96" s="226"/>
      <c r="O96" s="226"/>
    </row>
    <row r="97" ht="24.0" customHeight="1">
      <c r="A97" s="216" t="str">
        <f>IFERROR(__xludf.DUMMYFUNCTION("ARRAYFORMULA(IFERROR(VLOOKUP(REGEXEXTRACT(B97, ""-(\w+)-""), {Data_Validation!$F$16:$F$29, Data_Validation!$E$16:$E$29}, 2, FALSE), """"))
"),"Picture This!")</f>
        <v>Picture This!</v>
      </c>
      <c r="B97" s="217" t="str">
        <f>IFERROR(__xludf.DUMMYFUNCTION("""COMPUTED_VALUE"""),"CC-PTS-07.5")</f>
        <v>CC-PTS-07.5</v>
      </c>
      <c r="C97" s="218" t="str">
        <f>IFERROR(__xludf.DUMMYFUNCTION("IFERROR(REGEXEXTRACT(B97, ""^[A-Z]+-[A-Z]+-"") &amp; TEXT(VALUE(REGEXEXTRACT(B97, ""-(\d+)\."")), ""00""), """")"),"CC-PTS-07")</f>
        <v>CC-PTS-07</v>
      </c>
      <c r="D97" s="219" t="str">
        <f>IFERROR(VLOOKUP(C97, Content_Creation!B:D, 2, FALSE), IFERROR(VLOOKUP(C97, Project_Management!B:D, 2, FALSE), ""))
&amp; " - "
&amp; IFERROR(VLOOKUP(C97, Content_Creation!B:E, 4, FALSE), IFERROR(VLOOKUP(C97, Project_Management!B:E, 4, FALSE), ""))</f>
        <v>Startup Mistakes - Shorts</v>
      </c>
      <c r="E97" s="220" t="str">
        <f>IFERROR(
    VLOOKUP(B96:B1001, Content_Creation!B:D, 3, FALSE),
    IFERROR(VLOOKUP(B96:B1001, Project_Management!B:D, 3, FALSE),"")
  )</f>
        <v>Clean Up</v>
      </c>
      <c r="F97" s="221" t="str">
        <f>IFERROR(VLOOKUP(B97, Content_Creation!B:F, 5, FALSE), IFERROR(VLOOKUP(B97, Project_Management!B:F, 5, FALSE), ""))</f>
        <v>Nasser</v>
      </c>
      <c r="G97" s="222" t="s">
        <v>26</v>
      </c>
      <c r="H97" s="223">
        <f>IFERROR(VLOOKUP(B97, Content_Creation!B:H, 7, FALSE), IFERROR(VLOOKUP(B97, Project_Management!B:H, 7, FALSE), ""))</f>
        <v>45216</v>
      </c>
      <c r="I97" s="224">
        <v>0.0</v>
      </c>
      <c r="J97" s="223">
        <f>IFERROR(VLOOKUP(C97, Content_Creation!B:H, 7, FALSE), IFERROR(VLOOKUP(C97, Project_Management!B:H, 7, FALSE), ""))</f>
        <v>45216</v>
      </c>
      <c r="K97" s="217"/>
      <c r="L97" s="225" t="str">
        <f>IFERROR(VLOOKUP(B97, Data_Validation!X:Y, 2, FALSE), "")</f>
        <v>Done</v>
      </c>
      <c r="M97" s="226" t="str">
        <f t="shared" si="1"/>
        <v>Picture This! | Startup Mistakes - Shorts | Clean Up</v>
      </c>
      <c r="N97" s="226"/>
      <c r="O97" s="226"/>
    </row>
    <row r="98" ht="24.0" customHeight="1">
      <c r="A98" s="216" t="str">
        <f>IFERROR(__xludf.DUMMYFUNCTION("ARRAYFORMULA(IFERROR(VLOOKUP(REGEXEXTRACT(B98, ""-(\w+)-""), {Data_Validation!$F$16:$F$29, Data_Validation!$E$16:$E$29}, 2, FALSE), """"))
"),"Picture This!")</f>
        <v>Picture This!</v>
      </c>
      <c r="B98" s="217" t="str">
        <f>IFERROR(__xludf.DUMMYFUNCTION("""COMPUTED_VALUE"""),"CC-PTS-07.6")</f>
        <v>CC-PTS-07.6</v>
      </c>
      <c r="C98" s="218" t="str">
        <f>IFERROR(__xludf.DUMMYFUNCTION("IFERROR(REGEXEXTRACT(B98, ""^[A-Z]+-[A-Z]+-"") &amp; TEXT(VALUE(REGEXEXTRACT(B98, ""-(\d+)\."")), ""00""), """")"),"CC-PTS-07")</f>
        <v>CC-PTS-07</v>
      </c>
      <c r="D98" s="219" t="str">
        <f>IFERROR(VLOOKUP(C98, Content_Creation!B:D, 2, FALSE), IFERROR(VLOOKUP(C98, Project_Management!B:D, 2, FALSE), ""))
&amp; " - "
&amp; IFERROR(VLOOKUP(C98, Content_Creation!B:E, 4, FALSE), IFERROR(VLOOKUP(C98, Project_Management!B:E, 4, FALSE), ""))</f>
        <v>Startup Mistakes - Shorts</v>
      </c>
      <c r="E98" s="220" t="str">
        <f>IFERROR(
    VLOOKUP(B97:B1001, Content_Creation!B:D, 3, FALSE),
    IFERROR(VLOOKUP(B97:B1001, Project_Management!B:D, 3, FALSE),"")
  )</f>
        <v>Upload</v>
      </c>
      <c r="F98" s="221" t="str">
        <f>IFERROR(VLOOKUP(B98, Content_Creation!B:F, 5, FALSE), IFERROR(VLOOKUP(B98, Project_Management!B:F, 5, FALSE), ""))</f>
        <v>Nasser</v>
      </c>
      <c r="G98" s="222" t="s">
        <v>26</v>
      </c>
      <c r="H98" s="223">
        <f>IFERROR(VLOOKUP(B98, Content_Creation!B:H, 7, FALSE), IFERROR(VLOOKUP(B98, Project_Management!B:H, 7, FALSE), ""))</f>
        <v>45216</v>
      </c>
      <c r="I98" s="224">
        <v>0.0</v>
      </c>
      <c r="J98" s="223">
        <f>IFERROR(VLOOKUP(C98, Content_Creation!B:H, 7, FALSE), IFERROR(VLOOKUP(C98, Project_Management!B:H, 7, FALSE), ""))</f>
        <v>45216</v>
      </c>
      <c r="K98" s="217"/>
      <c r="L98" s="225" t="str">
        <f>IFERROR(VLOOKUP(B98, Data_Validation!X:Y, 2, FALSE), "")</f>
        <v>Done</v>
      </c>
      <c r="M98" s="226" t="str">
        <f t="shared" si="1"/>
        <v>Picture This! | Startup Mistakes - Shorts | Upload</v>
      </c>
      <c r="N98" s="226"/>
      <c r="O98" s="226"/>
    </row>
    <row r="99" ht="24.0" customHeight="1">
      <c r="A99" s="216" t="str">
        <f>IFERROR(__xludf.DUMMYFUNCTION("ARRAYFORMULA(IFERROR(VLOOKUP(REGEXEXTRACT(B99, ""-(\w+)-""), {Data_Validation!$F$16:$F$29, Data_Validation!$E$16:$E$29}, 2, FALSE), """"))
"),"Picture This!")</f>
        <v>Picture This!</v>
      </c>
      <c r="B99" s="217" t="str">
        <f>IFERROR(__xludf.DUMMYFUNCTION("""COMPUTED_VALUE"""),"CC-PTS-09.4")</f>
        <v>CC-PTS-09.4</v>
      </c>
      <c r="C99" s="218" t="str">
        <f>IFERROR(__xludf.DUMMYFUNCTION("IFERROR(REGEXEXTRACT(B99, ""^[A-Z]+-[A-Z]+-"") &amp; TEXT(VALUE(REGEXEXTRACT(B99, ""-(\d+)\."")), ""00""), """")"),"CC-PTS-09")</f>
        <v>CC-PTS-09</v>
      </c>
      <c r="D99" s="219" t="str">
        <f>IFERROR(VLOOKUP(C99, Content_Creation!B:D, 2, FALSE), IFERROR(VLOOKUP(C99, Project_Management!B:D, 2, FALSE), ""))
&amp; " - "
&amp; IFERROR(VLOOKUP(C99, Content_Creation!B:E, 4, FALSE), IFERROR(VLOOKUP(C99, Project_Management!B:E, 4, FALSE), ""))</f>
        <v>What is Sales Funnel - Blog</v>
      </c>
      <c r="E99" s="220" t="str">
        <f>IFERROR(
    VLOOKUP(B98:B1001, Content_Creation!B:D, 3, FALSE),
    IFERROR(VLOOKUP(B98:B1001, Project_Management!B:D, 3, FALSE),"")
  )</f>
        <v>Blog Upload</v>
      </c>
      <c r="F99" s="221" t="str">
        <f>IFERROR(VLOOKUP(B99, Content_Creation!B:F, 5, FALSE), IFERROR(VLOOKUP(B99, Project_Management!B:F, 5, FALSE), ""))</f>
        <v>Nasser</v>
      </c>
      <c r="G99" s="222" t="s">
        <v>26</v>
      </c>
      <c r="H99" s="223">
        <f>IFERROR(VLOOKUP(B99, Content_Creation!B:H, 7, FALSE), IFERROR(VLOOKUP(B99, Project_Management!B:H, 7, FALSE), ""))</f>
        <v>45216</v>
      </c>
      <c r="I99" s="224">
        <v>0.0</v>
      </c>
      <c r="J99" s="223">
        <f>IFERROR(VLOOKUP(C99, Content_Creation!B:H, 7, FALSE), IFERROR(VLOOKUP(C99, Project_Management!B:H, 7, FALSE), ""))</f>
        <v>45216</v>
      </c>
      <c r="K99" s="217"/>
      <c r="L99" s="225" t="str">
        <f>IFERROR(VLOOKUP(B99, Data_Validation!X:Y, 2, FALSE), "")</f>
        <v>Done</v>
      </c>
      <c r="M99" s="226" t="str">
        <f t="shared" si="1"/>
        <v>Picture This! | What is Sales Funnel - Blog | Blog Upload</v>
      </c>
      <c r="N99" s="226"/>
      <c r="O99" s="226"/>
    </row>
    <row r="100" ht="24.0" customHeight="1">
      <c r="A100" s="216" t="str">
        <f>IFERROR(__xludf.DUMMYFUNCTION("ARRAYFORMULA(IFERROR(VLOOKUP(REGEXEXTRACT(B100, ""-(\w+)-""), {Data_Validation!$F$16:$F$29, Data_Validation!$E$16:$E$29}, 2, FALSE), """"))
"),"MaCaw")</f>
        <v>MaCaw</v>
      </c>
      <c r="B100" s="217" t="str">
        <f>IFERROR(__xludf.DUMMYFUNCTION("""COMPUTED_VALUE"""),"CC-MAC-01.02")</f>
        <v>CC-MAC-01.02</v>
      </c>
      <c r="C100" s="218" t="str">
        <f>IFERROR(__xludf.DUMMYFUNCTION("IFERROR(REGEXEXTRACT(B100, ""^[A-Z]+-[A-Z]+-"") &amp; TEXT(VALUE(REGEXEXTRACT(B100, ""-(\d+)\."")), ""00""), """")"),"CC-MAC-01")</f>
        <v>CC-MAC-01</v>
      </c>
      <c r="D100" s="219" t="str">
        <f>IFERROR(VLOOKUP(C100, Content_Creation!B:D, 2, FALSE), IFERROR(VLOOKUP(C100, Project_Management!B:D, 2, FALSE), ""))
&amp; " - "
&amp; IFERROR(VLOOKUP(C100, Content_Creation!B:E, 4, FALSE), IFERROR(VLOOKUP(C100, Project_Management!B:E, 4, FALSE), ""))</f>
        <v>Coming Soon - Shorts</v>
      </c>
      <c r="E100" s="220" t="str">
        <f>IFERROR(
    VLOOKUP(B99:B1001, Content_Creation!B:D, 3, FALSE),
    IFERROR(VLOOKUP(B99:B1001, Project_Management!B:D, 3, FALSE),"")
  )</f>
        <v>Shoot</v>
      </c>
      <c r="F100" s="221" t="str">
        <f>IFERROR(VLOOKUP(B100, Content_Creation!B:F, 5, FALSE), IFERROR(VLOOKUP(B100, Project_Management!B:F, 5, FALSE), ""))</f>
        <v>Ibraheem</v>
      </c>
      <c r="G100" s="222" t="s">
        <v>26</v>
      </c>
      <c r="H100" s="223">
        <f>IFERROR(VLOOKUP(B100, Content_Creation!B:H, 7, FALSE), IFERROR(VLOOKUP(B100, Project_Management!B:H, 7, FALSE), ""))</f>
        <v>45216</v>
      </c>
      <c r="I100" s="224">
        <v>0.0</v>
      </c>
      <c r="J100" s="223">
        <f>IFERROR(VLOOKUP(C100, Content_Creation!B:H, 7, FALSE), IFERROR(VLOOKUP(C100, Project_Management!B:H, 7, FALSE), ""))</f>
        <v>45218</v>
      </c>
      <c r="K100" s="217"/>
      <c r="L100" s="225" t="str">
        <f>IFERROR(VLOOKUP(B100, Data_Validation!X:Y, 2, FALSE), "")</f>
        <v>Done</v>
      </c>
      <c r="M100" s="226" t="str">
        <f t="shared" si="1"/>
        <v>MaCaw | Coming Soon - Shorts | Shoot</v>
      </c>
      <c r="N100" s="226"/>
      <c r="O100" s="226"/>
    </row>
    <row r="101" ht="24.0" customHeight="1">
      <c r="A101" s="216" t="str">
        <f>IFERROR(__xludf.DUMMYFUNCTION("ARRAYFORMULA(IFERROR(VLOOKUP(REGEXEXTRACT(B101, ""-(\w+)-""), {Data_Validation!$F$16:$F$29, Data_Validation!$E$16:$E$29}, 2, FALSE), """"))
"),"TheMVP")</f>
        <v>TheMVP</v>
      </c>
      <c r="B101" s="217" t="str">
        <f>IFERROR(__xludf.DUMMYFUNCTION("""COMPUTED_VALUE"""),"CC-MVP-67.02")</f>
        <v>CC-MVP-67.02</v>
      </c>
      <c r="C101" s="218" t="str">
        <f>IFERROR(__xludf.DUMMYFUNCTION("IFERROR(REGEXEXTRACT(B101, ""^[A-Z]+-[A-Z]+-"") &amp; TEXT(VALUE(REGEXEXTRACT(B101, ""-(\d+)\."")), ""00""), """")"),"CC-MVP-67")</f>
        <v>CC-MVP-67</v>
      </c>
      <c r="D101" s="219" t="str">
        <f>IFERROR(VLOOKUP(C101, Content_Creation!B:D, 2, FALSE), IFERROR(VLOOKUP(C101, Project_Management!B:D, 2, FALSE), ""))
&amp; " - "
&amp; IFERROR(VLOOKUP(C101, Content_Creation!B:E, 4, FALSE), IFERROR(VLOOKUP(C101, Project_Management!B:E, 4, FALSE), ""))</f>
        <v>Know Your ABC - Blender - YT Video</v>
      </c>
      <c r="E101" s="220" t="str">
        <f>IFERROR(
    VLOOKUP(B100:B1001, Content_Creation!B:D, 3, FALSE),
    IFERROR(VLOOKUP(B100:B1001, Project_Management!B:D, 3, FALSE),"")
  )</f>
        <v>Shoot</v>
      </c>
      <c r="F101" s="221" t="str">
        <f>IFERROR(VLOOKUP(B101, Content_Creation!B:F, 5, FALSE), IFERROR(VLOOKUP(B101, Project_Management!B:F, 5, FALSE), ""))</f>
        <v>Akhil</v>
      </c>
      <c r="G101" s="222" t="s">
        <v>26</v>
      </c>
      <c r="H101" s="223">
        <f>IFERROR(VLOOKUP(B101, Content_Creation!B:H, 7, FALSE), IFERROR(VLOOKUP(B101, Project_Management!B:H, 7, FALSE), ""))</f>
        <v>45217</v>
      </c>
      <c r="I101" s="224">
        <v>0.0</v>
      </c>
      <c r="J101" s="223">
        <f>IFERROR(VLOOKUP(C101, Content_Creation!B:H, 7, FALSE), IFERROR(VLOOKUP(C101, Project_Management!B:H, 7, FALSE), ""))</f>
        <v>45233</v>
      </c>
      <c r="K101" s="217"/>
      <c r="L101" s="225" t="str">
        <f>IFERROR(VLOOKUP(B101, Data_Validation!X:Y, 2, FALSE), "")</f>
        <v>Done</v>
      </c>
      <c r="M101" s="226" t="str">
        <f t="shared" si="1"/>
        <v>TheMVP | Know Your ABC - Blender - YT Video | Shoot</v>
      </c>
      <c r="N101" s="226"/>
      <c r="O101" s="226"/>
    </row>
    <row r="102" ht="24.0" customHeight="1">
      <c r="A102" s="216" t="str">
        <f>IFERROR(__xludf.DUMMYFUNCTION("ARRAYFORMULA(IFERROR(VLOOKUP(REGEXEXTRACT(B102, ""-(\w+)-""), {Data_Validation!$F$16:$F$29, Data_Validation!$E$16:$E$29}, 2, FALSE), """"))
"),"Nvidia")</f>
        <v>Nvidia</v>
      </c>
      <c r="B102" s="217" t="str">
        <f>IFERROR(__xludf.DUMMYFUNCTION("""COMPUTED_VALUE"""),"CC-NVI-07.05")</f>
        <v>CC-NVI-07.05</v>
      </c>
      <c r="C102" s="218" t="str">
        <f>IFERROR(__xludf.DUMMYFUNCTION("IFERROR(REGEXEXTRACT(B102, ""^[A-Z]+-[A-Z]+-"") &amp; TEXT(VALUE(REGEXEXTRACT(B102, ""-(\d+)\."")), ""00""), """")"),"CC-NVI-07")</f>
        <v>CC-NVI-07</v>
      </c>
      <c r="D102" s="219" t="str">
        <f>IFERROR(VLOOKUP(C102, Content_Creation!B:D, 2, FALSE), IFERROR(VLOOKUP(C102, Project_Management!B:D, 2, FALSE), ""))
&amp; " - "
&amp; IFERROR(VLOOKUP(C102, Content_Creation!B:E, 4, FALSE), IFERROR(VLOOKUP(C102, Project_Management!B:E, 4, FALSE), ""))</f>
        <v>Acer Nitro V - Shorts</v>
      </c>
      <c r="E102" s="220" t="str">
        <f>IFERROR(
    VLOOKUP(B101:B1001, Content_Creation!B:D, 3, FALSE),
    IFERROR(VLOOKUP(B101:B1001, Project_Management!B:D, 3, FALSE),"")
  )</f>
        <v>Edit</v>
      </c>
      <c r="F102" s="221" t="str">
        <f>IFERROR(VLOOKUP(B102, Content_Creation!B:F, 5, FALSE), IFERROR(VLOOKUP(B102, Project_Management!B:F, 5, FALSE), ""))</f>
        <v>Freelancer</v>
      </c>
      <c r="G102" s="222" t="s">
        <v>26</v>
      </c>
      <c r="H102" s="223">
        <f>IFERROR(VLOOKUP(B102, Content_Creation!B:H, 7, FALSE), IFERROR(VLOOKUP(B102, Project_Management!B:H, 7, FALSE), ""))</f>
        <v>45217</v>
      </c>
      <c r="I102" s="224">
        <v>0.0</v>
      </c>
      <c r="J102" s="223">
        <f>IFERROR(VLOOKUP(C102, Content_Creation!B:H, 7, FALSE), IFERROR(VLOOKUP(C102, Project_Management!B:H, 7, FALSE), ""))</f>
        <v>45229</v>
      </c>
      <c r="K102" s="217"/>
      <c r="L102" s="225" t="str">
        <f>IFERROR(VLOOKUP(B102, Data_Validation!X:Y, 2, FALSE), "")</f>
        <v>Done</v>
      </c>
      <c r="M102" s="226" t="str">
        <f t="shared" si="1"/>
        <v>Nvidia | Acer Nitro V - Shorts | Edit</v>
      </c>
      <c r="N102" s="226"/>
      <c r="O102" s="226"/>
    </row>
    <row r="103" ht="24.0" customHeight="1">
      <c r="A103" s="216" t="str">
        <f>IFERROR(__xludf.DUMMYFUNCTION("ARRAYFORMULA(IFERROR(VLOOKUP(REGEXEXTRACT(B103, ""-(\w+)-""), {Data_Validation!$F$16:$F$29, Data_Validation!$E$16:$E$29}, 2, FALSE), """"))
"),"MaCaw")</f>
        <v>MaCaw</v>
      </c>
      <c r="B103" s="217" t="str">
        <f>IFERROR(__xludf.DUMMYFUNCTION("""COMPUTED_VALUE"""),"CC-MAC-02.04")</f>
        <v>CC-MAC-02.04</v>
      </c>
      <c r="C103" s="218" t="str">
        <f>IFERROR(__xludf.DUMMYFUNCTION("IFERROR(REGEXEXTRACT(B103, ""^[A-Z]+-[A-Z]+-"") &amp; TEXT(VALUE(REGEXEXTRACT(B103, ""-(\d+)\."")), ""00""), """")"),"CC-MAC-02")</f>
        <v>CC-MAC-02</v>
      </c>
      <c r="D103" s="219" t="str">
        <f>IFERROR(VLOOKUP(C103, Content_Creation!B:D, 2, FALSE), IFERROR(VLOOKUP(C103, Project_Management!B:D, 2, FALSE), ""))
&amp; " - "
&amp; IFERROR(VLOOKUP(C103, Content_Creation!B:E, 4, FALSE), IFERROR(VLOOKUP(C103, Project_Management!B:E, 4, FALSE), ""))</f>
        <v>Kuchipudi Teacher Intro - Shorts</v>
      </c>
      <c r="E103" s="220" t="str">
        <f>IFERROR(
    VLOOKUP(B102:B1001, Content_Creation!B:D, 3, FALSE),
    IFERROR(VLOOKUP(B102:B1001, Project_Management!B:D, 3, FALSE),"")
  )</f>
        <v>Edit Template</v>
      </c>
      <c r="F103" s="221" t="str">
        <f>IFERROR(VLOOKUP(B103, Content_Creation!B:F, 5, FALSE), IFERROR(VLOOKUP(B103, Project_Management!B:F, 5, FALSE), ""))</f>
        <v>Akhil</v>
      </c>
      <c r="G103" s="222" t="s">
        <v>26</v>
      </c>
      <c r="H103" s="223">
        <f>IFERROR(VLOOKUP(B103, Content_Creation!B:H, 7, FALSE), IFERROR(VLOOKUP(B103, Project_Management!B:H, 7, FALSE), ""))</f>
        <v>45217</v>
      </c>
      <c r="I103" s="224">
        <v>0.0</v>
      </c>
      <c r="J103" s="223">
        <f>IFERROR(VLOOKUP(C103, Content_Creation!B:H, 7, FALSE), IFERROR(VLOOKUP(C103, Project_Management!B:H, 7, FALSE), ""))</f>
        <v>45226</v>
      </c>
      <c r="K103" s="217"/>
      <c r="L103" s="225" t="str">
        <f>IFERROR(VLOOKUP(B103, Data_Validation!X:Y, 2, FALSE), "")</f>
        <v>Done</v>
      </c>
      <c r="M103" s="226" t="str">
        <f t="shared" si="1"/>
        <v>MaCaw | Kuchipudi Teacher Intro - Shorts | Edit Template</v>
      </c>
      <c r="N103" s="226"/>
      <c r="O103" s="226"/>
    </row>
    <row r="104" ht="24.0" customHeight="1">
      <c r="A104" s="227" t="str">
        <f>IFERROR(__xludf.DUMMYFUNCTION("ARRAYFORMULA(IFERROR(VLOOKUP(REGEXEXTRACT(B104, ""-(\w+)-""), {Data_Validation!$F$16:$F$29, Data_Validation!$E$16:$E$29}, 2, FALSE), """"))
"),"Inno3D")</f>
        <v>Inno3D</v>
      </c>
      <c r="B104" s="228" t="str">
        <f>IFERROR(__xludf.DUMMYFUNCTION("""COMPUTED_VALUE"""),"PM-INN-01.01")</f>
        <v>PM-INN-01.01</v>
      </c>
      <c r="C104" s="256" t="str">
        <f>IFERROR(__xludf.DUMMYFUNCTION("IFERROR(REGEXEXTRACT(B104, ""^[A-Z]+-[A-Z]+-"") &amp; TEXT(VALUE(REGEXEXTRACT(B104, ""-(\d+)\."")), ""00""), """")"),"PM-INN-01")</f>
        <v>PM-INN-01</v>
      </c>
      <c r="D104" s="219" t="str">
        <f>IFERROR(VLOOKUP(C104, Content_Creation!B:D, 2, FALSE), IFERROR(VLOOKUP(C104, Project_Management!B:D, 2, FALSE), ""))
&amp; " - "
&amp; IFERROR(VLOOKUP(C104, Content_Creation!B:E, 4, FALSE), IFERROR(VLOOKUP(C104, Project_Management!B:E, 4, FALSE), ""))</f>
        <v>AdHoc - Misc</v>
      </c>
      <c r="E104" s="257" t="str">
        <f>IFERROR(
    VLOOKUP(B103:B1001, Content_Creation!B:D, 3, FALSE),
    IFERROR(VLOOKUP(B103:B1001, Project_Management!B:D, 3, FALSE),"")
  )</f>
        <v>Landing Page</v>
      </c>
      <c r="F104" s="230" t="str">
        <f>IFERROR(VLOOKUP(B104, Content_Creation!B:F, 5, FALSE), IFERROR(VLOOKUP(B104, Project_Management!B:F, 5, FALSE), ""))</f>
        <v>Naveen</v>
      </c>
      <c r="G104" s="230" t="s">
        <v>26</v>
      </c>
      <c r="H104" s="231">
        <f>IFERROR(VLOOKUP(B104, Content_Creation!B:H, 7, FALSE), IFERROR(VLOOKUP(B104, Project_Management!B:H, 7, FALSE), ""))</f>
        <v>45217.62291</v>
      </c>
      <c r="I104" s="232">
        <v>0.020833333333333332</v>
      </c>
      <c r="J104" s="223">
        <f>IFERROR(VLOOKUP(C104, Content_Creation!B:H, 7, FALSE), IFERROR(VLOOKUP(C104, Project_Management!B:H, 7, FALSE), ""))</f>
        <v>45239</v>
      </c>
      <c r="K104" s="228"/>
      <c r="L104" s="233" t="str">
        <f>IFERROR(VLOOKUP(B104, Data_Validation!X:Y, 2, FALSE), "")</f>
        <v>Done</v>
      </c>
      <c r="M104" s="226" t="str">
        <f t="shared" si="1"/>
        <v>Inno3D | AdHoc - Misc | Landing Page</v>
      </c>
      <c r="N104" s="234"/>
      <c r="O104" s="234"/>
    </row>
    <row r="105" ht="24.0" customHeight="1">
      <c r="A105" s="216" t="str">
        <f>IFERROR(__xludf.DUMMYFUNCTION("ARRAYFORMULA(IFERROR(VLOOKUP(REGEXEXTRACT(B105, ""-(\w+)-""), {Data_Validation!$F$16:$F$29, Data_Validation!$E$16:$E$29}, 2, FALSE), """"))
"),"Picture This!")</f>
        <v>Picture This!</v>
      </c>
      <c r="B105" s="217" t="str">
        <f>IFERROR(__xludf.DUMMYFUNCTION("""COMPUTED_VALUE"""),"PM-PTS-07.01")</f>
        <v>PM-PTS-07.01</v>
      </c>
      <c r="C105" s="218" t="str">
        <f>IFERROR(__xludf.DUMMYFUNCTION("IFERROR(REGEXEXTRACT(B105, ""^[A-Z]+-[A-Z]+-"") &amp; TEXT(VALUE(REGEXEXTRACT(B105, ""-(\d+)\."")), ""00""), """")"),"PM-PTS-07")</f>
        <v>PM-PTS-07</v>
      </c>
      <c r="D105" s="219" t="str">
        <f>IFERROR(VLOOKUP(C105, Content_Creation!B:D, 2, FALSE), IFERROR(VLOOKUP(C105, Project_Management!B:D, 2, FALSE), ""))
&amp; " - "
&amp; IFERROR(VLOOKUP(C105, Content_Creation!B:E, 4, FALSE), IFERROR(VLOOKUP(C105, Project_Management!B:E, 4, FALSE), ""))</f>
        <v>SP-100 - Chipkol - Video</v>
      </c>
      <c r="E105" s="220" t="str">
        <f>IFERROR(
    VLOOKUP(B104:B1001, Content_Creation!B:D, 3, FALSE),
    IFERROR(VLOOKUP(B104:B1001, Project_Management!B:D, 3, FALSE),"")
  )</f>
        <v>Script</v>
      </c>
      <c r="F105" s="221" t="str">
        <f>IFERROR(VLOOKUP(B105, Content_Creation!B:F, 5, FALSE), IFERROR(VLOOKUP(B105, Project_Management!B:F, 5, FALSE), ""))</f>
        <v>Nasser</v>
      </c>
      <c r="G105" s="222" t="s">
        <v>26</v>
      </c>
      <c r="H105" s="223">
        <f>IFERROR(VLOOKUP(B105, Content_Creation!B:H, 7, FALSE), IFERROR(VLOOKUP(B105, Project_Management!B:H, 7, FALSE), ""))</f>
        <v>45217.74334</v>
      </c>
      <c r="I105" s="224">
        <v>0.0</v>
      </c>
      <c r="J105" s="223">
        <f>IFERROR(VLOOKUP(C105, Content_Creation!B:H, 7, FALSE), IFERROR(VLOOKUP(C105, Project_Management!B:H, 7, FALSE), ""))</f>
        <v>45241</v>
      </c>
      <c r="K105" s="217"/>
      <c r="L105" s="225" t="str">
        <f>IFERROR(VLOOKUP(B105, Data_Validation!X:Y, 2, FALSE), "")</f>
        <v>Done</v>
      </c>
      <c r="M105" s="226" t="str">
        <f t="shared" si="1"/>
        <v>Picture This! | SP-100 - Chipkol - Video | Script</v>
      </c>
      <c r="N105" s="226"/>
      <c r="O105" s="226"/>
    </row>
    <row r="106" ht="24.0" customHeight="1">
      <c r="A106" s="216" t="str">
        <f>IFERROR(__xludf.DUMMYFUNCTION("ARRAYFORMULA(IFERROR(VLOOKUP(REGEXEXTRACT(B106, ""-(\w+)-""), {Data_Validation!$F$16:$F$29, Data_Validation!$E$16:$E$29}, 2, FALSE), """"))
"),"Picture This!")</f>
        <v>Picture This!</v>
      </c>
      <c r="B106" s="217" t="str">
        <f>IFERROR(__xludf.DUMMYFUNCTION("""COMPUTED_VALUE"""),"PM-PTS-05.10")</f>
        <v>PM-PTS-05.10</v>
      </c>
      <c r="C106" s="218" t="str">
        <f>IFERROR(__xludf.DUMMYFUNCTION("IFERROR(REGEXEXTRACT(B106, ""^[A-Z]+-[A-Z]+-"") &amp; TEXT(VALUE(REGEXEXTRACT(B106, ""-(\d+)\."")), ""00""), """")"),"PM-PTS-05")</f>
        <v>PM-PTS-05</v>
      </c>
      <c r="D106" s="219" t="str">
        <f>IFERROR(VLOOKUP(C106, Content_Creation!B:D, 2, FALSE), IFERROR(VLOOKUP(C106, Project_Management!B:D, 2, FALSE), ""))
&amp; " - "
&amp; IFERROR(VLOOKUP(C106, Content_Creation!B:E, 4, FALSE), IFERROR(VLOOKUP(C106, Project_Management!B:E, 4, FALSE), ""))</f>
        <v>Picture This- AdHoc - Website</v>
      </c>
      <c r="E106" s="220" t="str">
        <f>IFERROR(
    VLOOKUP(B105:B1001, Content_Creation!B:D, 3, FALSE),
    IFERROR(VLOOKUP(B105:B1001, Project_Management!B:D, 3, FALSE),"")
  )</f>
        <v>Adobe Subscription</v>
      </c>
      <c r="F106" s="221" t="str">
        <f>IFERROR(VLOOKUP(B106, Content_Creation!B:F, 5, FALSE), IFERROR(VLOOKUP(B106, Project_Management!B:F, 5, FALSE), ""))</f>
        <v>Nasser</v>
      </c>
      <c r="G106" s="222" t="s">
        <v>26</v>
      </c>
      <c r="H106" s="223">
        <f>IFERROR(VLOOKUP(B106, Content_Creation!B:H, 7, FALSE), IFERROR(VLOOKUP(B106, Project_Management!B:H, 7, FALSE), ""))</f>
        <v>45217</v>
      </c>
      <c r="I106" s="224">
        <v>0.0</v>
      </c>
      <c r="J106" s="223">
        <f>IFERROR(VLOOKUP(C106, Content_Creation!B:H, 7, FALSE), IFERROR(VLOOKUP(C106, Project_Management!B:H, 7, FALSE), ""))</f>
        <v>45241</v>
      </c>
      <c r="K106" s="217"/>
      <c r="L106" s="225" t="str">
        <f>IFERROR(VLOOKUP(B106, Data_Validation!X:Y, 2, FALSE), "")</f>
        <v>Done</v>
      </c>
      <c r="M106" s="226" t="str">
        <f t="shared" si="1"/>
        <v>Picture This! | Picture This- AdHoc - Website | Adobe Subscription</v>
      </c>
      <c r="N106" s="226"/>
      <c r="O106" s="226"/>
    </row>
    <row r="107" ht="24.0" customHeight="1">
      <c r="A107" s="216" t="str">
        <f>IFERROR(__xludf.DUMMYFUNCTION("ARRAYFORMULA(IFERROR(VLOOKUP(REGEXEXTRACT(B107, ""-(\w+)-""), {Data_Validation!$F$16:$F$29, Data_Validation!$E$16:$E$29}, 2, FALSE), """"))
"),"Picture This!")</f>
        <v>Picture This!</v>
      </c>
      <c r="B107" s="217" t="str">
        <f>IFERROR(__xludf.DUMMYFUNCTION("""COMPUTED_VALUE"""),"PM-PTS-05.15")</f>
        <v>PM-PTS-05.15</v>
      </c>
      <c r="C107" s="218" t="str">
        <f>IFERROR(__xludf.DUMMYFUNCTION("IFERROR(REGEXEXTRACT(B107, ""^[A-Z]+-[A-Z]+-"") &amp; TEXT(VALUE(REGEXEXTRACT(B107, ""-(\d+)\."")), ""00""), """")"),"PM-PTS-05")</f>
        <v>PM-PTS-05</v>
      </c>
      <c r="D107" s="219" t="str">
        <f>IFERROR(VLOOKUP(C107, Content_Creation!B:D, 2, FALSE), IFERROR(VLOOKUP(C107, Project_Management!B:D, 2, FALSE), ""))
&amp; " - "
&amp; IFERROR(VLOOKUP(C107, Content_Creation!B:E, 4, FALSE), IFERROR(VLOOKUP(C107, Project_Management!B:E, 4, FALSE), ""))</f>
        <v>Picture This- AdHoc - Website</v>
      </c>
      <c r="E107" s="220" t="str">
        <f>IFERROR(
    VLOOKUP(B106:B1001, Content_Creation!B:D, 3, FALSE),
    IFERROR(VLOOKUP(B106:B1001, Project_Management!B:D, 3, FALSE),"")
  )</f>
        <v>Clear NAS</v>
      </c>
      <c r="F107" s="221" t="str">
        <f>IFERROR(VLOOKUP(B107, Content_Creation!B:F, 5, FALSE), IFERROR(VLOOKUP(B107, Project_Management!B:F, 5, FALSE), ""))</f>
        <v>Nasser</v>
      </c>
      <c r="G107" s="222" t="s">
        <v>26</v>
      </c>
      <c r="H107" s="223">
        <f>IFERROR(VLOOKUP(B107, Content_Creation!B:H, 7, FALSE), IFERROR(VLOOKUP(B107, Project_Management!B:H, 7, FALSE), ""))</f>
        <v>45217</v>
      </c>
      <c r="I107" s="224">
        <v>0.0</v>
      </c>
      <c r="J107" s="223">
        <f>IFERROR(VLOOKUP(C107, Content_Creation!B:H, 7, FALSE), IFERROR(VLOOKUP(C107, Project_Management!B:H, 7, FALSE), ""))</f>
        <v>45241</v>
      </c>
      <c r="K107" s="217"/>
      <c r="L107" s="225" t="str">
        <f>IFERROR(VLOOKUP(B107, Data_Validation!X:Y, 2, FALSE), "")</f>
        <v>Done</v>
      </c>
      <c r="M107" s="226" t="str">
        <f t="shared" si="1"/>
        <v>Picture This! | Picture This- AdHoc - Website | Clear NAS</v>
      </c>
      <c r="N107" s="226"/>
      <c r="O107" s="226"/>
    </row>
    <row r="108" ht="24.0" customHeight="1">
      <c r="A108" s="216" t="str">
        <f>IFERROR(__xludf.DUMMYFUNCTION("ARRAYFORMULA(IFERROR(VLOOKUP(REGEXEXTRACT(B108, ""-(\w+)-""), {Data_Validation!$F$16:$F$29, Data_Validation!$E$16:$E$29}, 2, FALSE), """"))
"),"TheMVP")</f>
        <v>TheMVP</v>
      </c>
      <c r="B108" s="217" t="str">
        <f>IFERROR(__xludf.DUMMYFUNCTION("""COMPUTED_VALUE"""),"CC-MVP-36.01")</f>
        <v>CC-MVP-36.01</v>
      </c>
      <c r="C108" s="218" t="str">
        <f>IFERROR(__xludf.DUMMYFUNCTION("IFERROR(REGEXEXTRACT(B108, ""^[A-Z]+-[A-Z]+-"") &amp; TEXT(VALUE(REGEXEXTRACT(B108, ""-(\d+)\."")), ""00""), """")"),"CC-MVP-36")</f>
        <v>CC-MVP-36</v>
      </c>
      <c r="D108" s="219" t="str">
        <f>IFERROR(VLOOKUP(C108, Content_Creation!B:D, 2, FALSE), IFERROR(VLOOKUP(C108, Project_Management!B:D, 2, FALSE), ""))
&amp; " - "
&amp; IFERROR(VLOOKUP(C108, Content_Creation!B:E, 4, FALSE), IFERROR(VLOOKUP(C108, Project_Management!B:E, 4, FALSE), ""))</f>
        <v>3 Ways to improve Airflow - Shorts</v>
      </c>
      <c r="E108" s="220" t="str">
        <f>IFERROR(
    VLOOKUP(B107:B1001, Content_Creation!B:D, 3, FALSE),
    IFERROR(VLOOKUP(B107:B1001, Project_Management!B:D, 3, FALSE),"")
  )</f>
        <v>Script</v>
      </c>
      <c r="F108" s="221" t="str">
        <f>IFERROR(VLOOKUP(B108, Content_Creation!B:F, 5, FALSE), IFERROR(VLOOKUP(B108, Project_Management!B:F, 5, FALSE), ""))</f>
        <v>Tazeen</v>
      </c>
      <c r="G108" s="222" t="s">
        <v>26</v>
      </c>
      <c r="H108" s="223">
        <f>IFERROR(VLOOKUP(B108, Content_Creation!B:H, 7, FALSE), IFERROR(VLOOKUP(B108, Project_Management!B:H, 7, FALSE), ""))</f>
        <v>45218</v>
      </c>
      <c r="I108" s="224">
        <v>0.0</v>
      </c>
      <c r="J108" s="223">
        <f>IFERROR(VLOOKUP(C108, Content_Creation!B:H, 7, FALSE), IFERROR(VLOOKUP(C108, Project_Management!B:H, 7, FALSE), ""))</f>
        <v>45232</v>
      </c>
      <c r="K108" s="217"/>
      <c r="L108" s="225" t="str">
        <f>IFERROR(VLOOKUP(B108, Data_Validation!X:Y, 2, FALSE), "")</f>
        <v>Done</v>
      </c>
      <c r="M108" s="226" t="str">
        <f t="shared" si="1"/>
        <v>TheMVP | 3 Ways to improve Airflow - Shorts | Script</v>
      </c>
      <c r="N108" s="226"/>
      <c r="O108" s="226"/>
    </row>
    <row r="109" ht="24.0" customHeight="1">
      <c r="A109" s="216" t="str">
        <f>IFERROR(__xludf.DUMMYFUNCTION("ARRAYFORMULA(IFERROR(VLOOKUP(REGEXEXTRACT(B109, ""-(\w+)-""), {Data_Validation!$F$16:$F$29, Data_Validation!$E$16:$E$29}, 2, FALSE), """"))
"),"MaCaw")</f>
        <v>MaCaw</v>
      </c>
      <c r="B109" s="217" t="str">
        <f>IFERROR(__xludf.DUMMYFUNCTION("""COMPUTED_VALUE"""),"CC-MAC-01.07")</f>
        <v>CC-MAC-01.07</v>
      </c>
      <c r="C109" s="218" t="str">
        <f>IFERROR(__xludf.DUMMYFUNCTION("IFERROR(REGEXEXTRACT(B109, ""^[A-Z]+-[A-Z]+-"") &amp; TEXT(VALUE(REGEXEXTRACT(B109, ""-(\d+)\."")), ""00""), """")"),"CC-MAC-01")</f>
        <v>CC-MAC-01</v>
      </c>
      <c r="D109" s="219" t="str">
        <f>IFERROR(VLOOKUP(C109, Content_Creation!B:D, 2, FALSE), IFERROR(VLOOKUP(C109, Project_Management!B:D, 2, FALSE), ""))
&amp; " - "
&amp; IFERROR(VLOOKUP(C109, Content_Creation!B:E, 4, FALSE), IFERROR(VLOOKUP(C109, Project_Management!B:E, 4, FALSE), ""))</f>
        <v>Coming Soon - Shorts</v>
      </c>
      <c r="E109" s="220" t="str">
        <f>IFERROR(
    VLOOKUP(B108:B1001, Content_Creation!B:D, 3, FALSE),
    IFERROR(VLOOKUP(B108:B1001, Project_Management!B:D, 3, FALSE),"")
  )</f>
        <v>Upload</v>
      </c>
      <c r="F109" s="221" t="str">
        <f>IFERROR(VLOOKUP(B109, Content_Creation!B:F, 5, FALSE), IFERROR(VLOOKUP(B109, Project_Management!B:F, 5, FALSE), ""))</f>
        <v>Akhil</v>
      </c>
      <c r="G109" s="222" t="s">
        <v>26</v>
      </c>
      <c r="H109" s="223">
        <f>IFERROR(VLOOKUP(B109, Content_Creation!B:H, 7, FALSE), IFERROR(VLOOKUP(B109, Project_Management!B:H, 7, FALSE), ""))</f>
        <v>45218</v>
      </c>
      <c r="I109" s="224">
        <v>0.0</v>
      </c>
      <c r="J109" s="223">
        <f>IFERROR(VLOOKUP(C109, Content_Creation!B:H, 7, FALSE), IFERROR(VLOOKUP(C109, Project_Management!B:H, 7, FALSE), ""))</f>
        <v>45218</v>
      </c>
      <c r="K109" s="217"/>
      <c r="L109" s="225" t="str">
        <f>IFERROR(VLOOKUP(B109, Data_Validation!X:Y, 2, FALSE), "")</f>
        <v>Done</v>
      </c>
      <c r="M109" s="226" t="str">
        <f t="shared" si="1"/>
        <v>MaCaw | Coming Soon - Shorts | Upload</v>
      </c>
      <c r="N109" s="226"/>
      <c r="O109" s="226"/>
    </row>
    <row r="110" ht="24.0" customHeight="1">
      <c r="A110" s="216" t="str">
        <f>IFERROR(__xludf.DUMMYFUNCTION("ARRAYFORMULA(IFERROR(VLOOKUP(REGEXEXTRACT(B110, ""-(\w+)-""), {Data_Validation!$F$16:$F$29, Data_Validation!$E$16:$E$29}, 2, FALSE), """"))
"),"MaCaw")</f>
        <v>MaCaw</v>
      </c>
      <c r="B110" s="217" t="str">
        <f>IFERROR(__xludf.DUMMYFUNCTION("""COMPUTED_VALUE"""),"CC-MAC-10.02")</f>
        <v>CC-MAC-10.02</v>
      </c>
      <c r="C110" s="218" t="str">
        <f>IFERROR(__xludf.DUMMYFUNCTION("IFERROR(REGEXEXTRACT(B110, ""^[A-Z]+-[A-Z]+-"") &amp; TEXT(VALUE(REGEXEXTRACT(B110, ""-(\d+)\."")), ""00""), """")"),"CC-MAC-10")</f>
        <v>CC-MAC-10</v>
      </c>
      <c r="D110" s="219" t="str">
        <f>IFERROR(VLOOKUP(C110, Content_Creation!B:D, 2, FALSE), IFERROR(VLOOKUP(C110, Project_Management!B:D, 2, FALSE), ""))
&amp; " - "
&amp; IFERROR(VLOOKUP(C110, Content_Creation!B:E, 4, FALSE), IFERROR(VLOOKUP(C110, Project_Management!B:E, 4, FALSE), ""))</f>
        <v>Utopian Academy - Classes - Insta</v>
      </c>
      <c r="E110" s="220" t="str">
        <f>IFERROR(
    VLOOKUP(B109:B1001, Content_Creation!B:D, 3, FALSE),
    IFERROR(VLOOKUP(B109:B1001, Project_Management!B:D, 3, FALSE),"")
  )</f>
        <v>Upload</v>
      </c>
      <c r="F110" s="221" t="str">
        <f>IFERROR(VLOOKUP(B110, Content_Creation!B:F, 5, FALSE), IFERROR(VLOOKUP(B110, Project_Management!B:F, 5, FALSE), ""))</f>
        <v>Akhil</v>
      </c>
      <c r="G110" s="222" t="s">
        <v>26</v>
      </c>
      <c r="H110" s="223">
        <f>IFERROR(VLOOKUP(B110, Content_Creation!B:H, 7, FALSE), IFERROR(VLOOKUP(B110, Project_Management!B:H, 7, FALSE), ""))</f>
        <v>45218</v>
      </c>
      <c r="I110" s="224">
        <v>0.08333333333333333</v>
      </c>
      <c r="J110" s="223">
        <f>IFERROR(VLOOKUP(C110, Content_Creation!B:H, 7, FALSE), IFERROR(VLOOKUP(C110, Project_Management!B:H, 7, FALSE), ""))</f>
        <v>45218</v>
      </c>
      <c r="K110" s="217"/>
      <c r="L110" s="225" t="str">
        <f>IFERROR(VLOOKUP(B110, Data_Validation!X:Y, 2, FALSE), "")</f>
        <v>Done</v>
      </c>
      <c r="M110" s="226" t="str">
        <f t="shared" si="1"/>
        <v>MaCaw | Utopian Academy - Classes - Insta | Upload</v>
      </c>
      <c r="N110" s="226"/>
      <c r="O110" s="226"/>
    </row>
    <row r="111" ht="24.0" customHeight="1">
      <c r="A111" s="216" t="str">
        <f>IFERROR(__xludf.DUMMYFUNCTION("ARRAYFORMULA(IFERROR(VLOOKUP(REGEXEXTRACT(B111, ""-(\w+)-""), {Data_Validation!$F$16:$F$29, Data_Validation!$E$16:$E$29}, 2, FALSE), """"))
"),"MaCaw")</f>
        <v>MaCaw</v>
      </c>
      <c r="B111" s="217" t="str">
        <f>IFERROR(__xludf.DUMMYFUNCTION("""COMPUTED_VALUE"""),"CC-MAC-07.02")</f>
        <v>CC-MAC-07.02</v>
      </c>
      <c r="C111" s="218" t="str">
        <f>IFERROR(__xludf.DUMMYFUNCTION("IFERROR(REGEXEXTRACT(B111, ""^[A-Z]+-[A-Z]+-"") &amp; TEXT(VALUE(REGEXEXTRACT(B111, ""-(\d+)\."")), ""00""), """")"),"CC-MAC-07")</f>
        <v>CC-MAC-07</v>
      </c>
      <c r="D111" s="219" t="str">
        <f>IFERROR(VLOOKUP(C111, Content_Creation!B:D, 2, FALSE), IFERROR(VLOOKUP(C111, Project_Management!B:D, 2, FALSE), ""))
&amp; " - "
&amp; IFERROR(VLOOKUP(C111, Content_Creation!B:E, 4, FALSE), IFERROR(VLOOKUP(C111, Project_Management!B:E, 4, FALSE), ""))</f>
        <v>Yoga Teacher Photos - Insta</v>
      </c>
      <c r="E111" s="220" t="str">
        <f>IFERROR(
    VLOOKUP(B110:B1001, Content_Creation!B:D, 3, FALSE),
    IFERROR(VLOOKUP(B110:B1001, Project_Management!B:D, 3, FALSE),"")
  )</f>
        <v>Shoot</v>
      </c>
      <c r="F111" s="221" t="str">
        <f>IFERROR(VLOOKUP(B111, Content_Creation!B:F, 5, FALSE), IFERROR(VLOOKUP(B111, Project_Management!B:F, 5, FALSE), ""))</f>
        <v>Ibraheem</v>
      </c>
      <c r="G111" s="222" t="s">
        <v>26</v>
      </c>
      <c r="H111" s="223">
        <f>IFERROR(VLOOKUP(B111, Content_Creation!B:H, 7, FALSE), IFERROR(VLOOKUP(B111, Project_Management!B:H, 7, FALSE), ""))</f>
        <v>45218</v>
      </c>
      <c r="I111" s="224">
        <v>0.0</v>
      </c>
      <c r="J111" s="223">
        <f>IFERROR(VLOOKUP(C111, Content_Creation!B:H, 7, FALSE), IFERROR(VLOOKUP(C111, Project_Management!B:H, 7, FALSE), ""))</f>
        <v>45227</v>
      </c>
      <c r="K111" s="217"/>
      <c r="L111" s="225" t="str">
        <f>IFERROR(VLOOKUP(B111, Data_Validation!X:Y, 2, FALSE), "")</f>
        <v>Done</v>
      </c>
      <c r="M111" s="226" t="str">
        <f t="shared" si="1"/>
        <v>MaCaw | Yoga Teacher Photos - Insta | Shoot</v>
      </c>
      <c r="N111" s="226"/>
      <c r="O111" s="226"/>
    </row>
    <row r="112" ht="24.0" customHeight="1">
      <c r="A112" s="216" t="str">
        <f>IFERROR(__xludf.DUMMYFUNCTION("ARRAYFORMULA(IFERROR(VLOOKUP(REGEXEXTRACT(B112, ""-(\w+)-""), {Data_Validation!$F$16:$F$29, Data_Validation!$E$16:$E$29}, 2, FALSE), """"))
"),"MaCaw")</f>
        <v>MaCaw</v>
      </c>
      <c r="B112" s="217" t="str">
        <f>IFERROR(__xludf.DUMMYFUNCTION("""COMPUTED_VALUE"""),"CC-MAC-04.04")</f>
        <v>CC-MAC-04.04</v>
      </c>
      <c r="C112" s="218" t="str">
        <f>IFERROR(__xludf.DUMMYFUNCTION("IFERROR(REGEXEXTRACT(B112, ""^[A-Z]+-[A-Z]+-"") &amp; TEXT(VALUE(REGEXEXTRACT(B112, ""-(\d+)\."")), ""00""), """")"),"CC-MAC-04")</f>
        <v>CC-MAC-04</v>
      </c>
      <c r="D112" s="219" t="str">
        <f>IFERROR(VLOOKUP(C112, Content_Creation!B:D, 2, FALSE), IFERROR(VLOOKUP(C112, Project_Management!B:D, 2, FALSE), ""))
&amp; " - "
&amp; IFERROR(VLOOKUP(C112, Content_Creation!B:E, 4, FALSE), IFERROR(VLOOKUP(C112, Project_Management!B:E, 4, FALSE), ""))</f>
        <v>Music Teachers Intro - Shorts</v>
      </c>
      <c r="E112" s="220" t="str">
        <f>IFERROR(
    VLOOKUP(B111:B1001, Content_Creation!B:D, 3, FALSE),
    IFERROR(VLOOKUP(B111:B1001, Project_Management!B:D, 3, FALSE),"")
  )</f>
        <v>Project Files</v>
      </c>
      <c r="F112" s="221" t="str">
        <f>IFERROR(VLOOKUP(B112, Content_Creation!B:F, 5, FALSE), IFERROR(VLOOKUP(B112, Project_Management!B:F, 5, FALSE), ""))</f>
        <v>Akhil</v>
      </c>
      <c r="G112" s="222" t="s">
        <v>26</v>
      </c>
      <c r="H112" s="223">
        <f>IFERROR(VLOOKUP(B112, Content_Creation!B:H, 7, FALSE), IFERROR(VLOOKUP(B112, Project_Management!B:H, 7, FALSE), ""))</f>
        <v>45218</v>
      </c>
      <c r="I112" s="224">
        <v>0.0</v>
      </c>
      <c r="J112" s="223">
        <f>IFERROR(VLOOKUP(C112, Content_Creation!B:H, 7, FALSE), IFERROR(VLOOKUP(C112, Project_Management!B:H, 7, FALSE), ""))</f>
        <v>45231</v>
      </c>
      <c r="K112" s="217"/>
      <c r="L112" s="225" t="str">
        <f>IFERROR(VLOOKUP(B112, Data_Validation!X:Y, 2, FALSE), "")</f>
        <v>Done</v>
      </c>
      <c r="M112" s="226" t="str">
        <f t="shared" si="1"/>
        <v>MaCaw | Music Teachers Intro - Shorts | Project Files</v>
      </c>
      <c r="N112" s="226"/>
      <c r="O112" s="226"/>
    </row>
    <row r="113" ht="24.0" customHeight="1">
      <c r="A113" s="216" t="str">
        <f>IFERROR(__xludf.DUMMYFUNCTION("ARRAYFORMULA(IFERROR(VLOOKUP(REGEXEXTRACT(B113, ""-(\w+)-""), {Data_Validation!$F$16:$F$29, Data_Validation!$E$16:$E$29}, 2, FALSE), """"))
"),"Picture This!")</f>
        <v>Picture This!</v>
      </c>
      <c r="B113" s="217" t="str">
        <f>IFERROR(__xludf.DUMMYFUNCTION("""COMPUTED_VALUE"""),"PM-PTS-05.09")</f>
        <v>PM-PTS-05.09</v>
      </c>
      <c r="C113" s="218" t="str">
        <f>IFERROR(__xludf.DUMMYFUNCTION("IFERROR(REGEXEXTRACT(B113, ""^[A-Z]+-[A-Z]+-"") &amp; TEXT(VALUE(REGEXEXTRACT(B113, ""-(\d+)\."")), ""00""), """")"),"PM-PTS-05")</f>
        <v>PM-PTS-05</v>
      </c>
      <c r="D113" s="219" t="str">
        <f>IFERROR(VLOOKUP(C113, Content_Creation!B:D, 2, FALSE), IFERROR(VLOOKUP(C113, Project_Management!B:D, 2, FALSE), ""))
&amp; " - "
&amp; IFERROR(VLOOKUP(C113, Content_Creation!B:E, 4, FALSE), IFERROR(VLOOKUP(C113, Project_Management!B:E, 4, FALSE), ""))</f>
        <v>Picture This- AdHoc - Website</v>
      </c>
      <c r="E113" s="220" t="str">
        <f>IFERROR(
    VLOOKUP(B112:B1001, Content_Creation!B:D, 3, FALSE),
    IFERROR(VLOOKUP(B112:B1001, Project_Management!B:D, 3, FALSE),"")
  )</f>
        <v>ChatGPT Workshop</v>
      </c>
      <c r="F113" s="221" t="str">
        <f>IFERROR(VLOOKUP(B113, Content_Creation!B:F, 5, FALSE), IFERROR(VLOOKUP(B113, Project_Management!B:F, 5, FALSE), ""))</f>
        <v>Naveen</v>
      </c>
      <c r="G113" s="222" t="s">
        <v>26</v>
      </c>
      <c r="H113" s="223">
        <f>IFERROR(VLOOKUP(B113, Content_Creation!B:H, 7, FALSE), IFERROR(VLOOKUP(B113, Project_Management!B:H, 7, FALSE), ""))</f>
        <v>45218</v>
      </c>
      <c r="I113" s="224">
        <v>0.0</v>
      </c>
      <c r="J113" s="223">
        <f>IFERROR(VLOOKUP(C113, Content_Creation!B:H, 7, FALSE), IFERROR(VLOOKUP(C113, Project_Management!B:H, 7, FALSE), ""))</f>
        <v>45241</v>
      </c>
      <c r="K113" s="217"/>
      <c r="L113" s="225" t="str">
        <f>IFERROR(VLOOKUP(B113, Data_Validation!X:Y, 2, FALSE), "")</f>
        <v>Done</v>
      </c>
      <c r="M113" s="226" t="str">
        <f t="shared" si="1"/>
        <v>Picture This! | Picture This- AdHoc - Website | ChatGPT Workshop</v>
      </c>
      <c r="N113" s="226"/>
      <c r="O113" s="226"/>
    </row>
    <row r="114" ht="24.0" customHeight="1">
      <c r="A114" s="216" t="str">
        <f>IFERROR(__xludf.DUMMYFUNCTION("ARRAYFORMULA(IFERROR(VLOOKUP(REGEXEXTRACT(B114, ""-(\w+)-""), {Data_Validation!$F$16:$F$29, Data_Validation!$E$16:$E$29}, 2, FALSE), """"))
"),"MaCaw")</f>
        <v>MaCaw</v>
      </c>
      <c r="B114" s="217" t="str">
        <f>IFERROR(__xludf.DUMMYFUNCTION("""COMPUTED_VALUE"""),"CC-MAC-11.02")</f>
        <v>CC-MAC-11.02</v>
      </c>
      <c r="C114" s="218" t="str">
        <f>IFERROR(__xludf.DUMMYFUNCTION("IFERROR(REGEXEXTRACT(B114, ""^[A-Z]+-[A-Z]+-"") &amp; TEXT(VALUE(REGEXEXTRACT(B114, ""-(\d+)\."")), ""00""), """")"),"CC-MAC-11")</f>
        <v>CC-MAC-11</v>
      </c>
      <c r="D114" s="219" t="str">
        <f>IFERROR(VLOOKUP(C114, Content_Creation!B:D, 2, FALSE), IFERROR(VLOOKUP(C114, Project_Management!B:D, 2, FALSE), ""))
&amp; " - "
&amp; IFERROR(VLOOKUP(C114, Content_Creation!B:E, 4, FALSE), IFERROR(VLOOKUP(C114, Project_Management!B:E, 4, FALSE), ""))</f>
        <v>MaCaw School - Classes - Insta</v>
      </c>
      <c r="E114" s="220" t="str">
        <f>IFERROR(
    VLOOKUP(B113:B1001, Content_Creation!B:D, 3, FALSE),
    IFERROR(VLOOKUP(B113:B1001, Project_Management!B:D, 3, FALSE),"")
  )</f>
        <v>Upload</v>
      </c>
      <c r="F114" s="221" t="str">
        <f>IFERROR(VLOOKUP(B114, Content_Creation!B:F, 5, FALSE), IFERROR(VLOOKUP(B114, Project_Management!B:F, 5, FALSE), ""))</f>
        <v>Akhil</v>
      </c>
      <c r="G114" s="222" t="s">
        <v>26</v>
      </c>
      <c r="H114" s="223">
        <f>IFERROR(VLOOKUP(B114, Content_Creation!B:H, 7, FALSE), IFERROR(VLOOKUP(B114, Project_Management!B:H, 7, FALSE), ""))</f>
        <v>45219</v>
      </c>
      <c r="I114" s="224">
        <v>0.0</v>
      </c>
      <c r="J114" s="223">
        <f>IFERROR(VLOOKUP(C114, Content_Creation!B:H, 7, FALSE), IFERROR(VLOOKUP(C114, Project_Management!B:H, 7, FALSE), ""))</f>
        <v>45219</v>
      </c>
      <c r="K114" s="217"/>
      <c r="L114" s="225" t="str">
        <f>IFERROR(VLOOKUP(B114, Data_Validation!X:Y, 2, FALSE), "")</f>
        <v>Done</v>
      </c>
      <c r="M114" s="226" t="str">
        <f t="shared" si="1"/>
        <v>MaCaw | MaCaw School - Classes - Insta | Upload</v>
      </c>
      <c r="N114" s="226"/>
      <c r="O114" s="226"/>
    </row>
    <row r="115" ht="24.0" customHeight="1">
      <c r="A115" s="216" t="str">
        <f>IFERROR(__xludf.DUMMYFUNCTION("ARRAYFORMULA(IFERROR(VLOOKUP(REGEXEXTRACT(B115, ""-(\w+)-""), {Data_Validation!$F$16:$F$29, Data_Validation!$E$16:$E$29}, 2, FALSE), """"))
"),"MaCaw")</f>
        <v>MaCaw</v>
      </c>
      <c r="B115" s="217" t="str">
        <f>IFERROR(__xludf.DUMMYFUNCTION("""COMPUTED_VALUE"""),"CC-MAC-03.03")</f>
        <v>CC-MAC-03.03</v>
      </c>
      <c r="C115" s="218" t="str">
        <f>IFERROR(__xludf.DUMMYFUNCTION("IFERROR(REGEXEXTRACT(B115, ""^[A-Z]+-[A-Z]+-"") &amp; TEXT(VALUE(REGEXEXTRACT(B115, ""-(\d+)\."")), ""00""), """")"),"CC-MAC-03")</f>
        <v>CC-MAC-03</v>
      </c>
      <c r="D115" s="219" t="str">
        <f>IFERROR(VLOOKUP(C115, Content_Creation!B:D, 2, FALSE), IFERROR(VLOOKUP(C115, Project_Management!B:D, 2, FALSE), ""))
&amp; " - "
&amp; IFERROR(VLOOKUP(C115, Content_Creation!B:E, 4, FALSE), IFERROR(VLOOKUP(C115, Project_Management!B:E, 4, FALSE), ""))</f>
        <v>Kuchipudi Teacher Photos - Insta</v>
      </c>
      <c r="E115" s="220" t="str">
        <f>IFERROR(
    VLOOKUP(B114:B1001, Content_Creation!B:D, 3, FALSE),
    IFERROR(VLOOKUP(B114:B1001, Project_Management!B:D, 3, FALSE),"")
  )</f>
        <v>Edit &amp; Caption</v>
      </c>
      <c r="F115" s="221" t="str">
        <f>IFERROR(VLOOKUP(B115, Content_Creation!B:F, 5, FALSE), IFERROR(VLOOKUP(B115, Project_Management!B:F, 5, FALSE), ""))</f>
        <v>Akhil</v>
      </c>
      <c r="G115" s="222" t="s">
        <v>26</v>
      </c>
      <c r="H115" s="223">
        <f>IFERROR(VLOOKUP(B115, Content_Creation!B:H, 7, FALSE), IFERROR(VLOOKUP(B115, Project_Management!B:H, 7, FALSE), ""))</f>
        <v>45219</v>
      </c>
      <c r="I115" s="224">
        <v>0.0</v>
      </c>
      <c r="J115" s="223">
        <f>IFERROR(VLOOKUP(C115, Content_Creation!B:H, 7, FALSE), IFERROR(VLOOKUP(C115, Project_Management!B:H, 7, FALSE), ""))</f>
        <v>45226</v>
      </c>
      <c r="K115" s="217"/>
      <c r="L115" s="225" t="str">
        <f>IFERROR(VLOOKUP(B115, Data_Validation!X:Y, 2, FALSE), "")</f>
        <v>Done</v>
      </c>
      <c r="M115" s="226" t="str">
        <f t="shared" si="1"/>
        <v>MaCaw | Kuchipudi Teacher Photos - Insta | Edit &amp; Caption</v>
      </c>
      <c r="N115" s="226"/>
      <c r="O115" s="226"/>
    </row>
    <row r="116" ht="24.0" customHeight="1">
      <c r="A116" s="216" t="str">
        <f>IFERROR(__xludf.DUMMYFUNCTION("ARRAYFORMULA(IFERROR(VLOOKUP(REGEXEXTRACT(B116, ""-(\w+)-""), {Data_Validation!$F$16:$F$29, Data_Validation!$E$16:$E$29}, 2, FALSE), """"))
"),"MaCaw")</f>
        <v>MaCaw</v>
      </c>
      <c r="B116" s="217" t="str">
        <f>IFERROR(__xludf.DUMMYFUNCTION("""COMPUTED_VALUE"""),"CC-MAC-05.02")</f>
        <v>CC-MAC-05.02</v>
      </c>
      <c r="C116" s="218" t="str">
        <f>IFERROR(__xludf.DUMMYFUNCTION("IFERROR(REGEXEXTRACT(B116, ""^[A-Z]+-[A-Z]+-"") &amp; TEXT(VALUE(REGEXEXTRACT(B116, ""-(\d+)\."")), ""00""), """")"),"CC-MAC-05")</f>
        <v>CC-MAC-05</v>
      </c>
      <c r="D116" s="219" t="str">
        <f>IFERROR(VLOOKUP(C116, Content_Creation!B:D, 2, FALSE), IFERROR(VLOOKUP(C116, Project_Management!B:D, 2, FALSE), ""))
&amp; " - "
&amp; IFERROR(VLOOKUP(C116, Content_Creation!B:E, 4, FALSE), IFERROR(VLOOKUP(C116, Project_Management!B:E, 4, FALSE), ""))</f>
        <v>Music Teachers Photos - Insta</v>
      </c>
      <c r="E116" s="220" t="str">
        <f>IFERROR(
    VLOOKUP(B115:B1001, Content_Creation!B:D, 3, FALSE),
    IFERROR(VLOOKUP(B115:B1001, Project_Management!B:D, 3, FALSE),"")
  )</f>
        <v>Shoot</v>
      </c>
      <c r="F116" s="221" t="str">
        <f>IFERROR(VLOOKUP(B116, Content_Creation!B:F, 5, FALSE), IFERROR(VLOOKUP(B116, Project_Management!B:F, 5, FALSE), ""))</f>
        <v>Akhil</v>
      </c>
      <c r="G116" s="222" t="s">
        <v>26</v>
      </c>
      <c r="H116" s="223">
        <f>IFERROR(VLOOKUP(B116, Content_Creation!B:H, 7, FALSE), IFERROR(VLOOKUP(B116, Project_Management!B:H, 7, FALSE), ""))</f>
        <v>45219</v>
      </c>
      <c r="I116" s="224">
        <v>0.0</v>
      </c>
      <c r="J116" s="223">
        <f>IFERROR(VLOOKUP(C116, Content_Creation!B:H, 7, FALSE), IFERROR(VLOOKUP(C116, Project_Management!B:H, 7, FALSE), ""))</f>
        <v>45230</v>
      </c>
      <c r="K116" s="217"/>
      <c r="L116" s="225" t="str">
        <f>IFERROR(VLOOKUP(B116, Data_Validation!X:Y, 2, FALSE), "")</f>
        <v>Done</v>
      </c>
      <c r="M116" s="226" t="str">
        <f t="shared" si="1"/>
        <v>MaCaw | Music Teachers Photos - Insta | Shoot</v>
      </c>
      <c r="N116" s="226"/>
      <c r="O116" s="226"/>
    </row>
    <row r="117" ht="24.0" customHeight="1">
      <c r="A117" s="216" t="str">
        <f>IFERROR(__xludf.DUMMYFUNCTION("ARRAYFORMULA(IFERROR(VLOOKUP(REGEXEXTRACT(B117, ""-(\w+)-""), {Data_Validation!$F$16:$F$29, Data_Validation!$E$16:$E$29}, 2, FALSE), """"))
"),"TheMVP")</f>
        <v>TheMVP</v>
      </c>
      <c r="B117" s="217" t="str">
        <f>IFERROR(__xludf.DUMMYFUNCTION("""COMPUTED_VALUE"""),"PM-MVP-02.01")</f>
        <v>PM-MVP-02.01</v>
      </c>
      <c r="C117" s="218" t="str">
        <f>IFERROR(__xludf.DUMMYFUNCTION("IFERROR(REGEXEXTRACT(B117, ""^[A-Z]+-[A-Z]+-"") &amp; TEXT(VALUE(REGEXEXTRACT(B117, ""-(\d+)\."")), ""00""), """")"),"PM-MVP-02")</f>
        <v>PM-MVP-02</v>
      </c>
      <c r="D117" s="219" t="str">
        <f>IFERROR(VLOOKUP(C117, Content_Creation!B:D, 2, FALSE), IFERROR(VLOOKUP(C117, Project_Management!B:D, 2, FALSE), ""))
&amp; " - "
&amp; IFERROR(VLOOKUP(C117, Content_Creation!B:E, 4, FALSE), IFERROR(VLOOKUP(C117, Project_Management!B:E, 4, FALSE), ""))</f>
        <v>Logitech Project - Video</v>
      </c>
      <c r="E117" s="220" t="str">
        <f>IFERROR(
    VLOOKUP(B116:B1001, Content_Creation!B:D, 3, FALSE),
    IFERROR(VLOOKUP(B116:B1001, Project_Management!B:D, 3, FALSE),"")
  )</f>
        <v>Reel 1 - G502 X</v>
      </c>
      <c r="F117" s="221" t="str">
        <f>IFERROR(VLOOKUP(B117, Content_Creation!B:F, 5, FALSE), IFERROR(VLOOKUP(B117, Project_Management!B:F, 5, FALSE), ""))</f>
        <v>Tazeen</v>
      </c>
      <c r="G117" s="222" t="s">
        <v>26</v>
      </c>
      <c r="H117" s="223">
        <f>IFERROR(VLOOKUP(B117, Content_Creation!B:H, 7, FALSE), IFERROR(VLOOKUP(B117, Project_Management!B:H, 7, FALSE), ""))</f>
        <v>45219</v>
      </c>
      <c r="I117" s="224">
        <v>0.0</v>
      </c>
      <c r="J117" s="223">
        <f>IFERROR(VLOOKUP(C117, Content_Creation!B:H, 7, FALSE), IFERROR(VLOOKUP(C117, Project_Management!B:H, 7, FALSE), ""))</f>
        <v>45222</v>
      </c>
      <c r="K117" s="217"/>
      <c r="L117" s="225" t="str">
        <f>IFERROR(VLOOKUP(B117, Data_Validation!X:Y, 2, FALSE), "")</f>
        <v>Done</v>
      </c>
      <c r="M117" s="226" t="str">
        <f t="shared" si="1"/>
        <v>TheMVP | Logitech Project - Video | Reel 1 - G502 X</v>
      </c>
      <c r="N117" s="226"/>
      <c r="O117" s="226"/>
    </row>
    <row r="118" ht="24.0" customHeight="1">
      <c r="A118" s="216" t="str">
        <f>IFERROR(__xludf.DUMMYFUNCTION("ARRAYFORMULA(IFERROR(VLOOKUP(REGEXEXTRACT(B118, ""-(\w+)-""), {Data_Validation!$F$16:$F$29, Data_Validation!$E$16:$E$29}, 2, FALSE), """"))
"),"TheMVP")</f>
        <v>TheMVP</v>
      </c>
      <c r="B118" s="217" t="str">
        <f>IFERROR(__xludf.DUMMYFUNCTION("""COMPUTED_VALUE"""),"PM-MVP-02.08")</f>
        <v>PM-MVP-02.08</v>
      </c>
      <c r="C118" s="218" t="str">
        <f>IFERROR(__xludf.DUMMYFUNCTION("IFERROR(REGEXEXTRACT(B118, ""^[A-Z]+-[A-Z]+-"") &amp; TEXT(VALUE(REGEXEXTRACT(B118, ""-(\d+)\."")), ""00""), """")"),"PM-MVP-02")</f>
        <v>PM-MVP-02</v>
      </c>
      <c r="D118" s="219" t="str">
        <f>IFERROR(VLOOKUP(C118, Content_Creation!B:D, 2, FALSE), IFERROR(VLOOKUP(C118, Project_Management!B:D, 2, FALSE), ""))
&amp; " - "
&amp; IFERROR(VLOOKUP(C118, Content_Creation!B:E, 4, FALSE), IFERROR(VLOOKUP(C118, Project_Management!B:E, 4, FALSE), ""))</f>
        <v>Logitech Project - Video</v>
      </c>
      <c r="E118" s="220" t="str">
        <f>IFERROR(
    VLOOKUP(B117:B1001, Content_Creation!B:D, 3, FALSE),
    IFERROR(VLOOKUP(B117:B1001, Project_Management!B:D, 3, FALSE),"")
  )</f>
        <v>Steam Promo GFX Follow up</v>
      </c>
      <c r="F118" s="221" t="str">
        <f>IFERROR(VLOOKUP(B118, Content_Creation!B:F, 5, FALSE), IFERROR(VLOOKUP(B118, Project_Management!B:F, 5, FALSE), ""))</f>
        <v>Tazeen</v>
      </c>
      <c r="G118" s="222" t="s">
        <v>26</v>
      </c>
      <c r="H118" s="223">
        <f>IFERROR(VLOOKUP(B118, Content_Creation!B:H, 7, FALSE), IFERROR(VLOOKUP(B118, Project_Management!B:H, 7, FALSE), ""))</f>
        <v>45219</v>
      </c>
      <c r="I118" s="224">
        <v>0.0</v>
      </c>
      <c r="J118" s="223">
        <f>IFERROR(VLOOKUP(C118, Content_Creation!B:H, 7, FALSE), IFERROR(VLOOKUP(C118, Project_Management!B:H, 7, FALSE), ""))</f>
        <v>45222</v>
      </c>
      <c r="K118" s="217"/>
      <c r="L118" s="225" t="str">
        <f>IFERROR(VLOOKUP(B118, Data_Validation!X:Y, 2, FALSE), "")</f>
        <v>Done</v>
      </c>
      <c r="M118" s="226" t="str">
        <f t="shared" si="1"/>
        <v>TheMVP | Logitech Project - Video | Steam Promo GFX Follow up</v>
      </c>
      <c r="N118" s="226"/>
      <c r="O118" s="226"/>
    </row>
    <row r="119" ht="24.0" customHeight="1">
      <c r="A119" s="216" t="str">
        <f>IFERROR(__xludf.DUMMYFUNCTION("ARRAYFORMULA(IFERROR(VLOOKUP(REGEXEXTRACT(B119, ""-(\w+)-""), {Data_Validation!$F$16:$F$29, Data_Validation!$E$16:$E$29}, 2, FALSE), """"))
"),"Thats No Moon")</f>
        <v>Thats No Moon</v>
      </c>
      <c r="B119" s="217" t="str">
        <f>IFERROR(__xludf.DUMMYFUNCTION("""COMPUTED_VALUE"""),"PM-TNM-01.03")</f>
        <v>PM-TNM-01.03</v>
      </c>
      <c r="C119" s="218" t="str">
        <f>IFERROR(__xludf.DUMMYFUNCTION("IFERROR(REGEXEXTRACT(B119, ""^[A-Z]+-[A-Z]+-"") &amp; TEXT(VALUE(REGEXEXTRACT(B119, ""-(\d+)\."")), ""00""), """")"),"PM-TNM-01")</f>
        <v>PM-TNM-01</v>
      </c>
      <c r="D119" s="219" t="str">
        <f>IFERROR(VLOOKUP(C119, Content_Creation!B:D, 2, FALSE), IFERROR(VLOOKUP(C119, Project_Management!B:D, 2, FALSE), ""))
&amp; " - "
&amp; IFERROR(VLOOKUP(C119, Content_Creation!B:E, 4, FALSE), IFERROR(VLOOKUP(C119, Project_Management!B:E, 4, FALSE), ""))</f>
        <v>GIF Design - Graphics</v>
      </c>
      <c r="E119" s="220" t="str">
        <f>IFERROR(
    VLOOKUP(B118:B1001, Content_Creation!B:D, 3, FALSE),
    IFERROR(VLOOKUP(B118:B1001, Project_Management!B:D, 3, FALSE),"")
  )</f>
        <v>Edit</v>
      </c>
      <c r="F119" s="221" t="str">
        <f>IFERROR(VLOOKUP(B119, Content_Creation!B:F, 5, FALSE), IFERROR(VLOOKUP(B119, Project_Management!B:F, 5, FALSE), ""))</f>
        <v>Nasser</v>
      </c>
      <c r="G119" s="222" t="s">
        <v>26</v>
      </c>
      <c r="H119" s="223">
        <f>IFERROR(VLOOKUP(B119, Content_Creation!B:H, 7, FALSE), IFERROR(VLOOKUP(B119, Project_Management!B:H, 7, FALSE), ""))</f>
        <v>45219.53804</v>
      </c>
      <c r="I119" s="224">
        <v>0.10416666666666667</v>
      </c>
      <c r="J119" s="223">
        <f>IFERROR(VLOOKUP(C119, Content_Creation!B:H, 7, FALSE), IFERROR(VLOOKUP(C119, Project_Management!B:H, 7, FALSE), ""))</f>
        <v>45238</v>
      </c>
      <c r="K119" s="217"/>
      <c r="L119" s="225" t="str">
        <f>IFERROR(VLOOKUP(B119, Data_Validation!X:Y, 2, FALSE), "")</f>
        <v>Done</v>
      </c>
      <c r="M119" s="226" t="str">
        <f t="shared" si="1"/>
        <v>Thats No Moon | GIF Design - Graphics | Edit</v>
      </c>
      <c r="N119" s="226"/>
      <c r="O119" s="226"/>
    </row>
    <row r="120" ht="24.0" customHeight="1">
      <c r="A120" s="227" t="str">
        <f>IFERROR(__xludf.DUMMYFUNCTION("ARRAYFORMULA(IFERROR(VLOOKUP(REGEXEXTRACT(B120, ""-(\w+)-""), {Data_Validation!$F$16:$F$29, Data_Validation!$E$16:$E$29}, 2, FALSE), """"))
"),"Picture This!")</f>
        <v>Picture This!</v>
      </c>
      <c r="B120" s="228" t="str">
        <f>IFERROR(__xludf.DUMMYFUNCTION("""COMPUTED_VALUE"""),"PM-PTS-07.03")</f>
        <v>PM-PTS-07.03</v>
      </c>
      <c r="C120" s="256" t="str">
        <f>IFERROR(__xludf.DUMMYFUNCTION("IFERROR(REGEXEXTRACT(B120, ""^[A-Z]+-[A-Z]+-"") &amp; TEXT(VALUE(REGEXEXTRACT(B120, ""-(\d+)\."")), ""00""), """")"),"PM-PTS-07")</f>
        <v>PM-PTS-07</v>
      </c>
      <c r="D120" s="219" t="str">
        <f>IFERROR(VLOOKUP(C120, Content_Creation!B:D, 2, FALSE), IFERROR(VLOOKUP(C120, Project_Management!B:D, 2, FALSE), ""))
&amp; " - "
&amp; IFERROR(VLOOKUP(C120, Content_Creation!B:E, 4, FALSE), IFERROR(VLOOKUP(C120, Project_Management!B:E, 4, FALSE), ""))</f>
        <v>SP-100 - Chipkol - Video</v>
      </c>
      <c r="E120" s="257" t="str">
        <f>IFERROR(
    VLOOKUP(B119:B1001, Content_Creation!B:D, 3, FALSE),
    IFERROR(VLOOKUP(B119:B1001, Project_Management!B:D, 3, FALSE),"")
  )</f>
        <v>Edit</v>
      </c>
      <c r="F120" s="230" t="str">
        <f>IFERROR(VLOOKUP(B120, Content_Creation!B:F, 5, FALSE), IFERROR(VLOOKUP(B120, Project_Management!B:F, 5, FALSE), ""))</f>
        <v>Freelancer</v>
      </c>
      <c r="G120" s="230" t="s">
        <v>26</v>
      </c>
      <c r="H120" s="231">
        <f>IFERROR(VLOOKUP(B120, Content_Creation!B:H, 7, FALSE), IFERROR(VLOOKUP(B120, Project_Management!B:H, 7, FALSE), ""))</f>
        <v>45219</v>
      </c>
      <c r="I120" s="232">
        <v>0.013888888888888888</v>
      </c>
      <c r="J120" s="223">
        <f>IFERROR(VLOOKUP(C120, Content_Creation!B:H, 7, FALSE), IFERROR(VLOOKUP(C120, Project_Management!B:H, 7, FALSE), ""))</f>
        <v>45241</v>
      </c>
      <c r="K120" s="228"/>
      <c r="L120" s="233" t="str">
        <f>IFERROR(VLOOKUP(B120, Data_Validation!X:Y, 2, FALSE), "")</f>
        <v>Done</v>
      </c>
      <c r="M120" s="226" t="str">
        <f t="shared" si="1"/>
        <v>Picture This! | SP-100 - Chipkol - Video | Edit</v>
      </c>
      <c r="N120" s="234"/>
      <c r="O120" s="234"/>
    </row>
    <row r="121" ht="24.0" customHeight="1">
      <c r="A121" s="216" t="str">
        <f>IFERROR(__xludf.DUMMYFUNCTION("ARRAYFORMULA(IFERROR(VLOOKUP(REGEXEXTRACT(B121, ""-(\w+)-""), {Data_Validation!$F$16:$F$29, Data_Validation!$E$16:$E$29}, 2, FALSE), """"))
"),"TheMVP")</f>
        <v>TheMVP</v>
      </c>
      <c r="B121" s="217" t="str">
        <f>IFERROR(__xludf.DUMMYFUNCTION("""COMPUTED_VALUE"""),"CC-MVP-67.04")</f>
        <v>CC-MVP-67.04</v>
      </c>
      <c r="C121" s="218" t="str">
        <f>IFERROR(__xludf.DUMMYFUNCTION("IFERROR(REGEXEXTRACT(B121, ""^[A-Z]+-[A-Z]+-"") &amp; TEXT(VALUE(REGEXEXTRACT(B121, ""-(\d+)\."")), ""00""), """")"),"CC-MVP-67")</f>
        <v>CC-MVP-67</v>
      </c>
      <c r="D121" s="219" t="str">
        <f>IFERROR(VLOOKUP(C121, Content_Creation!B:D, 2, FALSE), IFERROR(VLOOKUP(C121, Project_Management!B:D, 2, FALSE), ""))
&amp; " - "
&amp; IFERROR(VLOOKUP(C121, Content_Creation!B:E, 4, FALSE), IFERROR(VLOOKUP(C121, Project_Management!B:E, 4, FALSE), ""))</f>
        <v>Know Your ABC - Blender - YT Video</v>
      </c>
      <c r="E121" s="220" t="str">
        <f>IFERROR(
    VLOOKUP(B120:B1001, Content_Creation!B:D, 3, FALSE),
    IFERROR(VLOOKUP(B120:B1001, Project_Management!B:D, 3, FALSE),"")
  )</f>
        <v>Ref. + Project Files</v>
      </c>
      <c r="F121" s="221" t="str">
        <f>IFERROR(VLOOKUP(B121, Content_Creation!B:F, 5, FALSE), IFERROR(VLOOKUP(B121, Project_Management!B:F, 5, FALSE), ""))</f>
        <v>Tazeen</v>
      </c>
      <c r="G121" s="222" t="s">
        <v>26</v>
      </c>
      <c r="H121" s="223">
        <f>IFERROR(VLOOKUP(B121, Content_Creation!B:H, 7, FALSE), IFERROR(VLOOKUP(B121, Project_Management!B:H, 7, FALSE), ""))</f>
        <v>45220</v>
      </c>
      <c r="I121" s="224">
        <v>0.041666666666666664</v>
      </c>
      <c r="J121" s="223">
        <f>IFERROR(VLOOKUP(C121, Content_Creation!B:H, 7, FALSE), IFERROR(VLOOKUP(C121, Project_Management!B:H, 7, FALSE), ""))</f>
        <v>45233</v>
      </c>
      <c r="K121" s="217"/>
      <c r="L121" s="225" t="str">
        <f>IFERROR(VLOOKUP(B121, Data_Validation!X:Y, 2, FALSE), "")</f>
        <v>Done</v>
      </c>
      <c r="M121" s="226" t="str">
        <f t="shared" si="1"/>
        <v>TheMVP | Know Your ABC - Blender - YT Video | Ref. + Project Files</v>
      </c>
      <c r="N121" s="226"/>
      <c r="O121" s="226"/>
    </row>
    <row r="122" ht="24.0" customHeight="1">
      <c r="A122" s="216" t="str">
        <f>IFERROR(__xludf.DUMMYFUNCTION("ARRAYFORMULA(IFERROR(VLOOKUP(REGEXEXTRACT(B122, ""-(\w+)-""), {Data_Validation!$F$16:$F$29, Data_Validation!$E$16:$E$29}, 2, FALSE), """"))
"),"MaCaw")</f>
        <v>MaCaw</v>
      </c>
      <c r="B122" s="217" t="str">
        <f>IFERROR(__xludf.DUMMYFUNCTION("""COMPUTED_VALUE"""),"CC-MAC-06.04")</f>
        <v>CC-MAC-06.04</v>
      </c>
      <c r="C122" s="218" t="str">
        <f>IFERROR(__xludf.DUMMYFUNCTION("IFERROR(REGEXEXTRACT(B122, ""^[A-Z]+-[A-Z]+-"") &amp; TEXT(VALUE(REGEXEXTRACT(B122, ""-(\d+)\."")), ""00""), """")"),"CC-MAC-06")</f>
        <v>CC-MAC-06</v>
      </c>
      <c r="D122" s="219" t="str">
        <f>IFERROR(VLOOKUP(C122, Content_Creation!B:D, 2, FALSE), IFERROR(VLOOKUP(C122, Project_Management!B:D, 2, FALSE), ""))
&amp; " - "
&amp; IFERROR(VLOOKUP(C122, Content_Creation!B:E, 4, FALSE), IFERROR(VLOOKUP(C122, Project_Management!B:E, 4, FALSE), ""))</f>
        <v>Yoga Teacher Intro - Shorts</v>
      </c>
      <c r="E122" s="220" t="str">
        <f>IFERROR(
    VLOOKUP(B121:B1001, Content_Creation!B:D, 3, FALSE),
    IFERROR(VLOOKUP(B121:B1001, Project_Management!B:D, 3, FALSE),"")
  )</f>
        <v>Project Files</v>
      </c>
      <c r="F122" s="221" t="str">
        <f>IFERROR(VLOOKUP(B122, Content_Creation!B:F, 5, FALSE), IFERROR(VLOOKUP(B122, Project_Management!B:F, 5, FALSE), ""))</f>
        <v>Akhil</v>
      </c>
      <c r="G122" s="222" t="s">
        <v>26</v>
      </c>
      <c r="H122" s="223">
        <f>IFERROR(VLOOKUP(B122, Content_Creation!B:H, 7, FALSE), IFERROR(VLOOKUP(B122, Project_Management!B:H, 7, FALSE), ""))</f>
        <v>45220</v>
      </c>
      <c r="I122" s="224">
        <v>0.0</v>
      </c>
      <c r="J122" s="223">
        <f>IFERROR(VLOOKUP(C122, Content_Creation!B:H, 7, FALSE), IFERROR(VLOOKUP(C122, Project_Management!B:H, 7, FALSE), ""))</f>
        <v>45227</v>
      </c>
      <c r="K122" s="217"/>
      <c r="L122" s="225" t="str">
        <f>IFERROR(VLOOKUP(B122, Data_Validation!X:Y, 2, FALSE), "")</f>
        <v>Done</v>
      </c>
      <c r="M122" s="226" t="str">
        <f t="shared" si="1"/>
        <v>MaCaw | Yoga Teacher Intro - Shorts | Project Files</v>
      </c>
      <c r="N122" s="226"/>
      <c r="O122" s="226"/>
    </row>
    <row r="123" ht="24.0" customHeight="1">
      <c r="A123" s="216" t="str">
        <f>IFERROR(__xludf.DUMMYFUNCTION("ARRAYFORMULA(IFERROR(VLOOKUP(REGEXEXTRACT(B123, ""-(\w+)-""), {Data_Validation!$F$16:$F$29, Data_Validation!$E$16:$E$29}, 2, FALSE), """"))
"),"TheMVP")</f>
        <v>TheMVP</v>
      </c>
      <c r="B123" s="217" t="str">
        <f>IFERROR(__xludf.DUMMYFUNCTION("""COMPUTED_VALUE"""),"PM-MVP-02.06")</f>
        <v>PM-MVP-02.06</v>
      </c>
      <c r="C123" s="218" t="str">
        <f>IFERROR(__xludf.DUMMYFUNCTION("IFERROR(REGEXEXTRACT(B123, ""^[A-Z]+-[A-Z]+-"") &amp; TEXT(VALUE(REGEXEXTRACT(B123, ""-(\d+)\."")), ""00""), """")"),"PM-MVP-02")</f>
        <v>PM-MVP-02</v>
      </c>
      <c r="D123" s="219" t="str">
        <f>IFERROR(VLOOKUP(C123, Content_Creation!B:D, 2, FALSE), IFERROR(VLOOKUP(C123, Project_Management!B:D, 2, FALSE), ""))
&amp; " - "
&amp; IFERROR(VLOOKUP(C123, Content_Creation!B:E, 4, FALSE), IFERROR(VLOOKUP(C123, Project_Management!B:E, 4, FALSE), ""))</f>
        <v>Logitech Project - Video</v>
      </c>
      <c r="E123" s="220" t="str">
        <f>IFERROR(
    VLOOKUP(B122:B1001, Content_Creation!B:D, 3, FALSE),
    IFERROR(VLOOKUP(B122:B1001, Project_Management!B:D, 3, FALSE),"")
  )</f>
        <v>Landing Page</v>
      </c>
      <c r="F123" s="221" t="str">
        <f>IFERROR(VLOOKUP(B123, Content_Creation!B:F, 5, FALSE), IFERROR(VLOOKUP(B123, Project_Management!B:F, 5, FALSE), ""))</f>
        <v>Nasser</v>
      </c>
      <c r="G123" s="222" t="s">
        <v>26</v>
      </c>
      <c r="H123" s="223">
        <f>IFERROR(VLOOKUP(B123, Content_Creation!B:H, 7, FALSE), IFERROR(VLOOKUP(B123, Project_Management!B:H, 7, FALSE), ""))</f>
        <v>45220</v>
      </c>
      <c r="I123" s="224">
        <v>0.0</v>
      </c>
      <c r="J123" s="223">
        <f>IFERROR(VLOOKUP(C123, Content_Creation!B:H, 7, FALSE), IFERROR(VLOOKUP(C123, Project_Management!B:H, 7, FALSE), ""))</f>
        <v>45222</v>
      </c>
      <c r="K123" s="217"/>
      <c r="L123" s="225" t="str">
        <f>IFERROR(VLOOKUP(B123, Data_Validation!X:Y, 2, FALSE), "")</f>
        <v>Done</v>
      </c>
      <c r="M123" s="226" t="str">
        <f t="shared" si="1"/>
        <v>TheMVP | Logitech Project - Video | Landing Page</v>
      </c>
      <c r="N123" s="226"/>
      <c r="O123" s="226"/>
    </row>
    <row r="124" ht="24.0" customHeight="1">
      <c r="A124" s="216" t="str">
        <f>IFERROR(__xludf.DUMMYFUNCTION("ARRAYFORMULA(IFERROR(VLOOKUP(REGEXEXTRACT(B124, ""-(\w+)-""), {Data_Validation!$F$16:$F$29, Data_Validation!$E$16:$E$29}, 2, FALSE), """"))
"),"TheMVP")</f>
        <v>TheMVP</v>
      </c>
      <c r="B124" s="217" t="str">
        <f>IFERROR(__xludf.DUMMYFUNCTION("""COMPUTED_VALUE"""),"PM-MVP-02.07")</f>
        <v>PM-MVP-02.07</v>
      </c>
      <c r="C124" s="218" t="str">
        <f>IFERROR(__xludf.DUMMYFUNCTION("IFERROR(REGEXEXTRACT(B124, ""^[A-Z]+-[A-Z]+-"") &amp; TEXT(VALUE(REGEXEXTRACT(B124, ""-(\d+)\."")), ""00""), """")"),"PM-MVP-02")</f>
        <v>PM-MVP-02</v>
      </c>
      <c r="D124" s="219" t="str">
        <f>IFERROR(VLOOKUP(C124, Content_Creation!B:D, 2, FALSE), IFERROR(VLOOKUP(C124, Project_Management!B:D, 2, FALSE), ""))
&amp; " - "
&amp; IFERROR(VLOOKUP(C124, Content_Creation!B:E, 4, FALSE), IFERROR(VLOOKUP(C124, Project_Management!B:E, 4, FALSE), ""))</f>
        <v>Logitech Project - Video</v>
      </c>
      <c r="E124" s="220" t="str">
        <f>IFERROR(
    VLOOKUP(B123:B1001, Content_Creation!B:D, 3, FALSE),
    IFERROR(VLOOKUP(B123:B1001, Project_Management!B:D, 3, FALSE),"")
  )</f>
        <v>Promo Variants</v>
      </c>
      <c r="F124" s="221" t="str">
        <f>IFERROR(VLOOKUP(B124, Content_Creation!B:F, 5, FALSE), IFERROR(VLOOKUP(B124, Project_Management!B:F, 5, FALSE), ""))</f>
        <v>Nasser</v>
      </c>
      <c r="G124" s="222" t="s">
        <v>26</v>
      </c>
      <c r="H124" s="223">
        <f>IFERROR(VLOOKUP(B124, Content_Creation!B:H, 7, FALSE), IFERROR(VLOOKUP(B124, Project_Management!B:H, 7, FALSE), ""))</f>
        <v>45220</v>
      </c>
      <c r="I124" s="224">
        <v>0.020833333333333332</v>
      </c>
      <c r="J124" s="223">
        <f>IFERROR(VLOOKUP(C124, Content_Creation!B:H, 7, FALSE), IFERROR(VLOOKUP(C124, Project_Management!B:H, 7, FALSE), ""))</f>
        <v>45222</v>
      </c>
      <c r="K124" s="217"/>
      <c r="L124" s="225" t="str">
        <f>IFERROR(VLOOKUP(B124, Data_Validation!X:Y, 2, FALSE), "")</f>
        <v>Done</v>
      </c>
      <c r="M124" s="226" t="str">
        <f t="shared" si="1"/>
        <v>TheMVP | Logitech Project - Video | Promo Variants</v>
      </c>
      <c r="N124" s="226"/>
      <c r="O124" s="226"/>
    </row>
    <row r="125" ht="24.0" customHeight="1">
      <c r="A125" s="216" t="str">
        <f>IFERROR(__xludf.DUMMYFUNCTION("ARRAYFORMULA(IFERROR(VLOOKUP(REGEXEXTRACT(B125, ""-(\w+)-""), {Data_Validation!$F$16:$F$29, Data_Validation!$E$16:$E$29}, 2, FALSE), """"))
"),"Picture This!")</f>
        <v>Picture This!</v>
      </c>
      <c r="B125" s="217" t="str">
        <f>IFERROR(__xludf.DUMMYFUNCTION("""COMPUTED_VALUE"""),"PM-PTS-07.02")</f>
        <v>PM-PTS-07.02</v>
      </c>
      <c r="C125" s="218" t="str">
        <f>IFERROR(__xludf.DUMMYFUNCTION("IFERROR(REGEXEXTRACT(B125, ""^[A-Z]+-[A-Z]+-"") &amp; TEXT(VALUE(REGEXEXTRACT(B125, ""-(\d+)\."")), ""00""), """")"),"PM-PTS-07")</f>
        <v>PM-PTS-07</v>
      </c>
      <c r="D125" s="219" t="str">
        <f>IFERROR(VLOOKUP(C125, Content_Creation!B:D, 2, FALSE), IFERROR(VLOOKUP(C125, Project_Management!B:D, 2, FALSE), ""))
&amp; " - "
&amp; IFERROR(VLOOKUP(C125, Content_Creation!B:E, 4, FALSE), IFERROR(VLOOKUP(C125, Project_Management!B:E, 4, FALSE), ""))</f>
        <v>SP-100 - Chipkol - Video</v>
      </c>
      <c r="E125" s="220" t="str">
        <f>IFERROR(
    VLOOKUP(B124:B1001, Content_Creation!B:D, 3, FALSE),
    IFERROR(VLOOKUP(B124:B1001, Project_Management!B:D, 3, FALSE),"")
  )</f>
        <v>Voice Over </v>
      </c>
      <c r="F125" s="221" t="str">
        <f>IFERROR(VLOOKUP(B125, Content_Creation!B:F, 5, FALSE), IFERROR(VLOOKUP(B125, Project_Management!B:F, 5, FALSE), ""))</f>
        <v>Talha</v>
      </c>
      <c r="G125" s="222" t="s">
        <v>26</v>
      </c>
      <c r="H125" s="223">
        <f>IFERROR(VLOOKUP(B125, Content_Creation!B:H, 7, FALSE), IFERROR(VLOOKUP(B125, Project_Management!B:H, 7, FALSE), ""))</f>
        <v>45220</v>
      </c>
      <c r="I125" s="224">
        <v>0.0</v>
      </c>
      <c r="J125" s="223">
        <f>IFERROR(VLOOKUP(C125, Content_Creation!B:H, 7, FALSE), IFERROR(VLOOKUP(C125, Project_Management!B:H, 7, FALSE), ""))</f>
        <v>45241</v>
      </c>
      <c r="K125" s="217"/>
      <c r="L125" s="225" t="str">
        <f>IFERROR(VLOOKUP(B125, Data_Validation!X:Y, 2, FALSE), "")</f>
        <v>Done</v>
      </c>
      <c r="M125" s="226" t="str">
        <f t="shared" si="1"/>
        <v>Picture This! | SP-100 - Chipkol - Video | Voice Over </v>
      </c>
      <c r="N125" s="226"/>
      <c r="O125" s="226"/>
    </row>
    <row r="126" ht="24.0" customHeight="1">
      <c r="A126" s="216" t="str">
        <f>IFERROR(__xludf.DUMMYFUNCTION("ARRAYFORMULA(IFERROR(VLOOKUP(REGEXEXTRACT(B126, ""-(\w+)-""), {Data_Validation!$F$16:$F$29, Data_Validation!$E$16:$E$29}, 2, FALSE), """"))
"),"MaCaw")</f>
        <v>MaCaw</v>
      </c>
      <c r="B126" s="217" t="str">
        <f>IFERROR(__xludf.DUMMYFUNCTION("""COMPUTED_VALUE"""),"CC-MAC-06.05")</f>
        <v>CC-MAC-06.05</v>
      </c>
      <c r="C126" s="218" t="str">
        <f>IFERROR(__xludf.DUMMYFUNCTION("IFERROR(REGEXEXTRACT(B126, ""^[A-Z]+-[A-Z]+-"") &amp; TEXT(VALUE(REGEXEXTRACT(B126, ""-(\d+)\."")), ""00""), """")"),"CC-MAC-06")</f>
        <v>CC-MAC-06</v>
      </c>
      <c r="D126" s="219" t="str">
        <f>IFERROR(VLOOKUP(C126, Content_Creation!B:D, 2, FALSE), IFERROR(VLOOKUP(C126, Project_Management!B:D, 2, FALSE), ""))
&amp; " - "
&amp; IFERROR(VLOOKUP(C126, Content_Creation!B:E, 4, FALSE), IFERROR(VLOOKUP(C126, Project_Management!B:E, 4, FALSE), ""))</f>
        <v>Yoga Teacher Intro - Shorts</v>
      </c>
      <c r="E126" s="220" t="str">
        <f>IFERROR(
    VLOOKUP(B125:B1001, Content_Creation!B:D, 3, FALSE),
    IFERROR(VLOOKUP(B125:B1001, Project_Management!B:D, 3, FALSE),"")
  )</f>
        <v>Edit</v>
      </c>
      <c r="F126" s="221" t="str">
        <f>IFERROR(VLOOKUP(B126, Content_Creation!B:F, 5, FALSE), IFERROR(VLOOKUP(B126, Project_Management!B:F, 5, FALSE), ""))</f>
        <v>Akhil</v>
      </c>
      <c r="G126" s="222" t="s">
        <v>26</v>
      </c>
      <c r="H126" s="223">
        <f>IFERROR(VLOOKUP(B126, Content_Creation!B:H, 7, FALSE), IFERROR(VLOOKUP(B126, Project_Management!B:H, 7, FALSE), ""))</f>
        <v>45221</v>
      </c>
      <c r="I126" s="224">
        <v>0.0625</v>
      </c>
      <c r="J126" s="223">
        <f>IFERROR(VLOOKUP(C126, Content_Creation!B:H, 7, FALSE), IFERROR(VLOOKUP(C126, Project_Management!B:H, 7, FALSE), ""))</f>
        <v>45227</v>
      </c>
      <c r="K126" s="217"/>
      <c r="L126" s="225" t="str">
        <f>IFERROR(VLOOKUP(B126, Data_Validation!X:Y, 2, FALSE), "")</f>
        <v>Done</v>
      </c>
      <c r="M126" s="226" t="str">
        <f t="shared" si="1"/>
        <v>MaCaw | Yoga Teacher Intro - Shorts | Edit</v>
      </c>
      <c r="N126" s="226"/>
      <c r="O126" s="226"/>
    </row>
    <row r="127" ht="24.0" customHeight="1">
      <c r="A127" s="235" t="str">
        <f>IFERROR(__xludf.DUMMYFUNCTION("ARRAYFORMULA(IFERROR(VLOOKUP(REGEXEXTRACT(B127, ""-(\w+)-""), {Data_Validation!$F$16:$F$29, Data_Validation!$E$16:$E$29}, 2, FALSE), """"))
"),"TheMVP")</f>
        <v>TheMVP</v>
      </c>
      <c r="B127" s="236" t="str">
        <f>IFERROR(__xludf.DUMMYFUNCTION("""COMPUTED_VALUE"""),"PM-MVP-02.03")</f>
        <v>PM-MVP-02.03</v>
      </c>
      <c r="C127" s="258" t="str">
        <f>IFERROR(__xludf.DUMMYFUNCTION("IFERROR(REGEXEXTRACT(B127, ""^[A-Z]+-[A-Z]+-"") &amp; TEXT(VALUE(REGEXEXTRACT(B127, ""-(\d+)\."")), ""00""), """")"),"PM-MVP-02")</f>
        <v>PM-MVP-02</v>
      </c>
      <c r="D127" s="219" t="str">
        <f>IFERROR(VLOOKUP(C127, Content_Creation!B:D, 2, FALSE), IFERROR(VLOOKUP(C127, Project_Management!B:D, 2, FALSE), ""))
&amp; " - "
&amp; IFERROR(VLOOKUP(C127, Content_Creation!B:E, 4, FALSE), IFERROR(VLOOKUP(C127, Project_Management!B:E, 4, FALSE), ""))</f>
        <v>Logitech Project - Video</v>
      </c>
      <c r="E127" s="245" t="str">
        <f>IFERROR(
    VLOOKUP(B126:B1001, Content_Creation!B:D, 3, FALSE),
    IFERROR(VLOOKUP(B126:B1001, Project_Management!B:D, 3, FALSE),"")
  )</f>
        <v>Reel 3 - KB </v>
      </c>
      <c r="F127" s="238" t="str">
        <f>IFERROR(VLOOKUP(B127, Content_Creation!B:F, 5, FALSE), IFERROR(VLOOKUP(B127, Project_Management!B:F, 5, FALSE), ""))</f>
        <v>Tazeen</v>
      </c>
      <c r="G127" s="238" t="s">
        <v>26</v>
      </c>
      <c r="H127" s="239">
        <f>IFERROR(VLOOKUP(B127, Content_Creation!B:H, 7, FALSE), IFERROR(VLOOKUP(B127, Project_Management!B:H, 7, FALSE), ""))</f>
        <v>45221</v>
      </c>
      <c r="I127" s="240">
        <v>0.0625</v>
      </c>
      <c r="J127" s="223">
        <f>IFERROR(VLOOKUP(C127, Content_Creation!B:H, 7, FALSE), IFERROR(VLOOKUP(C127, Project_Management!B:H, 7, FALSE), ""))</f>
        <v>45222</v>
      </c>
      <c r="K127" s="236"/>
      <c r="L127" s="241" t="str">
        <f>IFERROR(VLOOKUP(B127, Data_Validation!X:Y, 2, FALSE), "")</f>
        <v>Done</v>
      </c>
      <c r="M127" s="226" t="str">
        <f t="shared" si="1"/>
        <v>TheMVP | Logitech Project - Video | Reel 3 - KB </v>
      </c>
      <c r="N127" s="242"/>
      <c r="O127" s="242"/>
    </row>
    <row r="128" ht="24.0" customHeight="1">
      <c r="A128" s="216" t="str">
        <f>IFERROR(__xludf.DUMMYFUNCTION("ARRAYFORMULA(IFERROR(VLOOKUP(REGEXEXTRACT(B128, ""-(\w+)-""), {Data_Validation!$F$16:$F$29, Data_Validation!$E$16:$E$29}, 2, FALSE), """"))
"),"TheMVP")</f>
        <v>TheMVP</v>
      </c>
      <c r="B128" s="217" t="str">
        <f>IFERROR(__xludf.DUMMYFUNCTION("""COMPUTED_VALUE"""),"PM-MVP-02.04")</f>
        <v>PM-MVP-02.04</v>
      </c>
      <c r="C128" s="218" t="str">
        <f>IFERROR(__xludf.DUMMYFUNCTION("IFERROR(REGEXEXTRACT(B128, ""^[A-Z]+-[A-Z]+-"") &amp; TEXT(VALUE(REGEXEXTRACT(B128, ""-(\d+)\."")), ""00""), """")"),"PM-MVP-02")</f>
        <v>PM-MVP-02</v>
      </c>
      <c r="D128" s="219" t="str">
        <f>IFERROR(VLOOKUP(C128, Content_Creation!B:D, 2, FALSE), IFERROR(VLOOKUP(C128, Project_Management!B:D, 2, FALSE), ""))
&amp; " - "
&amp; IFERROR(VLOOKUP(C128, Content_Creation!B:E, 4, FALSE), IFERROR(VLOOKUP(C128, Project_Management!B:E, 4, FALSE), ""))</f>
        <v>Logitech Project - Video</v>
      </c>
      <c r="E128" s="220" t="str">
        <f>IFERROR(
    VLOOKUP(B127:B1001, Content_Creation!B:D, 3, FALSE),
    IFERROR(VLOOKUP(B127:B1001, Project_Management!B:D, 3, FALSE),"")
  )</f>
        <v>Reel 4 - KB 2</v>
      </c>
      <c r="F128" s="221" t="str">
        <f>IFERROR(VLOOKUP(B128, Content_Creation!B:F, 5, FALSE), IFERROR(VLOOKUP(B128, Project_Management!B:F, 5, FALSE), ""))</f>
        <v>Tazeen</v>
      </c>
      <c r="G128" s="222" t="s">
        <v>26</v>
      </c>
      <c r="H128" s="223">
        <f>IFERROR(VLOOKUP(B128, Content_Creation!B:H, 7, FALSE), IFERROR(VLOOKUP(B128, Project_Management!B:H, 7, FALSE), ""))</f>
        <v>45221</v>
      </c>
      <c r="I128" s="224">
        <v>0.08333333333333333</v>
      </c>
      <c r="J128" s="223">
        <f>IFERROR(VLOOKUP(C128, Content_Creation!B:H, 7, FALSE), IFERROR(VLOOKUP(C128, Project_Management!B:H, 7, FALSE), ""))</f>
        <v>45222</v>
      </c>
      <c r="K128" s="217"/>
      <c r="L128" s="225" t="str">
        <f>IFERROR(VLOOKUP(B128, Data_Validation!X:Y, 2, FALSE), "")</f>
        <v>Done</v>
      </c>
      <c r="M128" s="226" t="str">
        <f t="shared" si="1"/>
        <v>TheMVP | Logitech Project - Video | Reel 4 - KB 2</v>
      </c>
      <c r="N128" s="226"/>
      <c r="O128" s="226"/>
    </row>
    <row r="129" ht="24.0" customHeight="1">
      <c r="A129" s="216" t="str">
        <f>IFERROR(__xludf.DUMMYFUNCTION("ARRAYFORMULA(IFERROR(VLOOKUP(REGEXEXTRACT(B129, ""-(\w+)-""), {Data_Validation!$F$16:$F$29, Data_Validation!$E$16:$E$29}, 2, FALSE), """"))
"),"TheMVP")</f>
        <v>TheMVP</v>
      </c>
      <c r="B129" s="217" t="str">
        <f>IFERROR(__xludf.DUMMYFUNCTION("""COMPUTED_VALUE"""),"PM-MVP-02.05")</f>
        <v>PM-MVP-02.05</v>
      </c>
      <c r="C129" s="218" t="str">
        <f>IFERROR(__xludf.DUMMYFUNCTION("IFERROR(REGEXEXTRACT(B129, ""^[A-Z]+-[A-Z]+-"") &amp; TEXT(VALUE(REGEXEXTRACT(B129, ""-(\d+)\."")), ""00""), """")"),"PM-MVP-02")</f>
        <v>PM-MVP-02</v>
      </c>
      <c r="D129" s="219" t="str">
        <f>IFERROR(VLOOKUP(C129, Content_Creation!B:D, 2, FALSE), IFERROR(VLOOKUP(C129, Project_Management!B:D, 2, FALSE), ""))
&amp; " - "
&amp; IFERROR(VLOOKUP(C129, Content_Creation!B:E, 4, FALSE), IFERROR(VLOOKUP(C129, Project_Management!B:E, 4, FALSE), ""))</f>
        <v>Logitech Project - Video</v>
      </c>
      <c r="E129" s="220" t="str">
        <f>IFERROR(
    VLOOKUP(B128:B1001, Content_Creation!B:D, 3, FALSE),
    IFERROR(VLOOKUP(B128:B1001, Project_Management!B:D, 3, FALSE),"")
  )</f>
        <v>Reel 5 - Headset</v>
      </c>
      <c r="F129" s="221" t="str">
        <f>IFERROR(VLOOKUP(B129, Content_Creation!B:F, 5, FALSE), IFERROR(VLOOKUP(B129, Project_Management!B:F, 5, FALSE), ""))</f>
        <v>Tazeen</v>
      </c>
      <c r="G129" s="222" t="s">
        <v>26</v>
      </c>
      <c r="H129" s="223">
        <f>IFERROR(VLOOKUP(B129, Content_Creation!B:H, 7, FALSE), IFERROR(VLOOKUP(B129, Project_Management!B:H, 7, FALSE), ""))</f>
        <v>45221</v>
      </c>
      <c r="I129" s="224">
        <v>0.0</v>
      </c>
      <c r="J129" s="223">
        <f>IFERROR(VLOOKUP(C129, Content_Creation!B:H, 7, FALSE), IFERROR(VLOOKUP(C129, Project_Management!B:H, 7, FALSE), ""))</f>
        <v>45222</v>
      </c>
      <c r="K129" s="217"/>
      <c r="L129" s="225" t="str">
        <f>IFERROR(VLOOKUP(B129, Data_Validation!X:Y, 2, FALSE), "")</f>
        <v>Done</v>
      </c>
      <c r="M129" s="226" t="str">
        <f t="shared" si="1"/>
        <v>TheMVP | Logitech Project - Video | Reel 5 - Headset</v>
      </c>
      <c r="N129" s="226"/>
      <c r="O129" s="226"/>
    </row>
    <row r="130" ht="24.0" customHeight="1">
      <c r="A130" s="216" t="str">
        <f>IFERROR(__xludf.DUMMYFUNCTION("ARRAYFORMULA(IFERROR(VLOOKUP(REGEXEXTRACT(B130, ""-(\w+)-""), {Data_Validation!$F$16:$F$29, Data_Validation!$E$16:$E$29}, 2, FALSE), """"))
"),"Thats No Moon")</f>
        <v>Thats No Moon</v>
      </c>
      <c r="B130" s="217" t="str">
        <f>IFERROR(__xludf.DUMMYFUNCTION("""COMPUTED_VALUE"""),"PM-TNM-01.05")</f>
        <v>PM-TNM-01.05</v>
      </c>
      <c r="C130" s="218" t="str">
        <f>IFERROR(__xludf.DUMMYFUNCTION("IFERROR(REGEXEXTRACT(B130, ""^[A-Z]+-[A-Z]+-"") &amp; TEXT(VALUE(REGEXEXTRACT(B130, ""-(\d+)\."")), ""00""), """")"),"PM-TNM-01")</f>
        <v>PM-TNM-01</v>
      </c>
      <c r="D130" s="219" t="str">
        <f>IFERROR(VLOOKUP(C130, Content_Creation!B:D, 2, FALSE), IFERROR(VLOOKUP(C130, Project_Management!B:D, 2, FALSE), ""))
&amp; " - "
&amp; IFERROR(VLOOKUP(C130, Content_Creation!B:E, 4, FALSE), IFERROR(VLOOKUP(C130, Project_Management!B:E, 4, FALSE), ""))</f>
        <v>GIF Design - Graphics</v>
      </c>
      <c r="E130" s="220" t="str">
        <f>IFERROR(
    VLOOKUP(B129:B1001, Content_Creation!B:D, 3, FALSE),
    IFERROR(VLOOKUP(B129:B1001, Project_Management!B:D, 3, FALSE),"")
  )</f>
        <v>Finalise</v>
      </c>
      <c r="F130" s="221" t="str">
        <f>IFERROR(VLOOKUP(B130, Content_Creation!B:F, 5, FALSE), IFERROR(VLOOKUP(B130, Project_Management!B:F, 5, FALSE), ""))</f>
        <v>Nasser</v>
      </c>
      <c r="G130" s="222" t="s">
        <v>26</v>
      </c>
      <c r="H130" s="223">
        <f>IFERROR(VLOOKUP(B130, Content_Creation!B:H, 7, FALSE), IFERROR(VLOOKUP(B130, Project_Management!B:H, 7, FALSE), ""))</f>
        <v>45221.53804</v>
      </c>
      <c r="I130" s="224">
        <v>0.0</v>
      </c>
      <c r="J130" s="223">
        <f>IFERROR(VLOOKUP(C130, Content_Creation!B:H, 7, FALSE), IFERROR(VLOOKUP(C130, Project_Management!B:H, 7, FALSE), ""))</f>
        <v>45238</v>
      </c>
      <c r="K130" s="217"/>
      <c r="L130" s="225" t="str">
        <f>IFERROR(VLOOKUP(B130, Data_Validation!X:Y, 2, FALSE), "")</f>
        <v>Done</v>
      </c>
      <c r="M130" s="226" t="str">
        <f t="shared" si="1"/>
        <v>Thats No Moon | GIF Design - Graphics | Finalise</v>
      </c>
      <c r="N130" s="226"/>
      <c r="O130" s="226"/>
    </row>
    <row r="131" ht="24.0" customHeight="1">
      <c r="A131" s="216" t="str">
        <f>IFERROR(__xludf.DUMMYFUNCTION("ARRAYFORMULA(IFERROR(VLOOKUP(REGEXEXTRACT(B131, ""-(\w+)-""), {Data_Validation!$F$16:$F$29, Data_Validation!$E$16:$E$29}, 2, FALSE), """"))
"),"MaCaw")</f>
        <v>MaCaw</v>
      </c>
      <c r="B131" s="217" t="str">
        <f>IFERROR(__xludf.DUMMYFUNCTION("""COMPUTED_VALUE"""),"CC-MAC-07.03")</f>
        <v>CC-MAC-07.03</v>
      </c>
      <c r="C131" s="218" t="str">
        <f>IFERROR(__xludf.DUMMYFUNCTION("IFERROR(REGEXEXTRACT(B131, ""^[A-Z]+-[A-Z]+-"") &amp; TEXT(VALUE(REGEXEXTRACT(B131, ""-(\d+)\."")), ""00""), """")"),"CC-MAC-07")</f>
        <v>CC-MAC-07</v>
      </c>
      <c r="D131" s="219" t="str">
        <f>IFERROR(VLOOKUP(C131, Content_Creation!B:D, 2, FALSE), IFERROR(VLOOKUP(C131, Project_Management!B:D, 2, FALSE), ""))
&amp; " - "
&amp; IFERROR(VLOOKUP(C131, Content_Creation!B:E, 4, FALSE), IFERROR(VLOOKUP(C131, Project_Management!B:E, 4, FALSE), ""))</f>
        <v>Yoga Teacher Photos - Insta</v>
      </c>
      <c r="E131" s="220" t="str">
        <f>IFERROR(
    VLOOKUP(B130:B1001, Content_Creation!B:D, 3, FALSE),
    IFERROR(VLOOKUP(B130:B1001, Project_Management!B:D, 3, FALSE),"")
  )</f>
        <v>Edit + Captions</v>
      </c>
      <c r="F131" s="221" t="str">
        <f>IFERROR(VLOOKUP(B131, Content_Creation!B:F, 5, FALSE), IFERROR(VLOOKUP(B131, Project_Management!B:F, 5, FALSE), ""))</f>
        <v>Akhil</v>
      </c>
      <c r="G131" s="222" t="s">
        <v>26</v>
      </c>
      <c r="H131" s="223">
        <f>IFERROR(VLOOKUP(B131, Content_Creation!B:H, 7, FALSE), IFERROR(VLOOKUP(B131, Project_Management!B:H, 7, FALSE), ""))</f>
        <v>45222</v>
      </c>
      <c r="I131" s="224">
        <v>0.0</v>
      </c>
      <c r="J131" s="223">
        <f>IFERROR(VLOOKUP(C131, Content_Creation!B:H, 7, FALSE), IFERROR(VLOOKUP(C131, Project_Management!B:H, 7, FALSE), ""))</f>
        <v>45227</v>
      </c>
      <c r="K131" s="217"/>
      <c r="L131" s="225" t="str">
        <f>IFERROR(VLOOKUP(B131, Data_Validation!X:Y, 2, FALSE), "")</f>
        <v>Done</v>
      </c>
      <c r="M131" s="226" t="str">
        <f t="shared" si="1"/>
        <v>MaCaw | Yoga Teacher Photos - Insta | Edit + Captions</v>
      </c>
      <c r="N131" s="226"/>
      <c r="O131" s="226"/>
    </row>
    <row r="132" ht="24.0" customHeight="1">
      <c r="A132" s="216" t="str">
        <f>IFERROR(__xludf.DUMMYFUNCTION("ARRAYFORMULA(IFERROR(VLOOKUP(REGEXEXTRACT(B132, ""-(\w+)-""), {Data_Validation!$F$16:$F$29, Data_Validation!$E$16:$E$29}, 2, FALSE), """"))
"),"MaCaw")</f>
        <v>MaCaw</v>
      </c>
      <c r="B132" s="217" t="str">
        <f>IFERROR(__xludf.DUMMYFUNCTION("""COMPUTED_VALUE"""),"CC-MAC-08.04")</f>
        <v>CC-MAC-08.04</v>
      </c>
      <c r="C132" s="218" t="str">
        <f>IFERROR(__xludf.DUMMYFUNCTION("IFERROR(REGEXEXTRACT(B132, ""^[A-Z]+-[A-Z]+-"") &amp; TEXT(VALUE(REGEXEXTRACT(B132, ""-(\d+)\."")), ""00""), """")"),"CC-MAC-08")</f>
        <v>CC-MAC-08</v>
      </c>
      <c r="D132" s="219" t="str">
        <f>IFERROR(VLOOKUP(C132, Content_Creation!B:D, 2, FALSE), IFERROR(VLOOKUP(C132, Project_Management!B:D, 2, FALSE), ""))
&amp; " - "
&amp; IFERROR(VLOOKUP(C132, Content_Creation!B:E, 4, FALSE), IFERROR(VLOOKUP(C132, Project_Management!B:E, 4, FALSE), ""))</f>
        <v>Art &amp; Craft Teacher Intro - Shorts</v>
      </c>
      <c r="E132" s="220" t="str">
        <f>IFERROR(
    VLOOKUP(B131:B1001, Content_Creation!B:D, 3, FALSE),
    IFERROR(VLOOKUP(B131:B1001, Project_Management!B:D, 3, FALSE),"")
  )</f>
        <v>Project Files</v>
      </c>
      <c r="F132" s="221" t="str">
        <f>IFERROR(VLOOKUP(B132, Content_Creation!B:F, 5, FALSE), IFERROR(VLOOKUP(B132, Project_Management!B:F, 5, FALSE), ""))</f>
        <v>Akhil</v>
      </c>
      <c r="G132" s="222" t="s">
        <v>26</v>
      </c>
      <c r="H132" s="223">
        <f>IFERROR(VLOOKUP(B132, Content_Creation!B:H, 7, FALSE), IFERROR(VLOOKUP(B132, Project_Management!B:H, 7, FALSE), ""))</f>
        <v>45222</v>
      </c>
      <c r="I132" s="224">
        <v>0.0</v>
      </c>
      <c r="J132" s="223">
        <f>IFERROR(VLOOKUP(C132, Content_Creation!B:H, 7, FALSE), IFERROR(VLOOKUP(C132, Project_Management!B:H, 7, FALSE), ""))</f>
        <v>45228</v>
      </c>
      <c r="K132" s="217"/>
      <c r="L132" s="225" t="str">
        <f>IFERROR(VLOOKUP(B132, Data_Validation!X:Y, 2, FALSE), "")</f>
        <v>Done</v>
      </c>
      <c r="M132" s="226" t="str">
        <f t="shared" si="1"/>
        <v>MaCaw | Art &amp; Craft Teacher Intro - Shorts | Project Files</v>
      </c>
      <c r="N132" s="226"/>
      <c r="O132" s="226"/>
    </row>
    <row r="133" ht="24.0" customHeight="1">
      <c r="A133" s="216" t="str">
        <f>IFERROR(__xludf.DUMMYFUNCTION("ARRAYFORMULA(IFERROR(VLOOKUP(REGEXEXTRACT(B133, ""-(\w+)-""), {Data_Validation!$F$16:$F$29, Data_Validation!$E$16:$E$29}, 2, FALSE), """"))
"),"TheMVP")</f>
        <v>TheMVP</v>
      </c>
      <c r="B133" s="217" t="str">
        <f>IFERROR(__xludf.DUMMYFUNCTION("""COMPUTED_VALUE"""),"PM-MVP-02.02")</f>
        <v>PM-MVP-02.02</v>
      </c>
      <c r="C133" s="218" t="str">
        <f>IFERROR(__xludf.DUMMYFUNCTION("IFERROR(REGEXEXTRACT(B133, ""^[A-Z]+-[A-Z]+-"") &amp; TEXT(VALUE(REGEXEXTRACT(B133, ""-(\d+)\."")), ""00""), """")"),"PM-MVP-02")</f>
        <v>PM-MVP-02</v>
      </c>
      <c r="D133" s="219" t="str">
        <f>IFERROR(VLOOKUP(C133, Content_Creation!B:D, 2, FALSE), IFERROR(VLOOKUP(C133, Project_Management!B:D, 2, FALSE), ""))
&amp; " - "
&amp; IFERROR(VLOOKUP(C133, Content_Creation!B:E, 4, FALSE), IFERROR(VLOOKUP(C133, Project_Management!B:E, 4, FALSE), ""))</f>
        <v>Logitech Project - Video</v>
      </c>
      <c r="E133" s="220" t="str">
        <f>IFERROR(
    VLOOKUP(B132:B1001, Content_Creation!B:D, 3, FALSE),
    IFERROR(VLOOKUP(B132:B1001, Project_Management!B:D, 3, FALSE),"")
  )</f>
        <v>Reel 2 - Superlight</v>
      </c>
      <c r="F133" s="221" t="str">
        <f>IFERROR(VLOOKUP(B133, Content_Creation!B:F, 5, FALSE), IFERROR(VLOOKUP(B133, Project_Management!B:F, 5, FALSE), ""))</f>
        <v>Tazeen</v>
      </c>
      <c r="G133" s="222" t="s">
        <v>26</v>
      </c>
      <c r="H133" s="223">
        <f>IFERROR(VLOOKUP(B133, Content_Creation!B:H, 7, FALSE), IFERROR(VLOOKUP(B133, Project_Management!B:H, 7, FALSE), ""))</f>
        <v>45222</v>
      </c>
      <c r="I133" s="224">
        <v>0.0</v>
      </c>
      <c r="J133" s="223">
        <f>IFERROR(VLOOKUP(C133, Content_Creation!B:H, 7, FALSE), IFERROR(VLOOKUP(C133, Project_Management!B:H, 7, FALSE), ""))</f>
        <v>45222</v>
      </c>
      <c r="K133" s="217"/>
      <c r="L133" s="225" t="str">
        <f>IFERROR(VLOOKUP(B133, Data_Validation!X:Y, 2, FALSE), "")</f>
        <v>Done</v>
      </c>
      <c r="M133" s="226" t="str">
        <f t="shared" si="1"/>
        <v>TheMVP | Logitech Project - Video | Reel 2 - Superlight</v>
      </c>
      <c r="N133" s="226"/>
      <c r="O133" s="226"/>
    </row>
    <row r="134" ht="24.0" customHeight="1">
      <c r="A134" s="216" t="str">
        <f>IFERROR(__xludf.DUMMYFUNCTION("ARRAYFORMULA(IFERROR(VLOOKUP(REGEXEXTRACT(B134, ""-(\w+)-""), {Data_Validation!$F$16:$F$29, Data_Validation!$E$16:$E$29}, 2, FALSE), """"))
"),"Inno3D")</f>
        <v>Inno3D</v>
      </c>
      <c r="B134" s="217" t="str">
        <f>IFERROR(__xludf.DUMMYFUNCTION("""COMPUTED_VALUE"""),"PM-INN-01.02")</f>
        <v>PM-INN-01.02</v>
      </c>
      <c r="C134" s="218" t="str">
        <f>IFERROR(__xludf.DUMMYFUNCTION("IFERROR(REGEXEXTRACT(B134, ""^[A-Z]+-[A-Z]+-"") &amp; TEXT(VALUE(REGEXEXTRACT(B134, ""-(\d+)\."")), ""00""), """")"),"PM-INN-01")</f>
        <v>PM-INN-01</v>
      </c>
      <c r="D134" s="219" t="str">
        <f>IFERROR(VLOOKUP(C134, Content_Creation!B:D, 2, FALSE), IFERROR(VLOOKUP(C134, Project_Management!B:D, 2, FALSE), ""))
&amp; " - "
&amp; IFERROR(VLOOKUP(C134, Content_Creation!B:E, 4, FALSE), IFERROR(VLOOKUP(C134, Project_Management!B:E, 4, FALSE), ""))</f>
        <v>AdHoc - Misc</v>
      </c>
      <c r="E134" s="220" t="str">
        <f>IFERROR(
    VLOOKUP(B133:B1001, Content_Creation!B:D, 3, FALSE),
    IFERROR(VLOOKUP(B133:B1001, Project_Management!B:D, 3, FALSE),"")
  )</f>
        <v>Landing Page Slices</v>
      </c>
      <c r="F134" s="221" t="str">
        <f>IFERROR(VLOOKUP(B134, Content_Creation!B:F, 5, FALSE), IFERROR(VLOOKUP(B134, Project_Management!B:F, 5, FALSE), ""))</f>
        <v>Nasser</v>
      </c>
      <c r="G134" s="222" t="s">
        <v>26</v>
      </c>
      <c r="H134" s="223">
        <f>IFERROR(VLOOKUP(B134, Content_Creation!B:H, 7, FALSE), IFERROR(VLOOKUP(B134, Project_Management!B:H, 7, FALSE), ""))</f>
        <v>45222</v>
      </c>
      <c r="I134" s="224">
        <v>0.0</v>
      </c>
      <c r="J134" s="223">
        <f>IFERROR(VLOOKUP(C134, Content_Creation!B:H, 7, FALSE), IFERROR(VLOOKUP(C134, Project_Management!B:H, 7, FALSE), ""))</f>
        <v>45239</v>
      </c>
      <c r="K134" s="217"/>
      <c r="L134" s="225" t="str">
        <f>IFERROR(VLOOKUP(B134, Data_Validation!X:Y, 2, FALSE), "")</f>
        <v>Done</v>
      </c>
      <c r="M134" s="226" t="str">
        <f t="shared" si="1"/>
        <v>Inno3D | AdHoc - Misc | Landing Page Slices</v>
      </c>
      <c r="N134" s="226"/>
      <c r="O134" s="226"/>
    </row>
    <row r="135" ht="24.0" customHeight="1">
      <c r="A135" s="216" t="str">
        <f>IFERROR(__xludf.DUMMYFUNCTION("ARRAYFORMULA(IFERROR(VLOOKUP(REGEXEXTRACT(B135, ""-(\w+)-""), {Data_Validation!$F$16:$F$29, Data_Validation!$E$16:$E$29}, 2, FALSE), """"))
"),"MaCaw")</f>
        <v>MaCaw</v>
      </c>
      <c r="B135" s="217" t="str">
        <f>IFERROR(__xludf.DUMMYFUNCTION("""COMPUTED_VALUE"""),"CC-MAC-08.05")</f>
        <v>CC-MAC-08.05</v>
      </c>
      <c r="C135" s="218" t="str">
        <f>IFERROR(__xludf.DUMMYFUNCTION("IFERROR(REGEXEXTRACT(B135, ""^[A-Z]+-[A-Z]+-"") &amp; TEXT(VALUE(REGEXEXTRACT(B135, ""-(\d+)\."")), ""00""), """")"),"CC-MAC-08")</f>
        <v>CC-MAC-08</v>
      </c>
      <c r="D135" s="219" t="str">
        <f>IFERROR(VLOOKUP(C135, Content_Creation!B:D, 2, FALSE), IFERROR(VLOOKUP(C135, Project_Management!B:D, 2, FALSE), ""))
&amp; " - "
&amp; IFERROR(VLOOKUP(C135, Content_Creation!B:E, 4, FALSE), IFERROR(VLOOKUP(C135, Project_Management!B:E, 4, FALSE), ""))</f>
        <v>Art &amp; Craft Teacher Intro - Shorts</v>
      </c>
      <c r="E135" s="220" t="str">
        <f>IFERROR(
    VLOOKUP(B134:B1001, Content_Creation!B:D, 3, FALSE),
    IFERROR(VLOOKUP(B134:B1001, Project_Management!B:D, 3, FALSE),"")
  )</f>
        <v>Edit</v>
      </c>
      <c r="F135" s="221" t="str">
        <f>IFERROR(VLOOKUP(B135, Content_Creation!B:F, 5, FALSE), IFERROR(VLOOKUP(B135, Project_Management!B:F, 5, FALSE), ""))</f>
        <v>Akhil</v>
      </c>
      <c r="G135" s="222" t="s">
        <v>26</v>
      </c>
      <c r="H135" s="223">
        <f>IFERROR(VLOOKUP(B135, Content_Creation!B:H, 7, FALSE), IFERROR(VLOOKUP(B135, Project_Management!B:H, 7, FALSE), ""))</f>
        <v>45223</v>
      </c>
      <c r="I135" s="224">
        <v>0.0</v>
      </c>
      <c r="J135" s="223">
        <f>IFERROR(VLOOKUP(C135, Content_Creation!B:H, 7, FALSE), IFERROR(VLOOKUP(C135, Project_Management!B:H, 7, FALSE), ""))</f>
        <v>45228</v>
      </c>
      <c r="K135" s="217"/>
      <c r="L135" s="225" t="str">
        <f>IFERROR(VLOOKUP(B135, Data_Validation!X:Y, 2, FALSE), "")</f>
        <v>Done</v>
      </c>
      <c r="M135" s="226" t="str">
        <f t="shared" si="1"/>
        <v>MaCaw | Art &amp; Craft Teacher Intro - Shorts | Edit</v>
      </c>
      <c r="N135" s="226"/>
      <c r="O135" s="226"/>
    </row>
    <row r="136" ht="24.0" customHeight="1">
      <c r="A136" s="216" t="str">
        <f>IFERROR(__xludf.DUMMYFUNCTION("ARRAYFORMULA(IFERROR(VLOOKUP(REGEXEXTRACT(B136, ""-(\w+)-""), {Data_Validation!$F$16:$F$29, Data_Validation!$E$16:$E$29}, 2, FALSE), """"))
"),"Picture This!")</f>
        <v>Picture This!</v>
      </c>
      <c r="B136" s="217" t="str">
        <f>IFERROR(__xludf.DUMMYFUNCTION("""COMPUTED_VALUE"""),"PM-PTS-05.11")</f>
        <v>PM-PTS-05.11</v>
      </c>
      <c r="C136" s="218" t="str">
        <f>IFERROR(__xludf.DUMMYFUNCTION("IFERROR(REGEXEXTRACT(B136, ""^[A-Z]+-[A-Z]+-"") &amp; TEXT(VALUE(REGEXEXTRACT(B136, ""-(\d+)\."")), ""00""), """")"),"PM-PTS-05")</f>
        <v>PM-PTS-05</v>
      </c>
      <c r="D136" s="219" t="str">
        <f>IFERROR(VLOOKUP(C136, Content_Creation!B:D, 2, FALSE), IFERROR(VLOOKUP(C136, Project_Management!B:D, 2, FALSE), ""))
&amp; " - "
&amp; IFERROR(VLOOKUP(C136, Content_Creation!B:E, 4, FALSE), IFERROR(VLOOKUP(C136, Project_Management!B:E, 4, FALSE), ""))</f>
        <v>Picture This- AdHoc - Website</v>
      </c>
      <c r="E136" s="220" t="str">
        <f>IFERROR(
    VLOOKUP(B135:B1001, Content_Creation!B:D, 3, FALSE),
    IFERROR(VLOOKUP(B135:B1001, Project_Management!B:D, 3, FALSE),"")
  )</f>
        <v>Ideation Colorful</v>
      </c>
      <c r="F136" s="221" t="str">
        <f>IFERROR(VLOOKUP(B136, Content_Creation!B:F, 5, FALSE), IFERROR(VLOOKUP(B136, Project_Management!B:F, 5, FALSE), ""))</f>
        <v>Naveen</v>
      </c>
      <c r="G136" s="222" t="s">
        <v>26</v>
      </c>
      <c r="H136" s="223">
        <f>IFERROR(VLOOKUP(B136, Content_Creation!B:H, 7, FALSE), IFERROR(VLOOKUP(B136, Project_Management!B:H, 7, FALSE), ""))</f>
        <v>45223</v>
      </c>
      <c r="I136" s="224">
        <v>0.0</v>
      </c>
      <c r="J136" s="223">
        <f>IFERROR(VLOOKUP(C136, Content_Creation!B:H, 7, FALSE), IFERROR(VLOOKUP(C136, Project_Management!B:H, 7, FALSE), ""))</f>
        <v>45241</v>
      </c>
      <c r="K136" s="217"/>
      <c r="L136" s="225" t="str">
        <f>IFERROR(VLOOKUP(B136, Data_Validation!X:Y, 2, FALSE), "")</f>
        <v>Done</v>
      </c>
      <c r="M136" s="226" t="str">
        <f t="shared" si="1"/>
        <v>Picture This! | Picture This- AdHoc - Website | Ideation Colorful</v>
      </c>
      <c r="N136" s="226"/>
      <c r="O136" s="226"/>
    </row>
    <row r="137" ht="24.0" customHeight="1">
      <c r="A137" s="216" t="str">
        <f>IFERROR(__xludf.DUMMYFUNCTION("ARRAYFORMULA(IFERROR(VLOOKUP(REGEXEXTRACT(B137, ""-(\w+)-""), {Data_Validation!$F$16:$F$29, Data_Validation!$E$16:$E$29}, 2, FALSE), """"))
"),"Picture This!")</f>
        <v>Picture This!</v>
      </c>
      <c r="B137" s="217" t="str">
        <f>IFERROR(__xludf.DUMMYFUNCTION("""COMPUTED_VALUE"""),"PM-PTS-05.12")</f>
        <v>PM-PTS-05.12</v>
      </c>
      <c r="C137" s="218" t="str">
        <f>IFERROR(__xludf.DUMMYFUNCTION("IFERROR(REGEXEXTRACT(B137, ""^[A-Z]+-[A-Z]+-"") &amp; TEXT(VALUE(REGEXEXTRACT(B137, ""-(\d+)\."")), ""00""), """")"),"PM-PTS-05")</f>
        <v>PM-PTS-05</v>
      </c>
      <c r="D137" s="219" t="str">
        <f>IFERROR(VLOOKUP(C137, Content_Creation!B:D, 2, FALSE), IFERROR(VLOOKUP(C137, Project_Management!B:D, 2, FALSE), ""))
&amp; " - "
&amp; IFERROR(VLOOKUP(C137, Content_Creation!B:E, 4, FALSE), IFERROR(VLOOKUP(C137, Project_Management!B:E, 4, FALSE), ""))</f>
        <v>Picture This- AdHoc - Website</v>
      </c>
      <c r="E137" s="220" t="str">
        <f>IFERROR(
    VLOOKUP(B136:B1001, Content_Creation!B:D, 3, FALSE),
    IFERROR(VLOOKUP(B136:B1001, Project_Management!B:D, 3, FALSE),"")
  )</f>
        <v>Ideation INNO3D</v>
      </c>
      <c r="F137" s="221" t="str">
        <f>IFERROR(VLOOKUP(B137, Content_Creation!B:F, 5, FALSE), IFERROR(VLOOKUP(B137, Project_Management!B:F, 5, FALSE), ""))</f>
        <v>Naveen</v>
      </c>
      <c r="G137" s="222" t="s">
        <v>26</v>
      </c>
      <c r="H137" s="223">
        <f>IFERROR(VLOOKUP(B137, Content_Creation!B:H, 7, FALSE), IFERROR(VLOOKUP(B137, Project_Management!B:H, 7, FALSE), ""))</f>
        <v>45223</v>
      </c>
      <c r="I137" s="224">
        <v>0.010416666666666666</v>
      </c>
      <c r="J137" s="223">
        <f>IFERROR(VLOOKUP(C137, Content_Creation!B:H, 7, FALSE), IFERROR(VLOOKUP(C137, Project_Management!B:H, 7, FALSE), ""))</f>
        <v>45241</v>
      </c>
      <c r="K137" s="217"/>
      <c r="L137" s="225" t="str">
        <f>IFERROR(VLOOKUP(B137, Data_Validation!X:Y, 2, FALSE), "")</f>
        <v>Done</v>
      </c>
      <c r="M137" s="226" t="str">
        <f t="shared" si="1"/>
        <v>Picture This! | Picture This- AdHoc - Website | Ideation INNO3D</v>
      </c>
      <c r="N137" s="226"/>
      <c r="O137" s="226"/>
    </row>
    <row r="138" ht="24.0" customHeight="1">
      <c r="A138" s="227" t="str">
        <f>IFERROR(__xludf.DUMMYFUNCTION("ARRAYFORMULA(IFERROR(VLOOKUP(REGEXEXTRACT(B138, ""-(\w+)-""), {Data_Validation!$F$16:$F$29, Data_Validation!$E$16:$E$29}, 2, FALSE), """"))
"),"MaCaw")</f>
        <v>MaCaw</v>
      </c>
      <c r="B138" s="228" t="str">
        <f>IFERROR(__xludf.DUMMYFUNCTION("""COMPUTED_VALUE"""),"CC-MAC-09.03")</f>
        <v>CC-MAC-09.03</v>
      </c>
      <c r="C138" s="256" t="str">
        <f>IFERROR(__xludf.DUMMYFUNCTION("IFERROR(REGEXEXTRACT(B138, ""^[A-Z]+-[A-Z]+-"") &amp; TEXT(VALUE(REGEXEXTRACT(B138, ""-(\d+)\."")), ""00""), """")"),"CC-MAC-09")</f>
        <v>CC-MAC-09</v>
      </c>
      <c r="D138" s="219" t="str">
        <f>IFERROR(VLOOKUP(C138, Content_Creation!B:D, 2, FALSE), IFERROR(VLOOKUP(C138, Project_Management!B:D, 2, FALSE), ""))
&amp; " - "
&amp; IFERROR(VLOOKUP(C138, Content_Creation!B:E, 4, FALSE), IFERROR(VLOOKUP(C138, Project_Management!B:E, 4, FALSE), ""))</f>
        <v>Art &amp; Craft Teacher Photos - Insta</v>
      </c>
      <c r="E138" s="257" t="str">
        <f>IFERROR(
    VLOOKUP(B137:B1001, Content_Creation!B:D, 3, FALSE),
    IFERROR(VLOOKUP(B137:B1001, Project_Management!B:D, 3, FALSE),"")
  )</f>
        <v>Edit + Captions</v>
      </c>
      <c r="F138" s="230" t="str">
        <f>IFERROR(VLOOKUP(B138, Content_Creation!B:F, 5, FALSE), IFERROR(VLOOKUP(B138, Project_Management!B:F, 5, FALSE), ""))</f>
        <v>Akhil</v>
      </c>
      <c r="G138" s="259" t="s">
        <v>26</v>
      </c>
      <c r="H138" s="231">
        <f>IFERROR(VLOOKUP(B138, Content_Creation!B:H, 7, FALSE), IFERROR(VLOOKUP(B138, Project_Management!B:H, 7, FALSE), ""))</f>
        <v>45224</v>
      </c>
      <c r="I138" s="232">
        <v>0.0</v>
      </c>
      <c r="J138" s="223">
        <f>IFERROR(VLOOKUP(C138, Content_Creation!B:H, 7, FALSE), IFERROR(VLOOKUP(C138, Project_Management!B:H, 7, FALSE), ""))</f>
        <v>45228</v>
      </c>
      <c r="K138" s="228"/>
      <c r="L138" s="233" t="str">
        <f>IFERROR(VLOOKUP(B138, Data_Validation!X:Y, 2, FALSE), "")</f>
        <v>Done</v>
      </c>
      <c r="M138" s="226" t="str">
        <f t="shared" si="1"/>
        <v>MaCaw | Art &amp; Craft Teacher Photos - Insta | Edit + Captions</v>
      </c>
      <c r="N138" s="234"/>
      <c r="O138" s="234"/>
    </row>
    <row r="139" ht="24.0" customHeight="1">
      <c r="A139" s="216" t="str">
        <f>IFERROR(__xludf.DUMMYFUNCTION("ARRAYFORMULA(IFERROR(VLOOKUP(REGEXEXTRACT(B139, ""-(\w+)-""), {Data_Validation!$F$16:$F$29, Data_Validation!$E$16:$E$29}, 2, FALSE), """"))
"),"TheMVP")</f>
        <v>TheMVP</v>
      </c>
      <c r="B139" s="217" t="str">
        <f>IFERROR(__xludf.DUMMYFUNCTION("""COMPUTED_VALUE"""),"CC-MVP-36.02")</f>
        <v>CC-MVP-36.02</v>
      </c>
      <c r="C139" s="218" t="str">
        <f>IFERROR(__xludf.DUMMYFUNCTION("IFERROR(REGEXEXTRACT(B139, ""^[A-Z]+-[A-Z]+-"") &amp; TEXT(VALUE(REGEXEXTRACT(B139, ""-(\d+)\."")), ""00""), """")"),"CC-MVP-36")</f>
        <v>CC-MVP-36</v>
      </c>
      <c r="D139" s="219" t="str">
        <f>IFERROR(VLOOKUP(C139, Content_Creation!B:D, 2, FALSE), IFERROR(VLOOKUP(C139, Project_Management!B:D, 2, FALSE), ""))
&amp; " - "
&amp; IFERROR(VLOOKUP(C139, Content_Creation!B:E, 4, FALSE), IFERROR(VLOOKUP(C139, Project_Management!B:E, 4, FALSE), ""))</f>
        <v>3 Ways to improve Airflow - Shorts</v>
      </c>
      <c r="E139" s="220" t="str">
        <f>IFERROR(
    VLOOKUP(B138:B1001, Content_Creation!B:D, 3, FALSE),
    IFERROR(VLOOKUP(B138:B1001, Project_Management!B:D, 3, FALSE),"")
  )</f>
        <v>Shoot</v>
      </c>
      <c r="F139" s="221" t="str">
        <f>IFERROR(VLOOKUP(B139, Content_Creation!B:F, 5, FALSE), IFERROR(VLOOKUP(B139, Project_Management!B:F, 5, FALSE), ""))</f>
        <v>Akhil</v>
      </c>
      <c r="G139" s="222" t="s">
        <v>26</v>
      </c>
      <c r="H139" s="223">
        <f>IFERROR(VLOOKUP(B139, Content_Creation!B:H, 7, FALSE), IFERROR(VLOOKUP(B139, Project_Management!B:H, 7, FALSE), ""))</f>
        <v>45226</v>
      </c>
      <c r="I139" s="224">
        <v>0.0</v>
      </c>
      <c r="J139" s="223">
        <f>IFERROR(VLOOKUP(C139, Content_Creation!B:H, 7, FALSE), IFERROR(VLOOKUP(C139, Project_Management!B:H, 7, FALSE), ""))</f>
        <v>45232</v>
      </c>
      <c r="K139" s="217"/>
      <c r="L139" s="225" t="str">
        <f>IFERROR(VLOOKUP(B139, Data_Validation!X:Y, 2, FALSE), "")</f>
        <v>Done</v>
      </c>
      <c r="M139" s="226" t="str">
        <f t="shared" si="1"/>
        <v>TheMVP | 3 Ways to improve Airflow - Shorts | Shoot</v>
      </c>
      <c r="N139" s="226"/>
      <c r="O139" s="226"/>
    </row>
    <row r="140" ht="24.0" customHeight="1">
      <c r="A140" s="227" t="str">
        <f>IFERROR(__xludf.DUMMYFUNCTION("ARRAYFORMULA(IFERROR(VLOOKUP(REGEXEXTRACT(B140, ""-(\w+)-""), {Data_Validation!$F$16:$F$29, Data_Validation!$E$16:$E$29}, 2, FALSE), """"))
"),"TheMVP")</f>
        <v>TheMVP</v>
      </c>
      <c r="B140" s="228" t="str">
        <f>IFERROR(__xludf.DUMMYFUNCTION("""COMPUTED_VALUE"""),"CC-MVP-36.04")</f>
        <v>CC-MVP-36.04</v>
      </c>
      <c r="C140" s="256" t="str">
        <f>IFERROR(__xludf.DUMMYFUNCTION("IFERROR(REGEXEXTRACT(B140, ""^[A-Z]+-[A-Z]+-"") &amp; TEXT(VALUE(REGEXEXTRACT(B140, ""-(\d+)\."")), ""00""), """")"),"CC-MVP-36")</f>
        <v>CC-MVP-36</v>
      </c>
      <c r="D140" s="219" t="str">
        <f>IFERROR(VLOOKUP(C140, Content_Creation!B:D, 2, FALSE), IFERROR(VLOOKUP(C140, Project_Management!B:D, 2, FALSE), ""))
&amp; " - "
&amp; IFERROR(VLOOKUP(C140, Content_Creation!B:E, 4, FALSE), IFERROR(VLOOKUP(C140, Project_Management!B:E, 4, FALSE), ""))</f>
        <v>3 Ways to improve Airflow - Shorts</v>
      </c>
      <c r="E140" s="257" t="str">
        <f>IFERROR(
    VLOOKUP(B139:B1001, Content_Creation!B:D, 3, FALSE),
    IFERROR(VLOOKUP(B139:B1001, Project_Management!B:D, 3, FALSE),"")
  )</f>
        <v>Editor Notes</v>
      </c>
      <c r="F140" s="230" t="str">
        <f>IFERROR(VLOOKUP(B140, Content_Creation!B:F, 5, FALSE), IFERROR(VLOOKUP(B140, Project_Management!B:F, 5, FALSE), ""))</f>
        <v>Nasser</v>
      </c>
      <c r="G140" s="230" t="s">
        <v>26</v>
      </c>
      <c r="H140" s="231">
        <f>IFERROR(VLOOKUP(B140, Content_Creation!B:H, 7, FALSE), IFERROR(VLOOKUP(B140, Project_Management!B:H, 7, FALSE), ""))</f>
        <v>45226</v>
      </c>
      <c r="I140" s="232">
        <v>0.0</v>
      </c>
      <c r="J140" s="223">
        <f>IFERROR(VLOOKUP(C140, Content_Creation!B:H, 7, FALSE), IFERROR(VLOOKUP(C140, Project_Management!B:H, 7, FALSE), ""))</f>
        <v>45232</v>
      </c>
      <c r="K140" s="228"/>
      <c r="L140" s="233" t="str">
        <f>IFERROR(VLOOKUP(B140, Data_Validation!X:Y, 2, FALSE), "")</f>
        <v>Done</v>
      </c>
      <c r="M140" s="226" t="str">
        <f t="shared" si="1"/>
        <v>TheMVP | 3 Ways to improve Airflow - Shorts | Editor Notes</v>
      </c>
      <c r="N140" s="234"/>
      <c r="O140" s="234"/>
    </row>
    <row r="141" ht="24.0" customHeight="1">
      <c r="A141" s="216" t="str">
        <f>IFERROR(__xludf.DUMMYFUNCTION("ARRAYFORMULA(IFERROR(VLOOKUP(REGEXEXTRACT(B141, ""-(\w+)-""), {Data_Validation!$F$16:$F$29, Data_Validation!$E$16:$E$29}, 2, FALSE), """"))
"),"TheMVP")</f>
        <v>TheMVP</v>
      </c>
      <c r="B141" s="217" t="str">
        <f>IFERROR(__xludf.DUMMYFUNCTION("""COMPUTED_VALUE"""),"CC-MVP-36.05")</f>
        <v>CC-MVP-36.05</v>
      </c>
      <c r="C141" s="218" t="str">
        <f>IFERROR(__xludf.DUMMYFUNCTION("IFERROR(REGEXEXTRACT(B141, ""^[A-Z]+-[A-Z]+-"") &amp; TEXT(VALUE(REGEXEXTRACT(B141, ""-(\d+)\."")), ""00""), """")"),"CC-MVP-36")</f>
        <v>CC-MVP-36</v>
      </c>
      <c r="D141" s="219" t="str">
        <f>IFERROR(VLOOKUP(C141, Content_Creation!B:D, 2, FALSE), IFERROR(VLOOKUP(C141, Project_Management!B:D, 2, FALSE), ""))
&amp; " - "
&amp; IFERROR(VLOOKUP(C141, Content_Creation!B:E, 4, FALSE), IFERROR(VLOOKUP(C141, Project_Management!B:E, 4, FALSE), ""))</f>
        <v>3 Ways to improve Airflow - Shorts</v>
      </c>
      <c r="E141" s="220" t="str">
        <f>IFERROR(
    VLOOKUP(B140:B1001, Content_Creation!B:D, 3, FALSE),
    IFERROR(VLOOKUP(B140:B1001, Project_Management!B:D, 3, FALSE),"")
  )</f>
        <v>Edit</v>
      </c>
      <c r="F141" s="221" t="str">
        <f>IFERROR(VLOOKUP(B141, Content_Creation!B:F, 5, FALSE), IFERROR(VLOOKUP(B141, Project_Management!B:F, 5, FALSE), ""))</f>
        <v>Naveen</v>
      </c>
      <c r="G141" s="222" t="s">
        <v>26</v>
      </c>
      <c r="H141" s="223">
        <f>IFERROR(VLOOKUP(B141, Content_Creation!B:H, 7, FALSE), IFERROR(VLOOKUP(B141, Project_Management!B:H, 7, FALSE), ""))</f>
        <v>45226</v>
      </c>
      <c r="I141" s="224">
        <v>0.0</v>
      </c>
      <c r="J141" s="223">
        <f>IFERROR(VLOOKUP(C141, Content_Creation!B:H, 7, FALSE), IFERROR(VLOOKUP(C141, Project_Management!B:H, 7, FALSE), ""))</f>
        <v>45232</v>
      </c>
      <c r="K141" s="217"/>
      <c r="L141" s="225" t="str">
        <f>IFERROR(VLOOKUP(B141, Data_Validation!X:Y, 2, FALSE), "")</f>
        <v>Done</v>
      </c>
      <c r="M141" s="226" t="str">
        <f t="shared" si="1"/>
        <v>TheMVP | 3 Ways to improve Airflow - Shorts | Edit</v>
      </c>
      <c r="N141" s="226"/>
      <c r="O141" s="226"/>
    </row>
    <row r="142" ht="24.0" customHeight="1">
      <c r="A142" s="227" t="str">
        <f>IFERROR(__xludf.DUMMYFUNCTION("ARRAYFORMULA(IFERROR(VLOOKUP(REGEXEXTRACT(B142, ""-(\w+)-""), {Data_Validation!$F$16:$F$29, Data_Validation!$E$16:$E$29}, 2, FALSE), """"))
"),"Nvidia")</f>
        <v>Nvidia</v>
      </c>
      <c r="B142" s="228" t="str">
        <f>IFERROR(__xludf.DUMMYFUNCTION("""COMPUTED_VALUE"""),"CC-NVI-05.07")</f>
        <v>CC-NVI-05.07</v>
      </c>
      <c r="C142" s="256" t="str">
        <f>IFERROR(__xludf.DUMMYFUNCTION("IFERROR(REGEXEXTRACT(B142, ""^[A-Z]+-[A-Z]+-"") &amp; TEXT(VALUE(REGEXEXTRACT(B142, ""-(\d+)\."")), ""00""), """")"),"CC-NVI-05")</f>
        <v>CC-NVI-05</v>
      </c>
      <c r="D142" s="219" t="str">
        <f>IFERROR(VLOOKUP(C142, Content_Creation!B:D, 2, FALSE), IFERROR(VLOOKUP(C142, Project_Management!B:D, 2, FALSE), ""))
&amp; " - "
&amp; IFERROR(VLOOKUP(C142, Content_Creation!B:E, 4, FALSE), IFERROR(VLOOKUP(C142, Project_Management!B:E, 4, FALSE), ""))</f>
        <v>Acer Predator - Shorts</v>
      </c>
      <c r="E142" s="257" t="str">
        <f>IFERROR(
    VLOOKUP(B141:B1001, Content_Creation!B:D, 3, FALSE),
    IFERROR(VLOOKUP(B141:B1001, Project_Management!B:D, 3, FALSE),"")
  )</f>
        <v>Revise</v>
      </c>
      <c r="F142" s="230" t="str">
        <f>IFERROR(VLOOKUP(B142, Content_Creation!B:F, 5, FALSE), IFERROR(VLOOKUP(B142, Project_Management!B:F, 5, FALSE), ""))</f>
        <v>Freelancer</v>
      </c>
      <c r="G142" s="230" t="s">
        <v>26</v>
      </c>
      <c r="H142" s="231">
        <f>IFERROR(VLOOKUP(B142, Content_Creation!B:H, 7, FALSE), IFERROR(VLOOKUP(B142, Project_Management!B:H, 7, FALSE), ""))</f>
        <v>45226</v>
      </c>
      <c r="I142" s="232">
        <v>0.0</v>
      </c>
      <c r="J142" s="223">
        <f>IFERROR(VLOOKUP(C142, Content_Creation!B:H, 7, FALSE), IFERROR(VLOOKUP(C142, Project_Management!B:H, 7, FALSE), ""))</f>
        <v>45229</v>
      </c>
      <c r="K142" s="228"/>
      <c r="L142" s="233" t="str">
        <f>IFERROR(VLOOKUP(B142, Data_Validation!X:Y, 2, FALSE), "")</f>
        <v>Done</v>
      </c>
      <c r="M142" s="226" t="str">
        <f t="shared" si="1"/>
        <v>Nvidia | Acer Predator - Shorts | Revise</v>
      </c>
      <c r="N142" s="234"/>
      <c r="O142" s="234"/>
    </row>
    <row r="143" ht="24.0" customHeight="1">
      <c r="A143" s="216" t="str">
        <f>IFERROR(__xludf.DUMMYFUNCTION("ARRAYFORMULA(IFERROR(VLOOKUP(REGEXEXTRACT(B143, ""-(\w+)-""), {Data_Validation!$F$16:$F$29, Data_Validation!$E$16:$E$29}, 2, FALSE), """"))
"),"MaCaw")</f>
        <v>MaCaw</v>
      </c>
      <c r="B143" s="217" t="str">
        <f>IFERROR(__xludf.DUMMYFUNCTION("""COMPUTED_VALUE"""),"CC-MAC-02.05")</f>
        <v>CC-MAC-02.05</v>
      </c>
      <c r="C143" s="218" t="str">
        <f>IFERROR(__xludf.DUMMYFUNCTION("IFERROR(REGEXEXTRACT(B143, ""^[A-Z]+-[A-Z]+-"") &amp; TEXT(VALUE(REGEXEXTRACT(B143, ""-(\d+)\."")), ""00""), """")"),"CC-MAC-02")</f>
        <v>CC-MAC-02</v>
      </c>
      <c r="D143" s="219" t="str">
        <f>IFERROR(VLOOKUP(C143, Content_Creation!B:D, 2, FALSE), IFERROR(VLOOKUP(C143, Project_Management!B:D, 2, FALSE), ""))
&amp; " - "
&amp; IFERROR(VLOOKUP(C143, Content_Creation!B:E, 4, FALSE), IFERROR(VLOOKUP(C143, Project_Management!B:E, 4, FALSE), ""))</f>
        <v>Kuchipudi Teacher Intro - Shorts</v>
      </c>
      <c r="E143" s="220" t="str">
        <f>IFERROR(
    VLOOKUP(B142:B1001, Content_Creation!B:D, 3, FALSE),
    IFERROR(VLOOKUP(B142:B1001, Project_Management!B:D, 3, FALSE),"")
  )</f>
        <v>Captions</v>
      </c>
      <c r="F143" s="221" t="str">
        <f>IFERROR(VLOOKUP(B143, Content_Creation!B:F, 5, FALSE), IFERROR(VLOOKUP(B143, Project_Management!B:F, 5, FALSE), ""))</f>
        <v>Akhil</v>
      </c>
      <c r="G143" s="222" t="s">
        <v>26</v>
      </c>
      <c r="H143" s="223">
        <f>IFERROR(VLOOKUP(B143, Content_Creation!B:H, 7, FALSE), IFERROR(VLOOKUP(B143, Project_Management!B:H, 7, FALSE), ""))</f>
        <v>45226</v>
      </c>
      <c r="I143" s="224">
        <v>0.0</v>
      </c>
      <c r="J143" s="223">
        <f>IFERROR(VLOOKUP(C143, Content_Creation!B:H, 7, FALSE), IFERROR(VLOOKUP(C143, Project_Management!B:H, 7, FALSE), ""))</f>
        <v>45226</v>
      </c>
      <c r="K143" s="217"/>
      <c r="L143" s="225" t="str">
        <f>IFERROR(VLOOKUP(B143, Data_Validation!X:Y, 2, FALSE), "")</f>
        <v>Done</v>
      </c>
      <c r="M143" s="226" t="str">
        <f t="shared" si="1"/>
        <v>MaCaw | Kuchipudi Teacher Intro - Shorts | Captions</v>
      </c>
      <c r="N143" s="226"/>
      <c r="O143" s="226"/>
    </row>
    <row r="144" ht="24.0" customHeight="1">
      <c r="A144" s="216" t="str">
        <f>IFERROR(__xludf.DUMMYFUNCTION("ARRAYFORMULA(IFERROR(VLOOKUP(REGEXEXTRACT(B144, ""-(\w+)-""), {Data_Validation!$F$16:$F$29, Data_Validation!$E$16:$E$29}, 2, FALSE), """"))
"),"MaCaw")</f>
        <v>MaCaw</v>
      </c>
      <c r="B144" s="217" t="str">
        <f>IFERROR(__xludf.DUMMYFUNCTION("""COMPUTED_VALUE"""),"CC-MAC-02.07")</f>
        <v>CC-MAC-02.07</v>
      </c>
      <c r="C144" s="218" t="str">
        <f>IFERROR(__xludf.DUMMYFUNCTION("IFERROR(REGEXEXTRACT(B144, ""^[A-Z]+-[A-Z]+-"") &amp; TEXT(VALUE(REGEXEXTRACT(B144, ""-(\d+)\."")), ""00""), """")"),"CC-MAC-02")</f>
        <v>CC-MAC-02</v>
      </c>
      <c r="D144" s="219" t="str">
        <f>IFERROR(VLOOKUP(C144, Content_Creation!B:D, 2, FALSE), IFERROR(VLOOKUP(C144, Project_Management!B:D, 2, FALSE), ""))
&amp; " - "
&amp; IFERROR(VLOOKUP(C144, Content_Creation!B:E, 4, FALSE), IFERROR(VLOOKUP(C144, Project_Management!B:E, 4, FALSE), ""))</f>
        <v>Kuchipudi Teacher Intro - Shorts</v>
      </c>
      <c r="E144" s="220" t="str">
        <f>IFERROR(
    VLOOKUP(B143:B1001, Content_Creation!B:D, 3, FALSE),
    IFERROR(VLOOKUP(B143:B1001, Project_Management!B:D, 3, FALSE),"")
  )</f>
        <v>Upload</v>
      </c>
      <c r="F144" s="221" t="str">
        <f>IFERROR(VLOOKUP(B144, Content_Creation!B:F, 5, FALSE), IFERROR(VLOOKUP(B144, Project_Management!B:F, 5, FALSE), ""))</f>
        <v>Akhil</v>
      </c>
      <c r="G144" s="222" t="s">
        <v>26</v>
      </c>
      <c r="H144" s="223">
        <f>IFERROR(VLOOKUP(B144, Content_Creation!B:H, 7, FALSE), IFERROR(VLOOKUP(B144, Project_Management!B:H, 7, FALSE), ""))</f>
        <v>45226</v>
      </c>
      <c r="I144" s="224">
        <v>0.0</v>
      </c>
      <c r="J144" s="223">
        <f>IFERROR(VLOOKUP(C144, Content_Creation!B:H, 7, FALSE), IFERROR(VLOOKUP(C144, Project_Management!B:H, 7, FALSE), ""))</f>
        <v>45226</v>
      </c>
      <c r="K144" s="217"/>
      <c r="L144" s="225" t="str">
        <f>IFERROR(VLOOKUP(B144, Data_Validation!X:Y, 2, FALSE), "")</f>
        <v>Done</v>
      </c>
      <c r="M144" s="226" t="str">
        <f t="shared" si="1"/>
        <v>MaCaw | Kuchipudi Teacher Intro - Shorts | Upload</v>
      </c>
      <c r="N144" s="226"/>
      <c r="O144" s="226"/>
    </row>
    <row r="145" ht="24.0" customHeight="1">
      <c r="A145" s="216" t="str">
        <f>IFERROR(__xludf.DUMMYFUNCTION("ARRAYFORMULA(IFERROR(VLOOKUP(REGEXEXTRACT(B145, ""-(\w+)-""), {Data_Validation!$F$16:$F$29, Data_Validation!$E$16:$E$29}, 2, FALSE), """"))
"),"MaCaw")</f>
        <v>MaCaw</v>
      </c>
      <c r="B145" s="217" t="str">
        <f>IFERROR(__xludf.DUMMYFUNCTION("""COMPUTED_VALUE"""),"CC-MAC-03.04")</f>
        <v>CC-MAC-03.04</v>
      </c>
      <c r="C145" s="218" t="str">
        <f>IFERROR(__xludf.DUMMYFUNCTION("IFERROR(REGEXEXTRACT(B145, ""^[A-Z]+-[A-Z]+-"") &amp; TEXT(VALUE(REGEXEXTRACT(B145, ""-(\d+)\."")), ""00""), """")"),"CC-MAC-03")</f>
        <v>CC-MAC-03</v>
      </c>
      <c r="D145" s="219" t="str">
        <f>IFERROR(VLOOKUP(C145, Content_Creation!B:D, 2, FALSE), IFERROR(VLOOKUP(C145, Project_Management!B:D, 2, FALSE), ""))
&amp; " - "
&amp; IFERROR(VLOOKUP(C145, Content_Creation!B:E, 4, FALSE), IFERROR(VLOOKUP(C145, Project_Management!B:E, 4, FALSE), ""))</f>
        <v>Kuchipudi Teacher Photos - Insta</v>
      </c>
      <c r="E145" s="220" t="str">
        <f>IFERROR(
    VLOOKUP(B144:B1001, Content_Creation!B:D, 3, FALSE),
    IFERROR(VLOOKUP(B144:B1001, Project_Management!B:D, 3, FALSE),"")
  )</f>
        <v>Upload</v>
      </c>
      <c r="F145" s="221" t="str">
        <f>IFERROR(VLOOKUP(B145, Content_Creation!B:F, 5, FALSE), IFERROR(VLOOKUP(B145, Project_Management!B:F, 5, FALSE), ""))</f>
        <v>Akhil</v>
      </c>
      <c r="G145" s="222" t="s">
        <v>26</v>
      </c>
      <c r="H145" s="223">
        <f>IFERROR(VLOOKUP(B145, Content_Creation!B:H, 7, FALSE), IFERROR(VLOOKUP(B145, Project_Management!B:H, 7, FALSE), ""))</f>
        <v>45226</v>
      </c>
      <c r="I145" s="224">
        <v>0.0</v>
      </c>
      <c r="J145" s="223">
        <f>IFERROR(VLOOKUP(C145, Content_Creation!B:H, 7, FALSE), IFERROR(VLOOKUP(C145, Project_Management!B:H, 7, FALSE), ""))</f>
        <v>45226</v>
      </c>
      <c r="K145" s="217"/>
      <c r="L145" s="225" t="str">
        <f>IFERROR(VLOOKUP(B145, Data_Validation!X:Y, 2, FALSE), "")</f>
        <v>Done</v>
      </c>
      <c r="M145" s="226" t="str">
        <f t="shared" si="1"/>
        <v>MaCaw | Kuchipudi Teacher Photos - Insta | Upload</v>
      </c>
      <c r="N145" s="226"/>
      <c r="O145" s="226"/>
    </row>
    <row r="146" ht="24.0" customHeight="1">
      <c r="A146" s="216" t="str">
        <f>IFERROR(__xludf.DUMMYFUNCTION("ARRAYFORMULA(IFERROR(VLOOKUP(REGEXEXTRACT(B146, ""-(\w+)-""), {Data_Validation!$F$16:$F$29, Data_Validation!$E$16:$E$29}, 2, FALSE), """"))
"),"TheMVP")</f>
        <v>TheMVP</v>
      </c>
      <c r="B146" s="217" t="str">
        <f>IFERROR(__xludf.DUMMYFUNCTION("""COMPUTED_VALUE"""),"CC-MVP-78.01")</f>
        <v>CC-MVP-78.01</v>
      </c>
      <c r="C146" s="218" t="str">
        <f>IFERROR(__xludf.DUMMYFUNCTION("IFERROR(REGEXEXTRACT(B146, ""^[A-Z]+-[A-Z]+-"") &amp; TEXT(VALUE(REGEXEXTRACT(B146, ""-(\d+)\."")), ""00""), """")"),"CC-MVP-78")</f>
        <v>CC-MVP-78</v>
      </c>
      <c r="D146" s="219" t="str">
        <f>IFERROR(VLOOKUP(C146, Content_Creation!B:D, 2, FALSE), IFERROR(VLOOKUP(C146, Project_Management!B:D, 2, FALSE), ""))
&amp; " - "
&amp; IFERROR(VLOOKUP(C146, Content_Creation!B:E, 4, FALSE), IFERROR(VLOOKUP(C146, Project_Management!B:E, 4, FALSE), ""))</f>
        <v>L40s GPU Server - Blog</v>
      </c>
      <c r="E146" s="220" t="str">
        <f>IFERROR(
    VLOOKUP(B145:B1001, Content_Creation!B:D, 3, FALSE),
    IFERROR(VLOOKUP(B145:B1001, Project_Management!B:D, 3, FALSE),"")
  )</f>
        <v>Script</v>
      </c>
      <c r="F146" s="221" t="str">
        <f>IFERROR(VLOOKUP(B146, Content_Creation!B:F, 5, FALSE), IFERROR(VLOOKUP(B146, Project_Management!B:F, 5, FALSE), ""))</f>
        <v>Nasser</v>
      </c>
      <c r="G146" s="222" t="s">
        <v>26</v>
      </c>
      <c r="H146" s="223">
        <f>IFERROR(VLOOKUP(B146, Content_Creation!B:H, 7, FALSE), IFERROR(VLOOKUP(B146, Project_Management!B:H, 7, FALSE), ""))</f>
        <v>45227.62137</v>
      </c>
      <c r="I146" s="224">
        <v>0.020833333333333332</v>
      </c>
      <c r="J146" s="223">
        <f>IFERROR(VLOOKUP(C146, Content_Creation!B:H, 7, FALSE), IFERROR(VLOOKUP(C146, Project_Management!B:H, 7, FALSE), ""))</f>
        <v>45229.62137</v>
      </c>
      <c r="K146" s="217"/>
      <c r="L146" s="225" t="str">
        <f>IFERROR(VLOOKUP(B146, Data_Validation!X:Y, 2, FALSE), "")</f>
        <v>Done</v>
      </c>
      <c r="M146" s="226" t="str">
        <f t="shared" si="1"/>
        <v>TheMVP | L40s GPU Server - Blog | Script</v>
      </c>
      <c r="N146" s="226"/>
      <c r="O146" s="226"/>
    </row>
    <row r="147" ht="24.0" customHeight="1">
      <c r="A147" s="216" t="str">
        <f>IFERROR(__xludf.DUMMYFUNCTION("ARRAYFORMULA(IFERROR(VLOOKUP(REGEXEXTRACT(B147, ""-(\w+)-""), {Data_Validation!$F$16:$F$29, Data_Validation!$E$16:$E$29}, 2, FALSE), """"))
"),"TheMVP")</f>
        <v>TheMVP</v>
      </c>
      <c r="B147" s="217" t="str">
        <f>IFERROR(__xludf.DUMMYFUNCTION("""COMPUTED_VALUE"""),"CC-MVP-77.01")</f>
        <v>CC-MVP-77.01</v>
      </c>
      <c r="C147" s="218" t="str">
        <f>IFERROR(__xludf.DUMMYFUNCTION("IFERROR(REGEXEXTRACT(B147, ""^[A-Z]+-[A-Z]+-"") &amp; TEXT(VALUE(REGEXEXTRACT(B147, ""-(\d+)\."")), ""00""), """")"),"CC-MVP-77")</f>
        <v>CC-MVP-77</v>
      </c>
      <c r="D147" s="219" t="str">
        <f>IFERROR(VLOOKUP(C147, Content_Creation!B:D, 2, FALSE), IFERROR(VLOOKUP(C147, Project_Management!B:D, 2, FALSE), ""))
&amp; " - "
&amp; IFERROR(VLOOKUP(C147, Content_Creation!B:E, 4, FALSE), IFERROR(VLOOKUP(C147, Project_Management!B:E, 4, FALSE), ""))</f>
        <v>Nvidia L40s - YT Video</v>
      </c>
      <c r="E147" s="220" t="str">
        <f>IFERROR(
    VLOOKUP(B146:B1001, Content_Creation!B:D, 3, FALSE),
    IFERROR(VLOOKUP(B146:B1001, Project_Management!B:D, 3, FALSE),"")
  )</f>
        <v>Script</v>
      </c>
      <c r="F147" s="221" t="str">
        <f>IFERROR(VLOOKUP(B147, Content_Creation!B:F, 5, FALSE), IFERROR(VLOOKUP(B147, Project_Management!B:F, 5, FALSE), ""))</f>
        <v>Nasser</v>
      </c>
      <c r="G147" s="222" t="s">
        <v>26</v>
      </c>
      <c r="H147" s="223">
        <f>IFERROR(VLOOKUP(B147, Content_Creation!B:H, 7, FALSE), IFERROR(VLOOKUP(B147, Project_Management!B:H, 7, FALSE), ""))</f>
        <v>45227.6205</v>
      </c>
      <c r="I147" s="224">
        <v>0.0</v>
      </c>
      <c r="J147" s="223">
        <f>IFERROR(VLOOKUP(C147, Content_Creation!B:H, 7, FALSE), IFERROR(VLOOKUP(C147, Project_Management!B:H, 7, FALSE), ""))</f>
        <v>45241</v>
      </c>
      <c r="K147" s="217"/>
      <c r="L147" s="225" t="str">
        <f>IFERROR(VLOOKUP(B147, Data_Validation!X:Y, 2, FALSE), "")</f>
        <v>Done</v>
      </c>
      <c r="M147" s="226" t="str">
        <f t="shared" si="1"/>
        <v>TheMVP | Nvidia L40s - YT Video | Script</v>
      </c>
      <c r="N147" s="226"/>
      <c r="O147" s="226"/>
    </row>
    <row r="148" ht="24.0" customHeight="1">
      <c r="A148" s="216" t="str">
        <f>IFERROR(__xludf.DUMMYFUNCTION("ARRAYFORMULA(IFERROR(VLOOKUP(REGEXEXTRACT(B148, ""-(\w+)-""), {Data_Validation!$F$16:$F$29, Data_Validation!$E$16:$E$29}, 2, FALSE), """"))
"),"Nvidia")</f>
        <v>Nvidia</v>
      </c>
      <c r="B148" s="217" t="str">
        <f>IFERROR(__xludf.DUMMYFUNCTION("""COMPUTED_VALUE"""),"CC-NVI-08.05")</f>
        <v>CC-NVI-08.05</v>
      </c>
      <c r="C148" s="218" t="str">
        <f>IFERROR(__xludf.DUMMYFUNCTION("IFERROR(REGEXEXTRACT(B148, ""^[A-Z]+-[A-Z]+-"") &amp; TEXT(VALUE(REGEXEXTRACT(B148, ""-(\d+)\."")), ""00""), """")"),"CC-NVI-08")</f>
        <v>CC-NVI-08</v>
      </c>
      <c r="D148" s="219" t="str">
        <f>IFERROR(VLOOKUP(C148, Content_Creation!B:D, 2, FALSE), IFERROR(VLOOKUP(C148, Project_Management!B:D, 2, FALSE), ""))
&amp; " - "
&amp; IFERROR(VLOOKUP(C148, Content_Creation!B:E, 4, FALSE), IFERROR(VLOOKUP(C148, Project_Management!B:E, 4, FALSE), ""))</f>
        <v>HP Victus 15-FA1124TX - Shorts</v>
      </c>
      <c r="E148" s="220" t="str">
        <f>IFERROR(
    VLOOKUP(B147:B1001, Content_Creation!B:D, 3, FALSE),
    IFERROR(VLOOKUP(B147:B1001, Project_Management!B:D, 3, FALSE),"")
  )</f>
        <v>Voiceover</v>
      </c>
      <c r="F148" s="221" t="str">
        <f>IFERROR(VLOOKUP(B148, Content_Creation!B:F, 5, FALSE), IFERROR(VLOOKUP(B148, Project_Management!B:F, 5, FALSE), ""))</f>
        <v>Nasser</v>
      </c>
      <c r="G148" s="222" t="s">
        <v>26</v>
      </c>
      <c r="H148" s="223">
        <f>IFERROR(VLOOKUP(B148, Content_Creation!B:H, 7, FALSE), IFERROR(VLOOKUP(B148, Project_Management!B:H, 7, FALSE), ""))</f>
        <v>45227</v>
      </c>
      <c r="I148" s="224">
        <v>0.0</v>
      </c>
      <c r="J148" s="223">
        <f>IFERROR(VLOOKUP(C148, Content_Creation!B:H, 7, FALSE), IFERROR(VLOOKUP(C148, Project_Management!B:H, 7, FALSE), ""))</f>
        <v>45230</v>
      </c>
      <c r="K148" s="217"/>
      <c r="L148" s="225" t="str">
        <f>IFERROR(VLOOKUP(B148, Data_Validation!X:Y, 2, FALSE), "")</f>
        <v>Done</v>
      </c>
      <c r="M148" s="226" t="str">
        <f t="shared" si="1"/>
        <v>Nvidia | HP Victus 15-FA1124TX - Shorts | Voiceover</v>
      </c>
      <c r="N148" s="226"/>
      <c r="O148" s="226"/>
    </row>
    <row r="149" ht="24.0" customHeight="1">
      <c r="A149" s="216" t="str">
        <f>IFERROR(__xludf.DUMMYFUNCTION("ARRAYFORMULA(IFERROR(VLOOKUP(REGEXEXTRACT(B149, ""-(\w+)-""), {Data_Validation!$F$16:$F$29, Data_Validation!$E$16:$E$29}, 2, FALSE), """"))
"),"Nvidia")</f>
        <v>Nvidia</v>
      </c>
      <c r="B149" s="217" t="str">
        <f>IFERROR(__xludf.DUMMYFUNCTION("""COMPUTED_VALUE"""),"CC-NVI-08.06")</f>
        <v>CC-NVI-08.06</v>
      </c>
      <c r="C149" s="218" t="str">
        <f>IFERROR(__xludf.DUMMYFUNCTION("IFERROR(REGEXEXTRACT(B149, ""^[A-Z]+-[A-Z]+-"") &amp; TEXT(VALUE(REGEXEXTRACT(B149, ""-(\d+)\."")), ""00""), """")"),"CC-NVI-08")</f>
        <v>CC-NVI-08</v>
      </c>
      <c r="D149" s="219" t="str">
        <f>IFERROR(VLOOKUP(C149, Content_Creation!B:D, 2, FALSE), IFERROR(VLOOKUP(C149, Project_Management!B:D, 2, FALSE), ""))
&amp; " - "
&amp; IFERROR(VLOOKUP(C149, Content_Creation!B:E, 4, FALSE), IFERROR(VLOOKUP(C149, Project_Management!B:E, 4, FALSE), ""))</f>
        <v>HP Victus 15-FA1124TX - Shorts</v>
      </c>
      <c r="E149" s="220" t="str">
        <f>IFERROR(
    VLOOKUP(B148:B1001, Content_Creation!B:D, 3, FALSE),
    IFERROR(VLOOKUP(B148:B1001, Project_Management!B:D, 3, FALSE),"")
  )</f>
        <v>Edit</v>
      </c>
      <c r="F149" s="221" t="str">
        <f>IFERROR(VLOOKUP(B149, Content_Creation!B:F, 5, FALSE), IFERROR(VLOOKUP(B149, Project_Management!B:F, 5, FALSE), ""))</f>
        <v>Freelancer</v>
      </c>
      <c r="G149" s="222" t="s">
        <v>26</v>
      </c>
      <c r="H149" s="223">
        <f>IFERROR(VLOOKUP(B149, Content_Creation!B:H, 7, FALSE), IFERROR(VLOOKUP(B149, Project_Management!B:H, 7, FALSE), ""))</f>
        <v>45227</v>
      </c>
      <c r="I149" s="224">
        <v>0.0</v>
      </c>
      <c r="J149" s="223">
        <f>IFERROR(VLOOKUP(C149, Content_Creation!B:H, 7, FALSE), IFERROR(VLOOKUP(C149, Project_Management!B:H, 7, FALSE), ""))</f>
        <v>45230</v>
      </c>
      <c r="K149" s="217"/>
      <c r="L149" s="225" t="str">
        <f>IFERROR(VLOOKUP(B149, Data_Validation!X:Y, 2, FALSE), "")</f>
        <v>Done</v>
      </c>
      <c r="M149" s="226" t="str">
        <f t="shared" si="1"/>
        <v>Nvidia | HP Victus 15-FA1124TX - Shorts | Edit</v>
      </c>
      <c r="N149" s="226"/>
      <c r="O149" s="226"/>
    </row>
    <row r="150" ht="24.0" customHeight="1">
      <c r="A150" s="216" t="str">
        <f>IFERROR(__xludf.DUMMYFUNCTION("ARRAYFORMULA(IFERROR(VLOOKUP(REGEXEXTRACT(B150, ""-(\w+)-""), {Data_Validation!$F$16:$F$29, Data_Validation!$E$16:$E$29}, 2, FALSE), """"))
"),"MaCaw")</f>
        <v>MaCaw</v>
      </c>
      <c r="B150" s="217" t="str">
        <f>IFERROR(__xludf.DUMMYFUNCTION("""COMPUTED_VALUE"""),"CC-MAC-06.07")</f>
        <v>CC-MAC-06.07</v>
      </c>
      <c r="C150" s="218" t="str">
        <f>IFERROR(__xludf.DUMMYFUNCTION("IFERROR(REGEXEXTRACT(B150, ""^[A-Z]+-[A-Z]+-"") &amp; TEXT(VALUE(REGEXEXTRACT(B150, ""-(\d+)\."")), ""00""), """")"),"CC-MAC-06")</f>
        <v>CC-MAC-06</v>
      </c>
      <c r="D150" s="219" t="str">
        <f>IFERROR(VLOOKUP(C150, Content_Creation!B:D, 2, FALSE), IFERROR(VLOOKUP(C150, Project_Management!B:D, 2, FALSE), ""))
&amp; " - "
&amp; IFERROR(VLOOKUP(C150, Content_Creation!B:E, 4, FALSE), IFERROR(VLOOKUP(C150, Project_Management!B:E, 4, FALSE), ""))</f>
        <v>Yoga Teacher Intro - Shorts</v>
      </c>
      <c r="E150" s="220" t="str">
        <f>IFERROR(
    VLOOKUP(B149:B1001, Content_Creation!B:D, 3, FALSE),
    IFERROR(VLOOKUP(B149:B1001, Project_Management!B:D, 3, FALSE),"")
  )</f>
        <v>Upload</v>
      </c>
      <c r="F150" s="221" t="str">
        <f>IFERROR(VLOOKUP(B150, Content_Creation!B:F, 5, FALSE), IFERROR(VLOOKUP(B150, Project_Management!B:F, 5, FALSE), ""))</f>
        <v>Akhil</v>
      </c>
      <c r="G150" s="222" t="s">
        <v>26</v>
      </c>
      <c r="H150" s="223">
        <f>IFERROR(VLOOKUP(B150, Content_Creation!B:H, 7, FALSE), IFERROR(VLOOKUP(B150, Project_Management!B:H, 7, FALSE), ""))</f>
        <v>45227</v>
      </c>
      <c r="I150" s="224">
        <v>0.0</v>
      </c>
      <c r="J150" s="223">
        <f>IFERROR(VLOOKUP(C150, Content_Creation!B:H, 7, FALSE), IFERROR(VLOOKUP(C150, Project_Management!B:H, 7, FALSE), ""))</f>
        <v>45227</v>
      </c>
      <c r="K150" s="217"/>
      <c r="L150" s="225" t="str">
        <f>IFERROR(VLOOKUP(B150, Data_Validation!X:Y, 2, FALSE), "")</f>
        <v>Done</v>
      </c>
      <c r="M150" s="226" t="str">
        <f t="shared" si="1"/>
        <v>MaCaw | Yoga Teacher Intro - Shorts | Upload</v>
      </c>
      <c r="N150" s="226"/>
      <c r="O150" s="226"/>
    </row>
    <row r="151" ht="24.0" customHeight="1">
      <c r="A151" s="216" t="str">
        <f>IFERROR(__xludf.DUMMYFUNCTION("ARRAYFORMULA(IFERROR(VLOOKUP(REGEXEXTRACT(B151, ""-(\w+)-""), {Data_Validation!$F$16:$F$29, Data_Validation!$E$16:$E$29}, 2, FALSE), """"))
"),"MaCaw")</f>
        <v>MaCaw</v>
      </c>
      <c r="B151" s="217" t="str">
        <f>IFERROR(__xludf.DUMMYFUNCTION("""COMPUTED_VALUE"""),"CC-MAC-07.04")</f>
        <v>CC-MAC-07.04</v>
      </c>
      <c r="C151" s="218" t="str">
        <f>IFERROR(__xludf.DUMMYFUNCTION("IFERROR(REGEXEXTRACT(B151, ""^[A-Z]+-[A-Z]+-"") &amp; TEXT(VALUE(REGEXEXTRACT(B151, ""-(\d+)\."")), ""00""), """")"),"CC-MAC-07")</f>
        <v>CC-MAC-07</v>
      </c>
      <c r="D151" s="219" t="str">
        <f>IFERROR(VLOOKUP(C151, Content_Creation!B:D, 2, FALSE), IFERROR(VLOOKUP(C151, Project_Management!B:D, 2, FALSE), ""))
&amp; " - "
&amp; IFERROR(VLOOKUP(C151, Content_Creation!B:E, 4, FALSE), IFERROR(VLOOKUP(C151, Project_Management!B:E, 4, FALSE), ""))</f>
        <v>Yoga Teacher Photos - Insta</v>
      </c>
      <c r="E151" s="220" t="str">
        <f>IFERROR(
    VLOOKUP(B150:B1001, Content_Creation!B:D, 3, FALSE),
    IFERROR(VLOOKUP(B150:B1001, Project_Management!B:D, 3, FALSE),"")
  )</f>
        <v>Upload</v>
      </c>
      <c r="F151" s="221" t="str">
        <f>IFERROR(VLOOKUP(B151, Content_Creation!B:F, 5, FALSE), IFERROR(VLOOKUP(B151, Project_Management!B:F, 5, FALSE), ""))</f>
        <v>Akhil</v>
      </c>
      <c r="G151" s="222" t="s">
        <v>26</v>
      </c>
      <c r="H151" s="223">
        <f>IFERROR(VLOOKUP(B151, Content_Creation!B:H, 7, FALSE), IFERROR(VLOOKUP(B151, Project_Management!B:H, 7, FALSE), ""))</f>
        <v>45227</v>
      </c>
      <c r="I151" s="224">
        <v>0.0</v>
      </c>
      <c r="J151" s="223">
        <f>IFERROR(VLOOKUP(C151, Content_Creation!B:H, 7, FALSE), IFERROR(VLOOKUP(C151, Project_Management!B:H, 7, FALSE), ""))</f>
        <v>45227</v>
      </c>
      <c r="K151" s="217"/>
      <c r="L151" s="225" t="str">
        <f>IFERROR(VLOOKUP(B151, Data_Validation!X:Y, 2, FALSE), "")</f>
        <v>Done</v>
      </c>
      <c r="M151" s="226" t="str">
        <f t="shared" si="1"/>
        <v>MaCaw | Yoga Teacher Photos - Insta | Upload</v>
      </c>
      <c r="N151" s="226"/>
      <c r="O151" s="226"/>
    </row>
    <row r="152" ht="24.0" customHeight="1">
      <c r="A152" s="216" t="str">
        <f>IFERROR(__xludf.DUMMYFUNCTION("ARRAYFORMULA(IFERROR(VLOOKUP(REGEXEXTRACT(B152, ""-(\w+)-""), {Data_Validation!$F$16:$F$29, Data_Validation!$E$16:$E$29}, 2, FALSE), """"))
"),"Nvidia")</f>
        <v>Nvidia</v>
      </c>
      <c r="B152" s="217" t="str">
        <f>IFERROR(__xludf.DUMMYFUNCTION("""COMPUTED_VALUE"""),"CC-NVI-04.06")</f>
        <v>CC-NVI-04.06</v>
      </c>
      <c r="C152" s="218" t="str">
        <f>IFERROR(__xludf.DUMMYFUNCTION("IFERROR(REGEXEXTRACT(B152, ""^[A-Z]+-[A-Z]+-"") &amp; TEXT(VALUE(REGEXEXTRACT(B152, ""-(\d+)\."")), ""00""), """")"),"CC-NVI-04")</f>
        <v>CC-NVI-04</v>
      </c>
      <c r="D152" s="219" t="str">
        <f>IFERROR(VLOOKUP(C152, Content_Creation!B:D, 2, FALSE), IFERROR(VLOOKUP(C152, Project_Management!B:D, 2, FALSE), ""))
&amp; " - "
&amp; IFERROR(VLOOKUP(C152, Content_Creation!B:E, 4, FALSE), IFERROR(VLOOKUP(C152, Project_Management!B:E, 4, FALSE), ""))</f>
        <v>Lenovo Legion | RTX 4060 - Shorts</v>
      </c>
      <c r="E152" s="220" t="str">
        <f>IFERROR(
    VLOOKUP(B151:B1001, Content_Creation!B:D, 3, FALSE),
    IFERROR(VLOOKUP(B151:B1001, Project_Management!B:D, 3, FALSE),"")
  )</f>
        <v>Edit</v>
      </c>
      <c r="F152" s="221" t="str">
        <f>IFERROR(VLOOKUP(B152, Content_Creation!B:F, 5, FALSE), IFERROR(VLOOKUP(B152, Project_Management!B:F, 5, FALSE), ""))</f>
        <v>Freelancer</v>
      </c>
      <c r="G152" s="222" t="s">
        <v>26</v>
      </c>
      <c r="H152" s="223">
        <f>IFERROR(VLOOKUP(B152, Content_Creation!B:H, 7, FALSE), IFERROR(VLOOKUP(B152, Project_Management!B:H, 7, FALSE), ""))</f>
        <v>45228</v>
      </c>
      <c r="I152" s="224">
        <v>0.041666666666666664</v>
      </c>
      <c r="J152" s="223">
        <f>IFERROR(VLOOKUP(C152, Content_Creation!B:H, 7, FALSE), IFERROR(VLOOKUP(C152, Project_Management!B:H, 7, FALSE), ""))</f>
        <v>45230</v>
      </c>
      <c r="K152" s="217"/>
      <c r="L152" s="225" t="str">
        <f>IFERROR(VLOOKUP(B152, Data_Validation!X:Y, 2, FALSE), "")</f>
        <v>Done</v>
      </c>
      <c r="M152" s="226" t="str">
        <f t="shared" si="1"/>
        <v>Nvidia | Lenovo Legion | RTX 4060 - Shorts | Edit</v>
      </c>
      <c r="N152" s="226"/>
      <c r="O152" s="226"/>
    </row>
    <row r="153" ht="24.0" customHeight="1">
      <c r="A153" s="216" t="str">
        <f>IFERROR(__xludf.DUMMYFUNCTION("ARRAYFORMULA(IFERROR(VLOOKUP(REGEXEXTRACT(B153, ""-(\w+)-""), {Data_Validation!$F$16:$F$29, Data_Validation!$E$16:$E$29}, 2, FALSE), """"))
"),"Colorful Tech")</f>
        <v>Colorful Tech</v>
      </c>
      <c r="B153" s="217" t="str">
        <f>IFERROR(__xludf.DUMMYFUNCTION("""COMPUTED_VALUE"""),"CC-CTH-10.01")</f>
        <v>CC-CTH-10.01</v>
      </c>
      <c r="C153" s="218" t="str">
        <f>IFERROR(__xludf.DUMMYFUNCTION("IFERROR(REGEXEXTRACT(B153, ""^[A-Z]+-[A-Z]+-"") &amp; TEXT(VALUE(REGEXEXTRACT(B153, ""-(\d+)\."")), ""00""), """")"),"CC-CTH-10")</f>
        <v>CC-CTH-10</v>
      </c>
      <c r="D153" s="219" t="str">
        <f>IFERROR(VLOOKUP(C153, Content_Creation!B:D, 2, FALSE), IFERROR(VLOOKUP(C153, Project_Management!B:D, 2, FALSE), ""))
&amp; " - "
&amp; IFERROR(VLOOKUP(C153, Content_Creation!B:E, 4, FALSE), IFERROR(VLOOKUP(C153, Project_Management!B:E, 4, FALSE), ""))</f>
        <v>iGame Center Introduction - Shorts</v>
      </c>
      <c r="E153" s="220" t="str">
        <f>IFERROR(
    VLOOKUP(B152:B1001, Content_Creation!B:D, 3, FALSE),
    IFERROR(VLOOKUP(B152:B1001, Project_Management!B:D, 3, FALSE),"")
  )</f>
        <v>Script</v>
      </c>
      <c r="F153" s="221" t="str">
        <f>IFERROR(VLOOKUP(B153, Content_Creation!B:F, 5, FALSE), IFERROR(VLOOKUP(B153, Project_Management!B:F, 5, FALSE), ""))</f>
        <v>Naveen</v>
      </c>
      <c r="G153" s="222" t="s">
        <v>26</v>
      </c>
      <c r="H153" s="223">
        <f>IFERROR(VLOOKUP(B153, Content_Creation!B:H, 7, FALSE), IFERROR(VLOOKUP(B153, Project_Management!B:H, 7, FALSE), ""))</f>
        <v>45228</v>
      </c>
      <c r="I153" s="224">
        <v>0.041666666666666664</v>
      </c>
      <c r="J153" s="223">
        <f>IFERROR(VLOOKUP(C153, Content_Creation!B:H, 7, FALSE), IFERROR(VLOOKUP(C153, Project_Management!B:H, 7, FALSE), ""))</f>
        <v>45241</v>
      </c>
      <c r="K153" s="217"/>
      <c r="L153" s="225" t="str">
        <f>IFERROR(VLOOKUP(B153, Data_Validation!X:Y, 2, FALSE), "")</f>
        <v>Done</v>
      </c>
      <c r="M153" s="226" t="str">
        <f t="shared" si="1"/>
        <v>Colorful Tech | iGame Center Introduction - Shorts | Script</v>
      </c>
      <c r="N153" s="226"/>
      <c r="O153" s="226"/>
    </row>
    <row r="154" ht="24.0" customHeight="1">
      <c r="A154" s="216" t="str">
        <f>IFERROR(__xludf.DUMMYFUNCTION("ARRAYFORMULA(IFERROR(VLOOKUP(REGEXEXTRACT(B154, ""-(\w+)-""), {Data_Validation!$F$16:$F$29, Data_Validation!$E$16:$E$29}, 2, FALSE), """"))
"),"MaCaw")</f>
        <v>MaCaw</v>
      </c>
      <c r="B154" s="217" t="str">
        <f>IFERROR(__xludf.DUMMYFUNCTION("""COMPUTED_VALUE"""),"CC-MAC-08.07")</f>
        <v>CC-MAC-08.07</v>
      </c>
      <c r="C154" s="218" t="str">
        <f>IFERROR(__xludf.DUMMYFUNCTION("IFERROR(REGEXEXTRACT(B154, ""^[A-Z]+-[A-Z]+-"") &amp; TEXT(VALUE(REGEXEXTRACT(B154, ""-(\d+)\."")), ""00""), """")"),"CC-MAC-08")</f>
        <v>CC-MAC-08</v>
      </c>
      <c r="D154" s="219" t="str">
        <f>IFERROR(VLOOKUP(C154, Content_Creation!B:D, 2, FALSE), IFERROR(VLOOKUP(C154, Project_Management!B:D, 2, FALSE), ""))
&amp; " - "
&amp; IFERROR(VLOOKUP(C154, Content_Creation!B:E, 4, FALSE), IFERROR(VLOOKUP(C154, Project_Management!B:E, 4, FALSE), ""))</f>
        <v>Art &amp; Craft Teacher Intro - Shorts</v>
      </c>
      <c r="E154" s="220" t="str">
        <f>IFERROR(
    VLOOKUP(B153:B1001, Content_Creation!B:D, 3, FALSE),
    IFERROR(VLOOKUP(B153:B1001, Project_Management!B:D, 3, FALSE),"")
  )</f>
        <v>Upload</v>
      </c>
      <c r="F154" s="221" t="str">
        <f>IFERROR(VLOOKUP(B154, Content_Creation!B:F, 5, FALSE), IFERROR(VLOOKUP(B154, Project_Management!B:F, 5, FALSE), ""))</f>
        <v>Akhil</v>
      </c>
      <c r="G154" s="222" t="s">
        <v>26</v>
      </c>
      <c r="H154" s="223">
        <f>IFERROR(VLOOKUP(B154, Content_Creation!B:H, 7, FALSE), IFERROR(VLOOKUP(B154, Project_Management!B:H, 7, FALSE), ""))</f>
        <v>45228</v>
      </c>
      <c r="I154" s="224">
        <v>0.0</v>
      </c>
      <c r="J154" s="223">
        <f>IFERROR(VLOOKUP(C154, Content_Creation!B:H, 7, FALSE), IFERROR(VLOOKUP(C154, Project_Management!B:H, 7, FALSE), ""))</f>
        <v>45228</v>
      </c>
      <c r="K154" s="217"/>
      <c r="L154" s="225" t="str">
        <f>IFERROR(VLOOKUP(B154, Data_Validation!X:Y, 2, FALSE), "")</f>
        <v>Done</v>
      </c>
      <c r="M154" s="226" t="str">
        <f t="shared" si="1"/>
        <v>MaCaw | Art &amp; Craft Teacher Intro - Shorts | Upload</v>
      </c>
      <c r="N154" s="226"/>
      <c r="O154" s="226"/>
    </row>
    <row r="155" ht="24.0" customHeight="1">
      <c r="A155" s="216" t="str">
        <f>IFERROR(__xludf.DUMMYFUNCTION("ARRAYFORMULA(IFERROR(VLOOKUP(REGEXEXTRACT(B155, ""-(\w+)-""), {Data_Validation!$F$16:$F$29, Data_Validation!$E$16:$E$29}, 2, FALSE), """"))
"),"MaCaw")</f>
        <v>MaCaw</v>
      </c>
      <c r="B155" s="217" t="str">
        <f>IFERROR(__xludf.DUMMYFUNCTION("""COMPUTED_VALUE"""),"CC-MAC-09.04")</f>
        <v>CC-MAC-09.04</v>
      </c>
      <c r="C155" s="218" t="str">
        <f>IFERROR(__xludf.DUMMYFUNCTION("IFERROR(REGEXEXTRACT(B155, ""^[A-Z]+-[A-Z]+-"") &amp; TEXT(VALUE(REGEXEXTRACT(B155, ""-(\d+)\."")), ""00""), """")"),"CC-MAC-09")</f>
        <v>CC-MAC-09</v>
      </c>
      <c r="D155" s="219" t="str">
        <f>IFERROR(VLOOKUP(C155, Content_Creation!B:D, 2, FALSE), IFERROR(VLOOKUP(C155, Project_Management!B:D, 2, FALSE), ""))
&amp; " - "
&amp; IFERROR(VLOOKUP(C155, Content_Creation!B:E, 4, FALSE), IFERROR(VLOOKUP(C155, Project_Management!B:E, 4, FALSE), ""))</f>
        <v>Art &amp; Craft Teacher Photos - Insta</v>
      </c>
      <c r="E155" s="220" t="str">
        <f>IFERROR(
    VLOOKUP(B154:B1001, Content_Creation!B:D, 3, FALSE),
    IFERROR(VLOOKUP(B154:B1001, Project_Management!B:D, 3, FALSE),"")
  )</f>
        <v>Upload</v>
      </c>
      <c r="F155" s="221" t="str">
        <f>IFERROR(VLOOKUP(B155, Content_Creation!B:F, 5, FALSE), IFERROR(VLOOKUP(B155, Project_Management!B:F, 5, FALSE), ""))</f>
        <v>Akhil</v>
      </c>
      <c r="G155" s="222" t="s">
        <v>26</v>
      </c>
      <c r="H155" s="223">
        <f>IFERROR(VLOOKUP(B155, Content_Creation!B:H, 7, FALSE), IFERROR(VLOOKUP(B155, Project_Management!B:H, 7, FALSE), ""))</f>
        <v>45228</v>
      </c>
      <c r="I155" s="224">
        <v>0.0</v>
      </c>
      <c r="J155" s="223">
        <f>IFERROR(VLOOKUP(C155, Content_Creation!B:H, 7, FALSE), IFERROR(VLOOKUP(C155, Project_Management!B:H, 7, FALSE), ""))</f>
        <v>45228</v>
      </c>
      <c r="K155" s="217"/>
      <c r="L155" s="225" t="str">
        <f>IFERROR(VLOOKUP(B155, Data_Validation!X:Y, 2, FALSE), "")</f>
        <v>Done</v>
      </c>
      <c r="M155" s="226" t="str">
        <f t="shared" si="1"/>
        <v>MaCaw | Art &amp; Craft Teacher Photos - Insta | Upload</v>
      </c>
      <c r="N155" s="226"/>
      <c r="O155" s="226"/>
    </row>
    <row r="156" ht="24.0" customHeight="1">
      <c r="A156" s="216" t="str">
        <f>IFERROR(__xludf.DUMMYFUNCTION("ARRAYFORMULA(IFERROR(VLOOKUP(REGEXEXTRACT(B156, ""-(\w+)-""), {Data_Validation!$F$16:$F$29, Data_Validation!$E$16:$E$29}, 2, FALSE), """"))
"),"MaCaw")</f>
        <v>MaCaw</v>
      </c>
      <c r="B156" s="217" t="str">
        <f>IFERROR(__xludf.DUMMYFUNCTION("""COMPUTED_VALUE"""),"CC-MAC-04.05")</f>
        <v>CC-MAC-04.05</v>
      </c>
      <c r="C156" s="218" t="str">
        <f>IFERROR(__xludf.DUMMYFUNCTION("IFERROR(REGEXEXTRACT(B156, ""^[A-Z]+-[A-Z]+-"") &amp; TEXT(VALUE(REGEXEXTRACT(B156, ""-(\d+)\."")), ""00""), """")"),"CC-MAC-04")</f>
        <v>CC-MAC-04</v>
      </c>
      <c r="D156" s="219" t="str">
        <f>IFERROR(VLOOKUP(C156, Content_Creation!B:D, 2, FALSE), IFERROR(VLOOKUP(C156, Project_Management!B:D, 2, FALSE), ""))
&amp; " - "
&amp; IFERROR(VLOOKUP(C156, Content_Creation!B:E, 4, FALSE), IFERROR(VLOOKUP(C156, Project_Management!B:E, 4, FALSE), ""))</f>
        <v>Music Teachers Intro - Shorts</v>
      </c>
      <c r="E156" s="220" t="str">
        <f>IFERROR(
    VLOOKUP(B155:B1001, Content_Creation!B:D, 3, FALSE),
    IFERROR(VLOOKUP(B155:B1001, Project_Management!B:D, 3, FALSE),"")
  )</f>
        <v>Edit</v>
      </c>
      <c r="F156" s="221" t="str">
        <f>IFERROR(VLOOKUP(B156, Content_Creation!B:F, 5, FALSE), IFERROR(VLOOKUP(B156, Project_Management!B:F, 5, FALSE), ""))</f>
        <v>Akhil</v>
      </c>
      <c r="G156" s="222" t="s">
        <v>26</v>
      </c>
      <c r="H156" s="223">
        <f>IFERROR(VLOOKUP(B156, Content_Creation!B:H, 7, FALSE), IFERROR(VLOOKUP(B156, Project_Management!B:H, 7, FALSE), ""))</f>
        <v>45228</v>
      </c>
      <c r="I156" s="224">
        <v>0.0</v>
      </c>
      <c r="J156" s="223">
        <f>IFERROR(VLOOKUP(C156, Content_Creation!B:H, 7, FALSE), IFERROR(VLOOKUP(C156, Project_Management!B:H, 7, FALSE), ""))</f>
        <v>45231</v>
      </c>
      <c r="K156" s="217"/>
      <c r="L156" s="225" t="str">
        <f>IFERROR(VLOOKUP(B156, Data_Validation!X:Y, 2, FALSE), "")</f>
        <v>Done</v>
      </c>
      <c r="M156" s="226" t="str">
        <f t="shared" si="1"/>
        <v>MaCaw | Music Teachers Intro - Shorts | Edit</v>
      </c>
      <c r="N156" s="226"/>
      <c r="O156" s="226"/>
    </row>
    <row r="157" ht="24.0" customHeight="1">
      <c r="A157" s="216" t="str">
        <f>IFERROR(__xludf.DUMMYFUNCTION("ARRAYFORMULA(IFERROR(VLOOKUP(REGEXEXTRACT(B157, ""-(\w+)-""), {Data_Validation!$F$16:$F$29, Data_Validation!$E$16:$E$29}, 2, FALSE), """"))
"),"MaCaw")</f>
        <v>MaCaw</v>
      </c>
      <c r="B157" s="217" t="str">
        <f>IFERROR(__xludf.DUMMYFUNCTION("""COMPUTED_VALUE"""),"CC-MAC-05.03")</f>
        <v>CC-MAC-05.03</v>
      </c>
      <c r="C157" s="218" t="str">
        <f>IFERROR(__xludf.DUMMYFUNCTION("IFERROR(REGEXEXTRACT(B157, ""^[A-Z]+-[A-Z]+-"") &amp; TEXT(VALUE(REGEXEXTRACT(B157, ""-(\d+)\."")), ""00""), """")"),"CC-MAC-05")</f>
        <v>CC-MAC-05</v>
      </c>
      <c r="D157" s="219" t="str">
        <f>IFERROR(VLOOKUP(C157, Content_Creation!B:D, 2, FALSE), IFERROR(VLOOKUP(C157, Project_Management!B:D, 2, FALSE), ""))
&amp; " - "
&amp; IFERROR(VLOOKUP(C157, Content_Creation!B:E, 4, FALSE), IFERROR(VLOOKUP(C157, Project_Management!B:E, 4, FALSE), ""))</f>
        <v>Music Teachers Photos - Insta</v>
      </c>
      <c r="E157" s="220" t="str">
        <f>IFERROR(
    VLOOKUP(B156:B1001, Content_Creation!B:D, 3, FALSE),
    IFERROR(VLOOKUP(B156:B1001, Project_Management!B:D, 3, FALSE),"")
  )</f>
        <v>Edit &amp; Caption</v>
      </c>
      <c r="F157" s="221" t="str">
        <f>IFERROR(VLOOKUP(B157, Content_Creation!B:F, 5, FALSE), IFERROR(VLOOKUP(B157, Project_Management!B:F, 5, FALSE), ""))</f>
        <v>Akhil</v>
      </c>
      <c r="G157" s="222" t="s">
        <v>26</v>
      </c>
      <c r="H157" s="223">
        <f>IFERROR(VLOOKUP(B157, Content_Creation!B:H, 7, FALSE), IFERROR(VLOOKUP(B157, Project_Management!B:H, 7, FALSE), ""))</f>
        <v>45228</v>
      </c>
      <c r="I157" s="224">
        <v>0.125</v>
      </c>
      <c r="J157" s="223">
        <f>IFERROR(VLOOKUP(C157, Content_Creation!B:H, 7, FALSE), IFERROR(VLOOKUP(C157, Project_Management!B:H, 7, FALSE), ""))</f>
        <v>45230</v>
      </c>
      <c r="K157" s="217"/>
      <c r="L157" s="225" t="str">
        <f>IFERROR(VLOOKUP(B157, Data_Validation!X:Y, 2, FALSE), "")</f>
        <v>Done</v>
      </c>
      <c r="M157" s="226" t="str">
        <f t="shared" si="1"/>
        <v>MaCaw | Music Teachers Photos - Insta | Edit &amp; Caption</v>
      </c>
      <c r="N157" s="226"/>
      <c r="O157" s="226"/>
    </row>
    <row r="158" ht="24.0" customHeight="1">
      <c r="A158" s="216" t="str">
        <f>IFERROR(__xludf.DUMMYFUNCTION("ARRAYFORMULA(IFERROR(VLOOKUP(REGEXEXTRACT(B158, ""-(\w+)-""), {Data_Validation!$F$16:$F$29, Data_Validation!$E$16:$E$29}, 2, FALSE), """"))
"),"TheMVP")</f>
        <v>TheMVP</v>
      </c>
      <c r="B158" s="217" t="str">
        <f>IFERROR(__xludf.DUMMYFUNCTION("""COMPUTED_VALUE"""),"CC-MVP-80.01")</f>
        <v>CC-MVP-80.01</v>
      </c>
      <c r="C158" s="218" t="str">
        <f>IFERROR(__xludf.DUMMYFUNCTION("IFERROR(REGEXEXTRACT(B158, ""^[A-Z]+-[A-Z]+-"") &amp; TEXT(VALUE(REGEXEXTRACT(B158, ""-(\d+)\."")), ""00""), """")"),"CC-MVP-80")</f>
        <v>CC-MVP-80</v>
      </c>
      <c r="D158" s="219" t="str">
        <f>IFERROR(VLOOKUP(C158, Content_Creation!B:D, 2, FALSE), IFERROR(VLOOKUP(C158, Project_Management!B:D, 2, FALSE), ""))
&amp; " - "
&amp; IFERROR(VLOOKUP(C158, Content_Creation!B:E, 4, FALSE), IFERROR(VLOOKUP(C158, Project_Management!B:E, 4, FALSE), ""))</f>
        <v>06102304-Build Photo - Insta</v>
      </c>
      <c r="E158" s="220" t="str">
        <f>IFERROR(
    VLOOKUP(B157:B1001, Content_Creation!B:D, 3, FALSE),
    IFERROR(VLOOKUP(B157:B1001, Project_Management!B:D, 3, FALSE),"")
  )</f>
        <v>Script</v>
      </c>
      <c r="F158" s="221" t="str">
        <f>IFERROR(VLOOKUP(B158, Content_Creation!B:F, 5, FALSE), IFERROR(VLOOKUP(B158, Project_Management!B:F, 5, FALSE), ""))</f>
        <v>Naveen</v>
      </c>
      <c r="G158" s="222" t="s">
        <v>26</v>
      </c>
      <c r="H158" s="223">
        <f>IFERROR(VLOOKUP(B158, Content_Creation!B:H, 7, FALSE), IFERROR(VLOOKUP(B158, Project_Management!B:H, 7, FALSE), ""))</f>
        <v>45229.42031</v>
      </c>
      <c r="I158" s="224">
        <v>0.08333333333333333</v>
      </c>
      <c r="J158" s="223">
        <f>IFERROR(VLOOKUP(C158, Content_Creation!B:H, 7, FALSE), IFERROR(VLOOKUP(C158, Project_Management!B:H, 7, FALSE), ""))</f>
        <v>45233</v>
      </c>
      <c r="K158" s="217"/>
      <c r="L158" s="225" t="str">
        <f>IFERROR(VLOOKUP(B158, Data_Validation!X:Y, 2, FALSE), "")</f>
        <v>Done</v>
      </c>
      <c r="M158" s="226" t="str">
        <f t="shared" si="1"/>
        <v>TheMVP | 06102304-Build Photo - Insta | Script</v>
      </c>
      <c r="N158" s="226"/>
      <c r="O158" s="226"/>
    </row>
    <row r="159" ht="24.0" customHeight="1">
      <c r="A159" s="216" t="str">
        <f>IFERROR(__xludf.DUMMYFUNCTION("ARRAYFORMULA(IFERROR(VLOOKUP(REGEXEXTRACT(B159, ""-(\w+)-""), {Data_Validation!$F$16:$F$29, Data_Validation!$E$16:$E$29}, 2, FALSE), """"))
"),"TheMVP")</f>
        <v>TheMVP</v>
      </c>
      <c r="B159" s="217" t="str">
        <f>IFERROR(__xludf.DUMMYFUNCTION("""COMPUTED_VALUE"""),"CC-MVP-78.02")</f>
        <v>CC-MVP-78.02</v>
      </c>
      <c r="C159" s="218" t="str">
        <f>IFERROR(__xludf.DUMMYFUNCTION("IFERROR(REGEXEXTRACT(B159, ""^[A-Z]+-[A-Z]+-"") &amp; TEXT(VALUE(REGEXEXTRACT(B159, ""-(\d+)\."")), ""00""), """")"),"CC-MVP-78")</f>
        <v>CC-MVP-78</v>
      </c>
      <c r="D159" s="219" t="str">
        <f>IFERROR(VLOOKUP(C159, Content_Creation!B:D, 2, FALSE), IFERROR(VLOOKUP(C159, Project_Management!B:D, 2, FALSE), ""))
&amp; " - "
&amp; IFERROR(VLOOKUP(C159, Content_Creation!B:E, 4, FALSE), IFERROR(VLOOKUP(C159, Project_Management!B:E, 4, FALSE), ""))</f>
        <v>L40s GPU Server - Blog</v>
      </c>
      <c r="E159" s="220" t="str">
        <f>IFERROR(
    VLOOKUP(B158:B1001, Content_Creation!B:D, 3, FALSE),
    IFERROR(VLOOKUP(B158:B1001, Project_Management!B:D, 3, FALSE),"")
  )</f>
        <v>Edit</v>
      </c>
      <c r="F159" s="221" t="str">
        <f>IFERROR(VLOOKUP(B159, Content_Creation!B:F, 5, FALSE), IFERROR(VLOOKUP(B159, Project_Management!B:F, 5, FALSE), ""))</f>
        <v>Nasser</v>
      </c>
      <c r="G159" s="222" t="s">
        <v>26</v>
      </c>
      <c r="H159" s="223">
        <f>IFERROR(VLOOKUP(B159, Content_Creation!B:H, 7, FALSE), IFERROR(VLOOKUP(B159, Project_Management!B:H, 7, FALSE), ""))</f>
        <v>45229.62137</v>
      </c>
      <c r="I159" s="224">
        <v>0.020833333333333332</v>
      </c>
      <c r="J159" s="223">
        <f>IFERROR(VLOOKUP(C159, Content_Creation!B:H, 7, FALSE), IFERROR(VLOOKUP(C159, Project_Management!B:H, 7, FALSE), ""))</f>
        <v>45229.62137</v>
      </c>
      <c r="K159" s="217"/>
      <c r="L159" s="225" t="str">
        <f>IFERROR(VLOOKUP(B159, Data_Validation!X:Y, 2, FALSE), "")</f>
        <v>Done</v>
      </c>
      <c r="M159" s="226" t="str">
        <f t="shared" si="1"/>
        <v>TheMVP | L40s GPU Server - Blog | Edit</v>
      </c>
      <c r="N159" s="226"/>
      <c r="O159" s="226"/>
    </row>
    <row r="160" ht="24.0" customHeight="1">
      <c r="A160" s="216" t="str">
        <f>IFERROR(__xludf.DUMMYFUNCTION("ARRAYFORMULA(IFERROR(VLOOKUP(REGEXEXTRACT(B160, ""-(\w+)-""), {Data_Validation!$F$16:$F$29, Data_Validation!$E$16:$E$29}, 2, FALSE), """"))
"),"Nvidia")</f>
        <v>Nvidia</v>
      </c>
      <c r="B160" s="217" t="str">
        <f>IFERROR(__xludf.DUMMYFUNCTION("""COMPUTED_VALUE"""),"CC-NVI-05.08")</f>
        <v>CC-NVI-05.08</v>
      </c>
      <c r="C160" s="218" t="str">
        <f>IFERROR(__xludf.DUMMYFUNCTION("IFERROR(REGEXEXTRACT(B160, ""^[A-Z]+-[A-Z]+-"") &amp; TEXT(VALUE(REGEXEXTRACT(B160, ""-(\d+)\."")), ""00""), """")"),"CC-NVI-05")</f>
        <v>CC-NVI-05</v>
      </c>
      <c r="D160" s="219" t="str">
        <f>IFERROR(VLOOKUP(C160, Content_Creation!B:D, 2, FALSE), IFERROR(VLOOKUP(C160, Project_Management!B:D, 2, FALSE), ""))
&amp; " - "
&amp; IFERROR(VLOOKUP(C160, Content_Creation!B:E, 4, FALSE), IFERROR(VLOOKUP(C160, Project_Management!B:E, 4, FALSE), ""))</f>
        <v>Acer Predator - Shorts</v>
      </c>
      <c r="E160" s="220" t="str">
        <f>IFERROR(
    VLOOKUP(B159:B1001, Content_Creation!B:D, 3, FALSE),
    IFERROR(VLOOKUP(B159:B1001, Project_Management!B:D, 3, FALSE),"")
  )</f>
        <v>Upload</v>
      </c>
      <c r="F160" s="221" t="str">
        <f>IFERROR(VLOOKUP(B160, Content_Creation!B:F, 5, FALSE), IFERROR(VLOOKUP(B160, Project_Management!B:F, 5, FALSE), ""))</f>
        <v>Naveen</v>
      </c>
      <c r="G160" s="222" t="s">
        <v>26</v>
      </c>
      <c r="H160" s="223">
        <f>IFERROR(VLOOKUP(B160, Content_Creation!B:H, 7, FALSE), IFERROR(VLOOKUP(B160, Project_Management!B:H, 7, FALSE), ""))</f>
        <v>45229</v>
      </c>
      <c r="I160" s="224">
        <v>0.020833333333333332</v>
      </c>
      <c r="J160" s="223">
        <f>IFERROR(VLOOKUP(C160, Content_Creation!B:H, 7, FALSE), IFERROR(VLOOKUP(C160, Project_Management!B:H, 7, FALSE), ""))</f>
        <v>45229</v>
      </c>
      <c r="K160" s="217"/>
      <c r="L160" s="225" t="str">
        <f>IFERROR(VLOOKUP(B160, Data_Validation!X:Y, 2, FALSE), "")</f>
        <v>Done</v>
      </c>
      <c r="M160" s="226" t="str">
        <f t="shared" si="1"/>
        <v>Nvidia | Acer Predator - Shorts | Upload</v>
      </c>
      <c r="N160" s="226"/>
      <c r="O160" s="226"/>
    </row>
    <row r="161" ht="24.0" customHeight="1">
      <c r="A161" s="216" t="str">
        <f>IFERROR(__xludf.DUMMYFUNCTION("ARRAYFORMULA(IFERROR(VLOOKUP(REGEXEXTRACT(B161, ""-(\w+)-""), {Data_Validation!$F$16:$F$29, Data_Validation!$E$16:$E$29}, 2, FALSE), """"))
"),"Nvidia")</f>
        <v>Nvidia</v>
      </c>
      <c r="B161" s="217" t="str">
        <f>IFERROR(__xludf.DUMMYFUNCTION("""COMPUTED_VALUE"""),"CC-NVI-07.07")</f>
        <v>CC-NVI-07.07</v>
      </c>
      <c r="C161" s="218" t="str">
        <f>IFERROR(__xludf.DUMMYFUNCTION("IFERROR(REGEXEXTRACT(B161, ""^[A-Z]+-[A-Z]+-"") &amp; TEXT(VALUE(REGEXEXTRACT(B161, ""-(\d+)\."")), ""00""), """")"),"CC-NVI-07")</f>
        <v>CC-NVI-07</v>
      </c>
      <c r="D161" s="219" t="str">
        <f>IFERROR(VLOOKUP(C161, Content_Creation!B:D, 2, FALSE), IFERROR(VLOOKUP(C161, Project_Management!B:D, 2, FALSE), ""))
&amp; " - "
&amp; IFERROR(VLOOKUP(C161, Content_Creation!B:E, 4, FALSE), IFERROR(VLOOKUP(C161, Project_Management!B:E, 4, FALSE), ""))</f>
        <v>Acer Nitro V - Shorts</v>
      </c>
      <c r="E161" s="220" t="str">
        <f>IFERROR(
    VLOOKUP(B160:B1001, Content_Creation!B:D, 3, FALSE),
    IFERROR(VLOOKUP(B160:B1001, Project_Management!B:D, 3, FALSE),"")
  )</f>
        <v>Upload</v>
      </c>
      <c r="F161" s="221" t="str">
        <f>IFERROR(VLOOKUP(B161, Content_Creation!B:F, 5, FALSE), IFERROR(VLOOKUP(B161, Project_Management!B:F, 5, FALSE), ""))</f>
        <v>Naveen</v>
      </c>
      <c r="G161" s="222" t="s">
        <v>26</v>
      </c>
      <c r="H161" s="223">
        <f>IFERROR(VLOOKUP(B161, Content_Creation!B:H, 7, FALSE), IFERROR(VLOOKUP(B161, Project_Management!B:H, 7, FALSE), ""))</f>
        <v>45229</v>
      </c>
      <c r="I161" s="224">
        <v>0.16666666666666666</v>
      </c>
      <c r="J161" s="223">
        <f>IFERROR(VLOOKUP(C161, Content_Creation!B:H, 7, FALSE), IFERROR(VLOOKUP(C161, Project_Management!B:H, 7, FALSE), ""))</f>
        <v>45229</v>
      </c>
      <c r="K161" s="217"/>
      <c r="L161" s="225" t="str">
        <f>IFERROR(VLOOKUP(B161, Data_Validation!X:Y, 2, FALSE), "")</f>
        <v>Done</v>
      </c>
      <c r="M161" s="226" t="str">
        <f t="shared" si="1"/>
        <v>Nvidia | Acer Nitro V - Shorts | Upload</v>
      </c>
      <c r="N161" s="226"/>
      <c r="O161" s="226"/>
    </row>
    <row r="162" ht="24.0" customHeight="1">
      <c r="A162" s="216" t="str">
        <f>IFERROR(__xludf.DUMMYFUNCTION("ARRAYFORMULA(IFERROR(VLOOKUP(REGEXEXTRACT(B162, ""-(\w+)-""), {Data_Validation!$F$16:$F$29, Data_Validation!$E$16:$E$29}, 2, FALSE), """"))
"),"Colorful Tech")</f>
        <v>Colorful Tech</v>
      </c>
      <c r="B162" s="217" t="str">
        <f>IFERROR(__xludf.DUMMYFUNCTION("""COMPUTED_VALUE"""),"CC-CTH-10.03")</f>
        <v>CC-CTH-10.03</v>
      </c>
      <c r="C162" s="218" t="str">
        <f>IFERROR(__xludf.DUMMYFUNCTION("IFERROR(REGEXEXTRACT(B162, ""^[A-Z]+-[A-Z]+-"") &amp; TEXT(VALUE(REGEXEXTRACT(B162, ""-(\d+)\."")), ""00""), """")"),"CC-CTH-10")</f>
        <v>CC-CTH-10</v>
      </c>
      <c r="D162" s="219" t="str">
        <f>IFERROR(VLOOKUP(C162, Content_Creation!B:D, 2, FALSE), IFERROR(VLOOKUP(C162, Project_Management!B:D, 2, FALSE), ""))
&amp; " - "
&amp; IFERROR(VLOOKUP(C162, Content_Creation!B:E, 4, FALSE), IFERROR(VLOOKUP(C162, Project_Management!B:E, 4, FALSE), ""))</f>
        <v>iGame Center Introduction - Shorts</v>
      </c>
      <c r="E162" s="220" t="str">
        <f>IFERROR(
    VLOOKUP(B161:B1001, Content_Creation!B:D, 3, FALSE),
    IFERROR(VLOOKUP(B161:B1001, Project_Management!B:D, 3, FALSE),"")
  )</f>
        <v>Edit</v>
      </c>
      <c r="F162" s="221" t="str">
        <f>IFERROR(VLOOKUP(B162, Content_Creation!B:F, 5, FALSE), IFERROR(VLOOKUP(B162, Project_Management!B:F, 5, FALSE), ""))</f>
        <v>Naveen</v>
      </c>
      <c r="G162" s="222" t="s">
        <v>26</v>
      </c>
      <c r="H162" s="223">
        <f>IFERROR(VLOOKUP(B162, Content_Creation!B:H, 7, FALSE), IFERROR(VLOOKUP(B162, Project_Management!B:H, 7, FALSE), ""))</f>
        <v>45229</v>
      </c>
      <c r="I162" s="224">
        <v>0.0</v>
      </c>
      <c r="J162" s="223">
        <f>IFERROR(VLOOKUP(C162, Content_Creation!B:H, 7, FALSE), IFERROR(VLOOKUP(C162, Project_Management!B:H, 7, FALSE), ""))</f>
        <v>45241</v>
      </c>
      <c r="K162" s="217"/>
      <c r="L162" s="225" t="str">
        <f>IFERROR(VLOOKUP(B162, Data_Validation!X:Y, 2, FALSE), "")</f>
        <v>Done</v>
      </c>
      <c r="M162" s="226" t="str">
        <f t="shared" si="1"/>
        <v>Colorful Tech | iGame Center Introduction - Shorts | Edit</v>
      </c>
      <c r="N162" s="226"/>
      <c r="O162" s="226"/>
    </row>
    <row r="163" ht="24.0" customHeight="1">
      <c r="A163" s="216" t="str">
        <f>IFERROR(__xludf.DUMMYFUNCTION("ARRAYFORMULA(IFERROR(VLOOKUP(REGEXEXTRACT(B163, ""-(\w+)-""), {Data_Validation!$F$16:$F$29, Data_Validation!$E$16:$E$29}, 2, FALSE), """"))
"),"Inno3D")</f>
        <v>Inno3D</v>
      </c>
      <c r="B163" s="217" t="str">
        <f>IFERROR(__xludf.DUMMYFUNCTION("""COMPUTED_VALUE"""),"CC-INN-13.01")</f>
        <v>CC-INN-13.01</v>
      </c>
      <c r="C163" s="218" t="str">
        <f>IFERROR(__xludf.DUMMYFUNCTION("IFERROR(REGEXEXTRACT(B163, ""^[A-Z]+-[A-Z]+-"") &amp; TEXT(VALUE(REGEXEXTRACT(B163, ""-(\d+)\."")), ""00""), """")"),"CC-INN-13")</f>
        <v>CC-INN-13</v>
      </c>
      <c r="D163" s="219" t="str">
        <f>IFERROR(VLOOKUP(C163, Content_Creation!B:D, 2, FALSE), IFERROR(VLOOKUP(C163, Project_Management!B:D, 2, FALSE), ""))
&amp; " - "
&amp; IFERROR(VLOOKUP(C163, Content_Creation!B:E, 4, FALSE), IFERROR(VLOOKUP(C163, Project_Management!B:E, 4, FALSE), ""))</f>
        <v>RTX 4070 iCHILL - Feature - Insta</v>
      </c>
      <c r="E163" s="220" t="str">
        <f>IFERROR(
    VLOOKUP(B162:B1001, Content_Creation!B:D, 3, FALSE),
    IFERROR(VLOOKUP(B162:B1001, Project_Management!B:D, 3, FALSE),"")
  )</f>
        <v>Script</v>
      </c>
      <c r="F163" s="221" t="str">
        <f>IFERROR(VLOOKUP(B163, Content_Creation!B:F, 5, FALSE), IFERROR(VLOOKUP(B163, Project_Management!B:F, 5, FALSE), ""))</f>
        <v>Naveen</v>
      </c>
      <c r="G163" s="222" t="s">
        <v>26</v>
      </c>
      <c r="H163" s="223">
        <f>IFERROR(VLOOKUP(B163, Content_Creation!B:H, 7, FALSE), IFERROR(VLOOKUP(B163, Project_Management!B:H, 7, FALSE), ""))</f>
        <v>45229.43138</v>
      </c>
      <c r="I163" s="224">
        <v>0.0</v>
      </c>
      <c r="J163" s="223">
        <f>IFERROR(VLOOKUP(C163, Content_Creation!B:H, 7, FALSE), IFERROR(VLOOKUP(C163, Project_Management!B:H, 7, FALSE), ""))</f>
        <v>45229.43138</v>
      </c>
      <c r="K163" s="217"/>
      <c r="L163" s="225" t="str">
        <f>IFERROR(VLOOKUP(B163, Data_Validation!X:Y, 2, FALSE), "")</f>
        <v>Done</v>
      </c>
      <c r="M163" s="226" t="str">
        <f t="shared" si="1"/>
        <v>Inno3D | RTX 4070 iCHILL - Feature - Insta | Script</v>
      </c>
      <c r="N163" s="226"/>
      <c r="O163" s="226"/>
    </row>
    <row r="164" ht="24.0" customHeight="1">
      <c r="A164" s="216" t="str">
        <f>IFERROR(__xludf.DUMMYFUNCTION("ARRAYFORMULA(IFERROR(VLOOKUP(REGEXEXTRACT(B164, ""-(\w+)-""), {Data_Validation!$F$16:$F$29, Data_Validation!$E$16:$E$29}, 2, FALSE), """"))
"),"Inno3D")</f>
        <v>Inno3D</v>
      </c>
      <c r="B164" s="217" t="str">
        <f>IFERROR(__xludf.DUMMYFUNCTION("""COMPUTED_VALUE"""),"CC-INN-13.03")</f>
        <v>CC-INN-13.03</v>
      </c>
      <c r="C164" s="218" t="str">
        <f>IFERROR(__xludf.DUMMYFUNCTION("IFERROR(REGEXEXTRACT(B164, ""^[A-Z]+-[A-Z]+-"") &amp; TEXT(VALUE(REGEXEXTRACT(B164, ""-(\d+)\."")), ""00""), """")"),"CC-INN-13")</f>
        <v>CC-INN-13</v>
      </c>
      <c r="D164" s="219" t="str">
        <f>IFERROR(VLOOKUP(C164, Content_Creation!B:D, 2, FALSE), IFERROR(VLOOKUP(C164, Project_Management!B:D, 2, FALSE), ""))
&amp; " - "
&amp; IFERROR(VLOOKUP(C164, Content_Creation!B:E, 4, FALSE), IFERROR(VLOOKUP(C164, Project_Management!B:E, 4, FALSE), ""))</f>
        <v>RTX 4070 iCHILL - Feature - Insta</v>
      </c>
      <c r="E164" s="220" t="str">
        <f>IFERROR(
    VLOOKUP(B163:B1001, Content_Creation!B:D, 3, FALSE),
    IFERROR(VLOOKUP(B163:B1001, Project_Management!B:D, 3, FALSE),"")
  )</f>
        <v>Edit + Captions</v>
      </c>
      <c r="F164" s="221" t="str">
        <f>IFERROR(VLOOKUP(B164, Content_Creation!B:F, 5, FALSE), IFERROR(VLOOKUP(B164, Project_Management!B:F, 5, FALSE), ""))</f>
        <v>Naveen</v>
      </c>
      <c r="G164" s="222" t="s">
        <v>26</v>
      </c>
      <c r="H164" s="223">
        <f>IFERROR(VLOOKUP(B164, Content_Creation!B:H, 7, FALSE), IFERROR(VLOOKUP(B164, Project_Management!B:H, 7, FALSE), ""))</f>
        <v>45229.43138</v>
      </c>
      <c r="I164" s="224">
        <v>0.0</v>
      </c>
      <c r="J164" s="223">
        <f>IFERROR(VLOOKUP(C164, Content_Creation!B:H, 7, FALSE), IFERROR(VLOOKUP(C164, Project_Management!B:H, 7, FALSE), ""))</f>
        <v>45229.43138</v>
      </c>
      <c r="K164" s="217"/>
      <c r="L164" s="225" t="str">
        <f>IFERROR(VLOOKUP(B164, Data_Validation!X:Y, 2, FALSE), "")</f>
        <v>Done</v>
      </c>
      <c r="M164" s="226" t="str">
        <f t="shared" si="1"/>
        <v>Inno3D | RTX 4070 iCHILL - Feature - Insta | Edit + Captions</v>
      </c>
      <c r="N164" s="226"/>
      <c r="O164" s="226"/>
    </row>
    <row r="165" ht="24.0" customHeight="1">
      <c r="A165" s="216" t="str">
        <f>IFERROR(__xludf.DUMMYFUNCTION("ARRAYFORMULA(IFERROR(VLOOKUP(REGEXEXTRACT(B165, ""-(\w+)-""), {Data_Validation!$F$16:$F$29, Data_Validation!$E$16:$E$29}, 2, FALSE), """"))
"),"Inno3D")</f>
        <v>Inno3D</v>
      </c>
      <c r="B165" s="217" t="str">
        <f>IFERROR(__xludf.DUMMYFUNCTION("""COMPUTED_VALUE"""),"CC-INN-13.04")</f>
        <v>CC-INN-13.04</v>
      </c>
      <c r="C165" s="218" t="str">
        <f>IFERROR(__xludf.DUMMYFUNCTION("IFERROR(REGEXEXTRACT(B165, ""^[A-Z]+-[A-Z]+-"") &amp; TEXT(VALUE(REGEXEXTRACT(B165, ""-(\d+)\."")), ""00""), """")"),"CC-INN-13")</f>
        <v>CC-INN-13</v>
      </c>
      <c r="D165" s="219" t="str">
        <f>IFERROR(VLOOKUP(C165, Content_Creation!B:D, 2, FALSE), IFERROR(VLOOKUP(C165, Project_Management!B:D, 2, FALSE), ""))
&amp; " - "
&amp; IFERROR(VLOOKUP(C165, Content_Creation!B:E, 4, FALSE), IFERROR(VLOOKUP(C165, Project_Management!B:E, 4, FALSE), ""))</f>
        <v>RTX 4070 iCHILL - Feature - Insta</v>
      </c>
      <c r="E165" s="220" t="str">
        <f>IFERROR(
    VLOOKUP(B164:B1001, Content_Creation!B:D, 3, FALSE),
    IFERROR(VLOOKUP(B164:B1001, Project_Management!B:D, 3, FALSE),"")
  )</f>
        <v>Upload</v>
      </c>
      <c r="F165" s="221" t="str">
        <f>IFERROR(VLOOKUP(B165, Content_Creation!B:F, 5, FALSE), IFERROR(VLOOKUP(B165, Project_Management!B:F, 5, FALSE), ""))</f>
        <v>Naveen</v>
      </c>
      <c r="G165" s="222" t="s">
        <v>26</v>
      </c>
      <c r="H165" s="223">
        <f>IFERROR(VLOOKUP(B165, Content_Creation!B:H, 7, FALSE), IFERROR(VLOOKUP(B165, Project_Management!B:H, 7, FALSE), ""))</f>
        <v>45229.43138</v>
      </c>
      <c r="I165" s="224">
        <v>0.0625</v>
      </c>
      <c r="J165" s="223">
        <f>IFERROR(VLOOKUP(C165, Content_Creation!B:H, 7, FALSE), IFERROR(VLOOKUP(C165, Project_Management!B:H, 7, FALSE), ""))</f>
        <v>45229.43138</v>
      </c>
      <c r="K165" s="217"/>
      <c r="L165" s="225" t="str">
        <f>IFERROR(VLOOKUP(B165, Data_Validation!X:Y, 2, FALSE), "")</f>
        <v>Done</v>
      </c>
      <c r="M165" s="226" t="str">
        <f t="shared" si="1"/>
        <v>Inno3D | RTX 4070 iCHILL - Feature - Insta | Upload</v>
      </c>
      <c r="N165" s="226"/>
      <c r="O165" s="226"/>
    </row>
    <row r="166" ht="24.0" customHeight="1">
      <c r="A166" s="216" t="str">
        <f>IFERROR(__xludf.DUMMYFUNCTION("ARRAYFORMULA(IFERROR(VLOOKUP(REGEXEXTRACT(B166, ""-(\w+)-""), {Data_Validation!$F$16:$F$29, Data_Validation!$E$16:$E$29}, 2, FALSE), """"))
"),"Inno3D")</f>
        <v>Inno3D</v>
      </c>
      <c r="B166" s="217" t="str">
        <f>IFERROR(__xludf.DUMMYFUNCTION("""COMPUTED_VALUE"""),"CC-INN-14.01")</f>
        <v>CC-INN-14.01</v>
      </c>
      <c r="C166" s="218" t="str">
        <f>IFERROR(__xludf.DUMMYFUNCTION("IFERROR(REGEXEXTRACT(B166, ""^[A-Z]+-[A-Z]+-"") &amp; TEXT(VALUE(REGEXEXTRACT(B166, ""-(\d+)\."")), ""00""), """")"),"CC-INN-14")</f>
        <v>CC-INN-14</v>
      </c>
      <c r="D166" s="219" t="str">
        <f>IFERROR(VLOOKUP(C166, Content_Creation!B:D, 2, FALSE), IFERROR(VLOOKUP(C166, Project_Management!B:D, 2, FALSE), ""))
&amp; " - "
&amp; IFERROR(VLOOKUP(C166, Content_Creation!B:E, 4, FALSE), IFERROR(VLOOKUP(C166, Project_Management!B:E, 4, FALSE), ""))</f>
        <v>Further with AI - X3 OC - Insta</v>
      </c>
      <c r="E166" s="220" t="str">
        <f>IFERROR(
    VLOOKUP(B165:B1001, Content_Creation!B:D, 3, FALSE),
    IFERROR(VLOOKUP(B165:B1001, Project_Management!B:D, 3, FALSE),"")
  )</f>
        <v>Script</v>
      </c>
      <c r="F166" s="221" t="str">
        <f>IFERROR(VLOOKUP(B166, Content_Creation!B:F, 5, FALSE), IFERROR(VLOOKUP(B166, Project_Management!B:F, 5, FALSE), ""))</f>
        <v>Naveen</v>
      </c>
      <c r="G166" s="222" t="s">
        <v>26</v>
      </c>
      <c r="H166" s="223">
        <f>IFERROR(VLOOKUP(B166, Content_Creation!B:H, 7, FALSE), IFERROR(VLOOKUP(B166, Project_Management!B:H, 7, FALSE), ""))</f>
        <v>45229.45208</v>
      </c>
      <c r="I166" s="224">
        <v>0.020833333333333332</v>
      </c>
      <c r="J166" s="223">
        <f>IFERROR(VLOOKUP(C166, Content_Creation!B:H, 7, FALSE), IFERROR(VLOOKUP(C166, Project_Management!B:H, 7, FALSE), ""))</f>
        <v>45229.45208</v>
      </c>
      <c r="K166" s="217"/>
      <c r="L166" s="225" t="str">
        <f>IFERROR(VLOOKUP(B166, Data_Validation!X:Y, 2, FALSE), "")</f>
        <v>Done</v>
      </c>
      <c r="M166" s="226" t="str">
        <f t="shared" si="1"/>
        <v>Inno3D | Further with AI - X3 OC - Insta | Script</v>
      </c>
      <c r="N166" s="226"/>
      <c r="O166" s="226"/>
    </row>
    <row r="167" ht="24.0" customHeight="1">
      <c r="A167" s="216" t="str">
        <f>IFERROR(__xludf.DUMMYFUNCTION("ARRAYFORMULA(IFERROR(VLOOKUP(REGEXEXTRACT(B167, ""-(\w+)-""), {Data_Validation!$F$16:$F$29, Data_Validation!$E$16:$E$29}, 2, FALSE), """"))
"),"Inno3D")</f>
        <v>Inno3D</v>
      </c>
      <c r="B167" s="217" t="str">
        <f>IFERROR(__xludf.DUMMYFUNCTION("""COMPUTED_VALUE"""),"CC-INN-14.03")</f>
        <v>CC-INN-14.03</v>
      </c>
      <c r="C167" s="218" t="str">
        <f>IFERROR(__xludf.DUMMYFUNCTION("IFERROR(REGEXEXTRACT(B167, ""^[A-Z]+-[A-Z]+-"") &amp; TEXT(VALUE(REGEXEXTRACT(B167, ""-(\d+)\."")), ""00""), """")"),"CC-INN-14")</f>
        <v>CC-INN-14</v>
      </c>
      <c r="D167" s="219" t="str">
        <f>IFERROR(VLOOKUP(C167, Content_Creation!B:D, 2, FALSE), IFERROR(VLOOKUP(C167, Project_Management!B:D, 2, FALSE), ""))
&amp; " - "
&amp; IFERROR(VLOOKUP(C167, Content_Creation!B:E, 4, FALSE), IFERROR(VLOOKUP(C167, Project_Management!B:E, 4, FALSE), ""))</f>
        <v>Further with AI - X3 OC - Insta</v>
      </c>
      <c r="E167" s="220" t="str">
        <f>IFERROR(
    VLOOKUP(B166:B1001, Content_Creation!B:D, 3, FALSE),
    IFERROR(VLOOKUP(B166:B1001, Project_Management!B:D, 3, FALSE),"")
  )</f>
        <v>Edit + Captions</v>
      </c>
      <c r="F167" s="221" t="str">
        <f>IFERROR(VLOOKUP(B167, Content_Creation!B:F, 5, FALSE), IFERROR(VLOOKUP(B167, Project_Management!B:F, 5, FALSE), ""))</f>
        <v>Naveen</v>
      </c>
      <c r="G167" s="222" t="s">
        <v>26</v>
      </c>
      <c r="H167" s="223">
        <f>IFERROR(VLOOKUP(B167, Content_Creation!B:H, 7, FALSE), IFERROR(VLOOKUP(B167, Project_Management!B:H, 7, FALSE), ""))</f>
        <v>45229.45208</v>
      </c>
      <c r="I167" s="224">
        <v>0.0</v>
      </c>
      <c r="J167" s="223">
        <f>IFERROR(VLOOKUP(C167, Content_Creation!B:H, 7, FALSE), IFERROR(VLOOKUP(C167, Project_Management!B:H, 7, FALSE), ""))</f>
        <v>45229.45208</v>
      </c>
      <c r="K167" s="217"/>
      <c r="L167" s="225" t="str">
        <f>IFERROR(VLOOKUP(B167, Data_Validation!X:Y, 2, FALSE), "")</f>
        <v>Done</v>
      </c>
      <c r="M167" s="226" t="str">
        <f t="shared" si="1"/>
        <v>Inno3D | Further with AI - X3 OC - Insta | Edit + Captions</v>
      </c>
      <c r="N167" s="226"/>
      <c r="O167" s="226"/>
    </row>
    <row r="168" ht="24.0" customHeight="1">
      <c r="A168" s="216" t="str">
        <f>IFERROR(__xludf.DUMMYFUNCTION("ARRAYFORMULA(IFERROR(VLOOKUP(REGEXEXTRACT(B168, ""-(\w+)-""), {Data_Validation!$F$16:$F$29, Data_Validation!$E$16:$E$29}, 2, FALSE), """"))
"),"Inno3D")</f>
        <v>Inno3D</v>
      </c>
      <c r="B168" s="217" t="str">
        <f>IFERROR(__xludf.DUMMYFUNCTION("""COMPUTED_VALUE"""),"CC-INN-14.04")</f>
        <v>CC-INN-14.04</v>
      </c>
      <c r="C168" s="218" t="str">
        <f>IFERROR(__xludf.DUMMYFUNCTION("IFERROR(REGEXEXTRACT(B168, ""^[A-Z]+-[A-Z]+-"") &amp; TEXT(VALUE(REGEXEXTRACT(B168, ""-(\d+)\."")), ""00""), """")"),"CC-INN-14")</f>
        <v>CC-INN-14</v>
      </c>
      <c r="D168" s="219" t="str">
        <f>IFERROR(VLOOKUP(C168, Content_Creation!B:D, 2, FALSE), IFERROR(VLOOKUP(C168, Project_Management!B:D, 2, FALSE), ""))
&amp; " - "
&amp; IFERROR(VLOOKUP(C168, Content_Creation!B:E, 4, FALSE), IFERROR(VLOOKUP(C168, Project_Management!B:E, 4, FALSE), ""))</f>
        <v>Further with AI - X3 OC - Insta</v>
      </c>
      <c r="E168" s="220" t="str">
        <f>IFERROR(
    VLOOKUP(B167:B1001, Content_Creation!B:D, 3, FALSE),
    IFERROR(VLOOKUP(B167:B1001, Project_Management!B:D, 3, FALSE),"")
  )</f>
        <v>Upload</v>
      </c>
      <c r="F168" s="221" t="str">
        <f>IFERROR(VLOOKUP(B168, Content_Creation!B:F, 5, FALSE), IFERROR(VLOOKUP(B168, Project_Management!B:F, 5, FALSE), ""))</f>
        <v>Naveen</v>
      </c>
      <c r="G168" s="222" t="s">
        <v>26</v>
      </c>
      <c r="H168" s="223">
        <f>IFERROR(VLOOKUP(B168, Content_Creation!B:H, 7, FALSE), IFERROR(VLOOKUP(B168, Project_Management!B:H, 7, FALSE), ""))</f>
        <v>45229.45208</v>
      </c>
      <c r="I168" s="224">
        <v>0.0</v>
      </c>
      <c r="J168" s="223">
        <f>IFERROR(VLOOKUP(C168, Content_Creation!B:H, 7, FALSE), IFERROR(VLOOKUP(C168, Project_Management!B:H, 7, FALSE), ""))</f>
        <v>45229.45208</v>
      </c>
      <c r="K168" s="217"/>
      <c r="L168" s="225" t="str">
        <f>IFERROR(VLOOKUP(B168, Data_Validation!X:Y, 2, FALSE), "")</f>
        <v>Done</v>
      </c>
      <c r="M168" s="226" t="str">
        <f t="shared" si="1"/>
        <v>Inno3D | Further with AI - X3 OC - Insta | Upload</v>
      </c>
      <c r="N168" s="226"/>
      <c r="O168" s="226"/>
    </row>
    <row r="169" ht="24.0" customHeight="1">
      <c r="A169" s="216" t="str">
        <f>IFERROR(__xludf.DUMMYFUNCTION("ARRAYFORMULA(IFERROR(VLOOKUP(REGEXEXTRACT(B169, ""-(\w+)-""), {Data_Validation!$F$16:$F$29, Data_Validation!$E$16:$E$29}, 2, FALSE), """"))
"),"Inno3D")</f>
        <v>Inno3D</v>
      </c>
      <c r="B169" s="217" t="str">
        <f>IFERROR(__xludf.DUMMYFUNCTION("""COMPUTED_VALUE"""),"CC-INN-16.01")</f>
        <v>CC-INN-16.01</v>
      </c>
      <c r="C169" s="218" t="str">
        <f>IFERROR(__xludf.DUMMYFUNCTION("IFERROR(REGEXEXTRACT(B169, ""^[A-Z]+-[A-Z]+-"") &amp; TEXT(VALUE(REGEXEXTRACT(B169, ""-(\d+)\."")), ""00""), """")"),"CC-INN-16")</f>
        <v>CC-INN-16</v>
      </c>
      <c r="D169" s="219" t="str">
        <f>IFERROR(VLOOKUP(C169, Content_Creation!B:D, 2, FALSE), IFERROR(VLOOKUP(C169, Project_Management!B:D, 2, FALSE), ""))
&amp; " - "
&amp; IFERROR(VLOOKUP(C169, Content_Creation!B:E, 4, FALSE), IFERROR(VLOOKUP(C169, Project_Management!B:E, 4, FALSE), ""))</f>
        <v>PC for Generative AI - Shorts</v>
      </c>
      <c r="E169" s="220" t="str">
        <f>IFERROR(
    VLOOKUP(B168:B1001, Content_Creation!B:D, 3, FALSE),
    IFERROR(VLOOKUP(B168:B1001, Project_Management!B:D, 3, FALSE),"")
  )</f>
        <v>Script</v>
      </c>
      <c r="F169" s="221" t="str">
        <f>IFERROR(VLOOKUP(B169, Content_Creation!B:F, 5, FALSE), IFERROR(VLOOKUP(B169, Project_Management!B:F, 5, FALSE), ""))</f>
        <v>Naveen</v>
      </c>
      <c r="G169" s="222" t="s">
        <v>26</v>
      </c>
      <c r="H169" s="223">
        <f>IFERROR(VLOOKUP(B169, Content_Creation!B:H, 7, FALSE), IFERROR(VLOOKUP(B169, Project_Management!B:H, 7, FALSE), ""))</f>
        <v>45229.48386</v>
      </c>
      <c r="I169" s="224">
        <v>0.0</v>
      </c>
      <c r="J169" s="223">
        <f>IFERROR(VLOOKUP(C169, Content_Creation!B:H, 7, FALSE), IFERROR(VLOOKUP(C169, Project_Management!B:H, 7, FALSE), ""))</f>
        <v>45230</v>
      </c>
      <c r="K169" s="217"/>
      <c r="L169" s="225" t="str">
        <f>IFERROR(VLOOKUP(B169, Data_Validation!X:Y, 2, FALSE), "")</f>
        <v>Done</v>
      </c>
      <c r="M169" s="226" t="str">
        <f t="shared" si="1"/>
        <v>Inno3D | PC for Generative AI - Shorts | Script</v>
      </c>
      <c r="N169" s="226"/>
      <c r="O169" s="226"/>
    </row>
    <row r="170" ht="24.0" customHeight="1">
      <c r="A170" s="216" t="str">
        <f>IFERROR(__xludf.DUMMYFUNCTION("ARRAYFORMULA(IFERROR(VLOOKUP(REGEXEXTRACT(B170, ""-(\w+)-""), {Data_Validation!$F$16:$F$29, Data_Validation!$E$16:$E$29}, 2, FALSE), """"))
"),"Inno3D")</f>
        <v>Inno3D</v>
      </c>
      <c r="B170" s="217" t="str">
        <f>IFERROR(__xludf.DUMMYFUNCTION("""COMPUTED_VALUE"""),"CC-INN-16.04")</f>
        <v>CC-INN-16.04</v>
      </c>
      <c r="C170" s="218" t="str">
        <f>IFERROR(__xludf.DUMMYFUNCTION("IFERROR(REGEXEXTRACT(B170, ""^[A-Z]+-[A-Z]+-"") &amp; TEXT(VALUE(REGEXEXTRACT(B170, ""-(\d+)\."")), ""00""), """")"),"CC-INN-16")</f>
        <v>CC-INN-16</v>
      </c>
      <c r="D170" s="219" t="str">
        <f>IFERROR(VLOOKUP(C170, Content_Creation!B:D, 2, FALSE), IFERROR(VLOOKUP(C170, Project_Management!B:D, 2, FALSE), ""))
&amp; " - "
&amp; IFERROR(VLOOKUP(C170, Content_Creation!B:E, 4, FALSE), IFERROR(VLOOKUP(C170, Project_Management!B:E, 4, FALSE), ""))</f>
        <v>PC for Generative AI - Shorts</v>
      </c>
      <c r="E170" s="220" t="str">
        <f>IFERROR(
    VLOOKUP(B169:B1001, Content_Creation!B:D, 3, FALSE),
    IFERROR(VLOOKUP(B169:B1001, Project_Management!B:D, 3, FALSE),"")
  )</f>
        <v>Voiceover</v>
      </c>
      <c r="F170" s="221" t="str">
        <f>IFERROR(VLOOKUP(B170, Content_Creation!B:F, 5, FALSE), IFERROR(VLOOKUP(B170, Project_Management!B:F, 5, FALSE), ""))</f>
        <v>Akhil</v>
      </c>
      <c r="G170" s="222" t="s">
        <v>26</v>
      </c>
      <c r="H170" s="223">
        <f>IFERROR(VLOOKUP(B170, Content_Creation!B:H, 7, FALSE), IFERROR(VLOOKUP(B170, Project_Management!B:H, 7, FALSE), ""))</f>
        <v>45229</v>
      </c>
      <c r="I170" s="224">
        <v>0.0</v>
      </c>
      <c r="J170" s="223">
        <f>IFERROR(VLOOKUP(C170, Content_Creation!B:H, 7, FALSE), IFERROR(VLOOKUP(C170, Project_Management!B:H, 7, FALSE), ""))</f>
        <v>45230</v>
      </c>
      <c r="K170" s="217"/>
      <c r="L170" s="225" t="str">
        <f>IFERROR(VLOOKUP(B170, Data_Validation!X:Y, 2, FALSE), "")</f>
        <v>Done</v>
      </c>
      <c r="M170" s="226" t="str">
        <f t="shared" si="1"/>
        <v>Inno3D | PC for Generative AI - Shorts | Voiceover</v>
      </c>
      <c r="N170" s="226"/>
      <c r="O170" s="226"/>
    </row>
    <row r="171" ht="24.0" customHeight="1">
      <c r="A171" s="216" t="str">
        <f>IFERROR(__xludf.DUMMYFUNCTION("ARRAYFORMULA(IFERROR(VLOOKUP(REGEXEXTRACT(B171, ""-(\w+)-""), {Data_Validation!$F$16:$F$29, Data_Validation!$E$16:$E$29}, 2, FALSE), """"))
"),"Inno3D")</f>
        <v>Inno3D</v>
      </c>
      <c r="B171" s="217" t="str">
        <f>IFERROR(__xludf.DUMMYFUNCTION("""COMPUTED_VALUE"""),"CC-INN-16.05")</f>
        <v>CC-INN-16.05</v>
      </c>
      <c r="C171" s="218" t="str">
        <f>IFERROR(__xludf.DUMMYFUNCTION("IFERROR(REGEXEXTRACT(B171, ""^[A-Z]+-[A-Z]+-"") &amp; TEXT(VALUE(REGEXEXTRACT(B171, ""-(\d+)\."")), ""00""), """")"),"CC-INN-16")</f>
        <v>CC-INN-16</v>
      </c>
      <c r="D171" s="219" t="str">
        <f>IFERROR(VLOOKUP(C171, Content_Creation!B:D, 2, FALSE), IFERROR(VLOOKUP(C171, Project_Management!B:D, 2, FALSE), ""))
&amp; " - "
&amp; IFERROR(VLOOKUP(C171, Content_Creation!B:E, 4, FALSE), IFERROR(VLOOKUP(C171, Project_Management!B:E, 4, FALSE), ""))</f>
        <v>PC for Generative AI - Shorts</v>
      </c>
      <c r="E171" s="220" t="str">
        <f>IFERROR(
    VLOOKUP(B170:B1001, Content_Creation!B:D, 3, FALSE),
    IFERROR(VLOOKUP(B170:B1001, Project_Management!B:D, 3, FALSE),"")
  )</f>
        <v>Edit</v>
      </c>
      <c r="F171" s="221" t="str">
        <f>IFERROR(VLOOKUP(B171, Content_Creation!B:F, 5, FALSE), IFERROR(VLOOKUP(B171, Project_Management!B:F, 5, FALSE), ""))</f>
        <v>Freelancer</v>
      </c>
      <c r="G171" s="222" t="s">
        <v>26</v>
      </c>
      <c r="H171" s="223">
        <f>IFERROR(VLOOKUP(B171, Content_Creation!B:H, 7, FALSE), IFERROR(VLOOKUP(B171, Project_Management!B:H, 7, FALSE), ""))</f>
        <v>45229</v>
      </c>
      <c r="I171" s="224">
        <v>0.0</v>
      </c>
      <c r="J171" s="223">
        <f>IFERROR(VLOOKUP(C171, Content_Creation!B:H, 7, FALSE), IFERROR(VLOOKUP(C171, Project_Management!B:H, 7, FALSE), ""))</f>
        <v>45230</v>
      </c>
      <c r="K171" s="217"/>
      <c r="L171" s="225" t="str">
        <f>IFERROR(VLOOKUP(B171, Data_Validation!X:Y, 2, FALSE), "")</f>
        <v>Done</v>
      </c>
      <c r="M171" s="226" t="str">
        <f t="shared" si="1"/>
        <v>Inno3D | PC for Generative AI - Shorts | Edit</v>
      </c>
      <c r="N171" s="226"/>
      <c r="O171" s="226"/>
    </row>
    <row r="172" ht="24.0" customHeight="1">
      <c r="A172" s="216" t="str">
        <f>IFERROR(__xludf.DUMMYFUNCTION("ARRAYFORMULA(IFERROR(VLOOKUP(REGEXEXTRACT(B172, ""-(\w+)-""), {Data_Validation!$F$16:$F$29, Data_Validation!$E$16:$E$29}, 2, FALSE), """"))
"),"TheMVP")</f>
        <v>TheMVP</v>
      </c>
      <c r="B172" s="217" t="str">
        <f>IFERROR(__xludf.DUMMYFUNCTION("""COMPUTED_VALUE"""),"CC-MVP-87.01")</f>
        <v>CC-MVP-87.01</v>
      </c>
      <c r="C172" s="218" t="str">
        <f>IFERROR(__xludf.DUMMYFUNCTION("IFERROR(REGEXEXTRACT(B172, ""^[A-Z]+-[A-Z]+-"") &amp; TEXT(VALUE(REGEXEXTRACT(B172, ""-(\d+)\."")), ""00""), """")"),"CC-MVP-87")</f>
        <v>CC-MVP-87</v>
      </c>
      <c r="D172" s="219" t="str">
        <f>IFERROR(VLOOKUP(C172, Content_Creation!B:D, 2, FALSE), IFERROR(VLOOKUP(C172, Project_Management!B:D, 2, FALSE), ""))
&amp; " - "
&amp; IFERROR(VLOOKUP(C172, Content_Creation!B:E, 4, FALSE), IFERROR(VLOOKUP(C172, Project_Management!B:E, 4, FALSE), ""))</f>
        <v>China Vlog 1 - YT Video</v>
      </c>
      <c r="E172" s="220" t="str">
        <f>IFERROR(
    VLOOKUP(B171:B1001, Content_Creation!B:D, 3, FALSE),
    IFERROR(VLOOKUP(B171:B1001, Project_Management!B:D, 3, FALSE),"")
  )</f>
        <v>Timeline</v>
      </c>
      <c r="F172" s="221" t="str">
        <f>IFERROR(VLOOKUP(B172, Content_Creation!B:F, 5, FALSE), IFERROR(VLOOKUP(B172, Project_Management!B:F, 5, FALSE), ""))</f>
        <v>Talha</v>
      </c>
      <c r="G172" s="222" t="s">
        <v>26</v>
      </c>
      <c r="H172" s="223">
        <f>IFERROR(VLOOKUP(B172, Content_Creation!B:H, 7, FALSE), IFERROR(VLOOKUP(B172, Project_Management!B:H, 7, FALSE), ""))</f>
        <v>45230</v>
      </c>
      <c r="I172" s="224">
        <v>0.0</v>
      </c>
      <c r="J172" s="223">
        <f>IFERROR(VLOOKUP(C172, Content_Creation!B:H, 7, FALSE), IFERROR(VLOOKUP(C172, Project_Management!B:H, 7, FALSE), ""))</f>
        <v>45237</v>
      </c>
      <c r="K172" s="217"/>
      <c r="L172" s="225" t="str">
        <f>IFERROR(VLOOKUP(B172, Data_Validation!X:Y, 2, FALSE), "")</f>
        <v>Done</v>
      </c>
      <c r="M172" s="226" t="str">
        <f t="shared" si="1"/>
        <v>TheMVP | China Vlog 1 - YT Video | Timeline</v>
      </c>
      <c r="N172" s="226"/>
      <c r="O172" s="226"/>
    </row>
    <row r="173" ht="24.0" customHeight="1">
      <c r="A173" s="235" t="str">
        <f>IFERROR(__xludf.DUMMYFUNCTION("ARRAYFORMULA(IFERROR(VLOOKUP(REGEXEXTRACT(B173, ""-(\w+)-""), {Data_Validation!$F$16:$F$29, Data_Validation!$E$16:$E$29}, 2, FALSE), """"))
"),"Nvidia")</f>
        <v>Nvidia</v>
      </c>
      <c r="B173" s="236" t="str">
        <f>IFERROR(__xludf.DUMMYFUNCTION("""COMPUTED_VALUE"""),"CC-NVI-06.07")</f>
        <v>CC-NVI-06.07</v>
      </c>
      <c r="C173" s="258" t="str">
        <f>IFERROR(__xludf.DUMMYFUNCTION("IFERROR(REGEXEXTRACT(B173, ""^[A-Z]+-[A-Z]+-"") &amp; TEXT(VALUE(REGEXEXTRACT(B173, ""-(\d+)\."")), ""00""), """")"),"CC-NVI-06")</f>
        <v>CC-NVI-06</v>
      </c>
      <c r="D173" s="219" t="str">
        <f>IFERROR(VLOOKUP(C173, Content_Creation!B:D, 2, FALSE), IFERROR(VLOOKUP(C173, Project_Management!B:D, 2, FALSE), ""))
&amp; " - "
&amp; IFERROR(VLOOKUP(C173, Content_Creation!B:E, 4, FALSE), IFERROR(VLOOKUP(C173, Project_Management!B:E, 4, FALSE), ""))</f>
        <v>Acer Predator Neo - Shorts</v>
      </c>
      <c r="E173" s="245" t="str">
        <f>IFERROR(
    VLOOKUP(B172:B1001, Content_Creation!B:D, 3, FALSE),
    IFERROR(VLOOKUP(B172:B1001, Project_Management!B:D, 3, FALSE),"")
  )</f>
        <v>Upload</v>
      </c>
      <c r="F173" s="238" t="str">
        <f>IFERROR(VLOOKUP(B173, Content_Creation!B:F, 5, FALSE), IFERROR(VLOOKUP(B173, Project_Management!B:F, 5, FALSE), ""))</f>
        <v>Nasser</v>
      </c>
      <c r="G173" s="244" t="s">
        <v>26</v>
      </c>
      <c r="H173" s="239">
        <f>IFERROR(VLOOKUP(B173, Content_Creation!B:H, 7, FALSE), IFERROR(VLOOKUP(B173, Project_Management!B:H, 7, FALSE), ""))</f>
        <v>45230</v>
      </c>
      <c r="I173" s="240">
        <v>0.0</v>
      </c>
      <c r="J173" s="223">
        <f>IFERROR(VLOOKUP(C173, Content_Creation!B:H, 7, FALSE), IFERROR(VLOOKUP(C173, Project_Management!B:H, 7, FALSE), ""))</f>
        <v>45230</v>
      </c>
      <c r="K173" s="260"/>
      <c r="L173" s="255" t="str">
        <f>IFERROR(VLOOKUP(B173, Data_Validation!X:Y, 2, FALSE), "")</f>
        <v>Done</v>
      </c>
      <c r="M173" s="226" t="str">
        <f t="shared" si="1"/>
        <v>Nvidia | Acer Predator Neo - Shorts | Upload</v>
      </c>
      <c r="N173" s="226"/>
      <c r="O173" s="226"/>
    </row>
    <row r="174" ht="24.0" customHeight="1">
      <c r="A174" s="216" t="str">
        <f>IFERROR(__xludf.DUMMYFUNCTION("ARRAYFORMULA(IFERROR(VLOOKUP(REGEXEXTRACT(B174, ""-(\w+)-""), {Data_Validation!$F$16:$F$29, Data_Validation!$E$16:$E$29}, 2, FALSE), """"))
"),"Nvidia")</f>
        <v>Nvidia</v>
      </c>
      <c r="B174" s="217" t="str">
        <f>IFERROR(__xludf.DUMMYFUNCTION("""COMPUTED_VALUE"""),"CC-NVI-08.08")</f>
        <v>CC-NVI-08.08</v>
      </c>
      <c r="C174" s="218" t="str">
        <f>IFERROR(__xludf.DUMMYFUNCTION("IFERROR(REGEXEXTRACT(B174, ""^[A-Z]+-[A-Z]+-"") &amp; TEXT(VALUE(REGEXEXTRACT(B174, ""-(\d+)\."")), ""00""), """")"),"CC-NVI-08")</f>
        <v>CC-NVI-08</v>
      </c>
      <c r="D174" s="219" t="str">
        <f>IFERROR(VLOOKUP(C174, Content_Creation!B:D, 2, FALSE), IFERROR(VLOOKUP(C174, Project_Management!B:D, 2, FALSE), ""))
&amp; " - "
&amp; IFERROR(VLOOKUP(C174, Content_Creation!B:E, 4, FALSE), IFERROR(VLOOKUP(C174, Project_Management!B:E, 4, FALSE), ""))</f>
        <v>HP Victus 15-FA1124TX - Shorts</v>
      </c>
      <c r="E174" s="220" t="str">
        <f>IFERROR(
    VLOOKUP(B173:B1001, Content_Creation!B:D, 3, FALSE),
    IFERROR(VLOOKUP(B173:B1001, Project_Management!B:D, 3, FALSE),"")
  )</f>
        <v>Upload</v>
      </c>
      <c r="F174" s="221" t="str">
        <f>IFERROR(VLOOKUP(B174, Content_Creation!B:F, 5, FALSE), IFERROR(VLOOKUP(B174, Project_Management!B:F, 5, FALSE), ""))</f>
        <v>Nasser</v>
      </c>
      <c r="G174" s="222" t="s">
        <v>26</v>
      </c>
      <c r="H174" s="223">
        <f>IFERROR(VLOOKUP(B174, Content_Creation!B:H, 7, FALSE), IFERROR(VLOOKUP(B174, Project_Management!B:H, 7, FALSE), ""))</f>
        <v>45230</v>
      </c>
      <c r="I174" s="224">
        <v>0.006944444444444444</v>
      </c>
      <c r="J174" s="223">
        <f>IFERROR(VLOOKUP(C174, Content_Creation!B:H, 7, FALSE), IFERROR(VLOOKUP(C174, Project_Management!B:H, 7, FALSE), ""))</f>
        <v>45230</v>
      </c>
      <c r="K174" s="217"/>
      <c r="L174" s="225" t="str">
        <f>IFERROR(VLOOKUP(B174, Data_Validation!X:Y, 2, FALSE), "")</f>
        <v>Done</v>
      </c>
      <c r="M174" s="226" t="str">
        <f t="shared" si="1"/>
        <v>Nvidia | HP Victus 15-FA1124TX - Shorts | Upload</v>
      </c>
      <c r="N174" s="226"/>
      <c r="O174" s="226"/>
    </row>
    <row r="175" ht="24.0" customHeight="1">
      <c r="A175" s="216" t="str">
        <f>IFERROR(__xludf.DUMMYFUNCTION("ARRAYFORMULA(IFERROR(VLOOKUP(REGEXEXTRACT(B175, ""-(\w+)-""), {Data_Validation!$F$16:$F$29, Data_Validation!$E$16:$E$29}, 2, FALSE), """"))
"),"Nvidia")</f>
        <v>Nvidia</v>
      </c>
      <c r="B175" s="217" t="str">
        <f>IFERROR(__xludf.DUMMYFUNCTION("""COMPUTED_VALUE"""),"CC-NVI-04.07")</f>
        <v>CC-NVI-04.07</v>
      </c>
      <c r="C175" s="218" t="str">
        <f>IFERROR(__xludf.DUMMYFUNCTION("IFERROR(REGEXEXTRACT(B175, ""^[A-Z]+-[A-Z]+-"") &amp; TEXT(VALUE(REGEXEXTRACT(B175, ""-(\d+)\."")), ""00""), """")"),"CC-NVI-04")</f>
        <v>CC-NVI-04</v>
      </c>
      <c r="D175" s="219" t="str">
        <f>IFERROR(VLOOKUP(C175, Content_Creation!B:D, 2, FALSE), IFERROR(VLOOKUP(C175, Project_Management!B:D, 2, FALSE), ""))
&amp; " - "
&amp; IFERROR(VLOOKUP(C175, Content_Creation!B:E, 4, FALSE), IFERROR(VLOOKUP(C175, Project_Management!B:E, 4, FALSE), ""))</f>
        <v>Lenovo Legion | RTX 4060 - Shorts</v>
      </c>
      <c r="E175" s="220" t="str">
        <f>IFERROR(
    VLOOKUP(B174:B1001, Content_Creation!B:D, 3, FALSE),
    IFERROR(VLOOKUP(B174:B1001, Project_Management!B:D, 3, FALSE),"")
  )</f>
        <v>Upload</v>
      </c>
      <c r="F175" s="221" t="str">
        <f>IFERROR(VLOOKUP(B175, Content_Creation!B:F, 5, FALSE), IFERROR(VLOOKUP(B175, Project_Management!B:F, 5, FALSE), ""))</f>
        <v>Nasser</v>
      </c>
      <c r="G175" s="222" t="s">
        <v>26</v>
      </c>
      <c r="H175" s="223">
        <f>IFERROR(VLOOKUP(B175, Content_Creation!B:H, 7, FALSE), IFERROR(VLOOKUP(B175, Project_Management!B:H, 7, FALSE), ""))</f>
        <v>45230</v>
      </c>
      <c r="I175" s="224">
        <v>0.0</v>
      </c>
      <c r="J175" s="223">
        <f>IFERROR(VLOOKUP(C175, Content_Creation!B:H, 7, FALSE), IFERROR(VLOOKUP(C175, Project_Management!B:H, 7, FALSE), ""))</f>
        <v>45230</v>
      </c>
      <c r="K175" s="217"/>
      <c r="L175" s="225" t="str">
        <f>IFERROR(VLOOKUP(B175, Data_Validation!X:Y, 2, FALSE), "")</f>
        <v>Done</v>
      </c>
      <c r="M175" s="226" t="str">
        <f t="shared" si="1"/>
        <v>Nvidia | Lenovo Legion | RTX 4060 - Shorts | Upload</v>
      </c>
      <c r="N175" s="226"/>
      <c r="O175" s="226"/>
    </row>
    <row r="176" ht="24.0" customHeight="1">
      <c r="A176" s="216" t="str">
        <f>IFERROR(__xludf.DUMMYFUNCTION("ARRAYFORMULA(IFERROR(VLOOKUP(REGEXEXTRACT(B176, ""-(\w+)-""), {Data_Validation!$F$16:$F$29, Data_Validation!$E$16:$E$29}, 2, FALSE), """"))
"),"Nvidia")</f>
        <v>Nvidia</v>
      </c>
      <c r="B176" s="217" t="str">
        <f>IFERROR(__xludf.DUMMYFUNCTION("""COMPUTED_VALUE"""),"CC-NVI-10.07")</f>
        <v>CC-NVI-10.07</v>
      </c>
      <c r="C176" s="218" t="str">
        <f>IFERROR(__xludf.DUMMYFUNCTION("IFERROR(REGEXEXTRACT(B176, ""^[A-Z]+-[A-Z]+-"") &amp; TEXT(VALUE(REGEXEXTRACT(B176, ""-(\d+)\."")), ""00""), """")"),"CC-NVI-10")</f>
        <v>CC-NVI-10</v>
      </c>
      <c r="D176" s="219" t="str">
        <f>IFERROR(VLOOKUP(C176, Content_Creation!B:D, 2, FALSE), IFERROR(VLOOKUP(C176, Project_Management!B:D, 2, FALSE), ""))
&amp; " - "
&amp; IFERROR(VLOOKUP(C176, Content_Creation!B:E, 4, FALSE), IFERROR(VLOOKUP(C176, Project_Management!B:E, 4, FALSE), ""))</f>
        <v>HP Victus 15-FA0555TX - Shorts</v>
      </c>
      <c r="E176" s="220" t="str">
        <f>IFERROR(
    VLOOKUP(B175:B1001, Content_Creation!B:D, 3, FALSE),
    IFERROR(VLOOKUP(B175:B1001, Project_Management!B:D, 3, FALSE),"")
  )</f>
        <v>Upload</v>
      </c>
      <c r="F176" s="221" t="str">
        <f>IFERROR(VLOOKUP(B176, Content_Creation!B:F, 5, FALSE), IFERROR(VLOOKUP(B176, Project_Management!B:F, 5, FALSE), ""))</f>
        <v>Nasser</v>
      </c>
      <c r="G176" s="222" t="s">
        <v>26</v>
      </c>
      <c r="H176" s="223">
        <f>IFERROR(VLOOKUP(B176, Content_Creation!B:H, 7, FALSE), IFERROR(VLOOKUP(B176, Project_Management!B:H, 7, FALSE), ""))</f>
        <v>45230</v>
      </c>
      <c r="I176" s="224">
        <v>0.0</v>
      </c>
      <c r="J176" s="223">
        <f>IFERROR(VLOOKUP(C176, Content_Creation!B:H, 7, FALSE), IFERROR(VLOOKUP(C176, Project_Management!B:H, 7, FALSE), ""))</f>
        <v>45230</v>
      </c>
      <c r="K176" s="217"/>
      <c r="L176" s="225" t="str">
        <f>IFERROR(VLOOKUP(B176, Data_Validation!X:Y, 2, FALSE), "")</f>
        <v>Done</v>
      </c>
      <c r="M176" s="226" t="str">
        <f t="shared" si="1"/>
        <v>Nvidia | HP Victus 15-FA0555TX - Shorts | Upload</v>
      </c>
      <c r="N176" s="226"/>
      <c r="O176" s="226"/>
    </row>
    <row r="177" ht="24.0" customHeight="1">
      <c r="A177" s="216" t="str">
        <f>IFERROR(__xludf.DUMMYFUNCTION("ARRAYFORMULA(IFERROR(VLOOKUP(REGEXEXTRACT(B177, ""-(\w+)-""), {Data_Validation!$F$16:$F$29, Data_Validation!$E$16:$E$29}, 2, FALSE), """"))
"),"MaCaw")</f>
        <v>MaCaw</v>
      </c>
      <c r="B177" s="217" t="str">
        <f>IFERROR(__xludf.DUMMYFUNCTION("""COMPUTED_VALUE"""),"CC-MAC-05.04")</f>
        <v>CC-MAC-05.04</v>
      </c>
      <c r="C177" s="218" t="str">
        <f>IFERROR(__xludf.DUMMYFUNCTION("IFERROR(REGEXEXTRACT(B177, ""^[A-Z]+-[A-Z]+-"") &amp; TEXT(VALUE(REGEXEXTRACT(B177, ""-(\d+)\."")), ""00""), """")"),"CC-MAC-05")</f>
        <v>CC-MAC-05</v>
      </c>
      <c r="D177" s="219" t="str">
        <f>IFERROR(VLOOKUP(C177, Content_Creation!B:D, 2, FALSE), IFERROR(VLOOKUP(C177, Project_Management!B:D, 2, FALSE), ""))
&amp; " - "
&amp; IFERROR(VLOOKUP(C177, Content_Creation!B:E, 4, FALSE), IFERROR(VLOOKUP(C177, Project_Management!B:E, 4, FALSE), ""))</f>
        <v>Music Teachers Photos - Insta</v>
      </c>
      <c r="E177" s="220" t="str">
        <f>IFERROR(
    VLOOKUP(B176:B1001, Content_Creation!B:D, 3, FALSE),
    IFERROR(VLOOKUP(B176:B1001, Project_Management!B:D, 3, FALSE),"")
  )</f>
        <v>Upload</v>
      </c>
      <c r="F177" s="221" t="str">
        <f>IFERROR(VLOOKUP(B177, Content_Creation!B:F, 5, FALSE), IFERROR(VLOOKUP(B177, Project_Management!B:F, 5, FALSE), ""))</f>
        <v>Akhil</v>
      </c>
      <c r="G177" s="222" t="s">
        <v>26</v>
      </c>
      <c r="H177" s="223">
        <f>IFERROR(VLOOKUP(B177, Content_Creation!B:H, 7, FALSE), IFERROR(VLOOKUP(B177, Project_Management!B:H, 7, FALSE), ""))</f>
        <v>45230</v>
      </c>
      <c r="I177" s="224">
        <v>0.0</v>
      </c>
      <c r="J177" s="223">
        <f>IFERROR(VLOOKUP(C177, Content_Creation!B:H, 7, FALSE), IFERROR(VLOOKUP(C177, Project_Management!B:H, 7, FALSE), ""))</f>
        <v>45230</v>
      </c>
      <c r="K177" s="217"/>
      <c r="L177" s="225" t="str">
        <f>IFERROR(VLOOKUP(B177, Data_Validation!X:Y, 2, FALSE), "")</f>
        <v>Done</v>
      </c>
      <c r="M177" s="226" t="str">
        <f t="shared" si="1"/>
        <v>MaCaw | Music Teachers Photos - Insta | Upload</v>
      </c>
      <c r="N177" s="226"/>
      <c r="O177" s="226"/>
    </row>
    <row r="178" ht="24.0" customHeight="1">
      <c r="A178" s="235" t="str">
        <f>IFERROR(__xludf.DUMMYFUNCTION("ARRAYFORMULA(IFERROR(VLOOKUP(REGEXEXTRACT(B178, ""-(\w+)-""), {Data_Validation!$F$16:$F$29, Data_Validation!$E$16:$E$29}, 2, FALSE), """"))
"),"Inno3D")</f>
        <v>Inno3D</v>
      </c>
      <c r="B178" s="236" t="str">
        <f>IFERROR(__xludf.DUMMYFUNCTION("""COMPUTED_VALUE"""),"CC-INN-15.04")</f>
        <v>CC-INN-15.04</v>
      </c>
      <c r="C178" s="258" t="str">
        <f>IFERROR(__xludf.DUMMYFUNCTION("IFERROR(REGEXEXTRACT(B178, ""^[A-Z]+-[A-Z]+-"") &amp; TEXT(VALUE(REGEXEXTRACT(B178, ""-(\d+)\."")), ""00""), """")"),"CC-INN-15")</f>
        <v>CC-INN-15</v>
      </c>
      <c r="D178" s="219" t="str">
        <f>IFERROR(VLOOKUP(C178, Content_Creation!B:D, 2, FALSE), IFERROR(VLOOKUP(C178, Project_Management!B:D, 2, FALSE), ""))
&amp; " - "
&amp; IFERROR(VLOOKUP(C178, Content_Creation!B:E, 4, FALSE), IFERROR(VLOOKUP(C178, Project_Management!B:E, 4, FALSE), ""))</f>
        <v>Build Photo - Insta</v>
      </c>
      <c r="E178" s="245" t="str">
        <f>IFERROR(
    VLOOKUP(B177:B1001, Content_Creation!B:D, 3, FALSE),
    IFERROR(VLOOKUP(B177:B1001, Project_Management!B:D, 3, FALSE),"")
  )</f>
        <v>Upload</v>
      </c>
      <c r="F178" s="238" t="str">
        <f>IFERROR(VLOOKUP(B178, Content_Creation!B:F, 5, FALSE), IFERROR(VLOOKUP(B178, Project_Management!B:F, 5, FALSE), ""))</f>
        <v>Naveen</v>
      </c>
      <c r="G178" s="238" t="s">
        <v>26</v>
      </c>
      <c r="H178" s="239">
        <f>IFERROR(VLOOKUP(B178, Content_Creation!B:H, 7, FALSE), IFERROR(VLOOKUP(B178, Project_Management!B:H, 7, FALSE), ""))</f>
        <v>45230</v>
      </c>
      <c r="I178" s="240">
        <v>0.020833333333333332</v>
      </c>
      <c r="J178" s="223">
        <f>IFERROR(VLOOKUP(C178, Content_Creation!B:H, 7, FALSE), IFERROR(VLOOKUP(C178, Project_Management!B:H, 7, FALSE), ""))</f>
        <v>45231</v>
      </c>
      <c r="K178" s="236"/>
      <c r="L178" s="241" t="str">
        <f>IFERROR(VLOOKUP(B178, Data_Validation!X:Y, 2, FALSE), "")</f>
        <v>Done</v>
      </c>
      <c r="M178" s="226" t="str">
        <f t="shared" si="1"/>
        <v>Inno3D | Build Photo - Insta | Upload</v>
      </c>
      <c r="N178" s="242"/>
      <c r="O178" s="242"/>
    </row>
    <row r="179" ht="24.0" customHeight="1">
      <c r="A179" s="235" t="str">
        <f>IFERROR(__xludf.DUMMYFUNCTION("ARRAYFORMULA(IFERROR(VLOOKUP(REGEXEXTRACT(B179, ""-(\w+)-""), {Data_Validation!$F$16:$F$29, Data_Validation!$E$16:$E$29}, 2, FALSE), """"))
"),"Inno3D")</f>
        <v>Inno3D</v>
      </c>
      <c r="B179" s="236" t="str">
        <f>IFERROR(__xludf.DUMMYFUNCTION("""COMPUTED_VALUE"""),"CC-INN-16.07")</f>
        <v>CC-INN-16.07</v>
      </c>
      <c r="C179" s="258" t="str">
        <f>IFERROR(__xludf.DUMMYFUNCTION("IFERROR(REGEXEXTRACT(B179, ""^[A-Z]+-[A-Z]+-"") &amp; TEXT(VALUE(REGEXEXTRACT(B179, ""-(\d+)\."")), ""00""), """")"),"CC-INN-16")</f>
        <v>CC-INN-16</v>
      </c>
      <c r="D179" s="219" t="str">
        <f>IFERROR(VLOOKUP(C179, Content_Creation!B:D, 2, FALSE), IFERROR(VLOOKUP(C179, Project_Management!B:D, 2, FALSE), ""))
&amp; " - "
&amp; IFERROR(VLOOKUP(C179, Content_Creation!B:E, 4, FALSE), IFERROR(VLOOKUP(C179, Project_Management!B:E, 4, FALSE), ""))</f>
        <v>PC for Generative AI - Shorts</v>
      </c>
      <c r="E179" s="245" t="str">
        <f>IFERROR(
    VLOOKUP(B178:B1001, Content_Creation!B:D, 3, FALSE),
    IFERROR(VLOOKUP(B178:B1001, Project_Management!B:D, 3, FALSE),"")
  )</f>
        <v>Upload</v>
      </c>
      <c r="F179" s="238" t="str">
        <f>IFERROR(VLOOKUP(B179, Content_Creation!B:F, 5, FALSE), IFERROR(VLOOKUP(B179, Project_Management!B:F, 5, FALSE), ""))</f>
        <v>Naveen</v>
      </c>
      <c r="G179" s="238" t="s">
        <v>26</v>
      </c>
      <c r="H179" s="239">
        <f>IFERROR(VLOOKUP(B179, Content_Creation!B:H, 7, FALSE), IFERROR(VLOOKUP(B179, Project_Management!B:H, 7, FALSE), ""))</f>
        <v>45230</v>
      </c>
      <c r="I179" s="240">
        <v>0.020833333333333332</v>
      </c>
      <c r="J179" s="223">
        <f>IFERROR(VLOOKUP(C179, Content_Creation!B:H, 7, FALSE), IFERROR(VLOOKUP(C179, Project_Management!B:H, 7, FALSE), ""))</f>
        <v>45230</v>
      </c>
      <c r="K179" s="236"/>
      <c r="L179" s="241" t="str">
        <f>IFERROR(VLOOKUP(B179, Data_Validation!X:Y, 2, FALSE), "")</f>
        <v>Done</v>
      </c>
      <c r="M179" s="226" t="str">
        <f t="shared" si="1"/>
        <v>Inno3D | PC for Generative AI - Shorts | Upload</v>
      </c>
      <c r="N179" s="242"/>
      <c r="O179" s="242"/>
    </row>
    <row r="180" ht="24.0" customHeight="1">
      <c r="A180" s="235" t="str">
        <f>IFERROR(__xludf.DUMMYFUNCTION("ARRAYFORMULA(IFERROR(VLOOKUP(REGEXEXTRACT(B180, ""-(\w+)-""), {Data_Validation!$F$16:$F$29, Data_Validation!$E$16:$E$29}, 2, FALSE), """"))
"),"Inno3D")</f>
        <v>Inno3D</v>
      </c>
      <c r="B180" s="236" t="str">
        <f>IFERROR(__xludf.DUMMYFUNCTION("""COMPUTED_VALUE"""),"CC-INN-17.03")</f>
        <v>CC-INN-17.03</v>
      </c>
      <c r="C180" s="258" t="str">
        <f>IFERROR(__xludf.DUMMYFUNCTION("IFERROR(REGEXEXTRACT(B180, ""^[A-Z]+-[A-Z]+-"") &amp; TEXT(VALUE(REGEXEXTRACT(B180, ""-(\d+)\."")), ""00""), """")"),"CC-INN-17")</f>
        <v>CC-INN-17</v>
      </c>
      <c r="D180" s="219" t="str">
        <f>IFERROR(VLOOKUP(C180, Content_Creation!B:D, 2, FALSE), IFERROR(VLOOKUP(C180, Project_Management!B:D, 2, FALSE), ""))
&amp; " - "
&amp; IFERROR(VLOOKUP(C180, Content_Creation!B:E, 4, FALSE), IFERROR(VLOOKUP(C180, Project_Management!B:E, 4, FALSE), ""))</f>
        <v>Gaming Meme - Insta</v>
      </c>
      <c r="E180" s="245" t="str">
        <f>IFERROR(
    VLOOKUP(B179:B1001, Content_Creation!B:D, 3, FALSE),
    IFERROR(VLOOKUP(B179:B1001, Project_Management!B:D, 3, FALSE),"")
  )</f>
        <v>Edit</v>
      </c>
      <c r="F180" s="238" t="str">
        <f>IFERROR(VLOOKUP(B180, Content_Creation!B:F, 5, FALSE), IFERROR(VLOOKUP(B180, Project_Management!B:F, 5, FALSE), ""))</f>
        <v>Naveen</v>
      </c>
      <c r="G180" s="238" t="s">
        <v>26</v>
      </c>
      <c r="H180" s="239">
        <f>IFERROR(VLOOKUP(B180, Content_Creation!B:H, 7, FALSE), IFERROR(VLOOKUP(B180, Project_Management!B:H, 7, FALSE), ""))</f>
        <v>45230</v>
      </c>
      <c r="I180" s="240">
        <v>0.006944444444444444</v>
      </c>
      <c r="J180" s="223">
        <f>IFERROR(VLOOKUP(C180, Content_Creation!B:H, 7, FALSE), IFERROR(VLOOKUP(C180, Project_Management!B:H, 7, FALSE), ""))</f>
        <v>45231</v>
      </c>
      <c r="K180" s="236"/>
      <c r="L180" s="241" t="str">
        <f>IFERROR(VLOOKUP(B180, Data_Validation!X:Y, 2, FALSE), "")</f>
        <v>Done</v>
      </c>
      <c r="M180" s="226" t="str">
        <f t="shared" si="1"/>
        <v>Inno3D | Gaming Meme - Insta | Edit</v>
      </c>
      <c r="N180" s="242"/>
      <c r="O180" s="242"/>
    </row>
    <row r="181" ht="24.0" customHeight="1">
      <c r="A181" s="216" t="str">
        <f>IFERROR(__xludf.DUMMYFUNCTION("ARRAYFORMULA(IFERROR(VLOOKUP(REGEXEXTRACT(B181, ""-(\w+)-""), {Data_Validation!$F$16:$F$29, Data_Validation!$E$16:$E$29}, 2, FALSE), """"))
"),"Nvidia")</f>
        <v>Nvidia</v>
      </c>
      <c r="B181" s="217" t="str">
        <f>IFERROR(__xludf.DUMMYFUNCTION("""COMPUTED_VALUE"""),"PM-NVI-03.03")</f>
        <v>PM-NVI-03.03</v>
      </c>
      <c r="C181" s="218" t="str">
        <f>IFERROR(__xludf.DUMMYFUNCTION("IFERROR(REGEXEXTRACT(B181, ""^[A-Z]+-[A-Z]+-"") &amp; TEXT(VALUE(REGEXEXTRACT(B181, ""-(\d+)\."")), ""00""), """")"),"PM-NVI-03")</f>
        <v>PM-NVI-03</v>
      </c>
      <c r="D181" s="219" t="str">
        <f>IFERROR(VLOOKUP(C181, Content_Creation!B:D, 2, FALSE), IFERROR(VLOOKUP(C181, Project_Management!B:D, 2, FALSE), ""))
&amp; " - "
&amp; IFERROR(VLOOKUP(C181, Content_Creation!B:E, 4, FALSE), IFERROR(VLOOKUP(C181, Project_Management!B:E, 4, FALSE), ""))</f>
        <v>Laptop Projects &amp; Shipments - Misc</v>
      </c>
      <c r="E181" s="220" t="str">
        <f>IFERROR(
    VLOOKUP(B180:B1001, Content_Creation!B:D, 3, FALSE),
    IFERROR(VLOOKUP(B180:B1001, Project_Management!B:D, 3, FALSE),"")
  )</f>
        <v>Benchmarks</v>
      </c>
      <c r="F181" s="221" t="str">
        <f>IFERROR(VLOOKUP(B181, Content_Creation!B:F, 5, FALSE), IFERROR(VLOOKUP(B181, Project_Management!B:F, 5, FALSE), ""))</f>
        <v>Nasser</v>
      </c>
      <c r="G181" s="222" t="s">
        <v>26</v>
      </c>
      <c r="H181" s="223">
        <f>IFERROR(VLOOKUP(B181, Content_Creation!B:H, 7, FALSE), IFERROR(VLOOKUP(B181, Project_Management!B:H, 7, FALSE), ""))</f>
        <v>45230</v>
      </c>
      <c r="I181" s="224">
        <v>0.041666666666666664</v>
      </c>
      <c r="J181" s="223">
        <f>IFERROR(VLOOKUP(C181, Content_Creation!B:H, 7, FALSE), IFERROR(VLOOKUP(C181, Project_Management!B:H, 7, FALSE), ""))</f>
        <v>45239</v>
      </c>
      <c r="K181" s="217"/>
      <c r="L181" s="225" t="str">
        <f>IFERROR(VLOOKUP(B181, Data_Validation!X:Y, 2, FALSE), "")</f>
        <v>Done</v>
      </c>
      <c r="M181" s="226" t="str">
        <f t="shared" si="1"/>
        <v>Nvidia | Laptop Projects &amp; Shipments - Misc | Benchmarks</v>
      </c>
      <c r="N181" s="226"/>
      <c r="O181" s="226"/>
    </row>
    <row r="182" ht="24.0" customHeight="1">
      <c r="A182" s="216" t="str">
        <f>IFERROR(__xludf.DUMMYFUNCTION("ARRAYFORMULA(IFERROR(VLOOKUP(REGEXEXTRACT(B182, ""-(\w+)-""), {Data_Validation!$F$16:$F$29, Data_Validation!$E$16:$E$29}, 2, FALSE), """"))
"),"TheMVP")</f>
        <v>TheMVP</v>
      </c>
      <c r="B182" s="217" t="str">
        <f>IFERROR(__xludf.DUMMYFUNCTION("""COMPUTED_VALUE"""),"CC-MVP-36.06")</f>
        <v>CC-MVP-36.06</v>
      </c>
      <c r="C182" s="218" t="str">
        <f>IFERROR(__xludf.DUMMYFUNCTION("IFERROR(REGEXEXTRACT(B182, ""^[A-Z]+-[A-Z]+-"") &amp; TEXT(VALUE(REGEXEXTRACT(B182, ""-(\d+)\."")), ""00""), """")"),"CC-MVP-36")</f>
        <v>CC-MVP-36</v>
      </c>
      <c r="D182" s="219" t="str">
        <f>IFERROR(VLOOKUP(C182, Content_Creation!B:D, 2, FALSE), IFERROR(VLOOKUP(C182, Project_Management!B:D, 2, FALSE), ""))
&amp; " - "
&amp; IFERROR(VLOOKUP(C182, Content_Creation!B:E, 4, FALSE), IFERROR(VLOOKUP(C182, Project_Management!B:E, 4, FALSE), ""))</f>
        <v>3 Ways to improve Airflow - Shorts</v>
      </c>
      <c r="E182" s="220" t="str">
        <f>IFERROR(
    VLOOKUP(B181:B1001, Content_Creation!B:D, 3, FALSE),
    IFERROR(VLOOKUP(B181:B1001, Project_Management!B:D, 3, FALSE),"")
  )</f>
        <v>Thumbnail</v>
      </c>
      <c r="F182" s="221" t="str">
        <f>IFERROR(VLOOKUP(B182, Content_Creation!B:F, 5, FALSE), IFERROR(VLOOKUP(B182, Project_Management!B:F, 5, FALSE), ""))</f>
        <v>Naveen</v>
      </c>
      <c r="G182" s="222" t="s">
        <v>26</v>
      </c>
      <c r="H182" s="223">
        <f>IFERROR(VLOOKUP(B182, Content_Creation!B:H, 7, FALSE), IFERROR(VLOOKUP(B182, Project_Management!B:H, 7, FALSE), ""))</f>
        <v>45231</v>
      </c>
      <c r="I182" s="224">
        <v>0.020833333333333332</v>
      </c>
      <c r="J182" s="223">
        <f>IFERROR(VLOOKUP(C182, Content_Creation!B:H, 7, FALSE), IFERROR(VLOOKUP(C182, Project_Management!B:H, 7, FALSE), ""))</f>
        <v>45232</v>
      </c>
      <c r="K182" s="217"/>
      <c r="L182" s="225" t="str">
        <f>IFERROR(VLOOKUP(B182, Data_Validation!X:Y, 2, FALSE), "")</f>
        <v>Done</v>
      </c>
      <c r="M182" s="226" t="str">
        <f t="shared" si="1"/>
        <v>TheMVP | 3 Ways to improve Airflow - Shorts | Thumbnail</v>
      </c>
      <c r="N182" s="226"/>
      <c r="O182" s="226"/>
    </row>
    <row r="183" ht="24.0" customHeight="1">
      <c r="A183" s="216" t="str">
        <f>IFERROR(__xludf.DUMMYFUNCTION("ARRAYFORMULA(IFERROR(VLOOKUP(REGEXEXTRACT(B183, ""-(\w+)-""), {Data_Validation!$F$16:$F$29, Data_Validation!$E$16:$E$29}, 2, FALSE), """"))
"),"TheMVP")</f>
        <v>TheMVP</v>
      </c>
      <c r="B183" s="217" t="str">
        <f>IFERROR(__xludf.DUMMYFUNCTION("""COMPUTED_VALUE"""),"CC-MVP-80.02")</f>
        <v>CC-MVP-80.02</v>
      </c>
      <c r="C183" s="218" t="str">
        <f>IFERROR(__xludf.DUMMYFUNCTION("IFERROR(REGEXEXTRACT(B183, ""^[A-Z]+-[A-Z]+-"") &amp; TEXT(VALUE(REGEXEXTRACT(B183, ""-(\d+)\."")), ""00""), """")"),"CC-MVP-80")</f>
        <v>CC-MVP-80</v>
      </c>
      <c r="D183" s="219" t="str">
        <f>IFERROR(VLOOKUP(C183, Content_Creation!B:D, 2, FALSE), IFERROR(VLOOKUP(C183, Project_Management!B:D, 2, FALSE), ""))
&amp; " - "
&amp; IFERROR(VLOOKUP(C183, Content_Creation!B:E, 4, FALSE), IFERROR(VLOOKUP(C183, Project_Management!B:E, 4, FALSE), ""))</f>
        <v>06102304-Build Photo - Insta</v>
      </c>
      <c r="E183" s="220" t="str">
        <f>IFERROR(
    VLOOKUP(B182:B1001, Content_Creation!B:D, 3, FALSE),
    IFERROR(VLOOKUP(B182:B1001, Project_Management!B:D, 3, FALSE),"")
  )</f>
        <v>Shoot</v>
      </c>
      <c r="F183" s="221" t="str">
        <f>IFERROR(VLOOKUP(B183, Content_Creation!B:F, 5, FALSE), IFERROR(VLOOKUP(B183, Project_Management!B:F, 5, FALSE), ""))</f>
        <v>Naveen</v>
      </c>
      <c r="G183" s="222" t="s">
        <v>26</v>
      </c>
      <c r="H183" s="223">
        <f>IFERROR(VLOOKUP(B183, Content_Creation!B:H, 7, FALSE), IFERROR(VLOOKUP(B183, Project_Management!B:H, 7, FALSE), ""))</f>
        <v>45231.42031</v>
      </c>
      <c r="I183" s="224">
        <v>0.0</v>
      </c>
      <c r="J183" s="223">
        <f>IFERROR(VLOOKUP(C183, Content_Creation!B:H, 7, FALSE), IFERROR(VLOOKUP(C183, Project_Management!B:H, 7, FALSE), ""))</f>
        <v>45233</v>
      </c>
      <c r="K183" s="217"/>
      <c r="L183" s="225" t="str">
        <f>IFERROR(VLOOKUP(B183, Data_Validation!X:Y, 2, FALSE), "")</f>
        <v>Done</v>
      </c>
      <c r="M183" s="226" t="str">
        <f t="shared" si="1"/>
        <v>TheMVP | 06102304-Build Photo - Insta | Shoot</v>
      </c>
      <c r="N183" s="226"/>
      <c r="O183" s="226"/>
    </row>
    <row r="184" ht="24.0" customHeight="1">
      <c r="A184" s="216" t="str">
        <f>IFERROR(__xludf.DUMMYFUNCTION("ARRAYFORMULA(IFERROR(VLOOKUP(REGEXEXTRACT(B184, ""-(\w+)-""), {Data_Validation!$F$16:$F$29, Data_Validation!$E$16:$E$29}, 2, FALSE), """"))
"),"TheMVP")</f>
        <v>TheMVP</v>
      </c>
      <c r="B184" s="217" t="str">
        <f>IFERROR(__xludf.DUMMYFUNCTION("""COMPUTED_VALUE"""),"CC-MVP-80.03")</f>
        <v>CC-MVP-80.03</v>
      </c>
      <c r="C184" s="218" t="str">
        <f>IFERROR(__xludf.DUMMYFUNCTION("IFERROR(REGEXEXTRACT(B184, ""^[A-Z]+-[A-Z]+-"") &amp; TEXT(VALUE(REGEXEXTRACT(B184, ""-(\d+)\."")), ""00""), """")"),"CC-MVP-80")</f>
        <v>CC-MVP-80</v>
      </c>
      <c r="D184" s="219" t="str">
        <f>IFERROR(VLOOKUP(C184, Content_Creation!B:D, 2, FALSE), IFERROR(VLOOKUP(C184, Project_Management!B:D, 2, FALSE), ""))
&amp; " - "
&amp; IFERROR(VLOOKUP(C184, Content_Creation!B:E, 4, FALSE), IFERROR(VLOOKUP(C184, Project_Management!B:E, 4, FALSE), ""))</f>
        <v>06102304-Build Photo - Insta</v>
      </c>
      <c r="E184" s="220" t="str">
        <f>IFERROR(
    VLOOKUP(B183:B1001, Content_Creation!B:D, 3, FALSE),
    IFERROR(VLOOKUP(B183:B1001, Project_Management!B:D, 3, FALSE),"")
  )</f>
        <v>Edit</v>
      </c>
      <c r="F184" s="221" t="str">
        <f>IFERROR(VLOOKUP(B184, Content_Creation!B:F, 5, FALSE), IFERROR(VLOOKUP(B184, Project_Management!B:F, 5, FALSE), ""))</f>
        <v>Naveen</v>
      </c>
      <c r="G184" s="222" t="s">
        <v>26</v>
      </c>
      <c r="H184" s="223">
        <f>IFERROR(VLOOKUP(B184, Content_Creation!B:H, 7, FALSE), IFERROR(VLOOKUP(B184, Project_Management!B:H, 7, FALSE), ""))</f>
        <v>45231</v>
      </c>
      <c r="I184" s="224">
        <v>0.020833333333333332</v>
      </c>
      <c r="J184" s="223">
        <f>IFERROR(VLOOKUP(C184, Content_Creation!B:H, 7, FALSE), IFERROR(VLOOKUP(C184, Project_Management!B:H, 7, FALSE), ""))</f>
        <v>45233</v>
      </c>
      <c r="K184" s="217"/>
      <c r="L184" s="225" t="str">
        <f>IFERROR(VLOOKUP(B184, Data_Validation!X:Y, 2, FALSE), "")</f>
        <v>Done</v>
      </c>
      <c r="M184" s="226" t="str">
        <f t="shared" si="1"/>
        <v>TheMVP | 06102304-Build Photo - Insta | Edit</v>
      </c>
      <c r="N184" s="226"/>
      <c r="O184" s="226"/>
    </row>
    <row r="185" ht="24.0" customHeight="1">
      <c r="A185" s="216" t="str">
        <f>IFERROR(__xludf.DUMMYFUNCTION("ARRAYFORMULA(IFERROR(VLOOKUP(REGEXEXTRACT(B185, ""-(\w+)-""), {Data_Validation!$F$16:$F$29, Data_Validation!$E$16:$E$29}, 2, FALSE), """"))
"),"TheMVP")</f>
        <v>TheMVP</v>
      </c>
      <c r="B185" s="217" t="str">
        <f>IFERROR(__xludf.DUMMYFUNCTION("""COMPUTED_VALUE"""),"CC-MVP-87.04")</f>
        <v>CC-MVP-87.04</v>
      </c>
      <c r="C185" s="218" t="str">
        <f>IFERROR(__xludf.DUMMYFUNCTION("IFERROR(REGEXEXTRACT(B185, ""^[A-Z]+-[A-Z]+-"") &amp; TEXT(VALUE(REGEXEXTRACT(B185, ""-(\d+)\."")), ""00""), """")"),"CC-MVP-87")</f>
        <v>CC-MVP-87</v>
      </c>
      <c r="D185" s="219" t="str">
        <f>IFERROR(VLOOKUP(C185, Content_Creation!B:D, 2, FALSE), IFERROR(VLOOKUP(C185, Project_Management!B:D, 2, FALSE), ""))
&amp; " - "
&amp; IFERROR(VLOOKUP(C185, Content_Creation!B:E, 4, FALSE), IFERROR(VLOOKUP(C185, Project_Management!B:E, 4, FALSE), ""))</f>
        <v>China Vlog 1 - YT Video</v>
      </c>
      <c r="E185" s="220" t="str">
        <f>IFERROR(
    VLOOKUP(B184:B1001, Content_Creation!B:D, 3, FALSE),
    IFERROR(VLOOKUP(B184:B1001, Project_Management!B:D, 3, FALSE),"")
  )</f>
        <v>Editor Notes</v>
      </c>
      <c r="F185" s="221" t="str">
        <f>IFERROR(VLOOKUP(B185, Content_Creation!B:F, 5, FALSE), IFERROR(VLOOKUP(B185, Project_Management!B:F, 5, FALSE), ""))</f>
        <v>Ahmer</v>
      </c>
      <c r="G185" s="222" t="s">
        <v>26</v>
      </c>
      <c r="H185" s="223">
        <f>IFERROR(VLOOKUP(B185, Content_Creation!B:H, 7, FALSE), IFERROR(VLOOKUP(B185, Project_Management!B:H, 7, FALSE), ""))</f>
        <v>45231</v>
      </c>
      <c r="I185" s="224">
        <v>0.041666666666666664</v>
      </c>
      <c r="J185" s="223">
        <f>IFERROR(VLOOKUP(C185, Content_Creation!B:H, 7, FALSE), IFERROR(VLOOKUP(C185, Project_Management!B:H, 7, FALSE), ""))</f>
        <v>45237</v>
      </c>
      <c r="K185" s="217"/>
      <c r="L185" s="225" t="str">
        <f>IFERROR(VLOOKUP(B185, Data_Validation!X:Y, 2, FALSE), "")</f>
        <v>Done</v>
      </c>
      <c r="M185" s="226" t="str">
        <f t="shared" si="1"/>
        <v>TheMVP | China Vlog 1 - YT Video | Editor Notes</v>
      </c>
      <c r="N185" s="226"/>
      <c r="O185" s="226"/>
    </row>
    <row r="186" ht="24.0" customHeight="1">
      <c r="A186" s="216" t="str">
        <f>IFERROR(__xludf.DUMMYFUNCTION("ARRAYFORMULA(IFERROR(VLOOKUP(REGEXEXTRACT(B186, ""-(\w+)-""), {Data_Validation!$F$16:$F$29, Data_Validation!$E$16:$E$29}, 2, FALSE), """"))
"),"Nvidia")</f>
        <v>Nvidia</v>
      </c>
      <c r="B186" s="217" t="str">
        <f>IFERROR(__xludf.DUMMYFUNCTION("""COMPUTED_VALUE"""),"CC-NVI-11.05")</f>
        <v>CC-NVI-11.05</v>
      </c>
      <c r="C186" s="218" t="str">
        <f>IFERROR(__xludf.DUMMYFUNCTION("IFERROR(REGEXEXTRACT(B186, ""^[A-Z]+-[A-Z]+-"") &amp; TEXT(VALUE(REGEXEXTRACT(B186, ""-(\d+)\."")), ""00""), """")"),"CC-NVI-11")</f>
        <v>CC-NVI-11</v>
      </c>
      <c r="D186" s="219" t="str">
        <f>IFERROR(VLOOKUP(C186, Content_Creation!B:D, 2, FALSE), IFERROR(VLOOKUP(C186, Project_Management!B:D, 2, FALSE), ""))
&amp; " - "
&amp; IFERROR(VLOOKUP(C186, Content_Creation!B:E, 4, FALSE), IFERROR(VLOOKUP(C186, Project_Management!B:E, 4, FALSE), ""))</f>
        <v>HP Omen 16-XF0060AX - Shorts</v>
      </c>
      <c r="E186" s="220" t="str">
        <f>IFERROR(
    VLOOKUP(B185:B1001, Content_Creation!B:D, 3, FALSE),
    IFERROR(VLOOKUP(B185:B1001, Project_Management!B:D, 3, FALSE),"")
  )</f>
        <v>Edit</v>
      </c>
      <c r="F186" s="221" t="str">
        <f>IFERROR(VLOOKUP(B186, Content_Creation!B:F, 5, FALSE), IFERROR(VLOOKUP(B186, Project_Management!B:F, 5, FALSE), ""))</f>
        <v>Freelancer</v>
      </c>
      <c r="G186" s="222" t="s">
        <v>26</v>
      </c>
      <c r="H186" s="223">
        <f>IFERROR(VLOOKUP(B186, Content_Creation!B:H, 7, FALSE), IFERROR(VLOOKUP(B186, Project_Management!B:H, 7, FALSE), ""))</f>
        <v>45231</v>
      </c>
      <c r="I186" s="224">
        <v>0.041666666666666664</v>
      </c>
      <c r="J186" s="223">
        <f>IFERROR(VLOOKUP(C186, Content_Creation!B:H, 7, FALSE), IFERROR(VLOOKUP(C186, Project_Management!B:H, 7, FALSE), ""))</f>
        <v>45231</v>
      </c>
      <c r="K186" s="217"/>
      <c r="L186" s="225" t="str">
        <f>IFERROR(VLOOKUP(B186, Data_Validation!X:Y, 2, FALSE), "")</f>
        <v>Done</v>
      </c>
      <c r="M186" s="226" t="str">
        <f t="shared" si="1"/>
        <v>Nvidia | HP Omen 16-XF0060AX - Shorts | Edit</v>
      </c>
      <c r="N186" s="226"/>
      <c r="O186" s="226"/>
    </row>
    <row r="187" ht="24.0" customHeight="1">
      <c r="A187" s="216" t="str">
        <f>IFERROR(__xludf.DUMMYFUNCTION("ARRAYFORMULA(IFERROR(VLOOKUP(REGEXEXTRACT(B187, ""-(\w+)-""), {Data_Validation!$F$16:$F$29, Data_Validation!$E$16:$E$29}, 2, FALSE), """"))
"),"Nvidia")</f>
        <v>Nvidia</v>
      </c>
      <c r="B187" s="217" t="str">
        <f>IFERROR(__xludf.DUMMYFUNCTION("""COMPUTED_VALUE"""),"CC-NVI-11.06")</f>
        <v>CC-NVI-11.06</v>
      </c>
      <c r="C187" s="218" t="str">
        <f>IFERROR(__xludf.DUMMYFUNCTION("IFERROR(REGEXEXTRACT(B187, ""^[A-Z]+-[A-Z]+-"") &amp; TEXT(VALUE(REGEXEXTRACT(B187, ""-(\d+)\."")), ""00""), """")"),"CC-NVI-11")</f>
        <v>CC-NVI-11</v>
      </c>
      <c r="D187" s="219" t="str">
        <f>IFERROR(VLOOKUP(C187, Content_Creation!B:D, 2, FALSE), IFERROR(VLOOKUP(C187, Project_Management!B:D, 2, FALSE), ""))
&amp; " - "
&amp; IFERROR(VLOOKUP(C187, Content_Creation!B:E, 4, FALSE), IFERROR(VLOOKUP(C187, Project_Management!B:E, 4, FALSE), ""))</f>
        <v>HP Omen 16-XF0060AX - Shorts</v>
      </c>
      <c r="E187" s="220" t="str">
        <f>IFERROR(
    VLOOKUP(B186:B1001, Content_Creation!B:D, 3, FALSE),
    IFERROR(VLOOKUP(B186:B1001, Project_Management!B:D, 3, FALSE),"")
  )</f>
        <v>Voiceover </v>
      </c>
      <c r="F187" s="221" t="str">
        <f>IFERROR(VLOOKUP(B187, Content_Creation!B:F, 5, FALSE), IFERROR(VLOOKUP(B187, Project_Management!B:F, 5, FALSE), ""))</f>
        <v>Nasser</v>
      </c>
      <c r="G187" s="222" t="s">
        <v>26</v>
      </c>
      <c r="H187" s="223">
        <f>IFERROR(VLOOKUP(B187, Content_Creation!B:H, 7, FALSE), IFERROR(VLOOKUP(B187, Project_Management!B:H, 7, FALSE), ""))</f>
        <v>45231</v>
      </c>
      <c r="I187" s="224">
        <v>0.03125</v>
      </c>
      <c r="J187" s="223">
        <f>IFERROR(VLOOKUP(C187, Content_Creation!B:H, 7, FALSE), IFERROR(VLOOKUP(C187, Project_Management!B:H, 7, FALSE), ""))</f>
        <v>45231</v>
      </c>
      <c r="K187" s="217"/>
      <c r="L187" s="225" t="str">
        <f>IFERROR(VLOOKUP(B187, Data_Validation!X:Y, 2, FALSE), "")</f>
        <v>Done</v>
      </c>
      <c r="M187" s="226" t="str">
        <f t="shared" si="1"/>
        <v>Nvidia | HP Omen 16-XF0060AX - Shorts | Voiceover </v>
      </c>
      <c r="N187" s="226"/>
      <c r="O187" s="226"/>
    </row>
    <row r="188" ht="24.0" customHeight="1">
      <c r="A188" s="216" t="str">
        <f>IFERROR(__xludf.DUMMYFUNCTION("ARRAYFORMULA(IFERROR(VLOOKUP(REGEXEXTRACT(B188, ""-(\w+)-""), {Data_Validation!$F$16:$F$29, Data_Validation!$E$16:$E$29}, 2, FALSE), """"))
"),"Nvidia")</f>
        <v>Nvidia</v>
      </c>
      <c r="B188" s="217" t="str">
        <f>IFERROR(__xludf.DUMMYFUNCTION("""COMPUTED_VALUE"""),"CC-NVI-11.07")</f>
        <v>CC-NVI-11.07</v>
      </c>
      <c r="C188" s="218" t="str">
        <f>IFERROR(__xludf.DUMMYFUNCTION("IFERROR(REGEXEXTRACT(B188, ""^[A-Z]+-[A-Z]+-"") &amp; TEXT(VALUE(REGEXEXTRACT(B188, ""-(\d+)\."")), ""00""), """")"),"CC-NVI-11")</f>
        <v>CC-NVI-11</v>
      </c>
      <c r="D188" s="219" t="str">
        <f>IFERROR(VLOOKUP(C188, Content_Creation!B:D, 2, FALSE), IFERROR(VLOOKUP(C188, Project_Management!B:D, 2, FALSE), ""))
&amp; " - "
&amp; IFERROR(VLOOKUP(C188, Content_Creation!B:E, 4, FALSE), IFERROR(VLOOKUP(C188, Project_Management!B:E, 4, FALSE), ""))</f>
        <v>HP Omen 16-XF0060AX - Shorts</v>
      </c>
      <c r="E188" s="220" t="str">
        <f>IFERROR(
    VLOOKUP(B187:B1001, Content_Creation!B:D, 3, FALSE),
    IFERROR(VLOOKUP(B187:B1001, Project_Management!B:D, 3, FALSE),"")
  )</f>
        <v>Upload</v>
      </c>
      <c r="F188" s="221" t="str">
        <f>IFERROR(VLOOKUP(B188, Content_Creation!B:F, 5, FALSE), IFERROR(VLOOKUP(B188, Project_Management!B:F, 5, FALSE), ""))</f>
        <v>Naveen</v>
      </c>
      <c r="G188" s="222" t="s">
        <v>26</v>
      </c>
      <c r="H188" s="223">
        <f>IFERROR(VLOOKUP(B188, Content_Creation!B:H, 7, FALSE), IFERROR(VLOOKUP(B188, Project_Management!B:H, 7, FALSE), ""))</f>
        <v>45231</v>
      </c>
      <c r="I188" s="224">
        <v>0.0</v>
      </c>
      <c r="J188" s="223">
        <f>IFERROR(VLOOKUP(C188, Content_Creation!B:H, 7, FALSE), IFERROR(VLOOKUP(C188, Project_Management!B:H, 7, FALSE), ""))</f>
        <v>45231</v>
      </c>
      <c r="K188" s="217"/>
      <c r="L188" s="225" t="str">
        <f>IFERROR(VLOOKUP(B188, Data_Validation!X:Y, 2, FALSE), "")</f>
        <v>Done</v>
      </c>
      <c r="M188" s="226" t="str">
        <f t="shared" si="1"/>
        <v>Nvidia | HP Omen 16-XF0060AX - Shorts | Upload</v>
      </c>
      <c r="N188" s="226"/>
      <c r="O188" s="226"/>
    </row>
    <row r="189" ht="24.0" customHeight="1">
      <c r="A189" s="216" t="str">
        <f>IFERROR(__xludf.DUMMYFUNCTION("ARRAYFORMULA(IFERROR(VLOOKUP(REGEXEXTRACT(B189, ""-(\w+)-""), {Data_Validation!$F$16:$F$29, Data_Validation!$E$16:$E$29}, 2, FALSE), """"))
"),"MaCaw")</f>
        <v>MaCaw</v>
      </c>
      <c r="B189" s="217" t="str">
        <f>IFERROR(__xludf.DUMMYFUNCTION("""COMPUTED_VALUE"""),"CC-MAC-04.07")</f>
        <v>CC-MAC-04.07</v>
      </c>
      <c r="C189" s="218" t="str">
        <f>IFERROR(__xludf.DUMMYFUNCTION("IFERROR(REGEXEXTRACT(B189, ""^[A-Z]+-[A-Z]+-"") &amp; TEXT(VALUE(REGEXEXTRACT(B189, ""-(\d+)\."")), ""00""), """")"),"CC-MAC-04")</f>
        <v>CC-MAC-04</v>
      </c>
      <c r="D189" s="219" t="str">
        <f>IFERROR(VLOOKUP(C189, Content_Creation!B:D, 2, FALSE), IFERROR(VLOOKUP(C189, Project_Management!B:D, 2, FALSE), ""))
&amp; " - "
&amp; IFERROR(VLOOKUP(C189, Content_Creation!B:E, 4, FALSE), IFERROR(VLOOKUP(C189, Project_Management!B:E, 4, FALSE), ""))</f>
        <v>Music Teachers Intro - Shorts</v>
      </c>
      <c r="E189" s="220" t="str">
        <f>IFERROR(
    VLOOKUP(B188:B1001, Content_Creation!B:D, 3, FALSE),
    IFERROR(VLOOKUP(B188:B1001, Project_Management!B:D, 3, FALSE),"")
  )</f>
        <v>Upload</v>
      </c>
      <c r="F189" s="221" t="str">
        <f>IFERROR(VLOOKUP(B189, Content_Creation!B:F, 5, FALSE), IFERROR(VLOOKUP(B189, Project_Management!B:F, 5, FALSE), ""))</f>
        <v>Akhil</v>
      </c>
      <c r="G189" s="222" t="s">
        <v>26</v>
      </c>
      <c r="H189" s="223">
        <f>IFERROR(VLOOKUP(B189, Content_Creation!B:H, 7, FALSE), IFERROR(VLOOKUP(B189, Project_Management!B:H, 7, FALSE), ""))</f>
        <v>45231</v>
      </c>
      <c r="I189" s="224">
        <v>0.0</v>
      </c>
      <c r="J189" s="223">
        <f>IFERROR(VLOOKUP(C189, Content_Creation!B:H, 7, FALSE), IFERROR(VLOOKUP(C189, Project_Management!B:H, 7, FALSE), ""))</f>
        <v>45231</v>
      </c>
      <c r="K189" s="217"/>
      <c r="L189" s="225" t="str">
        <f>IFERROR(VLOOKUP(B189, Data_Validation!X:Y, 2, FALSE), "")</f>
        <v>Done</v>
      </c>
      <c r="M189" s="226" t="str">
        <f t="shared" si="1"/>
        <v>MaCaw | Music Teachers Intro - Shorts | Upload</v>
      </c>
      <c r="N189" s="226"/>
      <c r="O189" s="226"/>
    </row>
    <row r="190" ht="24.0" customHeight="1">
      <c r="A190" s="216" t="str">
        <f>IFERROR(__xludf.DUMMYFUNCTION("ARRAYFORMULA(IFERROR(VLOOKUP(REGEXEXTRACT(B190, ""-(\w+)-""), {Data_Validation!$F$16:$F$29, Data_Validation!$E$16:$E$29}, 2, FALSE), """"))
"),"Inno3D")</f>
        <v>Inno3D</v>
      </c>
      <c r="B190" s="217" t="str">
        <f>IFERROR(__xludf.DUMMYFUNCTION("""COMPUTED_VALUE"""),"CC-INN-15.03")</f>
        <v>CC-INN-15.03</v>
      </c>
      <c r="C190" s="218" t="str">
        <f>IFERROR(__xludf.DUMMYFUNCTION("IFERROR(REGEXEXTRACT(B190, ""^[A-Z]+-[A-Z]+-"") &amp; TEXT(VALUE(REGEXEXTRACT(B190, ""-(\d+)\."")), ""00""), """")"),"CC-INN-15")</f>
        <v>CC-INN-15</v>
      </c>
      <c r="D190" s="219" t="str">
        <f>IFERROR(VLOOKUP(C190, Content_Creation!B:D, 2, FALSE), IFERROR(VLOOKUP(C190, Project_Management!B:D, 2, FALSE), ""))
&amp; " - "
&amp; IFERROR(VLOOKUP(C190, Content_Creation!B:E, 4, FALSE), IFERROR(VLOOKUP(C190, Project_Management!B:E, 4, FALSE), ""))</f>
        <v>Build Photo - Insta</v>
      </c>
      <c r="E190" s="220" t="str">
        <f>IFERROR(
    VLOOKUP(B189:B1001, Content_Creation!B:D, 3, FALSE),
    IFERROR(VLOOKUP(B189:B1001, Project_Management!B:D, 3, FALSE),"")
  )</f>
        <v>Edit</v>
      </c>
      <c r="F190" s="221" t="str">
        <f>IFERROR(VLOOKUP(B190, Content_Creation!B:F, 5, FALSE), IFERROR(VLOOKUP(B190, Project_Management!B:F, 5, FALSE), ""))</f>
        <v>Naveen</v>
      </c>
      <c r="G190" s="222" t="s">
        <v>26</v>
      </c>
      <c r="H190" s="223">
        <f>IFERROR(VLOOKUP(B190, Content_Creation!B:H, 7, FALSE), IFERROR(VLOOKUP(B190, Project_Management!B:H, 7, FALSE), ""))</f>
        <v>45231</v>
      </c>
      <c r="I190" s="224">
        <v>0.0</v>
      </c>
      <c r="J190" s="223">
        <f>IFERROR(VLOOKUP(C190, Content_Creation!B:H, 7, FALSE), IFERROR(VLOOKUP(C190, Project_Management!B:H, 7, FALSE), ""))</f>
        <v>45231</v>
      </c>
      <c r="K190" s="217"/>
      <c r="L190" s="225" t="str">
        <f>IFERROR(VLOOKUP(B190, Data_Validation!X:Y, 2, FALSE), "")</f>
        <v>Done</v>
      </c>
      <c r="M190" s="226" t="str">
        <f t="shared" si="1"/>
        <v>Inno3D | Build Photo - Insta | Edit</v>
      </c>
      <c r="N190" s="226"/>
      <c r="O190" s="226"/>
    </row>
    <row r="191" ht="24.0" customHeight="1">
      <c r="A191" s="216" t="str">
        <f>IFERROR(__xludf.DUMMYFUNCTION("ARRAYFORMULA(IFERROR(VLOOKUP(REGEXEXTRACT(B191, ""-(\w+)-""), {Data_Validation!$F$16:$F$29, Data_Validation!$E$16:$E$29}, 2, FALSE), """"))
"),"Inno3D")</f>
        <v>Inno3D</v>
      </c>
      <c r="B191" s="217" t="str">
        <f>IFERROR(__xludf.DUMMYFUNCTION("""COMPUTED_VALUE"""),"CC-INN-17.04")</f>
        <v>CC-INN-17.04</v>
      </c>
      <c r="C191" s="218" t="str">
        <f>IFERROR(__xludf.DUMMYFUNCTION("IFERROR(REGEXEXTRACT(B191, ""^[A-Z]+-[A-Z]+-"") &amp; TEXT(VALUE(REGEXEXTRACT(B191, ""-(\d+)\."")), ""00""), """")"),"CC-INN-17")</f>
        <v>CC-INN-17</v>
      </c>
      <c r="D191" s="219" t="str">
        <f>IFERROR(VLOOKUP(C191, Content_Creation!B:D, 2, FALSE), IFERROR(VLOOKUP(C191, Project_Management!B:D, 2, FALSE), ""))
&amp; " - "
&amp; IFERROR(VLOOKUP(C191, Content_Creation!B:E, 4, FALSE), IFERROR(VLOOKUP(C191, Project_Management!B:E, 4, FALSE), ""))</f>
        <v>Gaming Meme - Insta</v>
      </c>
      <c r="E191" s="220" t="str">
        <f>IFERROR(
    VLOOKUP(B190:B1001, Content_Creation!B:D, 3, FALSE),
    IFERROR(VLOOKUP(B190:B1001, Project_Management!B:D, 3, FALSE),"")
  )</f>
        <v>Upload</v>
      </c>
      <c r="F191" s="221" t="str">
        <f>IFERROR(VLOOKUP(B191, Content_Creation!B:F, 5, FALSE), IFERROR(VLOOKUP(B191, Project_Management!B:F, 5, FALSE), ""))</f>
        <v>Naveen</v>
      </c>
      <c r="G191" s="222" t="s">
        <v>26</v>
      </c>
      <c r="H191" s="223">
        <f>IFERROR(VLOOKUP(B191, Content_Creation!B:H, 7, FALSE), IFERROR(VLOOKUP(B191, Project_Management!B:H, 7, FALSE), ""))</f>
        <v>45231</v>
      </c>
      <c r="I191" s="224">
        <v>0.0</v>
      </c>
      <c r="J191" s="223">
        <f>IFERROR(VLOOKUP(C191, Content_Creation!B:H, 7, FALSE), IFERROR(VLOOKUP(C191, Project_Management!B:H, 7, FALSE), ""))</f>
        <v>45231</v>
      </c>
      <c r="K191" s="217"/>
      <c r="L191" s="225" t="str">
        <f>IFERROR(VLOOKUP(B191, Data_Validation!X:Y, 2, FALSE), "")</f>
        <v>Done</v>
      </c>
      <c r="M191" s="226" t="str">
        <f t="shared" si="1"/>
        <v>Inno3D | Gaming Meme - Insta | Upload</v>
      </c>
      <c r="N191" s="226"/>
      <c r="O191" s="226"/>
    </row>
    <row r="192" ht="24.0" customHeight="1">
      <c r="A192" s="216" t="str">
        <f>IFERROR(__xludf.DUMMYFUNCTION("ARRAYFORMULA(IFERROR(VLOOKUP(REGEXEXTRACT(B192, ""-(\w+)-""), {Data_Validation!$F$16:$F$29, Data_Validation!$E$16:$E$29}, 2, FALSE), """"))
"),"TheMVP")</f>
        <v>TheMVP</v>
      </c>
      <c r="B192" s="217" t="str">
        <f>IFERROR(__xludf.DUMMYFUNCTION("""COMPUTED_VALUE"""),"PM-MVP-03.02")</f>
        <v>PM-MVP-03.02</v>
      </c>
      <c r="C192" s="218" t="str">
        <f>IFERROR(__xludf.DUMMYFUNCTION("IFERROR(REGEXEXTRACT(B192, ""^[A-Z]+-[A-Z]+-"") &amp; TEXT(VALUE(REGEXEXTRACT(B192, ""-(\d+)\."")), ""00""), """")"),"PM-MVP-03")</f>
        <v>PM-MVP-03</v>
      </c>
      <c r="D192" s="219" t="str">
        <f>IFERROR(VLOOKUP(C192, Content_Creation!B:D, 2, FALSE), IFERROR(VLOOKUP(C192, Project_Management!B:D, 2, FALSE), ""))
&amp; " - "
&amp; IFERROR(VLOOKUP(C192, Content_Creation!B:E, 4, FALSE), IFERROR(VLOOKUP(C192, Project_Management!B:E, 4, FALSE), ""))</f>
        <v>Nov-AdHoc - Misc</v>
      </c>
      <c r="E192" s="220" t="str">
        <f>IFERROR(
    VLOOKUP(B191:B1001, Content_Creation!B:D, 3, FALSE),
    IFERROR(VLOOKUP(B191:B1001, Project_Management!B:D, 3, FALSE),"")
  )</f>
        <v>Flipkart Labels</v>
      </c>
      <c r="F192" s="221" t="str">
        <f>IFERROR(VLOOKUP(B192, Content_Creation!B:F, 5, FALSE), IFERROR(VLOOKUP(B192, Project_Management!B:F, 5, FALSE), ""))</f>
        <v>Naveen</v>
      </c>
      <c r="G192" s="222" t="s">
        <v>26</v>
      </c>
      <c r="H192" s="223">
        <f>IFERROR(VLOOKUP(B192, Content_Creation!B:H, 7, FALSE), IFERROR(VLOOKUP(B192, Project_Management!B:H, 7, FALSE), ""))</f>
        <v>45231</v>
      </c>
      <c r="I192" s="224">
        <v>0.0</v>
      </c>
      <c r="J192" s="223">
        <f>IFERROR(VLOOKUP(C192, Content_Creation!B:H, 7, FALSE), IFERROR(VLOOKUP(C192, Project_Management!B:H, 7, FALSE), ""))</f>
        <v>45240</v>
      </c>
      <c r="K192" s="217"/>
      <c r="L192" s="225" t="str">
        <f>IFERROR(VLOOKUP(B192, Data_Validation!X:Y, 2, FALSE), "")</f>
        <v>Done</v>
      </c>
      <c r="M192" s="226" t="str">
        <f t="shared" si="1"/>
        <v>TheMVP | Nov-AdHoc - Misc | Flipkart Labels</v>
      </c>
      <c r="N192" s="226"/>
      <c r="O192" s="226"/>
    </row>
    <row r="193" ht="24.0" customHeight="1">
      <c r="A193" s="216" t="str">
        <f>IFERROR(__xludf.DUMMYFUNCTION("ARRAYFORMULA(IFERROR(VLOOKUP(REGEXEXTRACT(B193, ""-(\w+)-""), {Data_Validation!$F$16:$F$29, Data_Validation!$E$16:$E$29}, 2, FALSE), """"))
"),"TheMVP")</f>
        <v>TheMVP</v>
      </c>
      <c r="B193" s="217" t="str">
        <f>IFERROR(__xludf.DUMMYFUNCTION("""COMPUTED_VALUE"""),"CC-MVP-36.07")</f>
        <v>CC-MVP-36.07</v>
      </c>
      <c r="C193" s="218" t="str">
        <f>IFERROR(__xludf.DUMMYFUNCTION("IFERROR(REGEXEXTRACT(B193, ""^[A-Z]+-[A-Z]+-"") &amp; TEXT(VALUE(REGEXEXTRACT(B193, ""-(\d+)\."")), ""00""), """")"),"CC-MVP-36")</f>
        <v>CC-MVP-36</v>
      </c>
      <c r="D193" s="219" t="str">
        <f>IFERROR(VLOOKUP(C193, Content_Creation!B:D, 2, FALSE), IFERROR(VLOOKUP(C193, Project_Management!B:D, 2, FALSE), ""))
&amp; " - "
&amp; IFERROR(VLOOKUP(C193, Content_Creation!B:E, 4, FALSE), IFERROR(VLOOKUP(C193, Project_Management!B:E, 4, FALSE), ""))</f>
        <v>3 Ways to improve Airflow - Shorts</v>
      </c>
      <c r="E193" s="220" t="str">
        <f>IFERROR(
    VLOOKUP(B192:B1001, Content_Creation!B:D, 3, FALSE),
    IFERROR(VLOOKUP(B192:B1001, Project_Management!B:D, 3, FALSE),"")
  )</f>
        <v>Upload</v>
      </c>
      <c r="F193" s="221" t="str">
        <f>IFERROR(VLOOKUP(B193, Content_Creation!B:F, 5, FALSE), IFERROR(VLOOKUP(B193, Project_Management!B:F, 5, FALSE), ""))</f>
        <v>Talha</v>
      </c>
      <c r="G193" s="222" t="s">
        <v>26</v>
      </c>
      <c r="H193" s="223">
        <f>IFERROR(VLOOKUP(B193, Content_Creation!B:H, 7, FALSE), IFERROR(VLOOKUP(B193, Project_Management!B:H, 7, FALSE), ""))</f>
        <v>45232</v>
      </c>
      <c r="I193" s="224">
        <v>0.041666666666666664</v>
      </c>
      <c r="J193" s="223">
        <f>IFERROR(VLOOKUP(C193, Content_Creation!B:H, 7, FALSE), IFERROR(VLOOKUP(C193, Project_Management!B:H, 7, FALSE), ""))</f>
        <v>45232</v>
      </c>
      <c r="K193" s="217"/>
      <c r="L193" s="225" t="str">
        <f>IFERROR(VLOOKUP(B193, Data_Validation!X:Y, 2, FALSE), "")</f>
        <v>Done</v>
      </c>
      <c r="M193" s="226" t="str">
        <f t="shared" si="1"/>
        <v>TheMVP | 3 Ways to improve Airflow - Shorts | Upload</v>
      </c>
      <c r="N193" s="226"/>
      <c r="O193" s="226"/>
    </row>
    <row r="194" ht="24.0" customHeight="1">
      <c r="A194" s="216" t="str">
        <f>IFERROR(__xludf.DUMMYFUNCTION("ARRAYFORMULA(IFERROR(VLOOKUP(REGEXEXTRACT(B194, ""-(\w+)-""), {Data_Validation!$F$16:$F$29, Data_Validation!$E$16:$E$29}, 2, FALSE), """"))
"),"TheMVP")</f>
        <v>TheMVP</v>
      </c>
      <c r="B194" s="217" t="str">
        <f>IFERROR(__xludf.DUMMYFUNCTION("""COMPUTED_VALUE"""),"CC-MVP-67.05")</f>
        <v>CC-MVP-67.05</v>
      </c>
      <c r="C194" s="218" t="str">
        <f>IFERROR(__xludf.DUMMYFUNCTION("IFERROR(REGEXEXTRACT(B194, ""^[A-Z]+-[A-Z]+-"") &amp; TEXT(VALUE(REGEXEXTRACT(B194, ""-(\d+)\."")), ""00""), """")"),"CC-MVP-67")</f>
        <v>CC-MVP-67</v>
      </c>
      <c r="D194" s="219" t="str">
        <f>IFERROR(VLOOKUP(C194, Content_Creation!B:D, 2, FALSE), IFERROR(VLOOKUP(C194, Project_Management!B:D, 2, FALSE), ""))
&amp; " - "
&amp; IFERROR(VLOOKUP(C194, Content_Creation!B:E, 4, FALSE), IFERROR(VLOOKUP(C194, Project_Management!B:E, 4, FALSE), ""))</f>
        <v>Know Your ABC - Blender - YT Video</v>
      </c>
      <c r="E194" s="220" t="str">
        <f>IFERROR(
    VLOOKUP(B193:B1001, Content_Creation!B:D, 3, FALSE),
    IFERROR(VLOOKUP(B193:B1001, Project_Management!B:D, 3, FALSE),"")
  )</f>
        <v>Edit</v>
      </c>
      <c r="F194" s="221" t="str">
        <f>IFERROR(VLOOKUP(B194, Content_Creation!B:F, 5, FALSE), IFERROR(VLOOKUP(B194, Project_Management!B:F, 5, FALSE), ""))</f>
        <v>Jayanth</v>
      </c>
      <c r="G194" s="222" t="s">
        <v>26</v>
      </c>
      <c r="H194" s="223">
        <f>IFERROR(VLOOKUP(B194, Content_Creation!B:H, 7, FALSE), IFERROR(VLOOKUP(B194, Project_Management!B:H, 7, FALSE), ""))</f>
        <v>45232</v>
      </c>
      <c r="I194" s="224">
        <v>0.0</v>
      </c>
      <c r="J194" s="223">
        <f>IFERROR(VLOOKUP(C194, Content_Creation!B:H, 7, FALSE), IFERROR(VLOOKUP(C194, Project_Management!B:H, 7, FALSE), ""))</f>
        <v>45233</v>
      </c>
      <c r="K194" s="217"/>
      <c r="L194" s="225" t="str">
        <f>IFERROR(VLOOKUP(B194, Data_Validation!X:Y, 2, FALSE), "")</f>
        <v>Done</v>
      </c>
      <c r="M194" s="226" t="str">
        <f t="shared" si="1"/>
        <v>TheMVP | Know Your ABC - Blender - YT Video | Edit</v>
      </c>
      <c r="N194" s="226"/>
      <c r="O194" s="226"/>
    </row>
    <row r="195" ht="24.0" customHeight="1">
      <c r="A195" s="216" t="str">
        <f>IFERROR(__xludf.DUMMYFUNCTION("ARRAYFORMULA(IFERROR(VLOOKUP(REGEXEXTRACT(B195, ""-(\w+)-""), {Data_Validation!$F$16:$F$29, Data_Validation!$E$16:$E$29}, 2, FALSE), """"))
"),"TheMVP")</f>
        <v>TheMVP</v>
      </c>
      <c r="B195" s="217" t="str">
        <f>IFERROR(__xludf.DUMMYFUNCTION("""COMPUTED_VALUE"""),"CC-MVP-24.03")</f>
        <v>CC-MVP-24.03</v>
      </c>
      <c r="C195" s="218" t="str">
        <f>IFERROR(__xludf.DUMMYFUNCTION("IFERROR(REGEXEXTRACT(B195, ""^[A-Z]+-[A-Z]+-"") &amp; TEXT(VALUE(REGEXEXTRACT(B195, ""-(\d+)\."")), ""00""), """")"),"CC-MVP-24")</f>
        <v>CC-MVP-24</v>
      </c>
      <c r="D195" s="219" t="str">
        <f>IFERROR(VLOOKUP(C195, Content_Creation!B:D, 2, FALSE), IFERROR(VLOOKUP(C195, Project_Management!B:D, 2, FALSE), ""))
&amp; " - "
&amp; IFERROR(VLOOKUP(C195, Content_Creation!B:E, 4, FALSE), IFERROR(VLOOKUP(C195, Project_Management!B:E, 4, FALSE), ""))</f>
        <v>AMD vs Intel - with GPUs - YT Video</v>
      </c>
      <c r="E195" s="220" t="str">
        <f>IFERROR(
    VLOOKUP(B194:B1001, Content_Creation!B:D, 3, FALSE),
    IFERROR(VLOOKUP(B194:B1001, Project_Management!B:D, 3, FALSE),"")
  )</f>
        <v>Editor notes</v>
      </c>
      <c r="F195" s="221" t="str">
        <f>IFERROR(VLOOKUP(B195, Content_Creation!B:F, 5, FALSE), IFERROR(VLOOKUP(B195, Project_Management!B:F, 5, FALSE), ""))</f>
        <v>Nasser</v>
      </c>
      <c r="G195" s="222" t="s">
        <v>26</v>
      </c>
      <c r="H195" s="223">
        <f>IFERROR(VLOOKUP(B195, Content_Creation!B:H, 7, FALSE), IFERROR(VLOOKUP(B195, Project_Management!B:H, 7, FALSE), ""))</f>
        <v>45232</v>
      </c>
      <c r="I195" s="224">
        <v>0.0</v>
      </c>
      <c r="J195" s="223">
        <f>IFERROR(VLOOKUP(C195, Content_Creation!B:H, 7, FALSE), IFERROR(VLOOKUP(C195, Project_Management!B:H, 7, FALSE), ""))</f>
        <v>45244</v>
      </c>
      <c r="K195" s="217"/>
      <c r="L195" s="225" t="str">
        <f>IFERROR(VLOOKUP(B195, Data_Validation!X:Y, 2, FALSE), "")</f>
        <v>Done</v>
      </c>
      <c r="M195" s="226" t="str">
        <f t="shared" si="1"/>
        <v>TheMVP | AMD vs Intel - with GPUs - YT Video | Editor notes</v>
      </c>
      <c r="N195" s="226"/>
      <c r="O195" s="226"/>
    </row>
    <row r="196" ht="24.0" customHeight="1">
      <c r="A196" s="216" t="str">
        <f>IFERROR(__xludf.DUMMYFUNCTION("ARRAYFORMULA(IFERROR(VLOOKUP(REGEXEXTRACT(B196, ""-(\w+)-""), {Data_Validation!$F$16:$F$29, Data_Validation!$E$16:$E$29}, 2, FALSE), """"))
"),"Colorful Tech")</f>
        <v>Colorful Tech</v>
      </c>
      <c r="B196" s="217" t="str">
        <f>IFERROR(__xludf.DUMMYFUNCTION("""COMPUTED_VALUE"""),"CC-CTH-13.01")</f>
        <v>CC-CTH-13.01</v>
      </c>
      <c r="C196" s="218" t="str">
        <f>IFERROR(__xludf.DUMMYFUNCTION("IFERROR(REGEXEXTRACT(B196, ""^[A-Z]+-[A-Z]+-"") &amp; TEXT(VALUE(REGEXEXTRACT(B196, ""-(\d+)\."")), ""00""), """")"),"CC-CTH-13")</f>
        <v>CC-CTH-13</v>
      </c>
      <c r="D196" s="219" t="str">
        <f>IFERROR(VLOOKUP(C196, Content_Creation!B:D, 2, FALSE), IFERROR(VLOOKUP(C196, Project_Management!B:D, 2, FALSE), ""))
&amp; " - "
&amp; IFERROR(VLOOKUP(C196, Content_Creation!B:E, 4, FALSE), IFERROR(VLOOKUP(C196, Project_Management!B:E, 4, FALSE), ""))</f>
        <v>PC for Generative AI - Shorts</v>
      </c>
      <c r="E196" s="220" t="str">
        <f>IFERROR(
    VLOOKUP(B195:B1001, Content_Creation!B:D, 3, FALSE),
    IFERROR(VLOOKUP(B195:B1001, Project_Management!B:D, 3, FALSE),"")
  )</f>
        <v>Script</v>
      </c>
      <c r="F196" s="221" t="str">
        <f>IFERROR(VLOOKUP(B196, Content_Creation!B:F, 5, FALSE), IFERROR(VLOOKUP(B196, Project_Management!B:F, 5, FALSE), ""))</f>
        <v>Naveen</v>
      </c>
      <c r="G196" s="222" t="s">
        <v>26</v>
      </c>
      <c r="H196" s="223">
        <f>IFERROR(VLOOKUP(B196, Content_Creation!B:H, 7, FALSE), IFERROR(VLOOKUP(B196, Project_Management!B:H, 7, FALSE), ""))</f>
        <v>45232</v>
      </c>
      <c r="I196" s="224">
        <v>0.03125</v>
      </c>
      <c r="J196" s="223">
        <f>IFERROR(VLOOKUP(C196, Content_Creation!B:H, 7, FALSE), IFERROR(VLOOKUP(C196, Project_Management!B:H, 7, FALSE), ""))</f>
        <v>45244</v>
      </c>
      <c r="K196" s="217"/>
      <c r="L196" s="225" t="str">
        <f>IFERROR(VLOOKUP(B196, Data_Validation!X:Y, 2, FALSE), "")</f>
        <v>Done</v>
      </c>
      <c r="M196" s="226" t="str">
        <f t="shared" si="1"/>
        <v>Colorful Tech | PC for Generative AI - Shorts | Script</v>
      </c>
      <c r="N196" s="226"/>
      <c r="O196" s="226"/>
    </row>
    <row r="197" ht="24.0" customHeight="1">
      <c r="A197" s="216" t="str">
        <f>IFERROR(__xludf.DUMMYFUNCTION("ARRAYFORMULA(IFERROR(VLOOKUP(REGEXEXTRACT(B197, ""-(\w+)-""), {Data_Validation!$F$16:$F$29, Data_Validation!$E$16:$E$29}, 2, FALSE), """"))
"),"Colorful Tech")</f>
        <v>Colorful Tech</v>
      </c>
      <c r="B197" s="217" t="str">
        <f>IFERROR(__xludf.DUMMYFUNCTION("""COMPUTED_VALUE"""),"CC-CTH-13.02")</f>
        <v>CC-CTH-13.02</v>
      </c>
      <c r="C197" s="218" t="str">
        <f>IFERROR(__xludf.DUMMYFUNCTION("IFERROR(REGEXEXTRACT(B197, ""^[A-Z]+-[A-Z]+-"") &amp; TEXT(VALUE(REGEXEXTRACT(B197, ""-(\d+)\."")), ""00""), """")"),"CC-CTH-13")</f>
        <v>CC-CTH-13</v>
      </c>
      <c r="D197" s="219" t="str">
        <f>IFERROR(VLOOKUP(C197, Content_Creation!B:D, 2, FALSE), IFERROR(VLOOKUP(C197, Project_Management!B:D, 2, FALSE), ""))
&amp; " - "
&amp; IFERROR(VLOOKUP(C197, Content_Creation!B:E, 4, FALSE), IFERROR(VLOOKUP(C197, Project_Management!B:E, 4, FALSE), ""))</f>
        <v>PC for Generative AI - Shorts</v>
      </c>
      <c r="E197" s="220" t="str">
        <f>IFERROR(
    VLOOKUP(B196:B1001, Content_Creation!B:D, 3, FALSE),
    IFERROR(VLOOKUP(B196:B1001, Project_Management!B:D, 3, FALSE),"")
  )</f>
        <v>Voiceover</v>
      </c>
      <c r="F197" s="221" t="str">
        <f>IFERROR(VLOOKUP(B197, Content_Creation!B:F, 5, FALSE), IFERROR(VLOOKUP(B197, Project_Management!B:F, 5, FALSE), ""))</f>
        <v>Talha</v>
      </c>
      <c r="G197" s="222" t="s">
        <v>26</v>
      </c>
      <c r="H197" s="223">
        <f>IFERROR(VLOOKUP(B197, Content_Creation!B:H, 7, FALSE), IFERROR(VLOOKUP(B197, Project_Management!B:H, 7, FALSE), ""))</f>
        <v>45232</v>
      </c>
      <c r="I197" s="224">
        <v>0.0</v>
      </c>
      <c r="J197" s="223">
        <f>IFERROR(VLOOKUP(C197, Content_Creation!B:H, 7, FALSE), IFERROR(VLOOKUP(C197, Project_Management!B:H, 7, FALSE), ""))</f>
        <v>45244</v>
      </c>
      <c r="K197" s="217"/>
      <c r="L197" s="225" t="str">
        <f>IFERROR(VLOOKUP(B197, Data_Validation!X:Y, 2, FALSE), "")</f>
        <v>Done</v>
      </c>
      <c r="M197" s="226" t="str">
        <f t="shared" si="1"/>
        <v>Colorful Tech | PC for Generative AI - Shorts | Voiceover</v>
      </c>
      <c r="N197" s="226"/>
      <c r="O197" s="226"/>
    </row>
    <row r="198" ht="24.0" customHeight="1">
      <c r="A198" s="216" t="str">
        <f>IFERROR(__xludf.DUMMYFUNCTION("ARRAYFORMULA(IFERROR(VLOOKUP(REGEXEXTRACT(B198, ""-(\w+)-""), {Data_Validation!$F$16:$F$29, Data_Validation!$E$16:$E$29}, 2, FALSE), """"))
"),"Inno3D")</f>
        <v>Inno3D</v>
      </c>
      <c r="B198" s="217" t="str">
        <f>IFERROR(__xludf.DUMMYFUNCTION("""COMPUTED_VALUE"""),"CC-INN-19.05")</f>
        <v>CC-INN-19.05</v>
      </c>
      <c r="C198" s="218" t="str">
        <f>IFERROR(__xludf.DUMMYFUNCTION("IFERROR(REGEXEXTRACT(B198, ""^[A-Z]+-[A-Z]+-"") &amp; TEXT(VALUE(REGEXEXTRACT(B198, ""-(\d+)\."")), ""00""), """")"),"CC-INN-19")</f>
        <v>CC-INN-19</v>
      </c>
      <c r="D198" s="219" t="str">
        <f>IFERROR(VLOOKUP(C198, Content_Creation!B:D, 2, FALSE), IFERROR(VLOOKUP(C198, Project_Management!B:D, 2, FALSE), ""))
&amp; " - "
&amp; IFERROR(VLOOKUP(C198, Content_Creation!B:E, 4, FALSE), IFERROR(VLOOKUP(C198, Project_Management!B:E, 4, FALSE), ""))</f>
        <v>Product Photo - Insta</v>
      </c>
      <c r="E198" s="220" t="str">
        <f>IFERROR(
    VLOOKUP(B197:B1001, Content_Creation!B:D, 3, FALSE),
    IFERROR(VLOOKUP(B197:B1001, Project_Management!B:D, 3, FALSE),"")
  )</f>
        <v>Edit</v>
      </c>
      <c r="F198" s="221" t="str">
        <f>IFERROR(VLOOKUP(B198, Content_Creation!B:F, 5, FALSE), IFERROR(VLOOKUP(B198, Project_Management!B:F, 5, FALSE), ""))</f>
        <v>Naveen</v>
      </c>
      <c r="G198" s="222" t="s">
        <v>26</v>
      </c>
      <c r="H198" s="223">
        <f>IFERROR(VLOOKUP(B198, Content_Creation!B:H, 7, FALSE), IFERROR(VLOOKUP(B198, Project_Management!B:H, 7, FALSE), ""))</f>
        <v>45232</v>
      </c>
      <c r="I198" s="224">
        <v>0.010416666666666666</v>
      </c>
      <c r="J198" s="223">
        <f>IFERROR(VLOOKUP(C198, Content_Creation!B:H, 7, FALSE), IFERROR(VLOOKUP(C198, Project_Management!B:H, 7, FALSE), ""))</f>
        <v>45232</v>
      </c>
      <c r="K198" s="217"/>
      <c r="L198" s="225" t="str">
        <f>IFERROR(VLOOKUP(B198, Data_Validation!X:Y, 2, FALSE), "")</f>
        <v>Done</v>
      </c>
      <c r="M198" s="226" t="str">
        <f t="shared" si="1"/>
        <v>Inno3D | Product Photo - Insta | Edit</v>
      </c>
      <c r="N198" s="226"/>
      <c r="O198" s="226"/>
    </row>
    <row r="199" ht="24.0" customHeight="1">
      <c r="A199" s="216" t="str">
        <f>IFERROR(__xludf.DUMMYFUNCTION("ARRAYFORMULA(IFERROR(VLOOKUP(REGEXEXTRACT(B199, ""-(\w+)-""), {Data_Validation!$F$16:$F$29, Data_Validation!$E$16:$E$29}, 2, FALSE), """"))
"),"Inno3D")</f>
        <v>Inno3D</v>
      </c>
      <c r="B199" s="217" t="str">
        <f>IFERROR(__xludf.DUMMYFUNCTION("""COMPUTED_VALUE"""),"CC-INN-19.07")</f>
        <v>CC-INN-19.07</v>
      </c>
      <c r="C199" s="218" t="str">
        <f>IFERROR(__xludf.DUMMYFUNCTION("IFERROR(REGEXEXTRACT(B199, ""^[A-Z]+-[A-Z]+-"") &amp; TEXT(VALUE(REGEXEXTRACT(B199, ""-(\d+)\."")), ""00""), """")"),"CC-INN-19")</f>
        <v>CC-INN-19</v>
      </c>
      <c r="D199" s="219" t="str">
        <f>IFERROR(VLOOKUP(C199, Content_Creation!B:D, 2, FALSE), IFERROR(VLOOKUP(C199, Project_Management!B:D, 2, FALSE), ""))
&amp; " - "
&amp; IFERROR(VLOOKUP(C199, Content_Creation!B:E, 4, FALSE), IFERROR(VLOOKUP(C199, Project_Management!B:E, 4, FALSE), ""))</f>
        <v>Product Photo - Insta</v>
      </c>
      <c r="E199" s="220" t="str">
        <f>IFERROR(
    VLOOKUP(B198:B1001, Content_Creation!B:D, 3, FALSE),
    IFERROR(VLOOKUP(B198:B1001, Project_Management!B:D, 3, FALSE),"")
  )</f>
        <v>Upload</v>
      </c>
      <c r="F199" s="221" t="str">
        <f>IFERROR(VLOOKUP(B199, Content_Creation!B:F, 5, FALSE), IFERROR(VLOOKUP(B199, Project_Management!B:F, 5, FALSE), ""))</f>
        <v/>
      </c>
      <c r="G199" s="222" t="s">
        <v>26</v>
      </c>
      <c r="H199" s="223">
        <f>IFERROR(VLOOKUP(B199, Content_Creation!B:H, 7, FALSE), IFERROR(VLOOKUP(B199, Project_Management!B:H, 7, FALSE), ""))</f>
        <v>45232</v>
      </c>
      <c r="I199" s="224">
        <v>0.041666666666666664</v>
      </c>
      <c r="J199" s="223">
        <f>IFERROR(VLOOKUP(C199, Content_Creation!B:H, 7, FALSE), IFERROR(VLOOKUP(C199, Project_Management!B:H, 7, FALSE), ""))</f>
        <v>45232</v>
      </c>
      <c r="K199" s="217"/>
      <c r="L199" s="225" t="str">
        <f>IFERROR(VLOOKUP(B199, Data_Validation!X:Y, 2, FALSE), "")</f>
        <v>Done</v>
      </c>
      <c r="M199" s="226" t="str">
        <f t="shared" si="1"/>
        <v>Inno3D | Product Photo - Insta | Upload</v>
      </c>
      <c r="N199" s="226"/>
      <c r="O199" s="226"/>
    </row>
    <row r="200" ht="24.0" customHeight="1">
      <c r="A200" s="216" t="str">
        <f>IFERROR(__xludf.DUMMYFUNCTION("ARRAYFORMULA(IFERROR(VLOOKUP(REGEXEXTRACT(B200, ""-(\w+)-""), {Data_Validation!$F$16:$F$29, Data_Validation!$E$16:$E$29}, 2, FALSE), """"))
"),"TheMVP")</f>
        <v>TheMVP</v>
      </c>
      <c r="B200" s="217" t="str">
        <f>IFERROR(__xludf.DUMMYFUNCTION("""COMPUTED_VALUE"""),"PM-MVP-03.01")</f>
        <v>PM-MVP-03.01</v>
      </c>
      <c r="C200" s="218" t="str">
        <f>IFERROR(__xludf.DUMMYFUNCTION("IFERROR(REGEXEXTRACT(B200, ""^[A-Z]+-[A-Z]+-"") &amp; TEXT(VALUE(REGEXEXTRACT(B200, ""-(\d+)\."")), ""00""), """")"),"PM-MVP-03")</f>
        <v>PM-MVP-03</v>
      </c>
      <c r="D200" s="219" t="str">
        <f>IFERROR(VLOOKUP(C200, Content_Creation!B:D, 2, FALSE), IFERROR(VLOOKUP(C200, Project_Management!B:D, 2, FALSE), ""))
&amp; " - "
&amp; IFERROR(VLOOKUP(C200, Content_Creation!B:E, 4, FALSE), IFERROR(VLOOKUP(C200, Project_Management!B:E, 4, FALSE), ""))</f>
        <v>Nov-AdHoc - Misc</v>
      </c>
      <c r="E200" s="220" t="str">
        <f>IFERROR(
    VLOOKUP(B199:B1001, Content_Creation!B:D, 3, FALSE),
    IFERROR(VLOOKUP(B199:B1001, Project_Management!B:D, 3, FALSE),"")
  )</f>
        <v>IGDC Banners</v>
      </c>
      <c r="F200" s="221" t="str">
        <f>IFERROR(VLOOKUP(B200, Content_Creation!B:F, 5, FALSE), IFERROR(VLOOKUP(B200, Project_Management!B:F, 5, FALSE), ""))</f>
        <v>Nasser</v>
      </c>
      <c r="G200" s="222" t="s">
        <v>26</v>
      </c>
      <c r="H200" s="223">
        <f>IFERROR(VLOOKUP(B200, Content_Creation!B:H, 7, FALSE), IFERROR(VLOOKUP(B200, Project_Management!B:H, 7, FALSE), ""))</f>
        <v>45232.49699</v>
      </c>
      <c r="I200" s="224">
        <v>0.0</v>
      </c>
      <c r="J200" s="223">
        <f>IFERROR(VLOOKUP(C200, Content_Creation!B:H, 7, FALSE), IFERROR(VLOOKUP(C200, Project_Management!B:H, 7, FALSE), ""))</f>
        <v>45240</v>
      </c>
      <c r="K200" s="217"/>
      <c r="L200" s="225" t="str">
        <f>IFERROR(VLOOKUP(B200, Data_Validation!X:Y, 2, FALSE), "")</f>
        <v>Done</v>
      </c>
      <c r="M200" s="226" t="str">
        <f t="shared" si="1"/>
        <v>TheMVP | Nov-AdHoc - Misc | IGDC Banners</v>
      </c>
      <c r="N200" s="226"/>
      <c r="O200" s="226"/>
    </row>
    <row r="201" ht="24.0" customHeight="1">
      <c r="A201" s="216" t="str">
        <f>IFERROR(__xludf.DUMMYFUNCTION("ARRAYFORMULA(IFERROR(VLOOKUP(REGEXEXTRACT(B201, ""-(\w+)-""), {Data_Validation!$F$16:$F$29, Data_Validation!$E$16:$E$29}, 2, FALSE), """"))
"),"TheMVP")</f>
        <v>TheMVP</v>
      </c>
      <c r="B201" s="217" t="str">
        <f>IFERROR(__xludf.DUMMYFUNCTION("""COMPUTED_VALUE"""),"CC-MVP-80.04")</f>
        <v>CC-MVP-80.04</v>
      </c>
      <c r="C201" s="218" t="str">
        <f>IFERROR(__xludf.DUMMYFUNCTION("IFERROR(REGEXEXTRACT(B201, ""^[A-Z]+-[A-Z]+-"") &amp; TEXT(VALUE(REGEXEXTRACT(B201, ""-(\d+)\."")), ""00""), """")"),"CC-MVP-80")</f>
        <v>CC-MVP-80</v>
      </c>
      <c r="D201" s="219" t="str">
        <f>IFERROR(VLOOKUP(C201, Content_Creation!B:D, 2, FALSE), IFERROR(VLOOKUP(C201, Project_Management!B:D, 2, FALSE), ""))
&amp; " - "
&amp; IFERROR(VLOOKUP(C201, Content_Creation!B:E, 4, FALSE), IFERROR(VLOOKUP(C201, Project_Management!B:E, 4, FALSE), ""))</f>
        <v>06102304-Build Photo - Insta</v>
      </c>
      <c r="E201" s="220" t="str">
        <f>IFERROR(
    VLOOKUP(B200:B1001, Content_Creation!B:D, 3, FALSE),
    IFERROR(VLOOKUP(B200:B1001, Project_Management!B:D, 3, FALSE),"")
  )</f>
        <v>Upload</v>
      </c>
      <c r="F201" s="221" t="str">
        <f>IFERROR(VLOOKUP(B201, Content_Creation!B:F, 5, FALSE), IFERROR(VLOOKUP(B201, Project_Management!B:F, 5, FALSE), ""))</f>
        <v>Nasser</v>
      </c>
      <c r="G201" s="222" t="s">
        <v>26</v>
      </c>
      <c r="H201" s="223">
        <f>IFERROR(VLOOKUP(B201, Content_Creation!B:H, 7, FALSE), IFERROR(VLOOKUP(B201, Project_Management!B:H, 7, FALSE), ""))</f>
        <v>45233</v>
      </c>
      <c r="I201" s="224">
        <v>0.0625</v>
      </c>
      <c r="J201" s="223">
        <f>IFERROR(VLOOKUP(C201, Content_Creation!B:H, 7, FALSE), IFERROR(VLOOKUP(C201, Project_Management!B:H, 7, FALSE), ""))</f>
        <v>45233</v>
      </c>
      <c r="K201" s="217"/>
      <c r="L201" s="225" t="str">
        <f>IFERROR(VLOOKUP(B201, Data_Validation!X:Y, 2, FALSE), "")</f>
        <v>Done</v>
      </c>
      <c r="M201" s="226" t="str">
        <f t="shared" si="1"/>
        <v>TheMVP | 06102304-Build Photo - Insta | Upload</v>
      </c>
      <c r="N201" s="226"/>
      <c r="O201" s="226"/>
    </row>
    <row r="202" ht="24.0" customHeight="1">
      <c r="A202" s="216" t="str">
        <f>IFERROR(__xludf.DUMMYFUNCTION("ARRAYFORMULA(IFERROR(VLOOKUP(REGEXEXTRACT(B202, ""-(\w+)-""), {Data_Validation!$F$16:$F$29, Data_Validation!$E$16:$E$29}, 2, FALSE), """"))
"),"TheMVP")</f>
        <v>TheMVP</v>
      </c>
      <c r="B202" s="217" t="str">
        <f>IFERROR(__xludf.DUMMYFUNCTION("""COMPUTED_VALUE"""),"CC-MVP-67.06")</f>
        <v>CC-MVP-67.06</v>
      </c>
      <c r="C202" s="218" t="str">
        <f>IFERROR(__xludf.DUMMYFUNCTION("IFERROR(REGEXEXTRACT(B202, ""^[A-Z]+-[A-Z]+-"") &amp; TEXT(VALUE(REGEXEXTRACT(B202, ""-(\d+)\."")), ""00""), """")"),"CC-MVP-67")</f>
        <v>CC-MVP-67</v>
      </c>
      <c r="D202" s="219" t="str">
        <f>IFERROR(VLOOKUP(C202, Content_Creation!B:D, 2, FALSE), IFERROR(VLOOKUP(C202, Project_Management!B:D, 2, FALSE), ""))
&amp; " - "
&amp; IFERROR(VLOOKUP(C202, Content_Creation!B:E, 4, FALSE), IFERROR(VLOOKUP(C202, Project_Management!B:E, 4, FALSE), ""))</f>
        <v>Know Your ABC - Blender - YT Video</v>
      </c>
      <c r="E202" s="220" t="str">
        <f>IFERROR(
    VLOOKUP(B201:B1001, Content_Creation!B:D, 3, FALSE),
    IFERROR(VLOOKUP(B201:B1001, Project_Management!B:D, 3, FALSE),"")
  )</f>
        <v>Thumbnail</v>
      </c>
      <c r="F202" s="221" t="str">
        <f>IFERROR(VLOOKUP(B202, Content_Creation!B:F, 5, FALSE), IFERROR(VLOOKUP(B202, Project_Management!B:F, 5, FALSE), ""))</f>
        <v>Nasser</v>
      </c>
      <c r="G202" s="222" t="s">
        <v>26</v>
      </c>
      <c r="H202" s="223">
        <f>IFERROR(VLOOKUP(B202, Content_Creation!B:H, 7, FALSE), IFERROR(VLOOKUP(B202, Project_Management!B:H, 7, FALSE), ""))</f>
        <v>45233</v>
      </c>
      <c r="I202" s="224">
        <v>0.0</v>
      </c>
      <c r="J202" s="223">
        <f>IFERROR(VLOOKUP(C202, Content_Creation!B:H, 7, FALSE), IFERROR(VLOOKUP(C202, Project_Management!B:H, 7, FALSE), ""))</f>
        <v>45233</v>
      </c>
      <c r="K202" s="217"/>
      <c r="L202" s="225" t="str">
        <f>IFERROR(VLOOKUP(B202, Data_Validation!X:Y, 2, FALSE), "")</f>
        <v>Done</v>
      </c>
      <c r="M202" s="226" t="str">
        <f t="shared" si="1"/>
        <v>TheMVP | Know Your ABC - Blender - YT Video | Thumbnail</v>
      </c>
      <c r="N202" s="226"/>
      <c r="O202" s="226"/>
    </row>
    <row r="203" ht="24.0" customHeight="1">
      <c r="A203" s="216" t="str">
        <f>IFERROR(__xludf.DUMMYFUNCTION("ARRAYFORMULA(IFERROR(VLOOKUP(REGEXEXTRACT(B203, ""-(\w+)-""), {Data_Validation!$F$16:$F$29, Data_Validation!$E$16:$E$29}, 2, FALSE), """"))
"),"TheMVP")</f>
        <v>TheMVP</v>
      </c>
      <c r="B203" s="217" t="str">
        <f>IFERROR(__xludf.DUMMYFUNCTION("""COMPUTED_VALUE"""),"CC-MVP-67.07")</f>
        <v>CC-MVP-67.07</v>
      </c>
      <c r="C203" s="218" t="str">
        <f>IFERROR(__xludf.DUMMYFUNCTION("IFERROR(REGEXEXTRACT(B203, ""^[A-Z]+-[A-Z]+-"") &amp; TEXT(VALUE(REGEXEXTRACT(B203, ""-(\d+)\."")), ""00""), """")"),"CC-MVP-67")</f>
        <v>CC-MVP-67</v>
      </c>
      <c r="D203" s="219" t="str">
        <f>IFERROR(VLOOKUP(C203, Content_Creation!B:D, 2, FALSE), IFERROR(VLOOKUP(C203, Project_Management!B:D, 2, FALSE), ""))
&amp; " - "
&amp; IFERROR(VLOOKUP(C203, Content_Creation!B:E, 4, FALSE), IFERROR(VLOOKUP(C203, Project_Management!B:E, 4, FALSE), ""))</f>
        <v>Know Your ABC - Blender - YT Video</v>
      </c>
      <c r="E203" s="220" t="str">
        <f>IFERROR(
    VLOOKUP(B202:B1001, Content_Creation!B:D, 3, FALSE),
    IFERROR(VLOOKUP(B202:B1001, Project_Management!B:D, 3, FALSE),"")
  )</f>
        <v>Upload</v>
      </c>
      <c r="F203" s="221" t="str">
        <f>IFERROR(VLOOKUP(B203, Content_Creation!B:F, 5, FALSE), IFERROR(VLOOKUP(B203, Project_Management!B:F, 5, FALSE), ""))</f>
        <v>Talha</v>
      </c>
      <c r="G203" s="222" t="s">
        <v>26</v>
      </c>
      <c r="H203" s="223">
        <f>IFERROR(VLOOKUP(B203, Content_Creation!B:H, 7, FALSE), IFERROR(VLOOKUP(B203, Project_Management!B:H, 7, FALSE), ""))</f>
        <v>45233</v>
      </c>
      <c r="I203" s="224">
        <v>0.0</v>
      </c>
      <c r="J203" s="223">
        <f>IFERROR(VLOOKUP(C203, Content_Creation!B:H, 7, FALSE), IFERROR(VLOOKUP(C203, Project_Management!B:H, 7, FALSE), ""))</f>
        <v>45233</v>
      </c>
      <c r="K203" s="217"/>
      <c r="L203" s="225" t="str">
        <f>IFERROR(VLOOKUP(B203, Data_Validation!X:Y, 2, FALSE), "")</f>
        <v>Done</v>
      </c>
      <c r="M203" s="226" t="str">
        <f t="shared" si="1"/>
        <v>TheMVP | Know Your ABC - Blender - YT Video | Upload</v>
      </c>
      <c r="N203" s="226"/>
      <c r="O203" s="226"/>
    </row>
    <row r="204" ht="24.0" customHeight="1">
      <c r="A204" s="216" t="str">
        <f>IFERROR(__xludf.DUMMYFUNCTION("ARRAYFORMULA(IFERROR(VLOOKUP(REGEXEXTRACT(B204, ""-(\w+)-""), {Data_Validation!$F$16:$F$29, Data_Validation!$E$16:$E$29}, 2, FALSE), """"))
"),"TheMVP")</f>
        <v>TheMVP</v>
      </c>
      <c r="B204" s="217" t="str">
        <f>IFERROR(__xludf.DUMMYFUNCTION("""COMPUTED_VALUE"""),"CC-MVP-87.02")</f>
        <v>CC-MVP-87.02</v>
      </c>
      <c r="C204" s="218" t="str">
        <f>IFERROR(__xludf.DUMMYFUNCTION("IFERROR(REGEXEXTRACT(B204, ""^[A-Z]+-[A-Z]+-"") &amp; TEXT(VALUE(REGEXEXTRACT(B204, ""-(\d+)\."")), ""00""), """")"),"CC-MVP-87")</f>
        <v>CC-MVP-87</v>
      </c>
      <c r="D204" s="219" t="str">
        <f>IFERROR(VLOOKUP(C204, Content_Creation!B:D, 2, FALSE), IFERROR(VLOOKUP(C204, Project_Management!B:D, 2, FALSE), ""))
&amp; " - "
&amp; IFERROR(VLOOKUP(C204, Content_Creation!B:E, 4, FALSE), IFERROR(VLOOKUP(C204, Project_Management!B:E, 4, FALSE), ""))</f>
        <v>China Vlog 1 - YT Video</v>
      </c>
      <c r="E204" s="220" t="str">
        <f>IFERROR(
    VLOOKUP(B203:B1001, Content_Creation!B:D, 3, FALSE),
    IFERROR(VLOOKUP(B203:B1001, Project_Management!B:D, 3, FALSE),"")
  )</f>
        <v>Captions</v>
      </c>
      <c r="F204" s="221" t="str">
        <f>IFERROR(VLOOKUP(B204, Content_Creation!B:F, 5, FALSE), IFERROR(VLOOKUP(B204, Project_Management!B:F, 5, FALSE), ""))</f>
        <v>Talha</v>
      </c>
      <c r="G204" s="222" t="s">
        <v>26</v>
      </c>
      <c r="H204" s="223">
        <f>IFERROR(VLOOKUP(B204, Content_Creation!B:H, 7, FALSE), IFERROR(VLOOKUP(B204, Project_Management!B:H, 7, FALSE), ""))</f>
        <v>45233</v>
      </c>
      <c r="I204" s="224">
        <v>0.0625</v>
      </c>
      <c r="J204" s="223">
        <f>IFERROR(VLOOKUP(C204, Content_Creation!B:H, 7, FALSE), IFERROR(VLOOKUP(C204, Project_Management!B:H, 7, FALSE), ""))</f>
        <v>45237</v>
      </c>
      <c r="K204" s="217"/>
      <c r="L204" s="225" t="str">
        <f>IFERROR(VLOOKUP(B204, Data_Validation!X:Y, 2, FALSE), "")</f>
        <v>Done</v>
      </c>
      <c r="M204" s="226" t="str">
        <f t="shared" si="1"/>
        <v>TheMVP | China Vlog 1 - YT Video | Captions</v>
      </c>
      <c r="N204" s="226"/>
      <c r="O204" s="226"/>
    </row>
    <row r="205" ht="24.0" customHeight="1">
      <c r="A205" s="216" t="str">
        <f>IFERROR(__xludf.DUMMYFUNCTION("ARRAYFORMULA(IFERROR(VLOOKUP(REGEXEXTRACT(B205, ""-(\w+)-""), {Data_Validation!$F$16:$F$29, Data_Validation!$E$16:$E$29}, 2, FALSE), """"))
"),"TheMVP")</f>
        <v>TheMVP</v>
      </c>
      <c r="B205" s="217" t="str">
        <f>IFERROR(__xludf.DUMMYFUNCTION("""COMPUTED_VALUE"""),"CC-MVP-87.03")</f>
        <v>CC-MVP-87.03</v>
      </c>
      <c r="C205" s="218" t="str">
        <f>IFERROR(__xludf.DUMMYFUNCTION("IFERROR(REGEXEXTRACT(B205, ""^[A-Z]+-[A-Z]+-"") &amp; TEXT(VALUE(REGEXEXTRACT(B205, ""-(\d+)\."")), ""00""), """")"),"CC-MVP-87")</f>
        <v>CC-MVP-87</v>
      </c>
      <c r="D205" s="219" t="str">
        <f>IFERROR(VLOOKUP(C205, Content_Creation!B:D, 2, FALSE), IFERROR(VLOOKUP(C205, Project_Management!B:D, 2, FALSE), ""))
&amp; " - "
&amp; IFERROR(VLOOKUP(C205, Content_Creation!B:E, 4, FALSE), IFERROR(VLOOKUP(C205, Project_Management!B:E, 4, FALSE), ""))</f>
        <v>China Vlog 1 - YT Video</v>
      </c>
      <c r="E205" s="220" t="str">
        <f>IFERROR(
    VLOOKUP(B204:B1001, Content_Creation!B:D, 3, FALSE),
    IFERROR(VLOOKUP(B204:B1001, Project_Management!B:D, 3, FALSE),"")
  )</f>
        <v>Talking Head</v>
      </c>
      <c r="F205" s="221" t="str">
        <f>IFERROR(VLOOKUP(B205, Content_Creation!B:F, 5, FALSE), IFERROR(VLOOKUP(B205, Project_Management!B:F, 5, FALSE), ""))</f>
        <v>Talha</v>
      </c>
      <c r="G205" s="222" t="s">
        <v>26</v>
      </c>
      <c r="H205" s="223">
        <f>IFERROR(VLOOKUP(B205, Content_Creation!B:H, 7, FALSE), IFERROR(VLOOKUP(B205, Project_Management!B:H, 7, FALSE), ""))</f>
        <v>45233</v>
      </c>
      <c r="I205" s="224">
        <v>0.0</v>
      </c>
      <c r="J205" s="223">
        <f>IFERROR(VLOOKUP(C205, Content_Creation!B:H, 7, FALSE), IFERROR(VLOOKUP(C205, Project_Management!B:H, 7, FALSE), ""))</f>
        <v>45237</v>
      </c>
      <c r="K205" s="217"/>
      <c r="L205" s="225" t="str">
        <f>IFERROR(VLOOKUP(B205, Data_Validation!X:Y, 2, FALSE), "")</f>
        <v>Done</v>
      </c>
      <c r="M205" s="226" t="str">
        <f t="shared" si="1"/>
        <v>TheMVP | China Vlog 1 - YT Video | Talking Head</v>
      </c>
      <c r="N205" s="226"/>
      <c r="O205" s="226"/>
    </row>
    <row r="206" ht="24.0" customHeight="1">
      <c r="A206" s="216" t="str">
        <f>IFERROR(__xludf.DUMMYFUNCTION("ARRAYFORMULA(IFERROR(VLOOKUP(REGEXEXTRACT(B206, ""-(\w+)-""), {Data_Validation!$F$16:$F$29, Data_Validation!$E$16:$E$29}, 2, FALSE), """"))
"),"TheMVP")</f>
        <v>TheMVP</v>
      </c>
      <c r="B206" s="217" t="str">
        <f>IFERROR(__xludf.DUMMYFUNCTION("""COMPUTED_VALUE"""),"CC-MVP-72.01")</f>
        <v>CC-MVP-72.01</v>
      </c>
      <c r="C206" s="218" t="str">
        <f>IFERROR(__xludf.DUMMYFUNCTION("IFERROR(REGEXEXTRACT(B206, ""^[A-Z]+-[A-Z]+-"") &amp; TEXT(VALUE(REGEXEXTRACT(B206, ""-(\d+)\."")), ""00""), """")"),"CC-MVP-72")</f>
        <v>CC-MVP-72</v>
      </c>
      <c r="D206" s="219" t="str">
        <f>IFERROR(VLOOKUP(C206, Content_Creation!B:D, 2, FALSE), IFERROR(VLOOKUP(C206, Project_Management!B:D, 2, FALSE), ""))
&amp; " - "
&amp; IFERROR(VLOOKUP(C206, Content_Creation!B:E, 4, FALSE), IFERROR(VLOOKUP(C206, Project_Management!B:E, 4, FALSE), ""))</f>
        <v>Build Photo 05102302 Suprim X - Insta</v>
      </c>
      <c r="E206" s="220" t="str">
        <f>IFERROR(
    VLOOKUP(B205:B1001, Content_Creation!B:D, 3, FALSE),
    IFERROR(VLOOKUP(B205:B1001, Project_Management!B:D, 3, FALSE),"")
  )</f>
        <v>Script</v>
      </c>
      <c r="F206" s="221" t="str">
        <f>IFERROR(VLOOKUP(B206, Content_Creation!B:F, 5, FALSE), IFERROR(VLOOKUP(B206, Project_Management!B:F, 5, FALSE), ""))</f>
        <v>Naveen</v>
      </c>
      <c r="G206" s="222" t="s">
        <v>26</v>
      </c>
      <c r="H206" s="223">
        <f>IFERROR(VLOOKUP(B206, Content_Creation!B:H, 7, FALSE), IFERROR(VLOOKUP(B206, Project_Management!B:H, 7, FALSE), ""))</f>
        <v>45233</v>
      </c>
      <c r="I206" s="224">
        <v>0.0</v>
      </c>
      <c r="J206" s="223">
        <f>IFERROR(VLOOKUP(C206, Content_Creation!B:H, 7, FALSE), IFERROR(VLOOKUP(C206, Project_Management!B:H, 7, FALSE), ""))</f>
        <v>45238</v>
      </c>
      <c r="K206" s="217"/>
      <c r="L206" s="225" t="str">
        <f>IFERROR(VLOOKUP(B206, Data_Validation!X:Y, 2, FALSE), "")</f>
        <v>Done</v>
      </c>
      <c r="M206" s="226" t="str">
        <f t="shared" si="1"/>
        <v>TheMVP | Build Photo 05102302 Suprim X - Insta | Script</v>
      </c>
      <c r="N206" s="226"/>
      <c r="O206" s="226"/>
    </row>
    <row r="207" ht="24.0" customHeight="1">
      <c r="A207" s="216" t="str">
        <f>IFERROR(__xludf.DUMMYFUNCTION("ARRAYFORMULA(IFERROR(VLOOKUP(REGEXEXTRACT(B207, ""-(\w+)-""), {Data_Validation!$F$16:$F$29, Data_Validation!$E$16:$E$29}, 2, FALSE), """"))
"),"TheMVP")</f>
        <v>TheMVP</v>
      </c>
      <c r="B207" s="217" t="str">
        <f>IFERROR(__xludf.DUMMYFUNCTION("""COMPUTED_VALUE"""),"CC-MVP-72.02")</f>
        <v>CC-MVP-72.02</v>
      </c>
      <c r="C207" s="218" t="str">
        <f>IFERROR(__xludf.DUMMYFUNCTION("IFERROR(REGEXEXTRACT(B207, ""^[A-Z]+-[A-Z]+-"") &amp; TEXT(VALUE(REGEXEXTRACT(B207, ""-(\d+)\."")), ""00""), """")"),"CC-MVP-72")</f>
        <v>CC-MVP-72</v>
      </c>
      <c r="D207" s="219" t="str">
        <f>IFERROR(VLOOKUP(C207, Content_Creation!B:D, 2, FALSE), IFERROR(VLOOKUP(C207, Project_Management!B:D, 2, FALSE), ""))
&amp; " - "
&amp; IFERROR(VLOOKUP(C207, Content_Creation!B:E, 4, FALSE), IFERROR(VLOOKUP(C207, Project_Management!B:E, 4, FALSE), ""))</f>
        <v>Build Photo 05102302 Suprim X - Insta</v>
      </c>
      <c r="E207" s="220" t="str">
        <f>IFERROR(
    VLOOKUP(B206:B1001, Content_Creation!B:D, 3, FALSE),
    IFERROR(VLOOKUP(B206:B1001, Project_Management!B:D, 3, FALSE),"")
  )</f>
        <v>Shoot</v>
      </c>
      <c r="F207" s="221" t="str">
        <f>IFERROR(VLOOKUP(B207, Content_Creation!B:F, 5, FALSE), IFERROR(VLOOKUP(B207, Project_Management!B:F, 5, FALSE), ""))</f>
        <v>Akhil</v>
      </c>
      <c r="G207" s="222" t="s">
        <v>26</v>
      </c>
      <c r="H207" s="223">
        <f>IFERROR(VLOOKUP(B207, Content_Creation!B:H, 7, FALSE), IFERROR(VLOOKUP(B207, Project_Management!B:H, 7, FALSE), ""))</f>
        <v>45233</v>
      </c>
      <c r="I207" s="224">
        <v>0.08333333333333333</v>
      </c>
      <c r="J207" s="223">
        <f>IFERROR(VLOOKUP(C207, Content_Creation!B:H, 7, FALSE), IFERROR(VLOOKUP(C207, Project_Management!B:H, 7, FALSE), ""))</f>
        <v>45238</v>
      </c>
      <c r="K207" s="217"/>
      <c r="L207" s="225" t="str">
        <f>IFERROR(VLOOKUP(B207, Data_Validation!X:Y, 2, FALSE), "")</f>
        <v>Done</v>
      </c>
      <c r="M207" s="226" t="str">
        <f t="shared" si="1"/>
        <v>TheMVP | Build Photo 05102302 Suprim X - Insta | Shoot</v>
      </c>
      <c r="N207" s="226"/>
      <c r="O207" s="226"/>
    </row>
    <row r="208" ht="24.0" customHeight="1">
      <c r="A208" s="216" t="str">
        <f>IFERROR(__xludf.DUMMYFUNCTION("ARRAYFORMULA(IFERROR(VLOOKUP(REGEXEXTRACT(B208, ""-(\w+)-""), {Data_Validation!$F$16:$F$29, Data_Validation!$E$16:$E$29}, 2, FALSE), """"))
"),"TheMVP")</f>
        <v>TheMVP</v>
      </c>
      <c r="B208" s="217" t="str">
        <f>IFERROR(__xludf.DUMMYFUNCTION("""COMPUTED_VALUE"""),"CC-MVP-77.02")</f>
        <v>CC-MVP-77.02</v>
      </c>
      <c r="C208" s="218" t="str">
        <f>IFERROR(__xludf.DUMMYFUNCTION("IFERROR(REGEXEXTRACT(B208, ""^[A-Z]+-[A-Z]+-"") &amp; TEXT(VALUE(REGEXEXTRACT(B208, ""-(\d+)\."")), ""00""), """")"),"CC-MVP-77")</f>
        <v>CC-MVP-77</v>
      </c>
      <c r="D208" s="219" t="str">
        <f>IFERROR(VLOOKUP(C208, Content_Creation!B:D, 2, FALSE), IFERROR(VLOOKUP(C208, Project_Management!B:D, 2, FALSE), ""))
&amp; " - "
&amp; IFERROR(VLOOKUP(C208, Content_Creation!B:E, 4, FALSE), IFERROR(VLOOKUP(C208, Project_Management!B:E, 4, FALSE), ""))</f>
        <v>Nvidia L40s - YT Video</v>
      </c>
      <c r="E208" s="220" t="str">
        <f>IFERROR(
    VLOOKUP(B207:B1001, Content_Creation!B:D, 3, FALSE),
    IFERROR(VLOOKUP(B207:B1001, Project_Management!B:D, 3, FALSE),"")
  )</f>
        <v>Shoot</v>
      </c>
      <c r="F208" s="221" t="str">
        <f>IFERROR(VLOOKUP(B208, Content_Creation!B:F, 5, FALSE), IFERROR(VLOOKUP(B208, Project_Management!B:F, 5, FALSE), ""))</f>
        <v>Akhil</v>
      </c>
      <c r="G208" s="222" t="s">
        <v>26</v>
      </c>
      <c r="H208" s="223">
        <f>IFERROR(VLOOKUP(B208, Content_Creation!B:H, 7, FALSE), IFERROR(VLOOKUP(B208, Project_Management!B:H, 7, FALSE), ""))</f>
        <v>45233</v>
      </c>
      <c r="I208" s="224">
        <v>0.020833333333333332</v>
      </c>
      <c r="J208" s="223">
        <f>IFERROR(VLOOKUP(C208, Content_Creation!B:H, 7, FALSE), IFERROR(VLOOKUP(C208, Project_Management!B:H, 7, FALSE), ""))</f>
        <v>45241</v>
      </c>
      <c r="K208" s="217"/>
      <c r="L208" s="225" t="str">
        <f>IFERROR(VLOOKUP(B208, Data_Validation!X:Y, 2, FALSE), "")</f>
        <v>Done</v>
      </c>
      <c r="M208" s="226" t="str">
        <f t="shared" si="1"/>
        <v>TheMVP | Nvidia L40s - YT Video | Shoot</v>
      </c>
      <c r="N208" s="226"/>
      <c r="O208" s="226"/>
    </row>
    <row r="209" ht="24.0" customHeight="1">
      <c r="A209" s="235" t="str">
        <f>IFERROR(__xludf.DUMMYFUNCTION("ARRAYFORMULA(IFERROR(VLOOKUP(REGEXEXTRACT(B209, ""-(\w+)-""), {Data_Validation!$F$16:$F$29, Data_Validation!$E$16:$E$29}, 2, FALSE), """"))
"),"Colorful Tech")</f>
        <v>Colorful Tech</v>
      </c>
      <c r="B209" s="236" t="str">
        <f>IFERROR(__xludf.DUMMYFUNCTION("""COMPUTED_VALUE"""),"CC-CTH-14.02")</f>
        <v>CC-CTH-14.02</v>
      </c>
      <c r="C209" s="258" t="str">
        <f>IFERROR(__xludf.DUMMYFUNCTION("IFERROR(REGEXEXTRACT(B209, ""^[A-Z]+-[A-Z]+-"") &amp; TEXT(VALUE(REGEXEXTRACT(B209, ""-(\d+)\."")), ""00""), """")"),"CC-CTH-14")</f>
        <v>CC-CTH-14</v>
      </c>
      <c r="D209" s="219" t="str">
        <f>IFERROR(VLOOKUP(C209, Content_Creation!B:D, 2, FALSE), IFERROR(VLOOKUP(C209, Project_Management!B:D, 2, FALSE), ""))
&amp; " - "
&amp; IFERROR(VLOOKUP(C209, Content_Creation!B:E, 4, FALSE), IFERROR(VLOOKUP(C209, Project_Management!B:E, 4, FALSE), ""))</f>
        <v>RTX 4090 Vulcan - Build Reel - Shorts</v>
      </c>
      <c r="E209" s="245" t="str">
        <f>IFERROR(
    VLOOKUP(B208:B1001, Content_Creation!B:D, 3, FALSE),
    IFERROR(VLOOKUP(B208:B1001, Project_Management!B:D, 3, FALSE),"")
  )</f>
        <v>Shoot</v>
      </c>
      <c r="F209" s="238" t="str">
        <f>IFERROR(VLOOKUP(B209, Content_Creation!B:F, 5, FALSE), IFERROR(VLOOKUP(B209, Project_Management!B:F, 5, FALSE), ""))</f>
        <v>Akhil</v>
      </c>
      <c r="G209" s="238" t="s">
        <v>26</v>
      </c>
      <c r="H209" s="239">
        <f>IFERROR(VLOOKUP(B209, Content_Creation!B:H, 7, FALSE), IFERROR(VLOOKUP(B209, Project_Management!B:H, 7, FALSE), ""))</f>
        <v>45233</v>
      </c>
      <c r="I209" s="240">
        <v>0.125</v>
      </c>
      <c r="J209" s="223">
        <f>IFERROR(VLOOKUP(C209, Content_Creation!B:H, 7, FALSE), IFERROR(VLOOKUP(C209, Project_Management!B:H, 7, FALSE), ""))</f>
        <v>45238</v>
      </c>
      <c r="K209" s="236"/>
      <c r="L209" s="241" t="str">
        <f>IFERROR(VLOOKUP(B209, Data_Validation!X:Y, 2, FALSE), "")</f>
        <v>Done</v>
      </c>
      <c r="M209" s="226" t="str">
        <f t="shared" si="1"/>
        <v>Colorful Tech | RTX 4090 Vulcan - Build Reel - Shorts | Shoot</v>
      </c>
      <c r="N209" s="242"/>
      <c r="O209" s="242"/>
    </row>
    <row r="210" ht="24.0" customHeight="1">
      <c r="A210" s="216" t="str">
        <f>IFERROR(__xludf.DUMMYFUNCTION("ARRAYFORMULA(IFERROR(VLOOKUP(REGEXEXTRACT(B210, ""-(\w+)-""), {Data_Validation!$F$16:$F$29, Data_Validation!$E$16:$E$29}, 2, FALSE), """"))
"),"Colorful Tech")</f>
        <v>Colorful Tech</v>
      </c>
      <c r="B210" s="217" t="str">
        <f>IFERROR(__xludf.DUMMYFUNCTION("""COMPUTED_VALUE"""),"CC-CTH-14.05")</f>
        <v>CC-CTH-14.05</v>
      </c>
      <c r="C210" s="218" t="str">
        <f>IFERROR(__xludf.DUMMYFUNCTION("IFERROR(REGEXEXTRACT(B210, ""^[A-Z]+-[A-Z]+-"") &amp; TEXT(VALUE(REGEXEXTRACT(B210, ""-(\d+)\."")), ""00""), """")"),"CC-CTH-14")</f>
        <v>CC-CTH-14</v>
      </c>
      <c r="D210" s="219" t="str">
        <f>IFERROR(VLOOKUP(C210, Content_Creation!B:D, 2, FALSE), IFERROR(VLOOKUP(C210, Project_Management!B:D, 2, FALSE), ""))
&amp; " - "
&amp; IFERROR(VLOOKUP(C210, Content_Creation!B:E, 4, FALSE), IFERROR(VLOOKUP(C210, Project_Management!B:E, 4, FALSE), ""))</f>
        <v>RTX 4090 Vulcan - Build Reel - Shorts</v>
      </c>
      <c r="E210" s="220" t="str">
        <f>IFERROR(
    VLOOKUP(B209:B1001, Content_Creation!B:D, 3, FALSE),
    IFERROR(VLOOKUP(B209:B1001, Project_Management!B:D, 3, FALSE),"")
  )</f>
        <v>Edit</v>
      </c>
      <c r="F210" s="221" t="str">
        <f>IFERROR(VLOOKUP(B210, Content_Creation!B:F, 5, FALSE), IFERROR(VLOOKUP(B210, Project_Management!B:F, 5, FALSE), ""))</f>
        <v>Akhil</v>
      </c>
      <c r="G210" s="222" t="s">
        <v>26</v>
      </c>
      <c r="H210" s="223">
        <f>IFERROR(VLOOKUP(B210, Content_Creation!B:H, 7, FALSE), IFERROR(VLOOKUP(B210, Project_Management!B:H, 7, FALSE), ""))</f>
        <v>45233</v>
      </c>
      <c r="I210" s="224">
        <v>0.08333333333333333</v>
      </c>
      <c r="J210" s="223">
        <f>IFERROR(VLOOKUP(C210, Content_Creation!B:H, 7, FALSE), IFERROR(VLOOKUP(C210, Project_Management!B:H, 7, FALSE), ""))</f>
        <v>45238</v>
      </c>
      <c r="K210" s="217"/>
      <c r="L210" s="225" t="str">
        <f>IFERROR(VLOOKUP(B210, Data_Validation!X:Y, 2, FALSE), "")</f>
        <v>Done</v>
      </c>
      <c r="M210" s="226" t="str">
        <f t="shared" si="1"/>
        <v>Colorful Tech | RTX 4090 Vulcan - Build Reel - Shorts | Edit</v>
      </c>
      <c r="N210" s="226"/>
      <c r="O210" s="226"/>
    </row>
    <row r="211" ht="24.0" customHeight="1">
      <c r="A211" s="216" t="str">
        <f>IFERROR(__xludf.DUMMYFUNCTION("ARRAYFORMULA(IFERROR(VLOOKUP(REGEXEXTRACT(B211, ""-(\w+)-""), {Data_Validation!$F$16:$F$29, Data_Validation!$E$16:$E$29}, 2, FALSE), """"))
"),"Colorful Tech")</f>
        <v>Colorful Tech</v>
      </c>
      <c r="B211" s="217" t="str">
        <f>IFERROR(__xludf.DUMMYFUNCTION("""COMPUTED_VALUE"""),"CC-CTH-14.06")</f>
        <v>CC-CTH-14.06</v>
      </c>
      <c r="C211" s="218" t="str">
        <f>IFERROR(__xludf.DUMMYFUNCTION("IFERROR(REGEXEXTRACT(B211, ""^[A-Z]+-[A-Z]+-"") &amp; TEXT(VALUE(REGEXEXTRACT(B211, ""-(\d+)\."")), ""00""), """")"),"CC-CTH-14")</f>
        <v>CC-CTH-14</v>
      </c>
      <c r="D211" s="219" t="str">
        <f>IFERROR(VLOOKUP(C211, Content_Creation!B:D, 2, FALSE), IFERROR(VLOOKUP(C211, Project_Management!B:D, 2, FALSE), ""))
&amp; " - "
&amp; IFERROR(VLOOKUP(C211, Content_Creation!B:E, 4, FALSE), IFERROR(VLOOKUP(C211, Project_Management!B:E, 4, FALSE), ""))</f>
        <v>RTX 4090 Vulcan - Build Reel - Shorts</v>
      </c>
      <c r="E211" s="220" t="str">
        <f>IFERROR(
    VLOOKUP(B210:B1001, Content_Creation!B:D, 3, FALSE),
    IFERROR(VLOOKUP(B210:B1001, Project_Management!B:D, 3, FALSE),"")
  )</f>
        <v>Benchmarks</v>
      </c>
      <c r="F211" s="221" t="str">
        <f>IFERROR(VLOOKUP(B211, Content_Creation!B:F, 5, FALSE), IFERROR(VLOOKUP(B211, Project_Management!B:F, 5, FALSE), ""))</f>
        <v>Akhil</v>
      </c>
      <c r="G211" s="222" t="s">
        <v>26</v>
      </c>
      <c r="H211" s="223">
        <f>IFERROR(VLOOKUP(B211, Content_Creation!B:H, 7, FALSE), IFERROR(VLOOKUP(B211, Project_Management!B:H, 7, FALSE), ""))</f>
        <v>45233</v>
      </c>
      <c r="I211" s="224">
        <v>0.0</v>
      </c>
      <c r="J211" s="223">
        <f>IFERROR(VLOOKUP(C211, Content_Creation!B:H, 7, FALSE), IFERROR(VLOOKUP(C211, Project_Management!B:H, 7, FALSE), ""))</f>
        <v>45238</v>
      </c>
      <c r="K211" s="217"/>
      <c r="L211" s="225" t="str">
        <f>IFERROR(VLOOKUP(B211, Data_Validation!X:Y, 2, FALSE), "")</f>
        <v>Done</v>
      </c>
      <c r="M211" s="226" t="str">
        <f t="shared" si="1"/>
        <v>Colorful Tech | RTX 4090 Vulcan - Build Reel - Shorts | Benchmarks</v>
      </c>
      <c r="N211" s="226"/>
      <c r="O211" s="226"/>
    </row>
    <row r="212" ht="24.0" customHeight="1">
      <c r="A212" s="216" t="str">
        <f>IFERROR(__xludf.DUMMYFUNCTION("ARRAYFORMULA(IFERROR(VLOOKUP(REGEXEXTRACT(B212, ""-(\w+)-""), {Data_Validation!$F$16:$F$29, Data_Validation!$E$16:$E$29}, 2, FALSE), """"))
"),"Inno3D")</f>
        <v>Inno3D</v>
      </c>
      <c r="B212" s="217" t="str">
        <f>IFERROR(__xludf.DUMMYFUNCTION("""COMPUTED_VALUE"""),"CC-INN-20.05")</f>
        <v>CC-INN-20.05</v>
      </c>
      <c r="C212" s="218" t="str">
        <f>IFERROR(__xludf.DUMMYFUNCTION("IFERROR(REGEXEXTRACT(B212, ""^[A-Z]+-[A-Z]+-"") &amp; TEXT(VALUE(REGEXEXTRACT(B212, ""-(\d+)\."")), ""00""), """")"),"CC-INN-20")</f>
        <v>CC-INN-20</v>
      </c>
      <c r="D212" s="219" t="str">
        <f>IFERROR(VLOOKUP(C212, Content_Creation!B:D, 2, FALSE), IFERROR(VLOOKUP(C212, Project_Management!B:D, 2, FALSE), ""))
&amp; " - "
&amp; IFERROR(VLOOKUP(C212, Content_Creation!B:E, 4, FALSE), IFERROR(VLOOKUP(C212, Project_Management!B:E, 4, FALSE), ""))</f>
        <v>Build Reel - Shorts</v>
      </c>
      <c r="E212" s="220" t="str">
        <f>IFERROR(
    VLOOKUP(B211:B1001, Content_Creation!B:D, 3, FALSE),
    IFERROR(VLOOKUP(B211:B1001, Project_Management!B:D, 3, FALSE),"")
  )</f>
        <v>Edit</v>
      </c>
      <c r="F212" s="221" t="str">
        <f>IFERROR(VLOOKUP(B212, Content_Creation!B:F, 5, FALSE), IFERROR(VLOOKUP(B212, Project_Management!B:F, 5, FALSE), ""))</f>
        <v/>
      </c>
      <c r="G212" s="222" t="s">
        <v>26</v>
      </c>
      <c r="H212" s="223">
        <f>IFERROR(VLOOKUP(B212, Content_Creation!B:H, 7, FALSE), IFERROR(VLOOKUP(B212, Project_Management!B:H, 7, FALSE), ""))</f>
        <v>45233</v>
      </c>
      <c r="I212" s="224">
        <v>0.0625</v>
      </c>
      <c r="J212" s="223">
        <f>IFERROR(VLOOKUP(C212, Content_Creation!B:H, 7, FALSE), IFERROR(VLOOKUP(C212, Project_Management!B:H, 7, FALSE), ""))</f>
        <v>45233</v>
      </c>
      <c r="K212" s="217"/>
      <c r="L212" s="225" t="str">
        <f>IFERROR(VLOOKUP(B212, Data_Validation!X:Y, 2, FALSE), "")</f>
        <v>Done</v>
      </c>
      <c r="M212" s="226" t="str">
        <f t="shared" si="1"/>
        <v>Inno3D | Build Reel - Shorts | Edit</v>
      </c>
      <c r="N212" s="226"/>
      <c r="O212" s="226"/>
    </row>
    <row r="213" ht="24.0" customHeight="1">
      <c r="A213" s="216" t="str">
        <f>IFERROR(__xludf.DUMMYFUNCTION("ARRAYFORMULA(IFERROR(VLOOKUP(REGEXEXTRACT(B213, ""-(\w+)-""), {Data_Validation!$F$16:$F$29, Data_Validation!$E$16:$E$29}, 2, FALSE), """"))
"),"Inno3D")</f>
        <v>Inno3D</v>
      </c>
      <c r="B213" s="217" t="str">
        <f>IFERROR(__xludf.DUMMYFUNCTION("""COMPUTED_VALUE"""),"CC-INN-20.07")</f>
        <v>CC-INN-20.07</v>
      </c>
      <c r="C213" s="218" t="str">
        <f>IFERROR(__xludf.DUMMYFUNCTION("IFERROR(REGEXEXTRACT(B213, ""^[A-Z]+-[A-Z]+-"") &amp; TEXT(VALUE(REGEXEXTRACT(B213, ""-(\d+)\."")), ""00""), """")"),"CC-INN-20")</f>
        <v>CC-INN-20</v>
      </c>
      <c r="D213" s="219" t="str">
        <f>IFERROR(VLOOKUP(C213, Content_Creation!B:D, 2, FALSE), IFERROR(VLOOKUP(C213, Project_Management!B:D, 2, FALSE), ""))
&amp; " - "
&amp; IFERROR(VLOOKUP(C213, Content_Creation!B:E, 4, FALSE), IFERROR(VLOOKUP(C213, Project_Management!B:E, 4, FALSE), ""))</f>
        <v>Build Reel - Shorts</v>
      </c>
      <c r="E213" s="220" t="str">
        <f>IFERROR(
    VLOOKUP(B212:B1001, Content_Creation!B:D, 3, FALSE),
    IFERROR(VLOOKUP(B212:B1001, Project_Management!B:D, 3, FALSE),"")
  )</f>
        <v>Upload</v>
      </c>
      <c r="F213" s="221" t="str">
        <f>IFERROR(VLOOKUP(B213, Content_Creation!B:F, 5, FALSE), IFERROR(VLOOKUP(B213, Project_Management!B:F, 5, FALSE), ""))</f>
        <v/>
      </c>
      <c r="G213" s="222" t="s">
        <v>26</v>
      </c>
      <c r="H213" s="223">
        <f>IFERROR(VLOOKUP(B213, Content_Creation!B:H, 7, FALSE), IFERROR(VLOOKUP(B213, Project_Management!B:H, 7, FALSE), ""))</f>
        <v>45233</v>
      </c>
      <c r="I213" s="224">
        <v>0.08333333333333333</v>
      </c>
      <c r="J213" s="223">
        <f>IFERROR(VLOOKUP(C213, Content_Creation!B:H, 7, FALSE), IFERROR(VLOOKUP(C213, Project_Management!B:H, 7, FALSE), ""))</f>
        <v>45233</v>
      </c>
      <c r="K213" s="217"/>
      <c r="L213" s="225" t="str">
        <f>IFERROR(VLOOKUP(B213, Data_Validation!X:Y, 2, FALSE), "")</f>
        <v>Done</v>
      </c>
      <c r="M213" s="226" t="str">
        <f t="shared" si="1"/>
        <v>Inno3D | Build Reel - Shorts | Upload</v>
      </c>
      <c r="N213" s="226"/>
      <c r="O213" s="226"/>
    </row>
    <row r="214" ht="24.0" customHeight="1">
      <c r="A214" s="261" t="str">
        <f>IFERROR(__xludf.DUMMYFUNCTION("ARRAYFORMULA(IFERROR(VLOOKUP(REGEXEXTRACT(B214, ""-(\w+)-""), {Data_Validation!$F$16:$F$29, Data_Validation!$E$16:$E$29}, 2, FALSE), """"))
"),"Emerson")</f>
        <v>Emerson</v>
      </c>
      <c r="B214" s="260" t="str">
        <f>IFERROR(__xludf.DUMMYFUNCTION("""COMPUTED_VALUE"""),"PM-EMR-10.01")</f>
        <v>PM-EMR-10.01</v>
      </c>
      <c r="C214" s="243" t="str">
        <f>IFERROR(__xludf.DUMMYFUNCTION("IFERROR(REGEXEXTRACT(B214, ""^[A-Z]+-[A-Z]+-"") &amp; TEXT(VALUE(REGEXEXTRACT(B214, ""-(\d+)\."")), ""00""), """")"),"PM-EMR-10")</f>
        <v>PM-EMR-10</v>
      </c>
      <c r="D214" s="219" t="str">
        <f>IFERROR(VLOOKUP(C214, Content_Creation!B:D, 2, FALSE), IFERROR(VLOOKUP(C214, Project_Management!B:D, 2, FALSE), ""))
&amp; " - "
&amp; IFERROR(VLOOKUP(C214, Content_Creation!B:E, 4, FALSE), IFERROR(VLOOKUP(C214, Project_Management!B:E, 4, FALSE), ""))</f>
        <v>Mission Possible - Video</v>
      </c>
      <c r="E214" s="262" t="str">
        <f>IFERROR(
    VLOOKUP(B213:B1001, Content_Creation!B:D, 3, FALSE),
    IFERROR(VLOOKUP(B213:B1001, Project_Management!B:D, 3, FALSE),"")
  )</f>
        <v>Video 1</v>
      </c>
      <c r="F214" s="244" t="str">
        <f>IFERROR(VLOOKUP(B214, Content_Creation!B:F, 5, FALSE), IFERROR(VLOOKUP(B214, Project_Management!B:F, 5, FALSE), ""))</f>
        <v>Nasser</v>
      </c>
      <c r="G214" s="244" t="s">
        <v>26</v>
      </c>
      <c r="H214" s="263">
        <f>IFERROR(VLOOKUP(B214, Content_Creation!B:H, 7, FALSE), IFERROR(VLOOKUP(B214, Project_Management!B:H, 7, FALSE), ""))</f>
        <v>45233.64624</v>
      </c>
      <c r="I214" s="224">
        <v>0.006944444444444444</v>
      </c>
      <c r="J214" s="223">
        <f>IFERROR(VLOOKUP(C214, Content_Creation!B:H, 7, FALSE), IFERROR(VLOOKUP(C214, Project_Management!B:H, 7, FALSE), ""))</f>
        <v>45238</v>
      </c>
      <c r="K214" s="260"/>
      <c r="L214" s="255" t="str">
        <f>IFERROR(VLOOKUP(B214, Data_Validation!X:Y, 2, FALSE), "")</f>
        <v>Done</v>
      </c>
      <c r="M214" s="226" t="str">
        <f t="shared" si="1"/>
        <v>Emerson | Mission Possible - Video | Video 1</v>
      </c>
      <c r="N214" s="226"/>
      <c r="O214" s="226"/>
    </row>
    <row r="215" ht="24.0" customHeight="1">
      <c r="A215" s="216" t="str">
        <f>IFERROR(__xludf.DUMMYFUNCTION("ARRAYFORMULA(IFERROR(VLOOKUP(REGEXEXTRACT(B215, ""-(\w+)-""), {Data_Validation!$F$16:$F$29, Data_Validation!$E$16:$E$29}, 2, FALSE), """"))
"),"TheMVP")</f>
        <v>TheMVP</v>
      </c>
      <c r="B215" s="217" t="str">
        <f>IFERROR(__xludf.DUMMYFUNCTION("""COMPUTED_VALUE"""),"CC-MVP-72.03")</f>
        <v>CC-MVP-72.03</v>
      </c>
      <c r="C215" s="218" t="str">
        <f>IFERROR(__xludf.DUMMYFUNCTION("IFERROR(REGEXEXTRACT(B215, ""^[A-Z]+-[A-Z]+-"") &amp; TEXT(VALUE(REGEXEXTRACT(B215, ""-(\d+)\."")), ""00""), """")"),"CC-MVP-72")</f>
        <v>CC-MVP-72</v>
      </c>
      <c r="D215" s="219" t="str">
        <f>IFERROR(VLOOKUP(C215, Content_Creation!B:D, 2, FALSE), IFERROR(VLOOKUP(C215, Project_Management!B:D, 2, FALSE), ""))
&amp; " - "
&amp; IFERROR(VLOOKUP(C215, Content_Creation!B:E, 4, FALSE), IFERROR(VLOOKUP(C215, Project_Management!B:E, 4, FALSE), ""))</f>
        <v>Build Photo 05102302 Suprim X - Insta</v>
      </c>
      <c r="E215" s="220" t="str">
        <f>IFERROR(
    VLOOKUP(B214:B1001, Content_Creation!B:D, 3, FALSE),
    IFERROR(VLOOKUP(B214:B1001, Project_Management!B:D, 3, FALSE),"")
  )</f>
        <v>Edit</v>
      </c>
      <c r="F215" s="221" t="str">
        <f>IFERROR(VLOOKUP(B215, Content_Creation!B:F, 5, FALSE), IFERROR(VLOOKUP(B215, Project_Management!B:F, 5, FALSE), ""))</f>
        <v>Akhil</v>
      </c>
      <c r="G215" s="222" t="s">
        <v>26</v>
      </c>
      <c r="H215" s="223">
        <f>IFERROR(VLOOKUP(B215, Content_Creation!B:H, 7, FALSE), IFERROR(VLOOKUP(B215, Project_Management!B:H, 7, FALSE), ""))</f>
        <v>45234</v>
      </c>
      <c r="I215" s="224">
        <v>0.0</v>
      </c>
      <c r="J215" s="223">
        <f>IFERROR(VLOOKUP(C215, Content_Creation!B:H, 7, FALSE), IFERROR(VLOOKUP(C215, Project_Management!B:H, 7, FALSE), ""))</f>
        <v>45238</v>
      </c>
      <c r="K215" s="217"/>
      <c r="L215" s="225" t="str">
        <f>IFERROR(VLOOKUP(B215, Data_Validation!X:Y, 2, FALSE), "")</f>
        <v>Done</v>
      </c>
      <c r="M215" s="226" t="str">
        <f t="shared" si="1"/>
        <v>TheMVP | Build Photo 05102302 Suprim X - Insta | Edit</v>
      </c>
      <c r="N215" s="226"/>
      <c r="O215" s="226"/>
    </row>
    <row r="216" ht="24.0" customHeight="1">
      <c r="A216" s="216" t="str">
        <f>IFERROR(__xludf.DUMMYFUNCTION("ARRAYFORMULA(IFERROR(VLOOKUP(REGEXEXTRACT(B216, ""-(\w+)-""), {Data_Validation!$F$16:$F$29, Data_Validation!$E$16:$E$29}, 2, FALSE), """"))
"),"TheMVP")</f>
        <v>TheMVP</v>
      </c>
      <c r="B216" s="217" t="str">
        <f>IFERROR(__xludf.DUMMYFUNCTION("""COMPUTED_VALUE"""),"CC-MVP-92.02")</f>
        <v>CC-MVP-92.02</v>
      </c>
      <c r="C216" s="218" t="str">
        <f>IFERROR(__xludf.DUMMYFUNCTION("IFERROR(REGEXEXTRACT(B216, ""^[A-Z]+-[A-Z]+-"") &amp; TEXT(VALUE(REGEXEXTRACT(B216, ""-(\d+)\."")), ""00""), """")"),"CC-MVP-92")</f>
        <v>CC-MVP-92</v>
      </c>
      <c r="D216" s="219" t="str">
        <f>IFERROR(VLOOKUP(C216, Content_Creation!B:D, 2, FALSE), IFERROR(VLOOKUP(C216, Project_Management!B:D, 2, FALSE), ""))
&amp; " - "
&amp; IFERROR(VLOOKUP(C216, Content_Creation!B:E, 4, FALSE), IFERROR(VLOOKUP(C216, Project_Management!B:E, 4, FALSE), ""))</f>
        <v>Build Photo - H9 White + iGame - Insta</v>
      </c>
      <c r="E216" s="220" t="str">
        <f>IFERROR(
    VLOOKUP(B215:B1001, Content_Creation!B:D, 3, FALSE),
    IFERROR(VLOOKUP(B215:B1001, Project_Management!B:D, 3, FALSE),"")
  )</f>
        <v>Shoot</v>
      </c>
      <c r="F216" s="221" t="str">
        <f>IFERROR(VLOOKUP(B216, Content_Creation!B:F, 5, FALSE), IFERROR(VLOOKUP(B216, Project_Management!B:F, 5, FALSE), ""))</f>
        <v>Akhil</v>
      </c>
      <c r="G216" s="222" t="s">
        <v>26</v>
      </c>
      <c r="H216" s="223">
        <f>IFERROR(VLOOKUP(B216, Content_Creation!B:H, 7, FALSE), IFERROR(VLOOKUP(B216, Project_Management!B:H, 7, FALSE), ""))</f>
        <v>45234</v>
      </c>
      <c r="I216" s="224">
        <v>0.06944444444444445</v>
      </c>
      <c r="J216" s="223">
        <f>IFERROR(VLOOKUP(C216, Content_Creation!B:H, 7, FALSE), IFERROR(VLOOKUP(C216, Project_Management!B:H, 7, FALSE), ""))</f>
        <v>45239</v>
      </c>
      <c r="K216" s="217"/>
      <c r="L216" s="225" t="str">
        <f>IFERROR(VLOOKUP(B216, Data_Validation!X:Y, 2, FALSE), "")</f>
        <v>Done</v>
      </c>
      <c r="M216" s="226" t="str">
        <f t="shared" si="1"/>
        <v>TheMVP | Build Photo - H9 White + iGame - Insta | Shoot</v>
      </c>
      <c r="N216" s="226"/>
      <c r="O216" s="226"/>
    </row>
    <row r="217" ht="24.0" customHeight="1">
      <c r="A217" s="216" t="str">
        <f>IFERROR(__xludf.DUMMYFUNCTION("ARRAYFORMULA(IFERROR(VLOOKUP(REGEXEXTRACT(B217, ""-(\w+)-""), {Data_Validation!$F$16:$F$29, Data_Validation!$E$16:$E$29}, 2, FALSE), """"))
"),"TheMVP")</f>
        <v>TheMVP</v>
      </c>
      <c r="B217" s="217" t="str">
        <f>IFERROR(__xludf.DUMMYFUNCTION("""COMPUTED_VALUE"""),"CC-MVP-91.02")</f>
        <v>CC-MVP-91.02</v>
      </c>
      <c r="C217" s="218" t="str">
        <f>IFERROR(__xludf.DUMMYFUNCTION("IFERROR(REGEXEXTRACT(B217, ""^[A-Z]+-[A-Z]+-"") &amp; TEXT(VALUE(REGEXEXTRACT(B217, ""-(\d+)\."")), ""00""), """")"),"CC-MVP-91")</f>
        <v>CC-MVP-91</v>
      </c>
      <c r="D217" s="219" t="str">
        <f>IFERROR(VLOOKUP(C217, Content_Creation!B:D, 2, FALSE), IFERROR(VLOOKUP(C217, Project_Management!B:D, 2, FALSE), ""))
&amp; " - "
&amp; IFERROR(VLOOKUP(C217, Content_Creation!B:E, 4, FALSE), IFERROR(VLOOKUP(C217, Project_Management!B:E, 4, FALSE), ""))</f>
        <v>Build Photo - 2x 4090 - Insta</v>
      </c>
      <c r="E217" s="220" t="str">
        <f>IFERROR(
    VLOOKUP(B216:B1001, Content_Creation!B:D, 3, FALSE),
    IFERROR(VLOOKUP(B216:B1001, Project_Management!B:D, 3, FALSE),"")
  )</f>
        <v>Shoot</v>
      </c>
      <c r="F217" s="221" t="str">
        <f>IFERROR(VLOOKUP(B217, Content_Creation!B:F, 5, FALSE), IFERROR(VLOOKUP(B217, Project_Management!B:F, 5, FALSE), ""))</f>
        <v>Akhil</v>
      </c>
      <c r="G217" s="222" t="s">
        <v>26</v>
      </c>
      <c r="H217" s="223">
        <f>IFERROR(VLOOKUP(B217, Content_Creation!B:H, 7, FALSE), IFERROR(VLOOKUP(B217, Project_Management!B:H, 7, FALSE), ""))</f>
        <v>45234</v>
      </c>
      <c r="I217" s="224">
        <v>0.006944444444444444</v>
      </c>
      <c r="J217" s="223">
        <f>IFERROR(VLOOKUP(C217, Content_Creation!B:H, 7, FALSE), IFERROR(VLOOKUP(C217, Project_Management!B:H, 7, FALSE), ""))</f>
        <v>45244</v>
      </c>
      <c r="K217" s="217"/>
      <c r="L217" s="225" t="str">
        <f>IFERROR(VLOOKUP(B217, Data_Validation!X:Y, 2, FALSE), "")</f>
        <v>Done</v>
      </c>
      <c r="M217" s="226" t="str">
        <f t="shared" si="1"/>
        <v>TheMVP | Build Photo - 2x 4090 - Insta | Shoot</v>
      </c>
      <c r="N217" s="226"/>
      <c r="O217" s="226"/>
    </row>
    <row r="218" ht="24.0" customHeight="1">
      <c r="A218" s="216" t="str">
        <f>IFERROR(__xludf.DUMMYFUNCTION("ARRAYFORMULA(IFERROR(VLOOKUP(REGEXEXTRACT(B218, ""-(\w+)-""), {Data_Validation!$F$16:$F$29, Data_Validation!$E$16:$E$29}, 2, FALSE), """"))
"),"Inno3D")</f>
        <v>Inno3D</v>
      </c>
      <c r="B218" s="217" t="str">
        <f>IFERROR(__xludf.DUMMYFUNCTION("""COMPUTED_VALUE"""),"CC-INN-21.03")</f>
        <v>CC-INN-21.03</v>
      </c>
      <c r="C218" s="218" t="str">
        <f>IFERROR(__xludf.DUMMYFUNCTION("IFERROR(REGEXEXTRACT(B218, ""^[A-Z]+-[A-Z]+-"") &amp; TEXT(VALUE(REGEXEXTRACT(B218, ""-(\d+)\."")), ""00""), """")"),"CC-INN-21")</f>
        <v>CC-INN-21</v>
      </c>
      <c r="D218" s="219" t="str">
        <f>IFERROR(VLOOKUP(C218, Content_Creation!B:D, 2, FALSE), IFERROR(VLOOKUP(C218, Project_Management!B:D, 2, FALSE), ""))
&amp; " - "
&amp; IFERROR(VLOOKUP(C218, Content_Creation!B:E, 4, FALSE), IFERROR(VLOOKUP(C218, Project_Management!B:E, 4, FALSE), ""))</f>
        <v>Call of duty 3  - Insta</v>
      </c>
      <c r="E218" s="220" t="str">
        <f>IFERROR(
    VLOOKUP(B217:B1001, Content_Creation!B:D, 3, FALSE),
    IFERROR(VLOOKUP(B217:B1001, Project_Management!B:D, 3, FALSE),"")
  )</f>
        <v>Edit</v>
      </c>
      <c r="F218" s="221" t="str">
        <f>IFERROR(VLOOKUP(B218, Content_Creation!B:F, 5, FALSE), IFERROR(VLOOKUP(B218, Project_Management!B:F, 5, FALSE), ""))</f>
        <v>Naveen</v>
      </c>
      <c r="G218" s="222" t="s">
        <v>26</v>
      </c>
      <c r="H218" s="223">
        <f>IFERROR(VLOOKUP(B218, Content_Creation!B:H, 7, FALSE), IFERROR(VLOOKUP(B218, Project_Management!B:H, 7, FALSE), ""))</f>
        <v>45234</v>
      </c>
      <c r="I218" s="224">
        <v>0.0</v>
      </c>
      <c r="J218" s="223">
        <f>IFERROR(VLOOKUP(C218, Content_Creation!B:H, 7, FALSE), IFERROR(VLOOKUP(C218, Project_Management!B:H, 7, FALSE), ""))</f>
        <v>45234</v>
      </c>
      <c r="K218" s="217"/>
      <c r="L218" s="225" t="str">
        <f>IFERROR(VLOOKUP(B218, Data_Validation!X:Y, 2, FALSE), "")</f>
        <v>Done</v>
      </c>
      <c r="M218" s="226" t="str">
        <f t="shared" si="1"/>
        <v>Inno3D | Call of duty 3  - Insta | Edit</v>
      </c>
      <c r="N218" s="226"/>
      <c r="O218" s="226"/>
    </row>
    <row r="219" ht="24.0" customHeight="1">
      <c r="A219" s="216" t="str">
        <f>IFERROR(__xludf.DUMMYFUNCTION("ARRAYFORMULA(IFERROR(VLOOKUP(REGEXEXTRACT(B219, ""-(\w+)-""), {Data_Validation!$F$16:$F$29, Data_Validation!$E$16:$E$29}, 2, FALSE), """"))
"),"Inno3D")</f>
        <v>Inno3D</v>
      </c>
      <c r="B219" s="217" t="str">
        <f>IFERROR(__xludf.DUMMYFUNCTION("""COMPUTED_VALUE"""),"CC-INN-21.04")</f>
        <v>CC-INN-21.04</v>
      </c>
      <c r="C219" s="218" t="str">
        <f>IFERROR(__xludf.DUMMYFUNCTION("IFERROR(REGEXEXTRACT(B219, ""^[A-Z]+-[A-Z]+-"") &amp; TEXT(VALUE(REGEXEXTRACT(B219, ""-(\d+)\."")), ""00""), """")"),"CC-INN-21")</f>
        <v>CC-INN-21</v>
      </c>
      <c r="D219" s="219" t="str">
        <f>IFERROR(VLOOKUP(C219, Content_Creation!B:D, 2, FALSE), IFERROR(VLOOKUP(C219, Project_Management!B:D, 2, FALSE), ""))
&amp; " - "
&amp; IFERROR(VLOOKUP(C219, Content_Creation!B:E, 4, FALSE), IFERROR(VLOOKUP(C219, Project_Management!B:E, 4, FALSE), ""))</f>
        <v>Call of duty 3  - Insta</v>
      </c>
      <c r="E219" s="220" t="str">
        <f>IFERROR(
    VLOOKUP(B218:B1001, Content_Creation!B:D, 3, FALSE),
    IFERROR(VLOOKUP(B218:B1001, Project_Management!B:D, 3, FALSE),"")
  )</f>
        <v>Upload</v>
      </c>
      <c r="F219" s="221" t="str">
        <f>IFERROR(VLOOKUP(B219, Content_Creation!B:F, 5, FALSE), IFERROR(VLOOKUP(B219, Project_Management!B:F, 5, FALSE), ""))</f>
        <v>Naveen</v>
      </c>
      <c r="G219" s="222" t="s">
        <v>26</v>
      </c>
      <c r="H219" s="223">
        <f>IFERROR(VLOOKUP(B219, Content_Creation!B:H, 7, FALSE), IFERROR(VLOOKUP(B219, Project_Management!B:H, 7, FALSE), ""))</f>
        <v>45234</v>
      </c>
      <c r="I219" s="224">
        <v>0.0</v>
      </c>
      <c r="J219" s="223">
        <f>IFERROR(VLOOKUP(C219, Content_Creation!B:H, 7, FALSE), IFERROR(VLOOKUP(C219, Project_Management!B:H, 7, FALSE), ""))</f>
        <v>45234</v>
      </c>
      <c r="K219" s="217"/>
      <c r="L219" s="225" t="str">
        <f>IFERROR(VLOOKUP(B219, Data_Validation!X:Y, 2, FALSE), "")</f>
        <v>Done</v>
      </c>
      <c r="M219" s="226" t="str">
        <f t="shared" si="1"/>
        <v>Inno3D | Call of duty 3  - Insta | Upload</v>
      </c>
      <c r="N219" s="226"/>
      <c r="O219" s="226"/>
    </row>
    <row r="220" ht="24.0" customHeight="1">
      <c r="A220" s="216" t="str">
        <f>IFERROR(__xludf.DUMMYFUNCTION("ARRAYFORMULA(IFERROR(VLOOKUP(REGEXEXTRACT(B220, ""-(\w+)-""), {Data_Validation!$F$16:$F$29, Data_Validation!$E$16:$E$29}, 2, FALSE), """"))
"),"TheMVP")</f>
        <v>TheMVP</v>
      </c>
      <c r="B220" s="217" t="str">
        <f>IFERROR(__xludf.DUMMYFUNCTION("""COMPUTED_VALUE"""),"PM-MVP-03.03")</f>
        <v>PM-MVP-03.03</v>
      </c>
      <c r="C220" s="218" t="str">
        <f>IFERROR(__xludf.DUMMYFUNCTION("IFERROR(REGEXEXTRACT(B220, ""^[A-Z]+-[A-Z]+-"") &amp; TEXT(VALUE(REGEXEXTRACT(B220, ""-(\d+)\."")), ""00""), """")"),"PM-MVP-03")</f>
        <v>PM-MVP-03</v>
      </c>
      <c r="D220" s="219" t="str">
        <f>IFERROR(VLOOKUP(C220, Content_Creation!B:D, 2, FALSE), IFERROR(VLOOKUP(C220, Project_Management!B:D, 2, FALSE), ""))
&amp; " - "
&amp; IFERROR(VLOOKUP(C220, Content_Creation!B:E, 4, FALSE), IFERROR(VLOOKUP(C220, Project_Management!B:E, 4, FALSE), ""))</f>
        <v>Nov-AdHoc - Misc</v>
      </c>
      <c r="E220" s="220" t="str">
        <f>IFERROR(
    VLOOKUP(B219:B1001, Content_Creation!B:D, 3, FALSE),
    IFERROR(VLOOKUP(B219:B1001, Project_Management!B:D, 3, FALSE),"")
  )</f>
        <v>Robin Wallpaper</v>
      </c>
      <c r="F220" s="221" t="str">
        <f>IFERROR(VLOOKUP(B220, Content_Creation!B:F, 5, FALSE), IFERROR(VLOOKUP(B220, Project_Management!B:F, 5, FALSE), ""))</f>
        <v>Talha</v>
      </c>
      <c r="G220" s="222" t="s">
        <v>26</v>
      </c>
      <c r="H220" s="223">
        <f>IFERROR(VLOOKUP(B220, Content_Creation!B:H, 7, FALSE), IFERROR(VLOOKUP(B220, Project_Management!B:H, 7, FALSE), ""))</f>
        <v>45234</v>
      </c>
      <c r="I220" s="224">
        <v>0.0</v>
      </c>
      <c r="J220" s="223">
        <f>IFERROR(VLOOKUP(C220, Content_Creation!B:H, 7, FALSE), IFERROR(VLOOKUP(C220, Project_Management!B:H, 7, FALSE), ""))</f>
        <v>45240</v>
      </c>
      <c r="K220" s="217"/>
      <c r="L220" s="225" t="str">
        <f>IFERROR(VLOOKUP(B220, Data_Validation!X:Y, 2, FALSE), "")</f>
        <v>Done</v>
      </c>
      <c r="M220" s="226" t="str">
        <f t="shared" si="1"/>
        <v>TheMVP | Nov-AdHoc - Misc | Robin Wallpaper</v>
      </c>
      <c r="N220" s="226"/>
      <c r="O220" s="226"/>
    </row>
    <row r="221" ht="24.0" customHeight="1">
      <c r="A221" s="216" t="str">
        <f>IFERROR(__xludf.DUMMYFUNCTION("ARRAYFORMULA(IFERROR(VLOOKUP(REGEXEXTRACT(B221, ""-(\w+)-""), {Data_Validation!$F$16:$F$29, Data_Validation!$E$16:$E$29}, 2, FALSE), """"))
"),"TheMVP")</f>
        <v>TheMVP</v>
      </c>
      <c r="B221" s="217" t="str">
        <f>IFERROR(__xludf.DUMMYFUNCTION("""COMPUTED_VALUE"""),"CC-MVP-98.02")</f>
        <v>CC-MVP-98.02</v>
      </c>
      <c r="C221" s="218" t="str">
        <f>IFERROR(__xludf.DUMMYFUNCTION("IFERROR(REGEXEXTRACT(B221, ""^[A-Z]+-[A-Z]+-"") &amp; TEXT(VALUE(REGEXEXTRACT(B221, ""-(\d+)\."")), ""00""), """")"),"CC-MVP-98")</f>
        <v>CC-MVP-98</v>
      </c>
      <c r="D221" s="219" t="str">
        <f>IFERROR(VLOOKUP(C221, Content_Creation!B:D, 2, FALSE), IFERROR(VLOOKUP(C221, Project_Management!B:D, 2, FALSE), ""))
&amp; " - "
&amp; IFERROR(VLOOKUP(C221, Content_Creation!B:E, 4, FALSE), IFERROR(VLOOKUP(C221, Project_Management!B:E, 4, FALSE), ""))</f>
        <v>PC Landscape - Linkedin</v>
      </c>
      <c r="E221" s="220" t="str">
        <f>IFERROR(
    VLOOKUP(B220:B1001, Content_Creation!B:D, 3, FALSE),
    IFERROR(VLOOKUP(B220:B1001, Project_Management!B:D, 3, FALSE),"")
  )</f>
        <v>Edit</v>
      </c>
      <c r="F221" s="221" t="str">
        <f>IFERROR(VLOOKUP(B221, Content_Creation!B:F, 5, FALSE), IFERROR(VLOOKUP(B221, Project_Management!B:F, 5, FALSE), ""))</f>
        <v>Nasser</v>
      </c>
      <c r="G221" s="222" t="s">
        <v>26</v>
      </c>
      <c r="H221" s="223">
        <f>IFERROR(VLOOKUP(B221, Content_Creation!B:H, 7, FALSE), IFERROR(VLOOKUP(B221, Project_Management!B:H, 7, FALSE), ""))</f>
        <v>45235</v>
      </c>
      <c r="I221" s="224">
        <v>0.0</v>
      </c>
      <c r="J221" s="223">
        <f>IFERROR(VLOOKUP(C221, Content_Creation!B:H, 7, FALSE), IFERROR(VLOOKUP(C221, Project_Management!B:H, 7, FALSE), ""))</f>
        <v>45235</v>
      </c>
      <c r="K221" s="217"/>
      <c r="L221" s="225" t="str">
        <f>IFERROR(VLOOKUP(B221, Data_Validation!X:Y, 2, FALSE), "")</f>
        <v>Done</v>
      </c>
      <c r="M221" s="226" t="str">
        <f t="shared" si="1"/>
        <v>TheMVP | PC Landscape - Linkedin | Edit</v>
      </c>
      <c r="N221" s="226"/>
      <c r="O221" s="226"/>
    </row>
    <row r="222" ht="24.0" customHeight="1">
      <c r="A222" s="216" t="str">
        <f>IFERROR(__xludf.DUMMYFUNCTION("ARRAYFORMULA(IFERROR(VLOOKUP(REGEXEXTRACT(B222, ""-(\w+)-""), {Data_Validation!$F$16:$F$29, Data_Validation!$E$16:$E$29}, 2, FALSE), """"))
"),"TheMVP")</f>
        <v>TheMVP</v>
      </c>
      <c r="B222" s="217" t="str">
        <f>IFERROR(__xludf.DUMMYFUNCTION("""COMPUTED_VALUE"""),"CC-MVP-98.04")</f>
        <v>CC-MVP-98.04</v>
      </c>
      <c r="C222" s="218" t="str">
        <f>IFERROR(__xludf.DUMMYFUNCTION("IFERROR(REGEXEXTRACT(B222, ""^[A-Z]+-[A-Z]+-"") &amp; TEXT(VALUE(REGEXEXTRACT(B222, ""-(\d+)\."")), ""00""), """")"),"CC-MVP-98")</f>
        <v>CC-MVP-98</v>
      </c>
      <c r="D222" s="219" t="str">
        <f>IFERROR(VLOOKUP(C222, Content_Creation!B:D, 2, FALSE), IFERROR(VLOOKUP(C222, Project_Management!B:D, 2, FALSE), ""))
&amp; " - "
&amp; IFERROR(VLOOKUP(C222, Content_Creation!B:E, 4, FALSE), IFERROR(VLOOKUP(C222, Project_Management!B:E, 4, FALSE), ""))</f>
        <v>PC Landscape - Linkedin</v>
      </c>
      <c r="E222" s="220" t="str">
        <f>IFERROR(
    VLOOKUP(B221:B1001, Content_Creation!B:D, 3, FALSE),
    IFERROR(VLOOKUP(B221:B1001, Project_Management!B:D, 3, FALSE),"")
  )</f>
        <v>Upload</v>
      </c>
      <c r="F222" s="221" t="str">
        <f>IFERROR(VLOOKUP(B222, Content_Creation!B:F, 5, FALSE), IFERROR(VLOOKUP(B222, Project_Management!B:F, 5, FALSE), ""))</f>
        <v>Tazeen</v>
      </c>
      <c r="G222" s="222" t="s">
        <v>26</v>
      </c>
      <c r="H222" s="223">
        <f>IFERROR(VLOOKUP(B222, Content_Creation!B:H, 7, FALSE), IFERROR(VLOOKUP(B222, Project_Management!B:H, 7, FALSE), ""))</f>
        <v>45235</v>
      </c>
      <c r="I222" s="224">
        <v>0.0</v>
      </c>
      <c r="J222" s="223">
        <f>IFERROR(VLOOKUP(C222, Content_Creation!B:H, 7, FALSE), IFERROR(VLOOKUP(C222, Project_Management!B:H, 7, FALSE), ""))</f>
        <v>45235</v>
      </c>
      <c r="K222" s="217"/>
      <c r="L222" s="225" t="str">
        <f>IFERROR(VLOOKUP(B222, Data_Validation!X:Y, 2, FALSE), "")</f>
        <v>Done</v>
      </c>
      <c r="M222" s="226" t="str">
        <f t="shared" si="1"/>
        <v>TheMVP | PC Landscape - Linkedin | Upload</v>
      </c>
      <c r="N222" s="226"/>
      <c r="O222" s="226"/>
    </row>
    <row r="223" ht="24.0" customHeight="1">
      <c r="A223" s="216" t="str">
        <f>IFERROR(__xludf.DUMMYFUNCTION("ARRAYFORMULA(IFERROR(VLOOKUP(REGEXEXTRACT(B223, ""-(\w+)-""), {Data_Validation!$F$16:$F$29, Data_Validation!$E$16:$E$29}, 2, FALSE), """"))
"),"TheMVP")</f>
        <v>TheMVP</v>
      </c>
      <c r="B223" s="217" t="str">
        <f>IFERROR(__xludf.DUMMYFUNCTION("""COMPUTED_VALUE"""),"CC-MVP-99.01")</f>
        <v>CC-MVP-99.01</v>
      </c>
      <c r="C223" s="218" t="str">
        <f>IFERROR(__xludf.DUMMYFUNCTION("IFERROR(REGEXEXTRACT(B223, ""^[A-Z]+-[A-Z]+-"") &amp; TEXT(VALUE(REGEXEXTRACT(B223, ""-(\d+)\."")), ""00""), """")"),"CC-MVP-99")</f>
        <v>CC-MVP-99</v>
      </c>
      <c r="D223" s="219" t="str">
        <f>IFERROR(VLOOKUP(C223, Content_Creation!B:D, 2, FALSE), IFERROR(VLOOKUP(C223, Project_Management!B:D, 2, FALSE), ""))
&amp; " - "
&amp; IFERROR(VLOOKUP(C223, Content_Creation!B:E, 4, FALSE), IFERROR(VLOOKUP(C223, Project_Management!B:E, 4, FALSE), ""))</f>
        <v>180TB SSds - Tweet</v>
      </c>
      <c r="E223" s="220" t="str">
        <f>IFERROR(
    VLOOKUP(B222:B1001, Content_Creation!B:D, 3, FALSE),
    IFERROR(VLOOKUP(B222:B1001, Project_Management!B:D, 3, FALSE),"")
  )</f>
        <v>Script</v>
      </c>
      <c r="F223" s="221" t="str">
        <f>IFERROR(VLOOKUP(B223, Content_Creation!B:F, 5, FALSE), IFERROR(VLOOKUP(B223, Project_Management!B:F, 5, FALSE), ""))</f>
        <v>Nasser</v>
      </c>
      <c r="G223" s="222" t="s">
        <v>26</v>
      </c>
      <c r="H223" s="223">
        <f>IFERROR(VLOOKUP(B223, Content_Creation!B:H, 7, FALSE), IFERROR(VLOOKUP(B223, Project_Management!B:H, 7, FALSE), ""))</f>
        <v>45235.59412</v>
      </c>
      <c r="I223" s="224">
        <v>0.0</v>
      </c>
      <c r="J223" s="223">
        <f>IFERROR(VLOOKUP(C223, Content_Creation!B:H, 7, FALSE), IFERROR(VLOOKUP(C223, Project_Management!B:H, 7, FALSE), ""))</f>
        <v>45236</v>
      </c>
      <c r="K223" s="217"/>
      <c r="L223" s="225" t="str">
        <f>IFERROR(VLOOKUP(B223, Data_Validation!X:Y, 2, FALSE), "")</f>
        <v>Done</v>
      </c>
      <c r="M223" s="226" t="str">
        <f t="shared" si="1"/>
        <v>TheMVP | 180TB SSds - Tweet | Script</v>
      </c>
      <c r="N223" s="226"/>
      <c r="O223" s="226"/>
    </row>
    <row r="224" ht="24.0" customHeight="1">
      <c r="A224" s="216" t="str">
        <f>IFERROR(__xludf.DUMMYFUNCTION("ARRAYFORMULA(IFERROR(VLOOKUP(REGEXEXTRACT(B224, ""-(\w+)-""), {Data_Validation!$F$16:$F$29, Data_Validation!$E$16:$E$29}, 2, FALSE), """"))
"),"TheMVP")</f>
        <v>TheMVP</v>
      </c>
      <c r="B224" s="217" t="str">
        <f>IFERROR(__xludf.DUMMYFUNCTION("""COMPUTED_VALUE"""),"CC-MVP-87.05")</f>
        <v>CC-MVP-87.05</v>
      </c>
      <c r="C224" s="218" t="str">
        <f>IFERROR(__xludf.DUMMYFUNCTION("IFERROR(REGEXEXTRACT(B224, ""^[A-Z]+-[A-Z]+-"") &amp; TEXT(VALUE(REGEXEXTRACT(B224, ""-(\d+)\."")), ""00""), """")"),"CC-MVP-87")</f>
        <v>CC-MVP-87</v>
      </c>
      <c r="D224" s="219" t="str">
        <f>IFERROR(VLOOKUP(C224, Content_Creation!B:D, 2, FALSE), IFERROR(VLOOKUP(C224, Project_Management!B:D, 2, FALSE), ""))
&amp; " - "
&amp; IFERROR(VLOOKUP(C224, Content_Creation!B:E, 4, FALSE), IFERROR(VLOOKUP(C224, Project_Management!B:E, 4, FALSE), ""))</f>
        <v>China Vlog 1 - YT Video</v>
      </c>
      <c r="E224" s="220" t="str">
        <f>IFERROR(
    VLOOKUP(B223:B1001, Content_Creation!B:D, 3, FALSE),
    IFERROR(VLOOKUP(B223:B1001, Project_Management!B:D, 3, FALSE),"")
  )</f>
        <v>Edit</v>
      </c>
      <c r="F224" s="221" t="str">
        <f>IFERROR(VLOOKUP(B224, Content_Creation!B:F, 5, FALSE), IFERROR(VLOOKUP(B224, Project_Management!B:F, 5, FALSE), ""))</f>
        <v>Talha</v>
      </c>
      <c r="G224" s="222" t="s">
        <v>26</v>
      </c>
      <c r="H224" s="223">
        <f>IFERROR(VLOOKUP(B224, Content_Creation!B:H, 7, FALSE), IFERROR(VLOOKUP(B224, Project_Management!B:H, 7, FALSE), ""))</f>
        <v>45235</v>
      </c>
      <c r="I224" s="224">
        <v>0.0</v>
      </c>
      <c r="J224" s="223">
        <f>IFERROR(VLOOKUP(C224, Content_Creation!B:H, 7, FALSE), IFERROR(VLOOKUP(C224, Project_Management!B:H, 7, FALSE), ""))</f>
        <v>45237</v>
      </c>
      <c r="K224" s="217"/>
      <c r="L224" s="225" t="str">
        <f>IFERROR(VLOOKUP(B224, Data_Validation!X:Y, 2, FALSE), "")</f>
        <v>Done</v>
      </c>
      <c r="M224" s="226" t="str">
        <f t="shared" si="1"/>
        <v>TheMVP | China Vlog 1 - YT Video | Edit</v>
      </c>
      <c r="N224" s="226"/>
      <c r="O224" s="226"/>
    </row>
    <row r="225" ht="24.0" customHeight="1">
      <c r="A225" s="216" t="str">
        <f>IFERROR(__xludf.DUMMYFUNCTION("ARRAYFORMULA(IFERROR(VLOOKUP(REGEXEXTRACT(B225, ""-(\w+)-""), {Data_Validation!$F$16:$F$29, Data_Validation!$E$16:$E$29}, 2, FALSE), """"))
"),"TheMVP")</f>
        <v>TheMVP</v>
      </c>
      <c r="B225" s="217" t="str">
        <f>IFERROR(__xludf.DUMMYFUNCTION("""COMPUTED_VALUE"""),"CC-MVP-90.01")</f>
        <v>CC-MVP-90.01</v>
      </c>
      <c r="C225" s="218" t="str">
        <f>IFERROR(__xludf.DUMMYFUNCTION("IFERROR(REGEXEXTRACT(B225, ""^[A-Z]+-[A-Z]+-"") &amp; TEXT(VALUE(REGEXEXTRACT(B225, ""-(\d+)\."")), ""00""), """")"),"CC-MVP-90")</f>
        <v>CC-MVP-90</v>
      </c>
      <c r="D225" s="219" t="str">
        <f>IFERROR(VLOOKUP(C225, Content_Creation!B:D, 2, FALSE), IFERROR(VLOOKUP(C225, Project_Management!B:D, 2, FALSE), ""))
&amp; " - "
&amp; IFERROR(VLOOKUP(C225, Content_Creation!B:E, 4, FALSE), IFERROR(VLOOKUP(C225, Project_Management!B:E, 4, FALSE), ""))</f>
        <v>Client Reviews - Pt 3 - Shorts</v>
      </c>
      <c r="E225" s="220" t="str">
        <f>IFERROR(
    VLOOKUP(B224:B1001, Content_Creation!B:D, 3, FALSE),
    IFERROR(VLOOKUP(B224:B1001, Project_Management!B:D, 3, FALSE),"")
  )</f>
        <v>Captions</v>
      </c>
      <c r="F225" s="221" t="str">
        <f>IFERROR(VLOOKUP(B225, Content_Creation!B:F, 5, FALSE), IFERROR(VLOOKUP(B225, Project_Management!B:F, 5, FALSE), ""))</f>
        <v>Talha</v>
      </c>
      <c r="G225" s="222" t="s">
        <v>26</v>
      </c>
      <c r="H225" s="223">
        <f>IFERROR(VLOOKUP(B225, Content_Creation!B:H, 7, FALSE), IFERROR(VLOOKUP(B225, Project_Management!B:H, 7, FALSE), ""))</f>
        <v>45235</v>
      </c>
      <c r="I225" s="224">
        <v>0.020833333333333332</v>
      </c>
      <c r="J225" s="223">
        <f>IFERROR(VLOOKUP(C225, Content_Creation!B:H, 7, FALSE), IFERROR(VLOOKUP(C225, Project_Management!B:H, 7, FALSE), ""))</f>
        <v>45238</v>
      </c>
      <c r="K225" s="217"/>
      <c r="L225" s="225" t="str">
        <f>IFERROR(VLOOKUP(B225, Data_Validation!X:Y, 2, FALSE), "")</f>
        <v>Done</v>
      </c>
      <c r="M225" s="226" t="str">
        <f t="shared" si="1"/>
        <v>TheMVP | Client Reviews - Pt 3 - Shorts | Captions</v>
      </c>
      <c r="N225" s="226"/>
      <c r="O225" s="226"/>
    </row>
    <row r="226" ht="24.0" customHeight="1">
      <c r="A226" s="216" t="str">
        <f>IFERROR(__xludf.DUMMYFUNCTION("ARRAYFORMULA(IFERROR(VLOOKUP(REGEXEXTRACT(B226, ""-(\w+)-""), {Data_Validation!$F$16:$F$29, Data_Validation!$E$16:$E$29}, 2, FALSE), """"))
"),"TheMVP")</f>
        <v>TheMVP</v>
      </c>
      <c r="B226" s="217" t="str">
        <f>IFERROR(__xludf.DUMMYFUNCTION("""COMPUTED_VALUE"""),"CC-MVP-81.02")</f>
        <v>CC-MVP-81.02</v>
      </c>
      <c r="C226" s="218" t="str">
        <f>IFERROR(__xludf.DUMMYFUNCTION("IFERROR(REGEXEXTRACT(B226, ""^[A-Z]+-[A-Z]+-"") &amp; TEXT(VALUE(REGEXEXTRACT(B226, ""-(\d+)\."")), ""00""), """")"),"CC-MVP-81")</f>
        <v>CC-MVP-81</v>
      </c>
      <c r="D226" s="219" t="str">
        <f>IFERROR(VLOOKUP(C226, Content_Creation!B:D, 2, FALSE), IFERROR(VLOOKUP(C226, Project_Management!B:D, 2, FALSE), ""))
&amp; " - "
&amp; IFERROR(VLOOKUP(C226, Content_Creation!B:E, 4, FALSE), IFERROR(VLOOKUP(C226, Project_Management!B:E, 4, FALSE), ""))</f>
        <v>Build Photo - L40s Server - Insta</v>
      </c>
      <c r="E226" s="220" t="str">
        <f>IFERROR(
    VLOOKUP(B225:B1001, Content_Creation!B:D, 3, FALSE),
    IFERROR(VLOOKUP(B225:B1001, Project_Management!B:D, 3, FALSE),"")
  )</f>
        <v>Shoot</v>
      </c>
      <c r="F226" s="221" t="str">
        <f>IFERROR(VLOOKUP(B226, Content_Creation!B:F, 5, FALSE), IFERROR(VLOOKUP(B226, Project_Management!B:F, 5, FALSE), ""))</f>
        <v>Akhil</v>
      </c>
      <c r="G226" s="264" t="s">
        <v>26</v>
      </c>
      <c r="H226" s="223">
        <f>IFERROR(VLOOKUP(B226, Content_Creation!B:H, 7, FALSE), IFERROR(VLOOKUP(B226, Project_Management!B:H, 7, FALSE), ""))</f>
        <v>45235</v>
      </c>
      <c r="I226" s="224">
        <v>0.020833333333333332</v>
      </c>
      <c r="J226" s="223">
        <f>IFERROR(VLOOKUP(C226, Content_Creation!B:H, 7, FALSE), IFERROR(VLOOKUP(C226, Project_Management!B:H, 7, FALSE), ""))</f>
        <v>45241</v>
      </c>
      <c r="K226" s="217"/>
      <c r="L226" s="225" t="str">
        <f>IFERROR(VLOOKUP(B226, Data_Validation!X:Y, 2, FALSE), "")</f>
        <v>Done</v>
      </c>
      <c r="M226" s="226" t="str">
        <f t="shared" si="1"/>
        <v>TheMVP | Build Photo - L40s Server - Insta | Shoot</v>
      </c>
      <c r="N226" s="226"/>
      <c r="O226" s="226"/>
    </row>
    <row r="227" ht="24.0" customHeight="1">
      <c r="A227" s="216" t="str">
        <f>IFERROR(__xludf.DUMMYFUNCTION("ARRAYFORMULA(IFERROR(VLOOKUP(REGEXEXTRACT(B227, ""-(\w+)-""), {Data_Validation!$F$16:$F$29, Data_Validation!$E$16:$E$29}, 2, FALSE), """"))
"),"TheMVP")</f>
        <v>TheMVP</v>
      </c>
      <c r="B227" s="217" t="str">
        <f>IFERROR(__xludf.DUMMYFUNCTION("""COMPUTED_VALUE"""),"CC-MVP-85.01")</f>
        <v>CC-MVP-85.01</v>
      </c>
      <c r="C227" s="218" t="str">
        <f>IFERROR(__xludf.DUMMYFUNCTION("IFERROR(REGEXEXTRACT(B227, ""^[A-Z]+-[A-Z]+-"") &amp; TEXT(VALUE(REGEXEXTRACT(B227, ""-(\d+)\."")), ""00""), """")"),"CC-MVP-85")</f>
        <v>CC-MVP-85</v>
      </c>
      <c r="D227" s="219" t="str">
        <f>IFERROR(VLOOKUP(C227, Content_Creation!B:D, 2, FALSE), IFERROR(VLOOKUP(C227, Project_Management!B:D, 2, FALSE), ""))
&amp; " - "
&amp; IFERROR(VLOOKUP(C227, Content_Creation!B:E, 4, FALSE), IFERROR(VLOOKUP(C227, Project_Management!B:E, 4, FALSE), ""))</f>
        <v>G335 Headset - Logi Offer - Shorts</v>
      </c>
      <c r="E227" s="220" t="str">
        <f>IFERROR(
    VLOOKUP(B226:B1001, Content_Creation!B:D, 3, FALSE),
    IFERROR(VLOOKUP(B226:B1001, Project_Management!B:D, 3, FALSE),"")
  )</f>
        <v>Script</v>
      </c>
      <c r="F227" s="221" t="str">
        <f>IFERROR(VLOOKUP(B227, Content_Creation!B:F, 5, FALSE), IFERROR(VLOOKUP(B227, Project_Management!B:F, 5, FALSE), ""))</f>
        <v>Tazeen</v>
      </c>
      <c r="G227" s="222" t="s">
        <v>26</v>
      </c>
      <c r="H227" s="223">
        <f>IFERROR(VLOOKUP(B227, Content_Creation!B:H, 7, FALSE), IFERROR(VLOOKUP(B227, Project_Management!B:H, 7, FALSE), ""))</f>
        <v>45235</v>
      </c>
      <c r="I227" s="224">
        <v>0.010416666666666666</v>
      </c>
      <c r="J227" s="223">
        <f>IFERROR(VLOOKUP(C227, Content_Creation!B:H, 7, FALSE), IFERROR(VLOOKUP(C227, Project_Management!B:H, 7, FALSE), ""))</f>
        <v>45244</v>
      </c>
      <c r="K227" s="217"/>
      <c r="L227" s="225" t="str">
        <f>IFERROR(VLOOKUP(B227, Data_Validation!X:Y, 2, FALSE), "")</f>
        <v>Done</v>
      </c>
      <c r="M227" s="226" t="str">
        <f t="shared" si="1"/>
        <v>TheMVP | G335 Headset - Logi Offer - Shorts | Script</v>
      </c>
      <c r="N227" s="226"/>
      <c r="O227" s="226"/>
    </row>
    <row r="228" ht="24.0" customHeight="1">
      <c r="A228" s="216" t="str">
        <f>IFERROR(__xludf.DUMMYFUNCTION("ARRAYFORMULA(IFERROR(VLOOKUP(REGEXEXTRACT(B228, ""-(\w+)-""), {Data_Validation!$F$16:$F$29, Data_Validation!$E$16:$E$29}, 2, FALSE), """"))
"),"Inno3D")</f>
        <v>Inno3D</v>
      </c>
      <c r="B228" s="217" t="str">
        <f>IFERROR(__xludf.DUMMYFUNCTION("""COMPUTED_VALUE"""),"CC-INN-22.03")</f>
        <v>CC-INN-22.03</v>
      </c>
      <c r="C228" s="218" t="str">
        <f>IFERROR(__xludf.DUMMYFUNCTION("IFERROR(REGEXEXTRACT(B228, ""^[A-Z]+-[A-Z]+-"") &amp; TEXT(VALUE(REGEXEXTRACT(B228, ""-(\d+)\."")), ""00""), """")"),"CC-INN-22")</f>
        <v>CC-INN-22</v>
      </c>
      <c r="D228" s="219" t="str">
        <f>IFERROR(VLOOKUP(C228, Content_Creation!B:D, 2, FALSE), IFERROR(VLOOKUP(C228, Project_Management!B:D, 2, FALSE), ""))
&amp; " - "
&amp; IFERROR(VLOOKUP(C228, Content_Creation!B:E, 4, FALSE), IFERROR(VLOOKUP(C228, Project_Management!B:E, 4, FALSE), ""))</f>
        <v>This or that? - Assassins Creed Mirage - Insta</v>
      </c>
      <c r="E228" s="220" t="str">
        <f>IFERROR(
    VLOOKUP(B227:B1001, Content_Creation!B:D, 3, FALSE),
    IFERROR(VLOOKUP(B227:B1001, Project_Management!B:D, 3, FALSE),"")
  )</f>
        <v>Edit</v>
      </c>
      <c r="F228" s="221" t="str">
        <f>IFERROR(VLOOKUP(B228, Content_Creation!B:F, 5, FALSE), IFERROR(VLOOKUP(B228, Project_Management!B:F, 5, FALSE), ""))</f>
        <v/>
      </c>
      <c r="G228" s="222" t="s">
        <v>26</v>
      </c>
      <c r="H228" s="223">
        <f>IFERROR(VLOOKUP(B228, Content_Creation!B:H, 7, FALSE), IFERROR(VLOOKUP(B228, Project_Management!B:H, 7, FALSE), ""))</f>
        <v>45235</v>
      </c>
      <c r="I228" s="224">
        <v>0.003472222222222222</v>
      </c>
      <c r="J228" s="223">
        <f>IFERROR(VLOOKUP(C228, Content_Creation!B:H, 7, FALSE), IFERROR(VLOOKUP(C228, Project_Management!B:H, 7, FALSE), ""))</f>
        <v>45235</v>
      </c>
      <c r="K228" s="217"/>
      <c r="L228" s="225" t="str">
        <f>IFERROR(VLOOKUP(B228, Data_Validation!X:Y, 2, FALSE), "")</f>
        <v>Done</v>
      </c>
      <c r="M228" s="226" t="str">
        <f t="shared" si="1"/>
        <v>Inno3D | This or that? - Assassins Creed Mirage - Insta | Edit</v>
      </c>
      <c r="N228" s="226"/>
      <c r="O228" s="226"/>
    </row>
    <row r="229" ht="24.0" customHeight="1">
      <c r="A229" s="216" t="str">
        <f>IFERROR(__xludf.DUMMYFUNCTION("ARRAYFORMULA(IFERROR(VLOOKUP(REGEXEXTRACT(B229, ""-(\w+)-""), {Data_Validation!$F$16:$F$29, Data_Validation!$E$16:$E$29}, 2, FALSE), """"))
"),"Inno3D")</f>
        <v>Inno3D</v>
      </c>
      <c r="B229" s="217" t="str">
        <f>IFERROR(__xludf.DUMMYFUNCTION("""COMPUTED_VALUE"""),"CC-INN-22.04")</f>
        <v>CC-INN-22.04</v>
      </c>
      <c r="C229" s="218" t="str">
        <f>IFERROR(__xludf.DUMMYFUNCTION("IFERROR(REGEXEXTRACT(B229, ""^[A-Z]+-[A-Z]+-"") &amp; TEXT(VALUE(REGEXEXTRACT(B229, ""-(\d+)\."")), ""00""), """")"),"CC-INN-22")</f>
        <v>CC-INN-22</v>
      </c>
      <c r="D229" s="219" t="str">
        <f>IFERROR(VLOOKUP(C229, Content_Creation!B:D, 2, FALSE), IFERROR(VLOOKUP(C229, Project_Management!B:D, 2, FALSE), ""))
&amp; " - "
&amp; IFERROR(VLOOKUP(C229, Content_Creation!B:E, 4, FALSE), IFERROR(VLOOKUP(C229, Project_Management!B:E, 4, FALSE), ""))</f>
        <v>This or that? - Assassins Creed Mirage - Insta</v>
      </c>
      <c r="E229" s="220" t="str">
        <f>IFERROR(
    VLOOKUP(B228:B1001, Content_Creation!B:D, 3, FALSE),
    IFERROR(VLOOKUP(B228:B1001, Project_Management!B:D, 3, FALSE),"")
  )</f>
        <v>Upload</v>
      </c>
      <c r="F229" s="221" t="str">
        <f>IFERROR(VLOOKUP(B229, Content_Creation!B:F, 5, FALSE), IFERROR(VLOOKUP(B229, Project_Management!B:F, 5, FALSE), ""))</f>
        <v/>
      </c>
      <c r="G229" s="222" t="s">
        <v>26</v>
      </c>
      <c r="H229" s="223">
        <f>IFERROR(VLOOKUP(B229, Content_Creation!B:H, 7, FALSE), IFERROR(VLOOKUP(B229, Project_Management!B:H, 7, FALSE), ""))</f>
        <v>45235</v>
      </c>
      <c r="I229" s="224">
        <v>0.0</v>
      </c>
      <c r="J229" s="223">
        <f>IFERROR(VLOOKUP(C229, Content_Creation!B:H, 7, FALSE), IFERROR(VLOOKUP(C229, Project_Management!B:H, 7, FALSE), ""))</f>
        <v>45235</v>
      </c>
      <c r="K229" s="217"/>
      <c r="L229" s="225" t="str">
        <f>IFERROR(VLOOKUP(B229, Data_Validation!X:Y, 2, FALSE), "")</f>
        <v>Done</v>
      </c>
      <c r="M229" s="226" t="str">
        <f t="shared" si="1"/>
        <v>Inno3D | This or that? - Assassins Creed Mirage - Insta | Upload</v>
      </c>
      <c r="N229" s="226"/>
      <c r="O229" s="226"/>
    </row>
    <row r="230" ht="24.0" customHeight="1">
      <c r="A230" s="216" t="str">
        <f>IFERROR(__xludf.DUMMYFUNCTION("ARRAYFORMULA(IFERROR(VLOOKUP(REGEXEXTRACT(B230, ""-(\w+)-""), {Data_Validation!$F$16:$F$29, Data_Validation!$E$16:$E$29}, 2, FALSE), """"))
"),"Picture This!")</f>
        <v>Picture This!</v>
      </c>
      <c r="B230" s="217" t="str">
        <f>IFERROR(__xludf.DUMMYFUNCTION("""COMPUTED_VALUE"""),"PM-PTS-01.06")</f>
        <v>PM-PTS-01.06</v>
      </c>
      <c r="C230" s="218" t="str">
        <f>IFERROR(__xludf.DUMMYFUNCTION("IFERROR(REGEXEXTRACT(B230, ""^[A-Z]+-[A-Z]+-"") &amp; TEXT(VALUE(REGEXEXTRACT(B230, ""-(\d+)\."")), ""00""), """")"),"PM-PTS-01")</f>
        <v>PM-PTS-01</v>
      </c>
      <c r="D230" s="219" t="str">
        <f>IFERROR(VLOOKUP(C230, Content_Creation!B:D, 2, FALSE), IFERROR(VLOOKUP(C230, Project_Management!B:D, 2, FALSE), ""))
&amp; " - "
&amp; IFERROR(VLOOKUP(C230, Content_Creation!B:E, 4, FALSE), IFERROR(VLOOKUP(C230, Project_Management!B:E, 4, FALSE), ""))</f>
        <v>SOPs - Misc</v>
      </c>
      <c r="E230" s="220" t="str">
        <f>IFERROR(
    VLOOKUP(B229:B1001, Content_Creation!B:D, 3, FALSE),
    IFERROR(VLOOKUP(B229:B1001, Project_Management!B:D, 3, FALSE),"")
  )</f>
        <v>WorkOS - Polish</v>
      </c>
      <c r="F230" s="221" t="str">
        <f>IFERROR(VLOOKUP(B230, Content_Creation!B:F, 5, FALSE), IFERROR(VLOOKUP(B230, Project_Management!B:F, 5, FALSE), ""))</f>
        <v>Nasser</v>
      </c>
      <c r="G230" s="222" t="s">
        <v>307</v>
      </c>
      <c r="H230" s="223">
        <f>IFERROR(VLOOKUP(B230, Content_Creation!B:H, 7, FALSE), IFERROR(VLOOKUP(B230, Project_Management!B:H, 7, FALSE), ""))</f>
        <v>45235</v>
      </c>
      <c r="I230" s="224">
        <v>0.0</v>
      </c>
      <c r="J230" s="223">
        <f>IFERROR(VLOOKUP(C230, Content_Creation!B:H, 7, FALSE), IFERROR(VLOOKUP(C230, Project_Management!B:H, 7, FALSE), ""))</f>
        <v>45240</v>
      </c>
      <c r="K230" s="217"/>
      <c r="L230" s="225" t="str">
        <f>IFERROR(VLOOKUP(B230, Data_Validation!X:Y, 2, FALSE), "")</f>
        <v>On Hold</v>
      </c>
      <c r="M230" s="226" t="str">
        <f t="shared" si="1"/>
        <v>Picture This! | SOPs - Misc | WorkOS - Polish</v>
      </c>
      <c r="N230" s="226"/>
      <c r="O230" s="226"/>
    </row>
    <row r="231" ht="24.0" customHeight="1">
      <c r="A231" s="216" t="str">
        <f>IFERROR(__xludf.DUMMYFUNCTION("ARRAYFORMULA(IFERROR(VLOOKUP(REGEXEXTRACT(B231, ""-(\w+)-""), {Data_Validation!$F$16:$F$29, Data_Validation!$E$16:$E$29}, 2, FALSE), """"))
"),"TheMVP")</f>
        <v>TheMVP</v>
      </c>
      <c r="B231" s="217" t="str">
        <f>IFERROR(__xludf.DUMMYFUNCTION("""COMPUTED_VALUE"""),"CC-MVP-71.05")</f>
        <v>CC-MVP-71.05</v>
      </c>
      <c r="C231" s="218" t="str">
        <f>IFERROR(__xludf.DUMMYFUNCTION("IFERROR(REGEXEXTRACT(B231, ""^[A-Z]+-[A-Z]+-"") &amp; TEXT(VALUE(REGEXEXTRACT(B231, ""-(\d+)\."")), ""00""), """")"),"CC-MVP-71")</f>
        <v>CC-MVP-71</v>
      </c>
      <c r="D231" s="219" t="str">
        <f>IFERROR(VLOOKUP(C231, Content_Creation!B:D, 2, FALSE), IFERROR(VLOOKUP(C231, Project_Management!B:D, 2, FALSE), ""))
&amp; " - "
&amp; IFERROR(VLOOKUP(C231, Content_Creation!B:E, 4, FALSE), IFERROR(VLOOKUP(C231, Project_Management!B:E, 4, FALSE), ""))</f>
        <v>Blender Downedit - Shorts</v>
      </c>
      <c r="E231" s="220" t="str">
        <f>IFERROR(
    VLOOKUP(B230:B1001, Content_Creation!B:D, 3, FALSE),
    IFERROR(VLOOKUP(B230:B1001, Project_Management!B:D, 3, FALSE),"")
  )</f>
        <v>Edit</v>
      </c>
      <c r="F231" s="221" t="str">
        <f>IFERROR(VLOOKUP(B231, Content_Creation!B:F, 5, FALSE), IFERROR(VLOOKUP(B231, Project_Management!B:F, 5, FALSE), ""))</f>
        <v>Jayanth</v>
      </c>
      <c r="G231" s="222" t="s">
        <v>26</v>
      </c>
      <c r="H231" s="223">
        <f>IFERROR(VLOOKUP(B231, Content_Creation!B:H, 7, FALSE), IFERROR(VLOOKUP(B231, Project_Management!B:H, 7, FALSE), ""))</f>
        <v>45236</v>
      </c>
      <c r="I231" s="224">
        <v>0.020833333333333332</v>
      </c>
      <c r="J231" s="223">
        <f>IFERROR(VLOOKUP(C231, Content_Creation!B:H, 7, FALSE), IFERROR(VLOOKUP(C231, Project_Management!B:H, 7, FALSE), ""))</f>
        <v>45236</v>
      </c>
      <c r="K231" s="217"/>
      <c r="L231" s="225" t="str">
        <f>IFERROR(VLOOKUP(B231, Data_Validation!X:Y, 2, FALSE), "")</f>
        <v>Done</v>
      </c>
      <c r="M231" s="226" t="str">
        <f t="shared" si="1"/>
        <v>TheMVP | Blender Downedit - Shorts | Edit</v>
      </c>
      <c r="N231" s="226"/>
      <c r="O231" s="226"/>
    </row>
    <row r="232" ht="24.0" customHeight="1">
      <c r="A232" s="216" t="str">
        <f>IFERROR(__xludf.DUMMYFUNCTION("ARRAYFORMULA(IFERROR(VLOOKUP(REGEXEXTRACT(B232, ""-(\w+)-""), {Data_Validation!$F$16:$F$29, Data_Validation!$E$16:$E$29}, 2, FALSE), """"))
"),"TheMVP")</f>
        <v>TheMVP</v>
      </c>
      <c r="B232" s="217" t="str">
        <f>IFERROR(__xludf.DUMMYFUNCTION("""COMPUTED_VALUE"""),"CC-MVP-71.06")</f>
        <v>CC-MVP-71.06</v>
      </c>
      <c r="C232" s="218" t="str">
        <f>IFERROR(__xludf.DUMMYFUNCTION("IFERROR(REGEXEXTRACT(B232, ""^[A-Z]+-[A-Z]+-"") &amp; TEXT(VALUE(REGEXEXTRACT(B232, ""-(\d+)\."")), ""00""), """")"),"CC-MVP-71")</f>
        <v>CC-MVP-71</v>
      </c>
      <c r="D232" s="219" t="str">
        <f>IFERROR(VLOOKUP(C232, Content_Creation!B:D, 2, FALSE), IFERROR(VLOOKUP(C232, Project_Management!B:D, 2, FALSE), ""))
&amp; " - "
&amp; IFERROR(VLOOKUP(C232, Content_Creation!B:E, 4, FALSE), IFERROR(VLOOKUP(C232, Project_Management!B:E, 4, FALSE), ""))</f>
        <v>Blender Downedit - Shorts</v>
      </c>
      <c r="E232" s="220" t="str">
        <f>IFERROR(
    VLOOKUP(B231:B1001, Content_Creation!B:D, 3, FALSE),
    IFERROR(VLOOKUP(B231:B1001, Project_Management!B:D, 3, FALSE),"")
  )</f>
        <v>Thumbnail</v>
      </c>
      <c r="F232" s="221" t="str">
        <f>IFERROR(VLOOKUP(B232, Content_Creation!B:F, 5, FALSE), IFERROR(VLOOKUP(B232, Project_Management!B:F, 5, FALSE), ""))</f>
        <v>Naveen</v>
      </c>
      <c r="G232" s="222" t="s">
        <v>26</v>
      </c>
      <c r="H232" s="223">
        <f>IFERROR(VLOOKUP(B232, Content_Creation!B:H, 7, FALSE), IFERROR(VLOOKUP(B232, Project_Management!B:H, 7, FALSE), ""))</f>
        <v>45236</v>
      </c>
      <c r="I232" s="224">
        <v>0.0</v>
      </c>
      <c r="J232" s="223">
        <f>IFERROR(VLOOKUP(C232, Content_Creation!B:H, 7, FALSE), IFERROR(VLOOKUP(C232, Project_Management!B:H, 7, FALSE), ""))</f>
        <v>45236</v>
      </c>
      <c r="K232" s="217"/>
      <c r="L232" s="225" t="str">
        <f>IFERROR(VLOOKUP(B232, Data_Validation!X:Y, 2, FALSE), "")</f>
        <v>Done</v>
      </c>
      <c r="M232" s="226" t="str">
        <f t="shared" si="1"/>
        <v>TheMVP | Blender Downedit - Shorts | Thumbnail</v>
      </c>
      <c r="N232" s="226"/>
      <c r="O232" s="226"/>
    </row>
    <row r="233" ht="24.0" customHeight="1">
      <c r="A233" s="216" t="str">
        <f>IFERROR(__xludf.DUMMYFUNCTION("ARRAYFORMULA(IFERROR(VLOOKUP(REGEXEXTRACT(B233, ""-(\w+)-""), {Data_Validation!$F$16:$F$29, Data_Validation!$E$16:$E$29}, 2, FALSE), """"))
"),"TheMVP")</f>
        <v>TheMVP</v>
      </c>
      <c r="B233" s="217" t="str">
        <f>IFERROR(__xludf.DUMMYFUNCTION("""COMPUTED_VALUE"""),"CC-MVP-71.07")</f>
        <v>CC-MVP-71.07</v>
      </c>
      <c r="C233" s="218" t="str">
        <f>IFERROR(__xludf.DUMMYFUNCTION("IFERROR(REGEXEXTRACT(B233, ""^[A-Z]+-[A-Z]+-"") &amp; TEXT(VALUE(REGEXEXTRACT(B233, ""-(\d+)\."")), ""00""), """")"),"CC-MVP-71")</f>
        <v>CC-MVP-71</v>
      </c>
      <c r="D233" s="219" t="str">
        <f>IFERROR(VLOOKUP(C233, Content_Creation!B:D, 2, FALSE), IFERROR(VLOOKUP(C233, Project_Management!B:D, 2, FALSE), ""))
&amp; " - "
&amp; IFERROR(VLOOKUP(C233, Content_Creation!B:E, 4, FALSE), IFERROR(VLOOKUP(C233, Project_Management!B:E, 4, FALSE), ""))</f>
        <v>Blender Downedit - Shorts</v>
      </c>
      <c r="E233" s="220" t="str">
        <f>IFERROR(
    VLOOKUP(B232:B1001, Content_Creation!B:D, 3, FALSE),
    IFERROR(VLOOKUP(B232:B1001, Project_Management!B:D, 3, FALSE),"")
  )</f>
        <v>Upload</v>
      </c>
      <c r="F233" s="221" t="str">
        <f>IFERROR(VLOOKUP(B233, Content_Creation!B:F, 5, FALSE), IFERROR(VLOOKUP(B233, Project_Management!B:F, 5, FALSE), ""))</f>
        <v>Tazeen</v>
      </c>
      <c r="G233" s="222" t="s">
        <v>26</v>
      </c>
      <c r="H233" s="223">
        <f>IFERROR(VLOOKUP(B233, Content_Creation!B:H, 7, FALSE), IFERROR(VLOOKUP(B233, Project_Management!B:H, 7, FALSE), ""))</f>
        <v>45236</v>
      </c>
      <c r="I233" s="224">
        <v>0.0</v>
      </c>
      <c r="J233" s="223">
        <f>IFERROR(VLOOKUP(C233, Content_Creation!B:H, 7, FALSE), IFERROR(VLOOKUP(C233, Project_Management!B:H, 7, FALSE), ""))</f>
        <v>45236</v>
      </c>
      <c r="K233" s="217"/>
      <c r="L233" s="225" t="str">
        <f>IFERROR(VLOOKUP(B233, Data_Validation!X:Y, 2, FALSE), "")</f>
        <v>Done</v>
      </c>
      <c r="M233" s="226" t="str">
        <f t="shared" si="1"/>
        <v>TheMVP | Blender Downedit - Shorts | Upload</v>
      </c>
      <c r="N233" s="226"/>
      <c r="O233" s="226"/>
    </row>
    <row r="234" ht="24.0" customHeight="1">
      <c r="A234" s="216" t="str">
        <f>IFERROR(__xludf.DUMMYFUNCTION("ARRAYFORMULA(IFERROR(VLOOKUP(REGEXEXTRACT(B234, ""-(\w+)-""), {Data_Validation!$F$16:$F$29, Data_Validation!$E$16:$E$29}, 2, FALSE), """"))
"),"TheMVP")</f>
        <v>TheMVP</v>
      </c>
      <c r="B234" s="217" t="str">
        <f>IFERROR(__xludf.DUMMYFUNCTION("""COMPUTED_VALUE"""),"CC-MVP-99.04")</f>
        <v>CC-MVP-99.04</v>
      </c>
      <c r="C234" s="218" t="str">
        <f>IFERROR(__xludf.DUMMYFUNCTION("IFERROR(REGEXEXTRACT(B234, ""^[A-Z]+-[A-Z]+-"") &amp; TEXT(VALUE(REGEXEXTRACT(B234, ""-(\d+)\."")), ""00""), """")"),"CC-MVP-99")</f>
        <v>CC-MVP-99</v>
      </c>
      <c r="D234" s="219" t="str">
        <f>IFERROR(VLOOKUP(C234, Content_Creation!B:D, 2, FALSE), IFERROR(VLOOKUP(C234, Project_Management!B:D, 2, FALSE), ""))
&amp; " - "
&amp; IFERROR(VLOOKUP(C234, Content_Creation!B:E, 4, FALSE), IFERROR(VLOOKUP(C234, Project_Management!B:E, 4, FALSE), ""))</f>
        <v>180TB SSds - Tweet</v>
      </c>
      <c r="E234" s="220" t="str">
        <f>IFERROR(
    VLOOKUP(B233:B1001, Content_Creation!B:D, 3, FALSE),
    IFERROR(VLOOKUP(B233:B1001, Project_Management!B:D, 3, FALSE),"")
  )</f>
        <v>Upload</v>
      </c>
      <c r="F234" s="221" t="str">
        <f>IFERROR(VLOOKUP(B234, Content_Creation!B:F, 5, FALSE), IFERROR(VLOOKUP(B234, Project_Management!B:F, 5, FALSE), ""))</f>
        <v>Nasser</v>
      </c>
      <c r="G234" s="222" t="s">
        <v>26</v>
      </c>
      <c r="H234" s="223">
        <f>IFERROR(VLOOKUP(B234, Content_Creation!B:H, 7, FALSE), IFERROR(VLOOKUP(B234, Project_Management!B:H, 7, FALSE), ""))</f>
        <v>45236</v>
      </c>
      <c r="I234" s="224">
        <v>0.006944444444444444</v>
      </c>
      <c r="J234" s="223">
        <f>IFERROR(VLOOKUP(C234, Content_Creation!B:H, 7, FALSE), IFERROR(VLOOKUP(C234, Project_Management!B:H, 7, FALSE), ""))</f>
        <v>45236</v>
      </c>
      <c r="K234" s="217"/>
      <c r="L234" s="225" t="str">
        <f>IFERROR(VLOOKUP(B234, Data_Validation!X:Y, 2, FALSE), "")</f>
        <v>Done</v>
      </c>
      <c r="M234" s="226" t="str">
        <f t="shared" si="1"/>
        <v>TheMVP | 180TB SSds - Tweet | Upload</v>
      </c>
      <c r="N234" s="226"/>
      <c r="O234" s="226"/>
    </row>
    <row r="235" ht="24.0" customHeight="1">
      <c r="A235" s="216" t="str">
        <f>IFERROR(__xludf.DUMMYFUNCTION("ARRAYFORMULA(IFERROR(VLOOKUP(REGEXEXTRACT(B235, ""-(\w+)-""), {Data_Validation!$F$16:$F$29, Data_Validation!$E$16:$E$29}, 2, FALSE), """"))
"),"TheMVP")</f>
        <v>TheMVP</v>
      </c>
      <c r="B235" s="217" t="str">
        <f>IFERROR(__xludf.DUMMYFUNCTION("""COMPUTED_VALUE"""),"CC-MVP-44.01")</f>
        <v>CC-MVP-44.01</v>
      </c>
      <c r="C235" s="218" t="str">
        <f>IFERROR(__xludf.DUMMYFUNCTION("IFERROR(REGEXEXTRACT(B235, ""^[A-Z]+-[A-Z]+-"") &amp; TEXT(VALUE(REGEXEXTRACT(B235, ""-(\d+)\."")), ""00""), """")"),"CC-MVP-44")</f>
        <v>CC-MVP-44</v>
      </c>
      <c r="D235" s="219" t="str">
        <f>IFERROR(VLOOKUP(C235, Content_Creation!B:D, 2, FALSE), IFERROR(VLOOKUP(C235, Project_Management!B:D, 2, FALSE), ""))
&amp; " - "
&amp; IFERROR(VLOOKUP(C235, Content_Creation!B:E, 4, FALSE), IFERROR(VLOOKUP(C235, Project_Management!B:E, 4, FALSE), ""))</f>
        <v>Ada Lovelace Power Efficiency - Shorts</v>
      </c>
      <c r="E235" s="220" t="str">
        <f>IFERROR(
    VLOOKUP(B234:B1001, Content_Creation!B:D, 3, FALSE),
    IFERROR(VLOOKUP(B234:B1001, Project_Management!B:D, 3, FALSE),"")
  )</f>
        <v>Script</v>
      </c>
      <c r="F235" s="221" t="str">
        <f>IFERROR(VLOOKUP(B235, Content_Creation!B:F, 5, FALSE), IFERROR(VLOOKUP(B235, Project_Management!B:F, 5, FALSE), ""))</f>
        <v>Nasser</v>
      </c>
      <c r="G235" s="222" t="s">
        <v>26</v>
      </c>
      <c r="H235" s="223">
        <f>IFERROR(VLOOKUP(B235, Content_Creation!B:H, 7, FALSE), IFERROR(VLOOKUP(B235, Project_Management!B:H, 7, FALSE), ""))</f>
        <v>45236</v>
      </c>
      <c r="I235" s="224">
        <v>0.0</v>
      </c>
      <c r="J235" s="223">
        <f>IFERROR(VLOOKUP(C235, Content_Creation!B:H, 7, FALSE), IFERROR(VLOOKUP(C235, Project_Management!B:H, 7, FALSE), ""))</f>
        <v>45238</v>
      </c>
      <c r="K235" s="217"/>
      <c r="L235" s="225" t="str">
        <f>IFERROR(VLOOKUP(B235, Data_Validation!X:Y, 2, FALSE), "")</f>
        <v>Done</v>
      </c>
      <c r="M235" s="226" t="str">
        <f t="shared" si="1"/>
        <v>TheMVP | Ada Lovelace Power Efficiency - Shorts | Script</v>
      </c>
      <c r="N235" s="226"/>
      <c r="O235" s="226"/>
    </row>
    <row r="236" ht="24.0" customHeight="1">
      <c r="A236" s="216" t="str">
        <f>IFERROR(__xludf.DUMMYFUNCTION("ARRAYFORMULA(IFERROR(VLOOKUP(REGEXEXTRACT(B236, ""-(\w+)-""), {Data_Validation!$F$16:$F$29, Data_Validation!$E$16:$E$29}, 2, FALSE), """"))
"),"TheMVP")</f>
        <v>TheMVP</v>
      </c>
      <c r="B236" s="217" t="str">
        <f>IFERROR(__xludf.DUMMYFUNCTION("""COMPUTED_VALUE"""),"CC-MVP-87.06")</f>
        <v>CC-MVP-87.06</v>
      </c>
      <c r="C236" s="218" t="str">
        <f>IFERROR(__xludf.DUMMYFUNCTION("IFERROR(REGEXEXTRACT(B236, ""^[A-Z]+-[A-Z]+-"") &amp; TEXT(VALUE(REGEXEXTRACT(B236, ""-(\d+)\."")), ""00""), """")"),"CC-MVP-87")</f>
        <v>CC-MVP-87</v>
      </c>
      <c r="D236" s="219" t="str">
        <f>IFERROR(VLOOKUP(C236, Content_Creation!B:D, 2, FALSE), IFERROR(VLOOKUP(C236, Project_Management!B:D, 2, FALSE), ""))
&amp; " - "
&amp; IFERROR(VLOOKUP(C236, Content_Creation!B:E, 4, FALSE), IFERROR(VLOOKUP(C236, Project_Management!B:E, 4, FALSE), ""))</f>
        <v>China Vlog 1 - YT Video</v>
      </c>
      <c r="E236" s="220" t="str">
        <f>IFERROR(
    VLOOKUP(B235:B1001, Content_Creation!B:D, 3, FALSE),
    IFERROR(VLOOKUP(B235:B1001, Project_Management!B:D, 3, FALSE),"")
  )</f>
        <v>Thumbnail</v>
      </c>
      <c r="F236" s="221" t="str">
        <f>IFERROR(VLOOKUP(B236, Content_Creation!B:F, 5, FALSE), IFERROR(VLOOKUP(B236, Project_Management!B:F, 5, FALSE), ""))</f>
        <v>Nasser</v>
      </c>
      <c r="G236" s="222" t="s">
        <v>26</v>
      </c>
      <c r="H236" s="223">
        <f>IFERROR(VLOOKUP(B236, Content_Creation!B:H, 7, FALSE), IFERROR(VLOOKUP(B236, Project_Management!B:H, 7, FALSE), ""))</f>
        <v>45236</v>
      </c>
      <c r="I236" s="224">
        <v>0.041666666666666664</v>
      </c>
      <c r="J236" s="223">
        <f>IFERROR(VLOOKUP(C236, Content_Creation!B:H, 7, FALSE), IFERROR(VLOOKUP(C236, Project_Management!B:H, 7, FALSE), ""))</f>
        <v>45237</v>
      </c>
      <c r="K236" s="217"/>
      <c r="L236" s="225" t="str">
        <f>IFERROR(VLOOKUP(B236, Data_Validation!X:Y, 2, FALSE), "")</f>
        <v>Done</v>
      </c>
      <c r="M236" s="226" t="str">
        <f t="shared" si="1"/>
        <v>TheMVP | China Vlog 1 - YT Video | Thumbnail</v>
      </c>
      <c r="N236" s="226"/>
      <c r="O236" s="226"/>
    </row>
    <row r="237" ht="24.0" customHeight="1">
      <c r="A237" s="216" t="str">
        <f>IFERROR(__xludf.DUMMYFUNCTION("ARRAYFORMULA(IFERROR(VLOOKUP(REGEXEXTRACT(B237, ""-(\w+)-""), {Data_Validation!$F$16:$F$29, Data_Validation!$E$16:$E$29}, 2, FALSE), """"))
"),"TheMVP")</f>
        <v>TheMVP</v>
      </c>
      <c r="B237" s="217" t="str">
        <f>IFERROR(__xludf.DUMMYFUNCTION("""COMPUTED_VALUE"""),"CC-MVP-90.05")</f>
        <v>CC-MVP-90.05</v>
      </c>
      <c r="C237" s="218" t="str">
        <f>IFERROR(__xludf.DUMMYFUNCTION("IFERROR(REGEXEXTRACT(B237, ""^[A-Z]+-[A-Z]+-"") &amp; TEXT(VALUE(REGEXEXTRACT(B237, ""-(\d+)\."")), ""00""), """")"),"CC-MVP-90")</f>
        <v>CC-MVP-90</v>
      </c>
      <c r="D237" s="219" t="str">
        <f>IFERROR(VLOOKUP(C237, Content_Creation!B:D, 2, FALSE), IFERROR(VLOOKUP(C237, Project_Management!B:D, 2, FALSE), ""))
&amp; " - "
&amp; IFERROR(VLOOKUP(C237, Content_Creation!B:E, 4, FALSE), IFERROR(VLOOKUP(C237, Project_Management!B:E, 4, FALSE), ""))</f>
        <v>Client Reviews - Pt 3 - Shorts</v>
      </c>
      <c r="E237" s="220" t="str">
        <f>IFERROR(
    VLOOKUP(B236:B1001, Content_Creation!B:D, 3, FALSE),
    IFERROR(VLOOKUP(B236:B1001, Project_Management!B:D, 3, FALSE),"")
  )</f>
        <v>Edit</v>
      </c>
      <c r="F237" s="221" t="str">
        <f>IFERROR(VLOOKUP(B237, Content_Creation!B:F, 5, FALSE), IFERROR(VLOOKUP(B237, Project_Management!B:F, 5, FALSE), ""))</f>
        <v>Akhil</v>
      </c>
      <c r="G237" s="222" t="s">
        <v>26</v>
      </c>
      <c r="H237" s="223">
        <f>IFERROR(VLOOKUP(B237, Content_Creation!B:H, 7, FALSE), IFERROR(VLOOKUP(B237, Project_Management!B:H, 7, FALSE), ""))</f>
        <v>45236</v>
      </c>
      <c r="I237" s="224">
        <v>0.0625</v>
      </c>
      <c r="J237" s="223">
        <f>IFERROR(VLOOKUP(C237, Content_Creation!B:H, 7, FALSE), IFERROR(VLOOKUP(C237, Project_Management!B:H, 7, FALSE), ""))</f>
        <v>45238</v>
      </c>
      <c r="K237" s="217"/>
      <c r="L237" s="225" t="str">
        <f>IFERROR(VLOOKUP(B237, Data_Validation!X:Y, 2, FALSE), "")</f>
        <v>Done</v>
      </c>
      <c r="M237" s="226" t="str">
        <f t="shared" si="1"/>
        <v>TheMVP | Client Reviews - Pt 3 - Shorts | Edit</v>
      </c>
      <c r="N237" s="226"/>
      <c r="O237" s="226"/>
    </row>
    <row r="238" ht="24.0" customHeight="1">
      <c r="A238" s="216" t="str">
        <f>IFERROR(__xludf.DUMMYFUNCTION("ARRAYFORMULA(IFERROR(VLOOKUP(REGEXEXTRACT(B238, ""-(\w+)-""), {Data_Validation!$F$16:$F$29, Data_Validation!$E$16:$E$29}, 2, FALSE), """"))
"),"TheMVP")</f>
        <v>TheMVP</v>
      </c>
      <c r="B238" s="217" t="str">
        <f>IFERROR(__xludf.DUMMYFUNCTION("""COMPUTED_VALUE"""),"CC-MVP-64.01")</f>
        <v>CC-MVP-64.01</v>
      </c>
      <c r="C238" s="218" t="str">
        <f>IFERROR(__xludf.DUMMYFUNCTION("IFERROR(REGEXEXTRACT(B238, ""^[A-Z]+-[A-Z]+-"") &amp; TEXT(VALUE(REGEXEXTRACT(B238, ""-(\d+)\."")), ""00""), """")"),"CC-MVP-64")</f>
        <v>CC-MVP-64</v>
      </c>
      <c r="D238" s="219" t="str">
        <f>IFERROR(VLOOKUP(C238, Content_Creation!B:D, 2, FALSE), IFERROR(VLOOKUP(C238, Project_Management!B:D, 2, FALSE), ""))
&amp; " - "
&amp; IFERROR(VLOOKUP(C238, Content_Creation!B:E, 4, FALSE), IFERROR(VLOOKUP(C238, Project_Management!B:E, 4, FALSE), ""))</f>
        <v>TrueNAS Setup - Blog</v>
      </c>
      <c r="E238" s="220" t="str">
        <f>IFERROR(
    VLOOKUP(B237:B1001, Content_Creation!B:D, 3, FALSE),
    IFERROR(VLOOKUP(B237:B1001, Project_Management!B:D, 3, FALSE),"")
  )</f>
        <v>Script</v>
      </c>
      <c r="F238" s="221" t="str">
        <f>IFERROR(VLOOKUP(B238, Content_Creation!B:F, 5, FALSE), IFERROR(VLOOKUP(B238, Project_Management!B:F, 5, FALSE), ""))</f>
        <v>Ahmer</v>
      </c>
      <c r="G238" s="222" t="s">
        <v>179</v>
      </c>
      <c r="H238" s="223">
        <f>IFERROR(VLOOKUP(B238, Content_Creation!B:H, 7, FALSE), IFERROR(VLOOKUP(B238, Project_Management!B:H, 7, FALSE), ""))</f>
        <v>45236</v>
      </c>
      <c r="I238" s="224">
        <v>0.0</v>
      </c>
      <c r="J238" s="223">
        <f>IFERROR(VLOOKUP(C238, Content_Creation!B:H, 7, FALSE), IFERROR(VLOOKUP(C238, Project_Management!B:H, 7, FALSE), ""))</f>
        <v>45239</v>
      </c>
      <c r="K238" s="217"/>
      <c r="L238" s="225" t="str">
        <f>IFERROR(VLOOKUP(B238, Data_Validation!X:Y, 2, FALSE), "")</f>
        <v>Not Started</v>
      </c>
      <c r="M238" s="226" t="str">
        <f t="shared" si="1"/>
        <v>TheMVP | TrueNAS Setup - Blog | Script</v>
      </c>
      <c r="N238" s="226"/>
      <c r="O238" s="226"/>
    </row>
    <row r="239" ht="24.0" customHeight="1">
      <c r="A239" s="216" t="str">
        <f>IFERROR(__xludf.DUMMYFUNCTION("ARRAYFORMULA(IFERROR(VLOOKUP(REGEXEXTRACT(B239, ""-(\w+)-""), {Data_Validation!$F$16:$F$29, Data_Validation!$E$16:$E$29}, 2, FALSE), """"))
"),"TheMVP")</f>
        <v>TheMVP</v>
      </c>
      <c r="B239" s="217" t="str">
        <f>IFERROR(__xludf.DUMMYFUNCTION("""COMPUTED_VALUE"""),"CC-MVP-43.01")</f>
        <v>CC-MVP-43.01</v>
      </c>
      <c r="C239" s="218" t="str">
        <f>IFERROR(__xludf.DUMMYFUNCTION("IFERROR(REGEXEXTRACT(B239, ""^[A-Z]+-[A-Z]+-"") &amp; TEXT(VALUE(REGEXEXTRACT(B239, ""-(\d+)\."")), ""00""), """")"),"CC-MVP-43")</f>
        <v>CC-MVP-43</v>
      </c>
      <c r="D239" s="219" t="str">
        <f>IFERROR(VLOOKUP(C239, Content_Creation!B:D, 2, FALSE), IFERROR(VLOOKUP(C239, Project_Management!B:D, 2, FALSE), ""))
&amp; " - "
&amp; IFERROR(VLOOKUP(C239, Content_Creation!B:E, 4, FALSE), IFERROR(VLOOKUP(C239, Project_Management!B:E, 4, FALSE), ""))</f>
        <v>8K Gaming - RTX 4090 - Shorts</v>
      </c>
      <c r="E239" s="220" t="str">
        <f>IFERROR(
    VLOOKUP(B238:B1001, Content_Creation!B:D, 3, FALSE),
    IFERROR(VLOOKUP(B238:B1001, Project_Management!B:D, 3, FALSE),"")
  )</f>
        <v>Script</v>
      </c>
      <c r="F239" s="221" t="str">
        <f>IFERROR(VLOOKUP(B239, Content_Creation!B:F, 5, FALSE), IFERROR(VLOOKUP(B239, Project_Management!B:F, 5, FALSE), ""))</f>
        <v>Tazeen</v>
      </c>
      <c r="G239" s="222" t="s">
        <v>26</v>
      </c>
      <c r="H239" s="223">
        <f>IFERROR(VLOOKUP(B239, Content_Creation!B:H, 7, FALSE), IFERROR(VLOOKUP(B239, Project_Management!B:H, 7, FALSE), ""))</f>
        <v>45236</v>
      </c>
      <c r="I239" s="224">
        <v>0.041666666666666664</v>
      </c>
      <c r="J239" s="223">
        <f>IFERROR(VLOOKUP(C239, Content_Creation!B:H, 7, FALSE), IFERROR(VLOOKUP(C239, Project_Management!B:H, 7, FALSE), ""))</f>
        <v>45240</v>
      </c>
      <c r="K239" s="217"/>
      <c r="L239" s="225" t="str">
        <f>IFERROR(VLOOKUP(B239, Data_Validation!X:Y, 2, FALSE), "")</f>
        <v>Done</v>
      </c>
      <c r="M239" s="226" t="str">
        <f t="shared" si="1"/>
        <v>TheMVP | 8K Gaming - RTX 4090 - Shorts | Script</v>
      </c>
      <c r="N239" s="226"/>
      <c r="O239" s="226"/>
    </row>
    <row r="240" ht="24.0" customHeight="1">
      <c r="A240" s="216" t="str">
        <f>IFERROR(__xludf.DUMMYFUNCTION("ARRAYFORMULA(IFERROR(VLOOKUP(REGEXEXTRACT(B240, ""-(\w+)-""), {Data_Validation!$F$16:$F$29, Data_Validation!$E$16:$E$29}, 2, FALSE), """"))
"),"TheMVP")</f>
        <v>TheMVP</v>
      </c>
      <c r="B240" s="217" t="str">
        <f>IFERROR(__xludf.DUMMYFUNCTION("""COMPUTED_VALUE"""),"CC-MVP-97.02")</f>
        <v>CC-MVP-97.02</v>
      </c>
      <c r="C240" s="218" t="str">
        <f>IFERROR(__xludf.DUMMYFUNCTION("IFERROR(REGEXEXTRACT(B240, ""^[A-Z]+-[A-Z]+-"") &amp; TEXT(VALUE(REGEXEXTRACT(B240, ""-(\d+)\."")), ""00""), """")"),"CC-MVP-97")</f>
        <v>CC-MVP-97</v>
      </c>
      <c r="D240" s="219" t="str">
        <f>IFERROR(VLOOKUP(C240, Content_Creation!B:D, 2, FALSE), IFERROR(VLOOKUP(C240, Project_Management!B:D, 2, FALSE), ""))
&amp; " - "
&amp; IFERROR(VLOOKUP(C240, Content_Creation!B:E, 4, FALSE), IFERROR(VLOOKUP(C240, Project_Management!B:E, 4, FALSE), ""))</f>
        <v>Build Photo - North + ProArt - Insta</v>
      </c>
      <c r="E240" s="220" t="str">
        <f>IFERROR(
    VLOOKUP(B239:B1001, Content_Creation!B:D, 3, FALSE),
    IFERROR(VLOOKUP(B239:B1001, Project_Management!B:D, 3, FALSE),"")
  )</f>
        <v>Shoot</v>
      </c>
      <c r="F240" s="221" t="str">
        <f>IFERROR(VLOOKUP(B240, Content_Creation!B:F, 5, FALSE), IFERROR(VLOOKUP(B240, Project_Management!B:F, 5, FALSE), ""))</f>
        <v>Akhil</v>
      </c>
      <c r="G240" s="222" t="s">
        <v>26</v>
      </c>
      <c r="H240" s="223">
        <f>IFERROR(VLOOKUP(B240, Content_Creation!B:H, 7, FALSE), IFERROR(VLOOKUP(B240, Project_Management!B:H, 7, FALSE), ""))</f>
        <v>45236</v>
      </c>
      <c r="I240" s="224">
        <v>0.0</v>
      </c>
      <c r="J240" s="223">
        <f>IFERROR(VLOOKUP(C240, Content_Creation!B:H, 7, FALSE), IFERROR(VLOOKUP(C240, Project_Management!B:H, 7, FALSE), ""))</f>
        <v>45245</v>
      </c>
      <c r="K240" s="217"/>
      <c r="L240" s="225" t="str">
        <f>IFERROR(VLOOKUP(B240, Data_Validation!X:Y, 2, FALSE), "")</f>
        <v>Done</v>
      </c>
      <c r="M240" s="226" t="str">
        <f t="shared" si="1"/>
        <v>TheMVP | Build Photo - North + ProArt - Insta | Shoot</v>
      </c>
      <c r="N240" s="226"/>
      <c r="O240" s="226"/>
    </row>
    <row r="241" ht="24.0" customHeight="1">
      <c r="A241" s="216" t="str">
        <f>IFERROR(__xludf.DUMMYFUNCTION("ARRAYFORMULA(IFERROR(VLOOKUP(REGEXEXTRACT(B241, ""-(\w+)-""), {Data_Validation!$F$16:$F$29, Data_Validation!$E$16:$E$29}, 2, FALSE), """"))
"),"TheMVP")</f>
        <v>TheMVP</v>
      </c>
      <c r="B241" s="217" t="str">
        <f>IFERROR(__xludf.DUMMYFUNCTION("""COMPUTED_VALUE"""),"CC-MVP-109.01")</f>
        <v>CC-MVP-109.01</v>
      </c>
      <c r="C241" s="218" t="str">
        <f>IFERROR(__xludf.DUMMYFUNCTION("IFERROR(REGEXEXTRACT(B241, ""^[A-Z]+-[A-Z]+-"") &amp; TEXT(VALUE(REGEXEXTRACT(B241, ""-(\d+)\."")), ""00""), """")"),"CC-MVP-109")</f>
        <v>CC-MVP-109</v>
      </c>
      <c r="D241" s="219" t="str">
        <f>IFERROR(VLOOKUP(C241, Content_Creation!B:D, 2, FALSE), IFERROR(VLOOKUP(C241, Project_Management!B:D, 2, FALSE), ""))
&amp; " - "
&amp; IFERROR(VLOOKUP(C241, Content_Creation!B:E, 4, FALSE), IFERROR(VLOOKUP(C241, Project_Management!B:E, 4, FALSE), ""))</f>
        <v>Idea Pending - Tweet</v>
      </c>
      <c r="E241" s="220" t="str">
        <f>IFERROR(
    VLOOKUP(B240:B1001, Content_Creation!B:D, 3, FALSE),
    IFERROR(VLOOKUP(B240:B1001, Project_Management!B:D, 3, FALSE),"")
  )</f>
        <v>Script</v>
      </c>
      <c r="F241" s="221" t="str">
        <f>IFERROR(VLOOKUP(B241, Content_Creation!B:F, 5, FALSE), IFERROR(VLOOKUP(B241, Project_Management!B:F, 5, FALSE), ""))</f>
        <v>Tazeen</v>
      </c>
      <c r="G241" s="222" t="s">
        <v>26</v>
      </c>
      <c r="H241" s="223">
        <f>IFERROR(VLOOKUP(B241, Content_Creation!B:H, 7, FALSE), IFERROR(VLOOKUP(B241, Project_Management!B:H, 7, FALSE), ""))</f>
        <v>45248</v>
      </c>
      <c r="I241" s="224">
        <v>0.041666666666666664</v>
      </c>
      <c r="J241" s="223">
        <f>IFERROR(VLOOKUP(C241, Content_Creation!B:H, 7, FALSE), IFERROR(VLOOKUP(C241, Project_Management!B:H, 7, FALSE), ""))</f>
        <v>45251</v>
      </c>
      <c r="K241" s="217"/>
      <c r="L241" s="225" t="str">
        <f>IFERROR(VLOOKUP(B241, Data_Validation!X:Y, 2, FALSE), "")</f>
        <v>Done</v>
      </c>
      <c r="M241" s="226" t="str">
        <f t="shared" si="1"/>
        <v>TheMVP | Idea Pending - Tweet | Script</v>
      </c>
      <c r="N241" s="226"/>
      <c r="O241" s="226"/>
    </row>
    <row r="242" ht="24.0" customHeight="1">
      <c r="A242" s="216" t="str">
        <f>IFERROR(__xludf.DUMMYFUNCTION("ARRAYFORMULA(IFERROR(VLOOKUP(REGEXEXTRACT(B242, ""-(\w+)-""), {Data_Validation!$F$16:$F$29, Data_Validation!$E$16:$E$29}, 2, FALSE), """"))
"),"Colorful Tech")</f>
        <v>Colorful Tech</v>
      </c>
      <c r="B242" s="217" t="str">
        <f>IFERROR(__xludf.DUMMYFUNCTION("""COMPUTED_VALUE"""),"CC-CTH-17.01")</f>
        <v>CC-CTH-17.01</v>
      </c>
      <c r="C242" s="218" t="str">
        <f>IFERROR(__xludf.DUMMYFUNCTION("IFERROR(REGEXEXTRACT(B242, ""^[A-Z]+-[A-Z]+-"") &amp; TEXT(VALUE(REGEXEXTRACT(B242, ""-(\d+)\."")), ""00""), """")"),"CC-CTH-17")</f>
        <v>CC-CTH-17</v>
      </c>
      <c r="D242" s="219" t="str">
        <f>IFERROR(VLOOKUP(C242, Content_Creation!B:D, 2, FALSE), IFERROR(VLOOKUP(C242, Project_Management!B:D, 2, FALSE), ""))
&amp; " - "
&amp; IFERROR(VLOOKUP(C242, Content_Creation!B:E, 4, FALSE), IFERROR(VLOOKUP(C242, Project_Management!B:E, 4, FALSE), ""))</f>
        <v>Ada Lovelace - Power Efficiency - Shorts</v>
      </c>
      <c r="E242" s="220" t="str">
        <f>IFERROR(
    VLOOKUP(B241:B1001, Content_Creation!B:D, 3, FALSE),
    IFERROR(VLOOKUP(B241:B1001, Project_Management!B:D, 3, FALSE),"")
  )</f>
        <v>Script</v>
      </c>
      <c r="F242" s="221" t="str">
        <f>IFERROR(VLOOKUP(B242, Content_Creation!B:F, 5, FALSE), IFERROR(VLOOKUP(B242, Project_Management!B:F, 5, FALSE), ""))</f>
        <v/>
      </c>
      <c r="G242" s="222" t="s">
        <v>179</v>
      </c>
      <c r="H242" s="223">
        <f>IFERROR(VLOOKUP(B242, Content_Creation!B:H, 7, FALSE), IFERROR(VLOOKUP(B242, Project_Management!B:H, 7, FALSE), ""))</f>
        <v>45236</v>
      </c>
      <c r="I242" s="224">
        <v>0.0625</v>
      </c>
      <c r="J242" s="223">
        <f>IFERROR(VLOOKUP(C242, Content_Creation!B:H, 7, FALSE), IFERROR(VLOOKUP(C242, Project_Management!B:H, 7, FALSE), ""))</f>
        <v>45245</v>
      </c>
      <c r="K242" s="217"/>
      <c r="L242" s="225" t="str">
        <f>IFERROR(VLOOKUP(B242, Data_Validation!X:Y, 2, FALSE), "")</f>
        <v>Not Started</v>
      </c>
      <c r="M242" s="226" t="str">
        <f t="shared" si="1"/>
        <v>Colorful Tech | Ada Lovelace - Power Efficiency - Shorts | Script</v>
      </c>
      <c r="N242" s="226"/>
      <c r="O242" s="226"/>
    </row>
    <row r="243" ht="24.0" customHeight="1">
      <c r="A243" s="216" t="str">
        <f>IFERROR(__xludf.DUMMYFUNCTION("ARRAYFORMULA(IFERROR(VLOOKUP(REGEXEXTRACT(B243, ""-(\w+)-""), {Data_Validation!$F$16:$F$29, Data_Validation!$E$16:$E$29}, 2, FALSE), """"))
"),"Colorful Tech")</f>
        <v>Colorful Tech</v>
      </c>
      <c r="B243" s="217" t="str">
        <f>IFERROR(__xludf.DUMMYFUNCTION("""COMPUTED_VALUE"""),"CC-CTH-17.02")</f>
        <v>CC-CTH-17.02</v>
      </c>
      <c r="C243" s="218" t="str">
        <f>IFERROR(__xludf.DUMMYFUNCTION("IFERROR(REGEXEXTRACT(B243, ""^[A-Z]+-[A-Z]+-"") &amp; TEXT(VALUE(REGEXEXTRACT(B243, ""-(\d+)\."")), ""00""), """")"),"CC-CTH-17")</f>
        <v>CC-CTH-17</v>
      </c>
      <c r="D243" s="219" t="str">
        <f>IFERROR(VLOOKUP(C243, Content_Creation!B:D, 2, FALSE), IFERROR(VLOOKUP(C243, Project_Management!B:D, 2, FALSE), ""))
&amp; " - "
&amp; IFERROR(VLOOKUP(C243, Content_Creation!B:E, 4, FALSE), IFERROR(VLOOKUP(C243, Project_Management!B:E, 4, FALSE), ""))</f>
        <v>Ada Lovelace - Power Efficiency - Shorts</v>
      </c>
      <c r="E243" s="220" t="str">
        <f>IFERROR(
    VLOOKUP(B242:B1001, Content_Creation!B:D, 3, FALSE),
    IFERROR(VLOOKUP(B242:B1001, Project_Management!B:D, 3, FALSE),"")
  )</f>
        <v>Shoot</v>
      </c>
      <c r="F243" s="221" t="str">
        <f>IFERROR(VLOOKUP(B243, Content_Creation!B:F, 5, FALSE), IFERROR(VLOOKUP(B243, Project_Management!B:F, 5, FALSE), ""))</f>
        <v/>
      </c>
      <c r="G243" s="222" t="s">
        <v>179</v>
      </c>
      <c r="H243" s="223">
        <f>IFERROR(VLOOKUP(B243, Content_Creation!B:H, 7, FALSE), IFERROR(VLOOKUP(B243, Project_Management!B:H, 7, FALSE), ""))</f>
        <v>45236</v>
      </c>
      <c r="I243" s="224">
        <v>0.003472222222222222</v>
      </c>
      <c r="J243" s="223">
        <f>IFERROR(VLOOKUP(C243, Content_Creation!B:H, 7, FALSE), IFERROR(VLOOKUP(C243, Project_Management!B:H, 7, FALSE), ""))</f>
        <v>45245</v>
      </c>
      <c r="K243" s="217"/>
      <c r="L243" s="225" t="str">
        <f>IFERROR(VLOOKUP(B243, Data_Validation!X:Y, 2, FALSE), "")</f>
        <v>Not Started</v>
      </c>
      <c r="M243" s="226" t="str">
        <f t="shared" si="1"/>
        <v>Colorful Tech | Ada Lovelace - Power Efficiency - Shorts | Shoot</v>
      </c>
      <c r="N243" s="226"/>
      <c r="O243" s="226"/>
    </row>
    <row r="244" ht="24.0" customHeight="1">
      <c r="A244" s="216" t="str">
        <f>IFERROR(__xludf.DUMMYFUNCTION("ARRAYFORMULA(IFERROR(VLOOKUP(REGEXEXTRACT(B244, ""-(\w+)-""), {Data_Validation!$F$16:$F$29, Data_Validation!$E$16:$E$29}, 2, FALSE), """"))
"),"Colorful Tech")</f>
        <v>Colorful Tech</v>
      </c>
      <c r="B244" s="217" t="str">
        <f>IFERROR(__xludf.DUMMYFUNCTION("""COMPUTED_VALUE"""),"CC-CTH-17.04")</f>
        <v>CC-CTH-17.04</v>
      </c>
      <c r="C244" s="218" t="str">
        <f>IFERROR(__xludf.DUMMYFUNCTION("IFERROR(REGEXEXTRACT(B244, ""^[A-Z]+-[A-Z]+-"") &amp; TEXT(VALUE(REGEXEXTRACT(B244, ""-(\d+)\."")), ""00""), """")"),"CC-CTH-17")</f>
        <v>CC-CTH-17</v>
      </c>
      <c r="D244" s="219" t="str">
        <f>IFERROR(VLOOKUP(C244, Content_Creation!B:D, 2, FALSE), IFERROR(VLOOKUP(C244, Project_Management!B:D, 2, FALSE), ""))
&amp; " - "
&amp; IFERROR(VLOOKUP(C244, Content_Creation!B:E, 4, FALSE), IFERROR(VLOOKUP(C244, Project_Management!B:E, 4, FALSE), ""))</f>
        <v>Ada Lovelace - Power Efficiency - Shorts</v>
      </c>
      <c r="E244" s="220" t="str">
        <f>IFERROR(
    VLOOKUP(B243:B1001, Content_Creation!B:D, 3, FALSE),
    IFERROR(VLOOKUP(B243:B1001, Project_Management!B:D, 3, FALSE),"")
  )</f>
        <v>Editor Notes</v>
      </c>
      <c r="F244" s="221" t="str">
        <f>IFERROR(VLOOKUP(B244, Content_Creation!B:F, 5, FALSE), IFERROR(VLOOKUP(B244, Project_Management!B:F, 5, FALSE), ""))</f>
        <v/>
      </c>
      <c r="G244" s="222" t="s">
        <v>179</v>
      </c>
      <c r="H244" s="223">
        <f>IFERROR(VLOOKUP(B244, Content_Creation!B:H, 7, FALSE), IFERROR(VLOOKUP(B244, Project_Management!B:H, 7, FALSE), ""))</f>
        <v>45236</v>
      </c>
      <c r="I244" s="224">
        <v>0.0</v>
      </c>
      <c r="J244" s="223">
        <f>IFERROR(VLOOKUP(C244, Content_Creation!B:H, 7, FALSE), IFERROR(VLOOKUP(C244, Project_Management!B:H, 7, FALSE), ""))</f>
        <v>45245</v>
      </c>
      <c r="K244" s="217"/>
      <c r="L244" s="225" t="str">
        <f>IFERROR(VLOOKUP(B244, Data_Validation!X:Y, 2, FALSE), "")</f>
        <v>Not Started</v>
      </c>
      <c r="M244" s="226" t="str">
        <f t="shared" si="1"/>
        <v>Colorful Tech | Ada Lovelace - Power Efficiency - Shorts | Editor Notes</v>
      </c>
      <c r="N244" s="226"/>
      <c r="O244" s="226"/>
    </row>
    <row r="245" ht="24.0" customHeight="1">
      <c r="A245" s="216" t="str">
        <f>IFERROR(__xludf.DUMMYFUNCTION("ARRAYFORMULA(IFERROR(VLOOKUP(REGEXEXTRACT(B245, ""-(\w+)-""), {Data_Validation!$F$16:$F$29, Data_Validation!$E$16:$E$29}, 2, FALSE), """"))
"),"Colorful Tech")</f>
        <v>Colorful Tech</v>
      </c>
      <c r="B245" s="217" t="str">
        <f>IFERROR(__xludf.DUMMYFUNCTION("""COMPUTED_VALUE"""),"CC-CTH-17.05")</f>
        <v>CC-CTH-17.05</v>
      </c>
      <c r="C245" s="218" t="str">
        <f>IFERROR(__xludf.DUMMYFUNCTION("IFERROR(REGEXEXTRACT(B245, ""^[A-Z]+-[A-Z]+-"") &amp; TEXT(VALUE(REGEXEXTRACT(B245, ""-(\d+)\."")), ""00""), """")"),"CC-CTH-17")</f>
        <v>CC-CTH-17</v>
      </c>
      <c r="D245" s="219" t="str">
        <f>IFERROR(VLOOKUP(C245, Content_Creation!B:D, 2, FALSE), IFERROR(VLOOKUP(C245, Project_Management!B:D, 2, FALSE), ""))
&amp; " - "
&amp; IFERROR(VLOOKUP(C245, Content_Creation!B:E, 4, FALSE), IFERROR(VLOOKUP(C245, Project_Management!B:E, 4, FALSE), ""))</f>
        <v>Ada Lovelace - Power Efficiency - Shorts</v>
      </c>
      <c r="E245" s="220" t="str">
        <f>IFERROR(
    VLOOKUP(B244:B1001, Content_Creation!B:D, 3, FALSE),
    IFERROR(VLOOKUP(B244:B1001, Project_Management!B:D, 3, FALSE),"")
  )</f>
        <v>Edit</v>
      </c>
      <c r="F245" s="221" t="str">
        <f>IFERROR(VLOOKUP(B245, Content_Creation!B:F, 5, FALSE), IFERROR(VLOOKUP(B245, Project_Management!B:F, 5, FALSE), ""))</f>
        <v/>
      </c>
      <c r="G245" s="222" t="s">
        <v>179</v>
      </c>
      <c r="H245" s="223">
        <f>IFERROR(VLOOKUP(B245, Content_Creation!B:H, 7, FALSE), IFERROR(VLOOKUP(B245, Project_Management!B:H, 7, FALSE), ""))</f>
        <v>45236</v>
      </c>
      <c r="I245" s="224">
        <v>0.03125</v>
      </c>
      <c r="J245" s="223">
        <f>IFERROR(VLOOKUP(C245, Content_Creation!B:H, 7, FALSE), IFERROR(VLOOKUP(C245, Project_Management!B:H, 7, FALSE), ""))</f>
        <v>45245</v>
      </c>
      <c r="K245" s="217"/>
      <c r="L245" s="225" t="str">
        <f>IFERROR(VLOOKUP(B245, Data_Validation!X:Y, 2, FALSE), "")</f>
        <v>Not Started</v>
      </c>
      <c r="M245" s="226" t="str">
        <f t="shared" si="1"/>
        <v>Colorful Tech | Ada Lovelace - Power Efficiency - Shorts | Edit</v>
      </c>
      <c r="N245" s="226"/>
      <c r="O245" s="226"/>
    </row>
    <row r="246" ht="24.0" customHeight="1">
      <c r="A246" s="216" t="str">
        <f>IFERROR(__xludf.DUMMYFUNCTION("ARRAYFORMULA(IFERROR(VLOOKUP(REGEXEXTRACT(B246, ""-(\w+)-""), {Data_Validation!$F$16:$F$29, Data_Validation!$E$16:$E$29}, 2, FALSE), """"))
"),"Inno3D")</f>
        <v>Inno3D</v>
      </c>
      <c r="B246" s="217" t="str">
        <f>IFERROR(__xludf.DUMMYFUNCTION("""COMPUTED_VALUE"""),"CC-INN-26.03")</f>
        <v>CC-INN-26.03</v>
      </c>
      <c r="C246" s="218" t="str">
        <f>IFERROR(__xludf.DUMMYFUNCTION("IFERROR(REGEXEXTRACT(B246, ""^[A-Z]+-[A-Z]+-"") &amp; TEXT(VALUE(REGEXEXTRACT(B246, ""-(\d+)\."")), ""00""), """")"),"CC-INN-26")</f>
        <v>CC-INN-26</v>
      </c>
      <c r="D246" s="219" t="str">
        <f>IFERROR(VLOOKUP(C246, Content_Creation!B:D, 2, FALSE), IFERROR(VLOOKUP(C246, Project_Management!B:D, 2, FALSE), ""))
&amp; " - "
&amp; IFERROR(VLOOKUP(C246, Content_Creation!B:E, 4, FALSE), IFERROR(VLOOKUP(C246, Project_Management!B:E, 4, FALSE), ""))</f>
        <v>Build photo - Insta</v>
      </c>
      <c r="E246" s="220" t="str">
        <f>IFERROR(
    VLOOKUP(B245:B1001, Content_Creation!B:D, 3, FALSE),
    IFERROR(VLOOKUP(B245:B1001, Project_Management!B:D, 3, FALSE),"")
  )</f>
        <v>Edit</v>
      </c>
      <c r="F246" s="221" t="str">
        <f>IFERROR(VLOOKUP(B246, Content_Creation!B:F, 5, FALSE), IFERROR(VLOOKUP(B246, Project_Management!B:F, 5, FALSE), ""))</f>
        <v>Naveen</v>
      </c>
      <c r="G246" s="222" t="s">
        <v>26</v>
      </c>
      <c r="H246" s="223">
        <f>IFERROR(VLOOKUP(B246, Content_Creation!B:H, 7, FALSE), IFERROR(VLOOKUP(B246, Project_Management!B:H, 7, FALSE), ""))</f>
        <v>45236</v>
      </c>
      <c r="I246" s="224">
        <v>0.03125</v>
      </c>
      <c r="J246" s="223">
        <f>IFERROR(VLOOKUP(C246, Content_Creation!B:H, 7, FALSE), IFERROR(VLOOKUP(C246, Project_Management!B:H, 7, FALSE), ""))</f>
        <v>45238</v>
      </c>
      <c r="K246" s="217"/>
      <c r="L246" s="225" t="str">
        <f>IFERROR(VLOOKUP(B246, Data_Validation!X:Y, 2, FALSE), "")</f>
        <v>Done</v>
      </c>
      <c r="M246" s="226" t="str">
        <f t="shared" si="1"/>
        <v>Inno3D | Build photo - Insta | Edit</v>
      </c>
      <c r="N246" s="226"/>
      <c r="O246" s="226"/>
    </row>
    <row r="247" ht="24.0" customHeight="1">
      <c r="A247" s="216" t="str">
        <f>IFERROR(__xludf.DUMMYFUNCTION("ARRAYFORMULA(IFERROR(VLOOKUP(REGEXEXTRACT(B247, ""-(\w+)-""), {Data_Validation!$F$16:$F$29, Data_Validation!$E$16:$E$29}, 2, FALSE), """"))
"),"MaCaw")</f>
        <v>MaCaw</v>
      </c>
      <c r="B247" s="217" t="str">
        <f>IFERROR(__xludf.DUMMYFUNCTION("""COMPUTED_VALUE"""),"PM-MAC-01.04")</f>
        <v>PM-MAC-01.04</v>
      </c>
      <c r="C247" s="218" t="str">
        <f>IFERROR(__xludf.DUMMYFUNCTION("IFERROR(REGEXEXTRACT(B247, ""^[A-Z]+-[A-Z]+-"") &amp; TEXT(VALUE(REGEXEXTRACT(B247, ""-(\d+)\."")), ""00""), """")"),"PM-MAC-01")</f>
        <v>PM-MAC-01</v>
      </c>
      <c r="D247" s="219" t="str">
        <f>IFERROR(VLOOKUP(C247, Content_Creation!B:D, 2, FALSE), IFERROR(VLOOKUP(C247, Project_Management!B:D, 2, FALSE), ""))
&amp; " - "
&amp; IFERROR(VLOOKUP(C247, Content_Creation!B:E, 4, FALSE), IFERROR(VLOOKUP(C247, Project_Management!B:E, 4, FALSE), ""))</f>
        <v>Web Dev + AdHoc - Website</v>
      </c>
      <c r="E247" s="220" t="str">
        <f>IFERROR(
    VLOOKUP(B246:B1001, Content_Creation!B:D, 3, FALSE),
    IFERROR(VLOOKUP(B246:B1001, Project_Management!B:D, 3, FALSE),"")
  )</f>
        <v>Receipt Design</v>
      </c>
      <c r="F247" s="221" t="str">
        <f>IFERROR(VLOOKUP(B247, Content_Creation!B:F, 5, FALSE), IFERROR(VLOOKUP(B247, Project_Management!B:F, 5, FALSE), ""))</f>
        <v>Naveen</v>
      </c>
      <c r="G247" s="222" t="s">
        <v>26</v>
      </c>
      <c r="H247" s="223">
        <f>IFERROR(VLOOKUP(B247, Content_Creation!B:H, 7, FALSE), IFERROR(VLOOKUP(B247, Project_Management!B:H, 7, FALSE), ""))</f>
        <v>45236</v>
      </c>
      <c r="I247" s="224">
        <v>0.0</v>
      </c>
      <c r="J247" s="223">
        <f>IFERROR(VLOOKUP(C247, Content_Creation!B:H, 7, FALSE), IFERROR(VLOOKUP(C247, Project_Management!B:H, 7, FALSE), ""))</f>
        <v>45248</v>
      </c>
      <c r="K247" s="217"/>
      <c r="L247" s="225" t="str">
        <f>IFERROR(VLOOKUP(B247, Data_Validation!X:Y, 2, FALSE), "")</f>
        <v>Done</v>
      </c>
      <c r="M247" s="226" t="str">
        <f t="shared" si="1"/>
        <v>MaCaw | Web Dev + AdHoc - Website | Receipt Design</v>
      </c>
      <c r="N247" s="226"/>
      <c r="O247" s="226"/>
    </row>
    <row r="248" ht="24.0" customHeight="1">
      <c r="A248" s="216" t="str">
        <f>IFERROR(__xludf.DUMMYFUNCTION("ARRAYFORMULA(IFERROR(VLOOKUP(REGEXEXTRACT(B248, ""-(\w+)-""), {Data_Validation!$F$16:$F$29, Data_Validation!$E$16:$E$29}, 2, FALSE), """"))
"),"Inno3D")</f>
        <v>Inno3D</v>
      </c>
      <c r="B248" s="217" t="str">
        <f>IFERROR(__xludf.DUMMYFUNCTION("""COMPUTED_VALUE"""),"PM-INN-01.03")</f>
        <v>PM-INN-01.03</v>
      </c>
      <c r="C248" s="218" t="str">
        <f>IFERROR(__xludf.DUMMYFUNCTION("IFERROR(REGEXEXTRACT(B248, ""^[A-Z]+-[A-Z]+-"") &amp; TEXT(VALUE(REGEXEXTRACT(B248, ""-(\d+)\."")), ""00""), """")"),"PM-INN-01")</f>
        <v>PM-INN-01</v>
      </c>
      <c r="D248" s="219" t="str">
        <f>IFERROR(VLOOKUP(C248, Content_Creation!B:D, 2, FALSE), IFERROR(VLOOKUP(C248, Project_Management!B:D, 2, FALSE), ""))
&amp; " - "
&amp; IFERROR(VLOOKUP(C248, Content_Creation!B:E, 4, FALSE), IFERROR(VLOOKUP(C248, Project_Management!B:E, 4, FALSE), ""))</f>
        <v>AdHoc - Misc</v>
      </c>
      <c r="E248" s="220" t="str">
        <f>IFERROR(
    VLOOKUP(B247:B1001, Content_Creation!B:D, 3, FALSE),
    IFERROR(VLOOKUP(B247:B1001, Project_Management!B:D, 3, FALSE),"")
  )</f>
        <v>Subtask 3</v>
      </c>
      <c r="F248" s="221" t="str">
        <f>IFERROR(VLOOKUP(B248, Content_Creation!B:F, 5, FALSE), IFERROR(VLOOKUP(B248, Project_Management!B:F, 5, FALSE), ""))</f>
        <v>Naveen</v>
      </c>
      <c r="G248" s="222" t="s">
        <v>26</v>
      </c>
      <c r="H248" s="223">
        <f>IFERROR(VLOOKUP(B248, Content_Creation!B:H, 7, FALSE), IFERROR(VLOOKUP(B248, Project_Management!B:H, 7, FALSE), ""))</f>
        <v>45236</v>
      </c>
      <c r="I248" s="224">
        <v>0.020833333333333332</v>
      </c>
      <c r="J248" s="223">
        <f>IFERROR(VLOOKUP(C248, Content_Creation!B:H, 7, FALSE), IFERROR(VLOOKUP(C248, Project_Management!B:H, 7, FALSE), ""))</f>
        <v>45239</v>
      </c>
      <c r="K248" s="217"/>
      <c r="L248" s="225" t="str">
        <f>IFERROR(VLOOKUP(B248, Data_Validation!X:Y, 2, FALSE), "")</f>
        <v>Done</v>
      </c>
      <c r="M248" s="226" t="str">
        <f t="shared" si="1"/>
        <v>Inno3D | AdHoc - Misc | Subtask 3</v>
      </c>
      <c r="N248" s="226"/>
      <c r="O248" s="226"/>
    </row>
    <row r="249" ht="24.0" customHeight="1">
      <c r="A249" s="216" t="str">
        <f>IFERROR(__xludf.DUMMYFUNCTION("ARRAYFORMULA(IFERROR(VLOOKUP(REGEXEXTRACT(B249, ""-(\w+)-""), {Data_Validation!$F$16:$F$29, Data_Validation!$E$16:$E$29}, 2, FALSE), """"))
"),"TheMVP")</f>
        <v>TheMVP</v>
      </c>
      <c r="B249" s="217" t="str">
        <f>IFERROR(__xludf.DUMMYFUNCTION("""COMPUTED_VALUE"""),"PM-MVP-03.04")</f>
        <v>PM-MVP-03.04</v>
      </c>
      <c r="C249" s="218" t="str">
        <f>IFERROR(__xludf.DUMMYFUNCTION("IFERROR(REGEXEXTRACT(B249, ""^[A-Z]+-[A-Z]+-"") &amp; TEXT(VALUE(REGEXEXTRACT(B249, ""-(\d+)\."")), ""00""), """")"),"PM-MVP-03")</f>
        <v>PM-MVP-03</v>
      </c>
      <c r="D249" s="219" t="str">
        <f>IFERROR(VLOOKUP(C249, Content_Creation!B:D, 2, FALSE), IFERROR(VLOOKUP(C249, Project_Management!B:D, 2, FALSE), ""))
&amp; " - "
&amp; IFERROR(VLOOKUP(C249, Content_Creation!B:E, 4, FALSE), IFERROR(VLOOKUP(C249, Project_Management!B:E, 4, FALSE), ""))</f>
        <v>Nov-AdHoc - Misc</v>
      </c>
      <c r="E249" s="220" t="str">
        <f>IFERROR(
    VLOOKUP(B248:B1001, Content_Creation!B:D, 3, FALSE),
    IFERROR(VLOOKUP(B248:B1001, Project_Management!B:D, 3, FALSE),"")
  )</f>
        <v>EDM Design</v>
      </c>
      <c r="F249" s="221" t="str">
        <f>IFERROR(VLOOKUP(B249, Content_Creation!B:F, 5, FALSE), IFERROR(VLOOKUP(B249, Project_Management!B:F, 5, FALSE), ""))</f>
        <v>Nasser</v>
      </c>
      <c r="G249" s="222" t="s">
        <v>26</v>
      </c>
      <c r="H249" s="223">
        <f>IFERROR(VLOOKUP(B249, Content_Creation!B:H, 7, FALSE), IFERROR(VLOOKUP(B249, Project_Management!B:H, 7, FALSE), ""))</f>
        <v>45236</v>
      </c>
      <c r="I249" s="224">
        <v>0.041666666666666664</v>
      </c>
      <c r="J249" s="223">
        <f>IFERROR(VLOOKUP(C249, Content_Creation!B:H, 7, FALSE), IFERROR(VLOOKUP(C249, Project_Management!B:H, 7, FALSE), ""))</f>
        <v>45240</v>
      </c>
      <c r="K249" s="217"/>
      <c r="L249" s="225" t="str">
        <f>IFERROR(VLOOKUP(B249, Data_Validation!X:Y, 2, FALSE), "")</f>
        <v>Done</v>
      </c>
      <c r="M249" s="226" t="str">
        <f t="shared" si="1"/>
        <v>TheMVP | Nov-AdHoc - Misc | EDM Design</v>
      </c>
      <c r="N249" s="226"/>
      <c r="O249" s="226"/>
    </row>
    <row r="250" ht="24.0" customHeight="1">
      <c r="A250" s="216" t="str">
        <f>IFERROR(__xludf.DUMMYFUNCTION("ARRAYFORMULA(IFERROR(VLOOKUP(REGEXEXTRACT(B250, ""-(\w+)-""), {Data_Validation!$F$16:$F$29, Data_Validation!$E$16:$E$29}, 2, FALSE), """"))
"),"Picture This!")</f>
        <v>Picture This!</v>
      </c>
      <c r="B250" s="217" t="str">
        <f>IFERROR(__xludf.DUMMYFUNCTION("""COMPUTED_VALUE"""),"PM-PTS-05.13")</f>
        <v>PM-PTS-05.13</v>
      </c>
      <c r="C250" s="218" t="str">
        <f>IFERROR(__xludf.DUMMYFUNCTION("IFERROR(REGEXEXTRACT(B250, ""^[A-Z]+-[A-Z]+-"") &amp; TEXT(VALUE(REGEXEXTRACT(B250, ""-(\d+)\."")), ""00""), """")"),"PM-PTS-05")</f>
        <v>PM-PTS-05</v>
      </c>
      <c r="D250" s="219" t="str">
        <f>IFERROR(VLOOKUP(C250, Content_Creation!B:D, 2, FALSE), IFERROR(VLOOKUP(C250, Project_Management!B:D, 2, FALSE), ""))
&amp; " - "
&amp; IFERROR(VLOOKUP(C250, Content_Creation!B:E, 4, FALSE), IFERROR(VLOOKUP(C250, Project_Management!B:E, 4, FALSE), ""))</f>
        <v>Picture This- AdHoc - Website</v>
      </c>
      <c r="E250" s="220" t="str">
        <f>IFERROR(
    VLOOKUP(B249:B1001, Content_Creation!B:D, 3, FALSE),
    IFERROR(VLOOKUP(B249:B1001, Project_Management!B:D, 3, FALSE),"")
  )</f>
        <v>Aditya sample</v>
      </c>
      <c r="F250" s="221" t="str">
        <f>IFERROR(VLOOKUP(B250, Content_Creation!B:F, 5, FALSE), IFERROR(VLOOKUP(B250, Project_Management!B:F, 5, FALSE), ""))</f>
        <v>Jayanth</v>
      </c>
      <c r="G250" s="222" t="s">
        <v>26</v>
      </c>
      <c r="H250" s="223">
        <f>IFERROR(VLOOKUP(B250, Content_Creation!B:H, 7, FALSE), IFERROR(VLOOKUP(B250, Project_Management!B:H, 7, FALSE), ""))</f>
        <v>45236</v>
      </c>
      <c r="I250" s="224">
        <v>0.0625</v>
      </c>
      <c r="J250" s="223">
        <f>IFERROR(VLOOKUP(C250, Content_Creation!B:H, 7, FALSE), IFERROR(VLOOKUP(C250, Project_Management!B:H, 7, FALSE), ""))</f>
        <v>45241</v>
      </c>
      <c r="K250" s="217"/>
      <c r="L250" s="225" t="str">
        <f>IFERROR(VLOOKUP(B250, Data_Validation!X:Y, 2, FALSE), "")</f>
        <v>Done</v>
      </c>
      <c r="M250" s="226" t="str">
        <f t="shared" si="1"/>
        <v>Picture This! | Picture This- AdHoc - Website | Aditya sample</v>
      </c>
      <c r="N250" s="226"/>
      <c r="O250" s="226"/>
    </row>
    <row r="251" ht="24.0" customHeight="1">
      <c r="A251" s="216" t="str">
        <f>IFERROR(__xludf.DUMMYFUNCTION("ARRAYFORMULA(IFERROR(VLOOKUP(REGEXEXTRACT(B251, ""-(\w+)-""), {Data_Validation!$F$16:$F$29, Data_Validation!$E$16:$E$29}, 2, FALSE), """"))
"),"Picture This!")</f>
        <v>Picture This!</v>
      </c>
      <c r="B251" s="217" t="str">
        <f>IFERROR(__xludf.DUMMYFUNCTION("""COMPUTED_VALUE"""),"PM-PTS-03.06")</f>
        <v>PM-PTS-03.06</v>
      </c>
      <c r="C251" s="218" t="str">
        <f>IFERROR(__xludf.DUMMYFUNCTION("IFERROR(REGEXEXTRACT(B251, ""^[A-Z]+-[A-Z]+-"") &amp; TEXT(VALUE(REGEXEXTRACT(B251, ""-(\d+)\."")), ""00""), """")"),"PM-PTS-03")</f>
        <v>PM-PTS-03</v>
      </c>
      <c r="D251" s="219" t="str">
        <f>IFERROR(VLOOKUP(C251, Content_Creation!B:D, 2, FALSE), IFERROR(VLOOKUP(C251, Project_Management!B:D, 2, FALSE), ""))
&amp; " - "
&amp; IFERROR(VLOOKUP(C251, Content_Creation!B:E, 4, FALSE), IFERROR(VLOOKUP(C251, Project_Management!B:E, 4, FALSE), ""))</f>
        <v>Company Profile - Docs</v>
      </c>
      <c r="E251" s="220" t="str">
        <f>IFERROR(
    VLOOKUP(B250:B1001, Content_Creation!B:D, 3, FALSE),
    IFERROR(VLOOKUP(B250:B1001, Project_Management!B:D, 3, FALSE),"")
  )</f>
        <v>Finalise</v>
      </c>
      <c r="F251" s="221" t="str">
        <f>IFERROR(VLOOKUP(B251, Content_Creation!B:F, 5, FALSE), IFERROR(VLOOKUP(B251, Project_Management!B:F, 5, FALSE), ""))</f>
        <v>Nasser</v>
      </c>
      <c r="G251" s="222" t="s">
        <v>388</v>
      </c>
      <c r="H251" s="223">
        <f>IFERROR(VLOOKUP(B251, Content_Creation!B:H, 7, FALSE), IFERROR(VLOOKUP(B251, Project_Management!B:H, 7, FALSE), ""))</f>
        <v>45236</v>
      </c>
      <c r="I251" s="224">
        <v>0.041666666666666664</v>
      </c>
      <c r="J251" s="223">
        <f>IFERROR(VLOOKUP(C251, Content_Creation!B:H, 7, FALSE), IFERROR(VLOOKUP(C251, Project_Management!B:H, 7, FALSE), ""))</f>
        <v>45162</v>
      </c>
      <c r="K251" s="217"/>
      <c r="L251" s="225" t="str">
        <f>IFERROR(VLOOKUP(B251, Data_Validation!X:Y, 2, FALSE), "")</f>
        <v>In Review</v>
      </c>
      <c r="M251" s="226" t="str">
        <f t="shared" si="1"/>
        <v>Picture This! | Company Profile - Docs | Finalise</v>
      </c>
      <c r="N251" s="226"/>
      <c r="O251" s="226"/>
    </row>
    <row r="252" ht="24.0" customHeight="1">
      <c r="A252" s="216" t="str">
        <f>IFERROR(__xludf.DUMMYFUNCTION("ARRAYFORMULA(IFERROR(VLOOKUP(REGEXEXTRACT(B252, ""-(\w+)-""), {Data_Validation!$F$16:$F$29, Data_Validation!$E$16:$E$29}, 2, FALSE), """"))
"),"TheMVP")</f>
        <v>TheMVP</v>
      </c>
      <c r="B252" s="217" t="str">
        <f>IFERROR(__xludf.DUMMYFUNCTION("""COMPUTED_VALUE"""),"CC-MVP-44.02")</f>
        <v>CC-MVP-44.02</v>
      </c>
      <c r="C252" s="218" t="str">
        <f>IFERROR(__xludf.DUMMYFUNCTION("IFERROR(REGEXEXTRACT(B252, ""^[A-Z]+-[A-Z]+-"") &amp; TEXT(VALUE(REGEXEXTRACT(B252, ""-(\d+)\."")), ""00""), """")"),"CC-MVP-44")</f>
        <v>CC-MVP-44</v>
      </c>
      <c r="D252" s="219" t="str">
        <f>IFERROR(VLOOKUP(C252, Content_Creation!B:D, 2, FALSE), IFERROR(VLOOKUP(C252, Project_Management!B:D, 2, FALSE), ""))
&amp; " - "
&amp; IFERROR(VLOOKUP(C252, Content_Creation!B:E, 4, FALSE), IFERROR(VLOOKUP(C252, Project_Management!B:E, 4, FALSE), ""))</f>
        <v>Ada Lovelace Power Efficiency - Shorts</v>
      </c>
      <c r="E252" s="220" t="str">
        <f>IFERROR(
    VLOOKUP(B251:B1001, Content_Creation!B:D, 3, FALSE),
    IFERROR(VLOOKUP(B251:B1001, Project_Management!B:D, 3, FALSE),"")
  )</f>
        <v>Voiceover</v>
      </c>
      <c r="F252" s="221" t="str">
        <f>IFERROR(VLOOKUP(B252, Content_Creation!B:F, 5, FALSE), IFERROR(VLOOKUP(B252, Project_Management!B:F, 5, FALSE), ""))</f>
        <v>Talha</v>
      </c>
      <c r="G252" s="222" t="s">
        <v>26</v>
      </c>
      <c r="H252" s="223">
        <f>IFERROR(VLOOKUP(B252, Content_Creation!B:H, 7, FALSE), IFERROR(VLOOKUP(B252, Project_Management!B:H, 7, FALSE), ""))</f>
        <v>45237</v>
      </c>
      <c r="I252" s="224">
        <v>0.020833333333333332</v>
      </c>
      <c r="J252" s="223">
        <f>IFERROR(VLOOKUP(C252, Content_Creation!B:H, 7, FALSE), IFERROR(VLOOKUP(C252, Project_Management!B:H, 7, FALSE), ""))</f>
        <v>45238</v>
      </c>
      <c r="K252" s="217"/>
      <c r="L252" s="225" t="str">
        <f>IFERROR(VLOOKUP(B252, Data_Validation!X:Y, 2, FALSE), "")</f>
        <v>Done</v>
      </c>
      <c r="M252" s="226" t="str">
        <f t="shared" si="1"/>
        <v>TheMVP | Ada Lovelace Power Efficiency - Shorts | Voiceover</v>
      </c>
      <c r="N252" s="226"/>
      <c r="O252" s="226"/>
    </row>
    <row r="253" ht="24.0" customHeight="1">
      <c r="A253" s="216" t="str">
        <f>IFERROR(__xludf.DUMMYFUNCTION("ARRAYFORMULA(IFERROR(VLOOKUP(REGEXEXTRACT(B253, ""-(\w+)-""), {Data_Validation!$F$16:$F$29, Data_Validation!$E$16:$E$29}, 2, FALSE), """"))
"),"TheMVP")</f>
        <v>TheMVP</v>
      </c>
      <c r="B253" s="217" t="str">
        <f>IFERROR(__xludf.DUMMYFUNCTION("""COMPUTED_VALUE"""),"CC-MVP-44.05")</f>
        <v>CC-MVP-44.05</v>
      </c>
      <c r="C253" s="218" t="str">
        <f>IFERROR(__xludf.DUMMYFUNCTION("IFERROR(REGEXEXTRACT(B253, ""^[A-Z]+-[A-Z]+-"") &amp; TEXT(VALUE(REGEXEXTRACT(B253, ""-(\d+)\."")), ""00""), """")"),"CC-MVP-44")</f>
        <v>CC-MVP-44</v>
      </c>
      <c r="D253" s="219" t="str">
        <f>IFERROR(VLOOKUP(C253, Content_Creation!B:D, 2, FALSE), IFERROR(VLOOKUP(C253, Project_Management!B:D, 2, FALSE), ""))
&amp; " - "
&amp; IFERROR(VLOOKUP(C253, Content_Creation!B:E, 4, FALSE), IFERROR(VLOOKUP(C253, Project_Management!B:E, 4, FALSE), ""))</f>
        <v>Ada Lovelace Power Efficiency - Shorts</v>
      </c>
      <c r="E253" s="220" t="str">
        <f>IFERROR(
    VLOOKUP(B252:B1001, Content_Creation!B:D, 3, FALSE),
    IFERROR(VLOOKUP(B252:B1001, Project_Management!B:D, 3, FALSE),"")
  )</f>
        <v>Edit</v>
      </c>
      <c r="F253" s="221" t="str">
        <f>IFERROR(VLOOKUP(B253, Content_Creation!B:F, 5, FALSE), IFERROR(VLOOKUP(B253, Project_Management!B:F, 5, FALSE), ""))</f>
        <v>Tazeen</v>
      </c>
      <c r="G253" s="222" t="s">
        <v>26</v>
      </c>
      <c r="H253" s="223">
        <f>IFERROR(VLOOKUP(B253, Content_Creation!B:H, 7, FALSE), IFERROR(VLOOKUP(B253, Project_Management!B:H, 7, FALSE), ""))</f>
        <v>45237</v>
      </c>
      <c r="I253" s="224">
        <v>0.03125</v>
      </c>
      <c r="J253" s="223">
        <f>IFERROR(VLOOKUP(C253, Content_Creation!B:H, 7, FALSE), IFERROR(VLOOKUP(C253, Project_Management!B:H, 7, FALSE), ""))</f>
        <v>45238</v>
      </c>
      <c r="K253" s="217"/>
      <c r="L253" s="225" t="str">
        <f>IFERROR(VLOOKUP(B253, Data_Validation!X:Y, 2, FALSE), "")</f>
        <v>Done</v>
      </c>
      <c r="M253" s="226" t="str">
        <f t="shared" si="1"/>
        <v>TheMVP | Ada Lovelace Power Efficiency - Shorts | Edit</v>
      </c>
      <c r="N253" s="226"/>
      <c r="O253" s="226"/>
    </row>
    <row r="254" ht="24.0" customHeight="1">
      <c r="A254" s="216" t="str">
        <f>IFERROR(__xludf.DUMMYFUNCTION("ARRAYFORMULA(IFERROR(VLOOKUP(REGEXEXTRACT(B254, ""-(\w+)-""), {Data_Validation!$F$16:$F$29, Data_Validation!$E$16:$E$29}, 2, FALSE), """"))
"),"TheMVP")</f>
        <v>TheMVP</v>
      </c>
      <c r="B254" s="217" t="str">
        <f>IFERROR(__xludf.DUMMYFUNCTION("""COMPUTED_VALUE"""),"CC-MVP-44.06")</f>
        <v>CC-MVP-44.06</v>
      </c>
      <c r="C254" s="218" t="str">
        <f>IFERROR(__xludf.DUMMYFUNCTION("IFERROR(REGEXEXTRACT(B254, ""^[A-Z]+-[A-Z]+-"") &amp; TEXT(VALUE(REGEXEXTRACT(B254, ""-(\d+)\."")), ""00""), """")"),"CC-MVP-44")</f>
        <v>CC-MVP-44</v>
      </c>
      <c r="D254" s="219" t="str">
        <f>IFERROR(VLOOKUP(C254, Content_Creation!B:D, 2, FALSE), IFERROR(VLOOKUP(C254, Project_Management!B:D, 2, FALSE), ""))
&amp; " - "
&amp; IFERROR(VLOOKUP(C254, Content_Creation!B:E, 4, FALSE), IFERROR(VLOOKUP(C254, Project_Management!B:E, 4, FALSE), ""))</f>
        <v>Ada Lovelace Power Efficiency - Shorts</v>
      </c>
      <c r="E254" s="220" t="str">
        <f>IFERROR(
    VLOOKUP(B253:B1001, Content_Creation!B:D, 3, FALSE),
    IFERROR(VLOOKUP(B253:B1001, Project_Management!B:D, 3, FALSE),"")
  )</f>
        <v>Thumbnail</v>
      </c>
      <c r="F254" s="221" t="str">
        <f>IFERROR(VLOOKUP(B254, Content_Creation!B:F, 5, FALSE), IFERROR(VLOOKUP(B254, Project_Management!B:F, 5, FALSE), ""))</f>
        <v>Naveen</v>
      </c>
      <c r="G254" s="222" t="s">
        <v>26</v>
      </c>
      <c r="H254" s="223">
        <f>IFERROR(VLOOKUP(B254, Content_Creation!B:H, 7, FALSE), IFERROR(VLOOKUP(B254, Project_Management!B:H, 7, FALSE), ""))</f>
        <v>45237</v>
      </c>
      <c r="I254" s="224">
        <v>0.0</v>
      </c>
      <c r="J254" s="223">
        <f>IFERROR(VLOOKUP(C254, Content_Creation!B:H, 7, FALSE), IFERROR(VLOOKUP(C254, Project_Management!B:H, 7, FALSE), ""))</f>
        <v>45238</v>
      </c>
      <c r="K254" s="217"/>
      <c r="L254" s="225" t="str">
        <f>IFERROR(VLOOKUP(B254, Data_Validation!X:Y, 2, FALSE), "")</f>
        <v>Done</v>
      </c>
      <c r="M254" s="226" t="str">
        <f t="shared" si="1"/>
        <v>TheMVP | Ada Lovelace Power Efficiency - Shorts | Thumbnail</v>
      </c>
      <c r="N254" s="226"/>
      <c r="O254" s="226"/>
    </row>
    <row r="255" ht="24.0" customHeight="1">
      <c r="A255" s="235" t="str">
        <f>IFERROR(__xludf.DUMMYFUNCTION("ARRAYFORMULA(IFERROR(VLOOKUP(REGEXEXTRACT(B255, ""-(\w+)-""), {Data_Validation!$F$16:$F$29, Data_Validation!$E$16:$E$29}, 2, FALSE), """"))
"),"TheMVP")</f>
        <v>TheMVP</v>
      </c>
      <c r="B255" s="236" t="str">
        <f>IFERROR(__xludf.DUMMYFUNCTION("""COMPUTED_VALUE"""),"CC-MVP-87.07")</f>
        <v>CC-MVP-87.07</v>
      </c>
      <c r="C255" s="258" t="str">
        <f>IFERROR(__xludf.DUMMYFUNCTION("IFERROR(REGEXEXTRACT(B255, ""^[A-Z]+-[A-Z]+-"") &amp; TEXT(VALUE(REGEXEXTRACT(B255, ""-(\d+)\."")), ""00""), """")"),"CC-MVP-87")</f>
        <v>CC-MVP-87</v>
      </c>
      <c r="D255" s="219" t="str">
        <f>IFERROR(VLOOKUP(C255, Content_Creation!B:D, 2, FALSE), IFERROR(VLOOKUP(C255, Project_Management!B:D, 2, FALSE), ""))
&amp; " - "
&amp; IFERROR(VLOOKUP(C255, Content_Creation!B:E, 4, FALSE), IFERROR(VLOOKUP(C255, Project_Management!B:E, 4, FALSE), ""))</f>
        <v>China Vlog 1 - YT Video</v>
      </c>
      <c r="E255" s="245" t="str">
        <f>IFERROR(
    VLOOKUP(B254:B1001, Content_Creation!B:D, 3, FALSE),
    IFERROR(VLOOKUP(B254:B1001, Project_Management!B:D, 3, FALSE),"")
  )</f>
        <v>Upload</v>
      </c>
      <c r="F255" s="238" t="str">
        <f>IFERROR(VLOOKUP(B255, Content_Creation!B:F, 5, FALSE), IFERROR(VLOOKUP(B255, Project_Management!B:F, 5, FALSE), ""))</f>
        <v>Talha</v>
      </c>
      <c r="G255" s="222" t="s">
        <v>26</v>
      </c>
      <c r="H255" s="239">
        <f>IFERROR(VLOOKUP(B255, Content_Creation!B:H, 7, FALSE), IFERROR(VLOOKUP(B255, Project_Management!B:H, 7, FALSE), ""))</f>
        <v>45237</v>
      </c>
      <c r="I255" s="240">
        <v>0.003472222222222222</v>
      </c>
      <c r="J255" s="223">
        <f>IFERROR(VLOOKUP(C255, Content_Creation!B:H, 7, FALSE), IFERROR(VLOOKUP(C255, Project_Management!B:H, 7, FALSE), ""))</f>
        <v>45237</v>
      </c>
      <c r="K255" s="236"/>
      <c r="L255" s="241" t="str">
        <f>IFERROR(VLOOKUP(B255, Data_Validation!X:Y, 2, FALSE), "")</f>
        <v>Done</v>
      </c>
      <c r="M255" s="226" t="str">
        <f t="shared" si="1"/>
        <v>TheMVP | China Vlog 1 - YT Video | Upload</v>
      </c>
      <c r="N255" s="242"/>
      <c r="O255" s="242"/>
    </row>
    <row r="256" ht="24.0" customHeight="1">
      <c r="A256" s="261" t="str">
        <f>IFERROR(__xludf.DUMMYFUNCTION("ARRAYFORMULA(IFERROR(VLOOKUP(REGEXEXTRACT(B256, ""-(\w+)-""), {Data_Validation!$F$16:$F$29, Data_Validation!$E$16:$E$29}, 2, FALSE), """"))
"),"TheMVP")</f>
        <v>TheMVP</v>
      </c>
      <c r="B256" s="260" t="str">
        <f>IFERROR(__xludf.DUMMYFUNCTION("""COMPUTED_VALUE"""),"CC-MVP-88.01")</f>
        <v>CC-MVP-88.01</v>
      </c>
      <c r="C256" s="243" t="str">
        <f>IFERROR(__xludf.DUMMYFUNCTION("IFERROR(REGEXEXTRACT(B256, ""^[A-Z]+-[A-Z]+-"") &amp; TEXT(VALUE(REGEXEXTRACT(B256, ""-(\d+)\."")), ""00""), """")"),"CC-MVP-88")</f>
        <v>CC-MVP-88</v>
      </c>
      <c r="D256" s="219" t="str">
        <f>IFERROR(VLOOKUP(C256, Content_Creation!B:D, 2, FALSE), IFERROR(VLOOKUP(C256, Project_Management!B:D, 2, FALSE), ""))
&amp; " - "
&amp; IFERROR(VLOOKUP(C256, Content_Creation!B:E, 4, FALSE), IFERROR(VLOOKUP(C256, Project_Management!B:E, 4, FALSE), ""))</f>
        <v>China Vlog - DownEdit - Shorts</v>
      </c>
      <c r="E256" s="262" t="str">
        <f>IFERROR(
    VLOOKUP(B255:B1001, Content_Creation!B:D, 3, FALSE),
    IFERROR(VLOOKUP(B255:B1001, Project_Management!B:D, 3, FALSE),"")
  )</f>
        <v>Edit </v>
      </c>
      <c r="F256" s="244" t="str">
        <f>IFERROR(VLOOKUP(B256, Content_Creation!B:F, 5, FALSE), IFERROR(VLOOKUP(B256, Project_Management!B:F, 5, FALSE), ""))</f>
        <v>Talha</v>
      </c>
      <c r="G256" s="244" t="s">
        <v>26</v>
      </c>
      <c r="H256" s="263">
        <f>IFERROR(VLOOKUP(B256, Content_Creation!B:H, 7, FALSE), IFERROR(VLOOKUP(B256, Project_Management!B:H, 7, FALSE), ""))</f>
        <v>45237</v>
      </c>
      <c r="I256" s="224">
        <v>0.0</v>
      </c>
      <c r="J256" s="223">
        <f>IFERROR(VLOOKUP(C256, Content_Creation!B:H, 7, FALSE), IFERROR(VLOOKUP(C256, Project_Management!B:H, 7, FALSE), ""))</f>
        <v>45238</v>
      </c>
      <c r="K256" s="260"/>
      <c r="L256" s="255" t="str">
        <f>IFERROR(VLOOKUP(B256, Data_Validation!X:Y, 2, FALSE), "")</f>
        <v>Done</v>
      </c>
      <c r="M256" s="226" t="str">
        <f t="shared" si="1"/>
        <v>TheMVP | China Vlog - DownEdit - Shorts | Edit </v>
      </c>
      <c r="N256" s="226"/>
      <c r="O256" s="226"/>
    </row>
    <row r="257" ht="24.0" customHeight="1">
      <c r="A257" s="261" t="str">
        <f>IFERROR(__xludf.DUMMYFUNCTION("ARRAYFORMULA(IFERROR(VLOOKUP(REGEXEXTRACT(B257, ""-(\w+)-""), {Data_Validation!$F$16:$F$29, Data_Validation!$E$16:$E$29}, 2, FALSE), """"))
"),"TheMVP")</f>
        <v>TheMVP</v>
      </c>
      <c r="B257" s="260" t="str">
        <f>IFERROR(__xludf.DUMMYFUNCTION("""COMPUTED_VALUE"""),"CC-MVP-88.02")</f>
        <v>CC-MVP-88.02</v>
      </c>
      <c r="C257" s="243" t="str">
        <f>IFERROR(__xludf.DUMMYFUNCTION("IFERROR(REGEXEXTRACT(B257, ""^[A-Z]+-[A-Z]+-"") &amp; TEXT(VALUE(REGEXEXTRACT(B257, ""-(\d+)\."")), ""00""), """")"),"CC-MVP-88")</f>
        <v>CC-MVP-88</v>
      </c>
      <c r="D257" s="219" t="str">
        <f>IFERROR(VLOOKUP(C257, Content_Creation!B:D, 2, FALSE), IFERROR(VLOOKUP(C257, Project_Management!B:D, 2, FALSE), ""))
&amp; " - "
&amp; IFERROR(VLOOKUP(C257, Content_Creation!B:E, 4, FALSE), IFERROR(VLOOKUP(C257, Project_Management!B:E, 4, FALSE), ""))</f>
        <v>China Vlog - DownEdit - Shorts</v>
      </c>
      <c r="E257" s="262" t="str">
        <f>IFERROR(
    VLOOKUP(B256:B1001, Content_Creation!B:D, 3, FALSE),
    IFERROR(VLOOKUP(B256:B1001, Project_Management!B:D, 3, FALSE),"")
  )</f>
        <v>Thumbnail </v>
      </c>
      <c r="F257" s="244" t="str">
        <f>IFERROR(VLOOKUP(B257, Content_Creation!B:F, 5, FALSE), IFERROR(VLOOKUP(B257, Project_Management!B:F, 5, FALSE), ""))</f>
        <v>Akhil</v>
      </c>
      <c r="G257" s="244" t="s">
        <v>26</v>
      </c>
      <c r="H257" s="263">
        <f>IFERROR(VLOOKUP(B257, Content_Creation!B:H, 7, FALSE), IFERROR(VLOOKUP(B257, Project_Management!B:H, 7, FALSE), ""))</f>
        <v>45237</v>
      </c>
      <c r="I257" s="224">
        <v>0.020833333333333332</v>
      </c>
      <c r="J257" s="223">
        <f>IFERROR(VLOOKUP(C257, Content_Creation!B:H, 7, FALSE), IFERROR(VLOOKUP(C257, Project_Management!B:H, 7, FALSE), ""))</f>
        <v>45238</v>
      </c>
      <c r="K257" s="260"/>
      <c r="L257" s="255" t="str">
        <f>IFERROR(VLOOKUP(B257, Data_Validation!X:Y, 2, FALSE), "")</f>
        <v>Done</v>
      </c>
      <c r="M257" s="226" t="str">
        <f t="shared" si="1"/>
        <v>TheMVP | China Vlog - DownEdit - Shorts | Thumbnail </v>
      </c>
      <c r="N257" s="226"/>
      <c r="O257" s="226"/>
    </row>
    <row r="258" ht="24.0" customHeight="1">
      <c r="A258" s="216" t="str">
        <f>IFERROR(__xludf.DUMMYFUNCTION("ARRAYFORMULA(IFERROR(VLOOKUP(REGEXEXTRACT(B258, ""-(\w+)-""), {Data_Validation!$F$16:$F$29, Data_Validation!$E$16:$E$29}, 2, FALSE), """"))
"),"TheMVP")</f>
        <v>TheMVP</v>
      </c>
      <c r="B258" s="217" t="str">
        <f>IFERROR(__xludf.DUMMYFUNCTION("""COMPUTED_VALUE"""),"CC-MVP-88.04")</f>
        <v>CC-MVP-88.04</v>
      </c>
      <c r="C258" s="218" t="str">
        <f>IFERROR(__xludf.DUMMYFUNCTION("IFERROR(REGEXEXTRACT(B258, ""^[A-Z]+-[A-Z]+-"") &amp; TEXT(VALUE(REGEXEXTRACT(B258, ""-(\d+)\."")), ""00""), """")"),"CC-MVP-88")</f>
        <v>CC-MVP-88</v>
      </c>
      <c r="D258" s="219" t="str">
        <f>IFERROR(VLOOKUP(C258, Content_Creation!B:D, 2, FALSE), IFERROR(VLOOKUP(C258, Project_Management!B:D, 2, FALSE), ""))
&amp; " - "
&amp; IFERROR(VLOOKUP(C258, Content_Creation!B:E, 4, FALSE), IFERROR(VLOOKUP(C258, Project_Management!B:E, 4, FALSE), ""))</f>
        <v>China Vlog - DownEdit - Shorts</v>
      </c>
      <c r="E258" s="220" t="str">
        <f>IFERROR(
    VLOOKUP(B257:B1001, Content_Creation!B:D, 3, FALSE),
    IFERROR(VLOOKUP(B257:B1001, Project_Management!B:D, 3, FALSE),"")
  )</f>
        <v>Upload</v>
      </c>
      <c r="F258" s="221" t="str">
        <f>IFERROR(VLOOKUP(B258, Content_Creation!B:F, 5, FALSE), IFERROR(VLOOKUP(B258, Project_Management!B:F, 5, FALSE), ""))</f>
        <v>Talha</v>
      </c>
      <c r="G258" s="222" t="s">
        <v>26</v>
      </c>
      <c r="H258" s="223">
        <f>IFERROR(VLOOKUP(B258, Content_Creation!B:H, 7, FALSE), IFERROR(VLOOKUP(B258, Project_Management!B:H, 7, FALSE), ""))</f>
        <v>45237</v>
      </c>
      <c r="I258" s="224">
        <v>0.006944444444444444</v>
      </c>
      <c r="J258" s="223">
        <f>IFERROR(VLOOKUP(C258, Content_Creation!B:H, 7, FALSE), IFERROR(VLOOKUP(C258, Project_Management!B:H, 7, FALSE), ""))</f>
        <v>45238</v>
      </c>
      <c r="K258" s="217"/>
      <c r="L258" s="225" t="str">
        <f>IFERROR(VLOOKUP(B258, Data_Validation!X:Y, 2, FALSE), "")</f>
        <v>Done</v>
      </c>
      <c r="M258" s="226" t="str">
        <f t="shared" si="1"/>
        <v>TheMVP | China Vlog - DownEdit - Shorts | Upload</v>
      </c>
      <c r="N258" s="226"/>
      <c r="O258" s="226"/>
    </row>
    <row r="259" ht="24.0" customHeight="1">
      <c r="A259" s="216" t="str">
        <f>IFERROR(__xludf.DUMMYFUNCTION("ARRAYFORMULA(IFERROR(VLOOKUP(REGEXEXTRACT(B259, ""-(\w+)-""), {Data_Validation!$F$16:$F$29, Data_Validation!$E$16:$E$29}, 2, FALSE), """"))
"),"TheMVP")</f>
        <v>TheMVP</v>
      </c>
      <c r="B259" s="217" t="str">
        <f>IFERROR(__xludf.DUMMYFUNCTION("""COMPUTED_VALUE"""),"CC-MVP-66.01")</f>
        <v>CC-MVP-66.01</v>
      </c>
      <c r="C259" s="218" t="str">
        <f>IFERROR(__xludf.DUMMYFUNCTION("IFERROR(REGEXEXTRACT(B259, ""^[A-Z]+-[A-Z]+-"") &amp; TEXT(VALUE(REGEXEXTRACT(B259, ""-(\d+)\."")), ""00""), """")"),"CC-MVP-66")</f>
        <v>CC-MVP-66</v>
      </c>
      <c r="D259" s="219" t="str">
        <f>IFERROR(VLOOKUP(C259, Content_Creation!B:D, 2, FALSE), IFERROR(VLOOKUP(C259, Project_Management!B:D, 2, FALSE), ""))
&amp; " - "
&amp; IFERROR(VLOOKUP(C259, Content_Creation!B:E, 4, FALSE), IFERROR(VLOOKUP(C259, Project_Management!B:E, 4, FALSE), ""))</f>
        <v>Ryzen + Radeon - All AMD - Shorts</v>
      </c>
      <c r="E259" s="220" t="str">
        <f>IFERROR(
    VLOOKUP(B258:B1001, Content_Creation!B:D, 3, FALSE),
    IFERROR(VLOOKUP(B258:B1001, Project_Management!B:D, 3, FALSE),"")
  )</f>
        <v>Script</v>
      </c>
      <c r="F259" s="221" t="str">
        <f>IFERROR(VLOOKUP(B259, Content_Creation!B:F, 5, FALSE), IFERROR(VLOOKUP(B259, Project_Management!B:F, 5, FALSE), ""))</f>
        <v>Nasser</v>
      </c>
      <c r="G259" s="222" t="s">
        <v>26</v>
      </c>
      <c r="H259" s="223">
        <f>IFERROR(VLOOKUP(B259, Content_Creation!B:H, 7, FALSE), IFERROR(VLOOKUP(B259, Project_Management!B:H, 7, FALSE), ""))</f>
        <v>45237</v>
      </c>
      <c r="I259" s="224">
        <v>0.041666666666666664</v>
      </c>
      <c r="J259" s="223">
        <f>IFERROR(VLOOKUP(C259, Content_Creation!B:H, 7, FALSE), IFERROR(VLOOKUP(C259, Project_Management!B:H, 7, FALSE), ""))</f>
        <v>45239</v>
      </c>
      <c r="K259" s="217"/>
      <c r="L259" s="225" t="str">
        <f>IFERROR(VLOOKUP(B259, Data_Validation!X:Y, 2, FALSE), "")</f>
        <v>Done</v>
      </c>
      <c r="M259" s="226" t="str">
        <f t="shared" si="1"/>
        <v>TheMVP | Ryzen + Radeon - All AMD - Shorts | Script</v>
      </c>
      <c r="N259" s="226"/>
      <c r="O259" s="226"/>
    </row>
    <row r="260" ht="24.0" customHeight="1">
      <c r="A260" s="227" t="str">
        <f>IFERROR(__xludf.DUMMYFUNCTION("ARRAYFORMULA(IFERROR(VLOOKUP(REGEXEXTRACT(B260, ""-(\w+)-""), {Data_Validation!$F$16:$F$29, Data_Validation!$E$16:$E$29}, 2, FALSE), """"))
"),"TheMVP")</f>
        <v>TheMVP</v>
      </c>
      <c r="B260" s="228" t="str">
        <f>IFERROR(__xludf.DUMMYFUNCTION("""COMPUTED_VALUE"""),"CC-MVP-66.02")</f>
        <v>CC-MVP-66.02</v>
      </c>
      <c r="C260" s="256" t="str">
        <f>IFERROR(__xludf.DUMMYFUNCTION("IFERROR(REGEXEXTRACT(B260, ""^[A-Z]+-[A-Z]+-"") &amp; TEXT(VALUE(REGEXEXTRACT(B260, ""-(\d+)\."")), ""00""), """")"),"CC-MVP-66")</f>
        <v>CC-MVP-66</v>
      </c>
      <c r="D260" s="219" t="str">
        <f>IFERROR(VLOOKUP(C260, Content_Creation!B:D, 2, FALSE), IFERROR(VLOOKUP(C260, Project_Management!B:D, 2, FALSE), ""))
&amp; " - "
&amp; IFERROR(VLOOKUP(C260, Content_Creation!B:E, 4, FALSE), IFERROR(VLOOKUP(C260, Project_Management!B:E, 4, FALSE), ""))</f>
        <v>Ryzen + Radeon - All AMD - Shorts</v>
      </c>
      <c r="E260" s="257" t="str">
        <f>IFERROR(
    VLOOKUP(B259:B1001, Content_Creation!B:D, 3, FALSE),
    IFERROR(VLOOKUP(B259:B1001, Project_Management!B:D, 3, FALSE),"")
  )</f>
        <v>Shoot (Fractal North)</v>
      </c>
      <c r="F260" s="230" t="str">
        <f>IFERROR(VLOOKUP(B260, Content_Creation!B:F, 5, FALSE), IFERROR(VLOOKUP(B260, Project_Management!B:F, 5, FALSE), ""))</f>
        <v>Naveen</v>
      </c>
      <c r="G260" s="230" t="s">
        <v>26</v>
      </c>
      <c r="H260" s="231">
        <f>IFERROR(VLOOKUP(B260, Content_Creation!B:H, 7, FALSE), IFERROR(VLOOKUP(B260, Project_Management!B:H, 7, FALSE), ""))</f>
        <v>45237</v>
      </c>
      <c r="I260" s="232">
        <v>0.16666666666666666</v>
      </c>
      <c r="J260" s="223">
        <f>IFERROR(VLOOKUP(C260, Content_Creation!B:H, 7, FALSE), IFERROR(VLOOKUP(C260, Project_Management!B:H, 7, FALSE), ""))</f>
        <v>45239</v>
      </c>
      <c r="K260" s="228"/>
      <c r="L260" s="233" t="str">
        <f>IFERROR(VLOOKUP(B260, Data_Validation!X:Y, 2, FALSE), "")</f>
        <v>Done</v>
      </c>
      <c r="M260" s="226" t="str">
        <f t="shared" si="1"/>
        <v>TheMVP | Ryzen + Radeon - All AMD - Shorts | Shoot (Fractal North)</v>
      </c>
      <c r="N260" s="234"/>
      <c r="O260" s="234"/>
    </row>
    <row r="261" ht="24.0" customHeight="1">
      <c r="A261" s="216" t="str">
        <f>IFERROR(__xludf.DUMMYFUNCTION("ARRAYFORMULA(IFERROR(VLOOKUP(REGEXEXTRACT(B261, ""-(\w+)-""), {Data_Validation!$F$16:$F$29, Data_Validation!$E$16:$E$29}, 2, FALSE), """"))
"),"TheMVP")</f>
        <v>TheMVP</v>
      </c>
      <c r="B261" s="217" t="str">
        <f>IFERROR(__xludf.DUMMYFUNCTION("""COMPUTED_VALUE"""),"CC-MVP-82.01")</f>
        <v>CC-MVP-82.01</v>
      </c>
      <c r="C261" s="218" t="str">
        <f>IFERROR(__xludf.DUMMYFUNCTION("IFERROR(REGEXEXTRACT(B261, ""^[A-Z]+-[A-Z]+-"") &amp; TEXT(VALUE(REGEXEXTRACT(B261, ""-(\d+)\."")), ""00""), """")"),"CC-MVP-82")</f>
        <v>CC-MVP-82</v>
      </c>
      <c r="D261" s="219" t="str">
        <f>IFERROR(VLOOKUP(C261, Content_Creation!B:D, 2, FALSE), IFERROR(VLOOKUP(C261, Project_Management!B:D, 2, FALSE), ""))
&amp; " - "
&amp; IFERROR(VLOOKUP(C261, Content_Creation!B:E, 4, FALSE), IFERROR(VLOOKUP(C261, Project_Management!B:E, 4, FALSE), ""))</f>
        <v>G613 Keyboard - Logi Offer - Shorts</v>
      </c>
      <c r="E261" s="220" t="str">
        <f>IFERROR(
    VLOOKUP(B260:B1001, Content_Creation!B:D, 3, FALSE),
    IFERROR(VLOOKUP(B260:B1001, Project_Management!B:D, 3, FALSE),"")
  )</f>
        <v>Script</v>
      </c>
      <c r="F261" s="221" t="str">
        <f>IFERROR(VLOOKUP(B261, Content_Creation!B:F, 5, FALSE), IFERROR(VLOOKUP(B261, Project_Management!B:F, 5, FALSE), ""))</f>
        <v/>
      </c>
      <c r="G261" s="222" t="s">
        <v>179</v>
      </c>
      <c r="H261" s="223">
        <f>IFERROR(VLOOKUP(B261, Content_Creation!B:H, 7, FALSE), IFERROR(VLOOKUP(B261, Project_Management!B:H, 7, FALSE), ""))</f>
        <v>45237</v>
      </c>
      <c r="I261" s="224">
        <v>0.006944444444444444</v>
      </c>
      <c r="J261" s="223">
        <f>IFERROR(VLOOKUP(C261, Content_Creation!B:H, 7, FALSE), IFERROR(VLOOKUP(C261, Project_Management!B:H, 7, FALSE), ""))</f>
        <v>45243</v>
      </c>
      <c r="K261" s="217"/>
      <c r="L261" s="225" t="str">
        <f>IFERROR(VLOOKUP(B261, Data_Validation!X:Y, 2, FALSE), "")</f>
        <v>Not Started</v>
      </c>
      <c r="M261" s="226" t="str">
        <f t="shared" si="1"/>
        <v>TheMVP | G613 Keyboard - Logi Offer - Shorts | Script</v>
      </c>
      <c r="N261" s="226"/>
      <c r="O261" s="226"/>
    </row>
    <row r="262" ht="24.0" customHeight="1">
      <c r="A262" s="216" t="str">
        <f>IFERROR(__xludf.DUMMYFUNCTION("ARRAYFORMULA(IFERROR(VLOOKUP(REGEXEXTRACT(B262, ""-(\w+)-""), {Data_Validation!$F$16:$F$29, Data_Validation!$E$16:$E$29}, 2, FALSE), """"))
"),"Colorful Tech")</f>
        <v>Colorful Tech</v>
      </c>
      <c r="B262" s="217" t="str">
        <f>IFERROR(__xludf.DUMMYFUNCTION("""COMPUTED_VALUE"""),"CC-CTH-12.01")</f>
        <v>CC-CTH-12.01</v>
      </c>
      <c r="C262" s="218" t="str">
        <f>IFERROR(__xludf.DUMMYFUNCTION("IFERROR(REGEXEXTRACT(B262, ""^[A-Z]+-[A-Z]+-"") &amp; TEXT(VALUE(REGEXEXTRACT(B262, ""-(\d+)\."")), ""00""), """")"),"CC-CTH-12")</f>
        <v>CC-CTH-12</v>
      </c>
      <c r="D262" s="219" t="str">
        <f>IFERROR(VLOOKUP(C262, Content_Creation!B:D, 2, FALSE), IFERROR(VLOOKUP(C262, Project_Management!B:D, 2, FALSE), ""))
&amp; " - "
&amp; IFERROR(VLOOKUP(C262, Content_Creation!B:E, 4, FALSE), IFERROR(VLOOKUP(C262, Project_Management!B:E, 4, FALSE), ""))</f>
        <v>STEM Studies - Shorts</v>
      </c>
      <c r="E262" s="220" t="str">
        <f>IFERROR(
    VLOOKUP(B261:B1001, Content_Creation!B:D, 3, FALSE),
    IFERROR(VLOOKUP(B261:B1001, Project_Management!B:D, 3, FALSE),"")
  )</f>
        <v>Script</v>
      </c>
      <c r="F262" s="221" t="str">
        <f>IFERROR(VLOOKUP(B262, Content_Creation!B:F, 5, FALSE), IFERROR(VLOOKUP(B262, Project_Management!B:F, 5, FALSE), ""))</f>
        <v>Naveen</v>
      </c>
      <c r="G262" s="222" t="s">
        <v>26</v>
      </c>
      <c r="H262" s="223">
        <f>IFERROR(VLOOKUP(B262, Content_Creation!B:H, 7, FALSE), IFERROR(VLOOKUP(B262, Project_Management!B:H, 7, FALSE), ""))</f>
        <v>45237</v>
      </c>
      <c r="I262" s="224">
        <v>0.020833333333333332</v>
      </c>
      <c r="J262" s="223">
        <f>IFERROR(VLOOKUP(C262, Content_Creation!B:H, 7, FALSE), IFERROR(VLOOKUP(C262, Project_Management!B:H, 7, FALSE), ""))</f>
        <v>45239</v>
      </c>
      <c r="K262" s="217"/>
      <c r="L262" s="225" t="str">
        <f>IFERROR(VLOOKUP(B262, Data_Validation!X:Y, 2, FALSE), "")</f>
        <v>Done</v>
      </c>
      <c r="M262" s="226" t="str">
        <f t="shared" si="1"/>
        <v>Colorful Tech | STEM Studies - Shorts | Script</v>
      </c>
      <c r="N262" s="226"/>
      <c r="O262" s="226"/>
    </row>
    <row r="263" ht="24.0" customHeight="1">
      <c r="A263" s="216" t="str">
        <f>IFERROR(__xludf.DUMMYFUNCTION("ARRAYFORMULA(IFERROR(VLOOKUP(REGEXEXTRACT(B263, ""-(\w+)-""), {Data_Validation!$F$16:$F$29, Data_Validation!$E$16:$E$29}, 2, FALSE), """"))
"),"Colorful Tech")</f>
        <v>Colorful Tech</v>
      </c>
      <c r="B263" s="217" t="str">
        <f>IFERROR(__xludf.DUMMYFUNCTION("""COMPUTED_VALUE"""),"CC-CTH-10.05")</f>
        <v>CC-CTH-10.05</v>
      </c>
      <c r="C263" s="218" t="str">
        <f>IFERROR(__xludf.DUMMYFUNCTION("IFERROR(REGEXEXTRACT(B263, ""^[A-Z]+-[A-Z]+-"") &amp; TEXT(VALUE(REGEXEXTRACT(B263, ""-(\d+)\."")), ""00""), """")"),"CC-CTH-10")</f>
        <v>CC-CTH-10</v>
      </c>
      <c r="D263" s="219" t="str">
        <f>IFERROR(VLOOKUP(C263, Content_Creation!B:D, 2, FALSE), IFERROR(VLOOKUP(C263, Project_Management!B:D, 2, FALSE), ""))
&amp; " - "
&amp; IFERROR(VLOOKUP(C263, Content_Creation!B:E, 4, FALSE), IFERROR(VLOOKUP(C263, Project_Management!B:E, 4, FALSE), ""))</f>
        <v>iGame Center Introduction - Shorts</v>
      </c>
      <c r="E263" s="220" t="str">
        <f>IFERROR(
    VLOOKUP(B262:B1001, Content_Creation!B:D, 3, FALSE),
    IFERROR(VLOOKUP(B262:B1001, Project_Management!B:D, 3, FALSE),"")
  )</f>
        <v>Re-Script</v>
      </c>
      <c r="F263" s="221" t="str">
        <f>IFERROR(VLOOKUP(B263, Content_Creation!B:F, 5, FALSE), IFERROR(VLOOKUP(B263, Project_Management!B:F, 5, FALSE), ""))</f>
        <v>Naveen</v>
      </c>
      <c r="G263" s="222" t="s">
        <v>26</v>
      </c>
      <c r="H263" s="223">
        <f>IFERROR(VLOOKUP(B263, Content_Creation!B:H, 7, FALSE), IFERROR(VLOOKUP(B263, Project_Management!B:H, 7, FALSE), ""))</f>
        <v>45237</v>
      </c>
      <c r="I263" s="224">
        <v>0.010416666666666666</v>
      </c>
      <c r="J263" s="223">
        <f>IFERROR(VLOOKUP(C263, Content_Creation!B:H, 7, FALSE), IFERROR(VLOOKUP(C263, Project_Management!B:H, 7, FALSE), ""))</f>
        <v>45241</v>
      </c>
      <c r="K263" s="217"/>
      <c r="L263" s="225" t="str">
        <f>IFERROR(VLOOKUP(B263, Data_Validation!X:Y, 2, FALSE), "")</f>
        <v>Done</v>
      </c>
      <c r="M263" s="226" t="str">
        <f t="shared" si="1"/>
        <v>Colorful Tech | iGame Center Introduction - Shorts | Re-Script</v>
      </c>
      <c r="N263" s="226"/>
      <c r="O263" s="226"/>
    </row>
    <row r="264" ht="24.0" customHeight="1">
      <c r="A264" s="216" t="str">
        <f>IFERROR(__xludf.DUMMYFUNCTION("ARRAYFORMULA(IFERROR(VLOOKUP(REGEXEXTRACT(B264, ""-(\w+)-""), {Data_Validation!$F$16:$F$29, Data_Validation!$E$16:$E$29}, 2, FALSE), """"))
"),"Inno3D")</f>
        <v>Inno3D</v>
      </c>
      <c r="B264" s="217" t="str">
        <f>IFERROR(__xludf.DUMMYFUNCTION("""COMPUTED_VALUE"""),"CC-INN-23.03")</f>
        <v>CC-INN-23.03</v>
      </c>
      <c r="C264" s="218" t="str">
        <f>IFERROR(__xludf.DUMMYFUNCTION("IFERROR(REGEXEXTRACT(B264, ""^[A-Z]+-[A-Z]+-"") &amp; TEXT(VALUE(REGEXEXTRACT(B264, ""-(\d+)\."")), ""00""), """")"),"CC-INN-23")</f>
        <v>CC-INN-23</v>
      </c>
      <c r="D264" s="219" t="str">
        <f>IFERROR(VLOOKUP(C264, Content_Creation!B:D, 2, FALSE), IFERROR(VLOOKUP(C264, Project_Management!B:D, 2, FALSE), ""))
&amp; " - "
&amp; IFERROR(VLOOKUP(C264, Content_Creation!B:E, 4, FALSE), IFERROR(VLOOKUP(C264, Project_Management!B:E, 4, FALSE), ""))</f>
        <v>Product feature 4070 Twin - Insta</v>
      </c>
      <c r="E264" s="220" t="str">
        <f>IFERROR(
    VLOOKUP(B263:B1001, Content_Creation!B:D, 3, FALSE),
    IFERROR(VLOOKUP(B263:B1001, Project_Management!B:D, 3, FALSE),"")
  )</f>
        <v>Edit</v>
      </c>
      <c r="F264" s="221" t="str">
        <f>IFERROR(VLOOKUP(B264, Content_Creation!B:F, 5, FALSE), IFERROR(VLOOKUP(B264, Project_Management!B:F, 5, FALSE), ""))</f>
        <v>Naveen</v>
      </c>
      <c r="G264" s="222" t="s">
        <v>26</v>
      </c>
      <c r="H264" s="223">
        <f>IFERROR(VLOOKUP(B264, Content_Creation!B:H, 7, FALSE), IFERROR(VLOOKUP(B264, Project_Management!B:H, 7, FALSE), ""))</f>
        <v>45237</v>
      </c>
      <c r="I264" s="224">
        <v>0.08333333333333333</v>
      </c>
      <c r="J264" s="223">
        <f>IFERROR(VLOOKUP(C264, Content_Creation!B:H, 7, FALSE), IFERROR(VLOOKUP(C264, Project_Management!B:H, 7, FALSE), ""))</f>
        <v>45237</v>
      </c>
      <c r="K264" s="217"/>
      <c r="L264" s="225" t="str">
        <f>IFERROR(VLOOKUP(B264, Data_Validation!X:Y, 2, FALSE), "")</f>
        <v>Done</v>
      </c>
      <c r="M264" s="226" t="str">
        <f t="shared" si="1"/>
        <v>Inno3D | Product feature 4070 Twin - Insta | Edit</v>
      </c>
      <c r="N264" s="226"/>
      <c r="O264" s="226"/>
    </row>
    <row r="265" ht="24.0" customHeight="1">
      <c r="A265" s="216" t="str">
        <f>IFERROR(__xludf.DUMMYFUNCTION("ARRAYFORMULA(IFERROR(VLOOKUP(REGEXEXTRACT(B265, ""-(\w+)-""), {Data_Validation!$F$16:$F$29, Data_Validation!$E$16:$E$29}, 2, FALSE), """"))
"),"Inno3D")</f>
        <v>Inno3D</v>
      </c>
      <c r="B265" s="217" t="str">
        <f>IFERROR(__xludf.DUMMYFUNCTION("""COMPUTED_VALUE"""),"CC-INN-23.04")</f>
        <v>CC-INN-23.04</v>
      </c>
      <c r="C265" s="218" t="str">
        <f>IFERROR(__xludf.DUMMYFUNCTION("IFERROR(REGEXEXTRACT(B265, ""^[A-Z]+-[A-Z]+-"") &amp; TEXT(VALUE(REGEXEXTRACT(B265, ""-(\d+)\."")), ""00""), """")"),"CC-INN-23")</f>
        <v>CC-INN-23</v>
      </c>
      <c r="D265" s="219" t="str">
        <f>IFERROR(VLOOKUP(C265, Content_Creation!B:D, 2, FALSE), IFERROR(VLOOKUP(C265, Project_Management!B:D, 2, FALSE), ""))
&amp; " - "
&amp; IFERROR(VLOOKUP(C265, Content_Creation!B:E, 4, FALSE), IFERROR(VLOOKUP(C265, Project_Management!B:E, 4, FALSE), ""))</f>
        <v>Product feature 4070 Twin - Insta</v>
      </c>
      <c r="E265" s="220" t="str">
        <f>IFERROR(
    VLOOKUP(B264:B1001, Content_Creation!B:D, 3, FALSE),
    IFERROR(VLOOKUP(B264:B1001, Project_Management!B:D, 3, FALSE),"")
  )</f>
        <v>Upload</v>
      </c>
      <c r="F265" s="221" t="str">
        <f>IFERROR(VLOOKUP(B265, Content_Creation!B:F, 5, FALSE), IFERROR(VLOOKUP(B265, Project_Management!B:F, 5, FALSE), ""))</f>
        <v>Naveen</v>
      </c>
      <c r="G265" s="222" t="s">
        <v>26</v>
      </c>
      <c r="H265" s="223">
        <f>IFERROR(VLOOKUP(B265, Content_Creation!B:H, 7, FALSE), IFERROR(VLOOKUP(B265, Project_Management!B:H, 7, FALSE), ""))</f>
        <v>45237</v>
      </c>
      <c r="I265" s="224">
        <v>0.041666666666666664</v>
      </c>
      <c r="J265" s="223">
        <f>IFERROR(VLOOKUP(C265, Content_Creation!B:H, 7, FALSE), IFERROR(VLOOKUP(C265, Project_Management!B:H, 7, FALSE), ""))</f>
        <v>45237</v>
      </c>
      <c r="K265" s="217"/>
      <c r="L265" s="225" t="str">
        <f>IFERROR(VLOOKUP(B265, Data_Validation!X:Y, 2, FALSE), "")</f>
        <v>Done</v>
      </c>
      <c r="M265" s="226" t="str">
        <f t="shared" si="1"/>
        <v>Inno3D | Product feature 4070 Twin - Insta | Upload</v>
      </c>
      <c r="N265" s="226"/>
      <c r="O265" s="226"/>
    </row>
    <row r="266" ht="24.0" customHeight="1">
      <c r="A266" s="216" t="str">
        <f>IFERROR(__xludf.DUMMYFUNCTION("ARRAYFORMULA(IFERROR(VLOOKUP(REGEXEXTRACT(B266, ""-(\w+)-""), {Data_Validation!$F$16:$F$29, Data_Validation!$E$16:$E$29}, 2, FALSE), """"))
"),"Inno3D")</f>
        <v>Inno3D</v>
      </c>
      <c r="B266" s="217" t="str">
        <f>IFERROR(__xludf.DUMMYFUNCTION("""COMPUTED_VALUE"""),"CC-INN-29.01")</f>
        <v>CC-INN-29.01</v>
      </c>
      <c r="C266" s="218" t="str">
        <f>IFERROR(__xludf.DUMMYFUNCTION("IFERROR(REGEXEXTRACT(B266, ""^[A-Z]+-[A-Z]+-"") &amp; TEXT(VALUE(REGEXEXTRACT(B266, ""-(\d+)\."")), ""00""), """")"),"CC-INN-29")</f>
        <v>CC-INN-29</v>
      </c>
      <c r="D266" s="219" t="str">
        <f>IFERROR(VLOOKUP(C266, Content_Creation!B:D, 2, FALSE), IFERROR(VLOOKUP(C266, Project_Management!B:D, 2, FALSE), ""))
&amp; " - "
&amp; IFERROR(VLOOKUP(C266, Content_Creation!B:E, 4, FALSE), IFERROR(VLOOKUP(C266, Project_Management!B:E, 4, FALSE), ""))</f>
        <v>Troubleshoot GPU issues - Shorts</v>
      </c>
      <c r="E266" s="220" t="str">
        <f>IFERROR(
    VLOOKUP(B265:B1001, Content_Creation!B:D, 3, FALSE),
    IFERROR(VLOOKUP(B265:B1001, Project_Management!B:D, 3, FALSE),"")
  )</f>
        <v>Reword</v>
      </c>
      <c r="F266" s="221" t="str">
        <f>IFERROR(VLOOKUP(B266, Content_Creation!B:F, 5, FALSE), IFERROR(VLOOKUP(B266, Project_Management!B:F, 5, FALSE), ""))</f>
        <v>Naveen</v>
      </c>
      <c r="G266" s="222" t="s">
        <v>26</v>
      </c>
      <c r="H266" s="223">
        <f>IFERROR(VLOOKUP(B266, Content_Creation!B:H, 7, FALSE), IFERROR(VLOOKUP(B266, Project_Management!B:H, 7, FALSE), ""))</f>
        <v>45237</v>
      </c>
      <c r="I266" s="224">
        <v>0.0</v>
      </c>
      <c r="J266" s="223">
        <f>IFERROR(VLOOKUP(C266, Content_Creation!B:H, 7, FALSE), IFERROR(VLOOKUP(C266, Project_Management!B:H, 7, FALSE), ""))</f>
        <v>45240</v>
      </c>
      <c r="K266" s="217"/>
      <c r="L266" s="225" t="str">
        <f>IFERROR(VLOOKUP(B266, Data_Validation!X:Y, 2, FALSE), "")</f>
        <v>Done</v>
      </c>
      <c r="M266" s="226" t="str">
        <f t="shared" si="1"/>
        <v>Inno3D | Troubleshoot GPU issues - Shorts | Reword</v>
      </c>
      <c r="N266" s="226"/>
      <c r="O266" s="226"/>
    </row>
    <row r="267" ht="24.0" customHeight="1">
      <c r="A267" s="216" t="str">
        <f>IFERROR(__xludf.DUMMYFUNCTION("ARRAYFORMULA(IFERROR(VLOOKUP(REGEXEXTRACT(B267, ""-(\w+)-""), {Data_Validation!$F$16:$F$29, Data_Validation!$E$16:$E$29}, 2, FALSE), """"))
"),"Picture This!")</f>
        <v>Picture This!</v>
      </c>
      <c r="B267" s="217" t="str">
        <f>IFERROR(__xludf.DUMMYFUNCTION("""COMPUTED_VALUE"""),"PM-PTS-08.01")</f>
        <v>PM-PTS-08.01</v>
      </c>
      <c r="C267" s="218" t="str">
        <f>IFERROR(__xludf.DUMMYFUNCTION("IFERROR(REGEXEXTRACT(B267, ""^[A-Z]+-[A-Z]+-"") &amp; TEXT(VALUE(REGEXEXTRACT(B267, ""-(\d+)\."")), ""00""), """")"),"PM-PTS-08")</f>
        <v>PM-PTS-08</v>
      </c>
      <c r="D267" s="219" t="str">
        <f>IFERROR(VLOOKUP(C267, Content_Creation!B:D, 2, FALSE), IFERROR(VLOOKUP(C267, Project_Management!B:D, 2, FALSE), ""))
&amp; " - "
&amp; IFERROR(VLOOKUP(C267, Content_Creation!B:E, 4, FALSE), IFERROR(VLOOKUP(C267, Project_Management!B:E, 4, FALSE), ""))</f>
        <v>AFK Geeks - Video</v>
      </c>
      <c r="E267" s="220" t="str">
        <f>IFERROR(
    VLOOKUP(B266:B1001, Content_Creation!B:D, 3, FALSE),
    IFERROR(VLOOKUP(B266:B1001, Project_Management!B:D, 3, FALSE),"")
  )</f>
        <v>Script</v>
      </c>
      <c r="F267" s="221" t="str">
        <f>IFERROR(VLOOKUP(B267, Content_Creation!B:F, 5, FALSE), IFERROR(VLOOKUP(B267, Project_Management!B:F, 5, FALSE), ""))</f>
        <v>Freelancer</v>
      </c>
      <c r="G267" s="222" t="s">
        <v>307</v>
      </c>
      <c r="H267" s="223">
        <f>IFERROR(VLOOKUP(B267, Content_Creation!B:H, 7, FALSE), IFERROR(VLOOKUP(B267, Project_Management!B:H, 7, FALSE), ""))</f>
        <v>45237.45251</v>
      </c>
      <c r="I267" s="224">
        <v>0.03125</v>
      </c>
      <c r="J267" s="223">
        <f>IFERROR(VLOOKUP(C267, Content_Creation!B:H, 7, FALSE), IFERROR(VLOOKUP(C267, Project_Management!B:H, 7, FALSE), ""))</f>
        <v>45241</v>
      </c>
      <c r="K267" s="217"/>
      <c r="L267" s="225" t="str">
        <f>IFERROR(VLOOKUP(B267, Data_Validation!X:Y, 2, FALSE), "")</f>
        <v>On Hold</v>
      </c>
      <c r="M267" s="226" t="str">
        <f t="shared" si="1"/>
        <v>Picture This! | AFK Geeks - Video | Script</v>
      </c>
      <c r="N267" s="226"/>
      <c r="O267" s="226"/>
    </row>
    <row r="268" ht="24.0" customHeight="1">
      <c r="A268" s="216" t="str">
        <f>IFERROR(__xludf.DUMMYFUNCTION("ARRAYFORMULA(IFERROR(VLOOKUP(REGEXEXTRACT(B268, ""-(\w+)-""), {Data_Validation!$F$16:$F$29, Data_Validation!$E$16:$E$29}, 2, FALSE), """"))
"),"TheMVP")</f>
        <v>TheMVP</v>
      </c>
      <c r="B268" s="217" t="str">
        <f>IFERROR(__xludf.DUMMYFUNCTION("""COMPUTED_VALUE"""),"CC-MVP-44.07")</f>
        <v>CC-MVP-44.07</v>
      </c>
      <c r="C268" s="218" t="str">
        <f>IFERROR(__xludf.DUMMYFUNCTION("IFERROR(REGEXEXTRACT(B268, ""^[A-Z]+-[A-Z]+-"") &amp; TEXT(VALUE(REGEXEXTRACT(B268, ""-(\d+)\."")), ""00""), """")"),"CC-MVP-44")</f>
        <v>CC-MVP-44</v>
      </c>
      <c r="D268" s="219" t="str">
        <f>IFERROR(VLOOKUP(C268, Content_Creation!B:D, 2, FALSE), IFERROR(VLOOKUP(C268, Project_Management!B:D, 2, FALSE), ""))
&amp; " - "
&amp; IFERROR(VLOOKUP(C268, Content_Creation!B:E, 4, FALSE), IFERROR(VLOOKUP(C268, Project_Management!B:E, 4, FALSE), ""))</f>
        <v>Ada Lovelace Power Efficiency - Shorts</v>
      </c>
      <c r="E268" s="220" t="str">
        <f>IFERROR(
    VLOOKUP(B267:B1001, Content_Creation!B:D, 3, FALSE),
    IFERROR(VLOOKUP(B267:B1001, Project_Management!B:D, 3, FALSE),"")
  )</f>
        <v>Upload</v>
      </c>
      <c r="F268" s="221" t="str">
        <f>IFERROR(VLOOKUP(B268, Content_Creation!B:F, 5, FALSE), IFERROR(VLOOKUP(B268, Project_Management!B:F, 5, FALSE), ""))</f>
        <v>Talha</v>
      </c>
      <c r="G268" s="222" t="s">
        <v>26</v>
      </c>
      <c r="H268" s="223">
        <f>IFERROR(VLOOKUP(B268, Content_Creation!B:H, 7, FALSE), IFERROR(VLOOKUP(B268, Project_Management!B:H, 7, FALSE), ""))</f>
        <v>45238</v>
      </c>
      <c r="I268" s="224">
        <v>0.0</v>
      </c>
      <c r="J268" s="223">
        <f>IFERROR(VLOOKUP(C268, Content_Creation!B:H, 7, FALSE), IFERROR(VLOOKUP(C268, Project_Management!B:H, 7, FALSE), ""))</f>
        <v>45238</v>
      </c>
      <c r="K268" s="217"/>
      <c r="L268" s="225" t="str">
        <f>IFERROR(VLOOKUP(B268, Data_Validation!X:Y, 2, FALSE), "")</f>
        <v>Done</v>
      </c>
      <c r="M268" s="226" t="str">
        <f t="shared" si="1"/>
        <v>TheMVP | Ada Lovelace Power Efficiency - Shorts | Upload</v>
      </c>
      <c r="N268" s="226"/>
      <c r="O268" s="226"/>
    </row>
    <row r="269" ht="24.0" customHeight="1">
      <c r="A269" s="216" t="str">
        <f>IFERROR(__xludf.DUMMYFUNCTION("ARRAYFORMULA(IFERROR(VLOOKUP(REGEXEXTRACT(B269, ""-(\w+)-""), {Data_Validation!$F$16:$F$29, Data_Validation!$E$16:$E$29}, 2, FALSE), """"))
"),"TheMVP")</f>
        <v>TheMVP</v>
      </c>
      <c r="B269" s="217" t="str">
        <f>IFERROR(__xludf.DUMMYFUNCTION("""COMPUTED_VALUE"""),"CC-MVP-88.03")</f>
        <v>CC-MVP-88.03</v>
      </c>
      <c r="C269" s="218" t="str">
        <f>IFERROR(__xludf.DUMMYFUNCTION("IFERROR(REGEXEXTRACT(B269, ""^[A-Z]+-[A-Z]+-"") &amp; TEXT(VALUE(REGEXEXTRACT(B269, ""-(\d+)\."")), ""00""), """")"),"CC-MVP-88")</f>
        <v>CC-MVP-88</v>
      </c>
      <c r="D269" s="219" t="str">
        <f>IFERROR(VLOOKUP(C269, Content_Creation!B:D, 2, FALSE), IFERROR(VLOOKUP(C269, Project_Management!B:D, 2, FALSE), ""))
&amp; " - "
&amp; IFERROR(VLOOKUP(C269, Content_Creation!B:E, 4, FALSE), IFERROR(VLOOKUP(C269, Project_Management!B:E, 4, FALSE), ""))</f>
        <v>China Vlog - DownEdit - Shorts</v>
      </c>
      <c r="E269" s="220" t="str">
        <f>IFERROR(
    VLOOKUP(B268:B1001, Content_Creation!B:D, 3, FALSE),
    IFERROR(VLOOKUP(B268:B1001, Project_Management!B:D, 3, FALSE),"")
  )</f>
        <v>YT Video Thumbnail</v>
      </c>
      <c r="F269" s="221" t="str">
        <f>IFERROR(VLOOKUP(B269, Content_Creation!B:F, 5, FALSE), IFERROR(VLOOKUP(B269, Project_Management!B:F, 5, FALSE), ""))</f>
        <v>Akhil</v>
      </c>
      <c r="G269" s="222" t="s">
        <v>26</v>
      </c>
      <c r="H269" s="223">
        <f>IFERROR(VLOOKUP(B269, Content_Creation!B:H, 7, FALSE), IFERROR(VLOOKUP(B269, Project_Management!B:H, 7, FALSE), ""))</f>
        <v>45238</v>
      </c>
      <c r="I269" s="224">
        <v>0.1875</v>
      </c>
      <c r="J269" s="223">
        <f>IFERROR(VLOOKUP(C269, Content_Creation!B:H, 7, FALSE), IFERROR(VLOOKUP(C269, Project_Management!B:H, 7, FALSE), ""))</f>
        <v>45238</v>
      </c>
      <c r="K269" s="217"/>
      <c r="L269" s="225" t="str">
        <f>IFERROR(VLOOKUP(B269, Data_Validation!X:Y, 2, FALSE), "")</f>
        <v>Done</v>
      </c>
      <c r="M269" s="226" t="str">
        <f t="shared" si="1"/>
        <v>TheMVP | China Vlog - DownEdit - Shorts | YT Video Thumbnail</v>
      </c>
      <c r="N269" s="226"/>
      <c r="O269" s="226"/>
    </row>
    <row r="270" ht="24.0" customHeight="1">
      <c r="A270" s="216" t="str">
        <f>IFERROR(__xludf.DUMMYFUNCTION("ARRAYFORMULA(IFERROR(VLOOKUP(REGEXEXTRACT(B270, ""-(\w+)-""), {Data_Validation!$F$16:$F$29, Data_Validation!$E$16:$E$29}, 2, FALSE), """"))
"),"TheMVP")</f>
        <v>TheMVP</v>
      </c>
      <c r="B270" s="217" t="str">
        <f>IFERROR(__xludf.DUMMYFUNCTION("""COMPUTED_VALUE"""),"CC-MVP-90.06")</f>
        <v>CC-MVP-90.06</v>
      </c>
      <c r="C270" s="218" t="str">
        <f>IFERROR(__xludf.DUMMYFUNCTION("IFERROR(REGEXEXTRACT(B270, ""^[A-Z]+-[A-Z]+-"") &amp; TEXT(VALUE(REGEXEXTRACT(B270, ""-(\d+)\."")), ""00""), """")"),"CC-MVP-90")</f>
        <v>CC-MVP-90</v>
      </c>
      <c r="D270" s="219" t="str">
        <f>IFERROR(VLOOKUP(C270, Content_Creation!B:D, 2, FALSE), IFERROR(VLOOKUP(C270, Project_Management!B:D, 2, FALSE), ""))
&amp; " - "
&amp; IFERROR(VLOOKUP(C270, Content_Creation!B:E, 4, FALSE), IFERROR(VLOOKUP(C270, Project_Management!B:E, 4, FALSE), ""))</f>
        <v>Client Reviews - Pt 3 - Shorts</v>
      </c>
      <c r="E270" s="220" t="str">
        <f>IFERROR(
    VLOOKUP(B269:B1001, Content_Creation!B:D, 3, FALSE),
    IFERROR(VLOOKUP(B269:B1001, Project_Management!B:D, 3, FALSE),"")
  )</f>
        <v>Thumbnail</v>
      </c>
      <c r="F270" s="221" t="str">
        <f>IFERROR(VLOOKUP(B270, Content_Creation!B:F, 5, FALSE), IFERROR(VLOOKUP(B270, Project_Management!B:F, 5, FALSE), ""))</f>
        <v>Akhil</v>
      </c>
      <c r="G270" s="222" t="s">
        <v>26</v>
      </c>
      <c r="H270" s="223">
        <f>IFERROR(VLOOKUP(B270, Content_Creation!B:H, 7, FALSE), IFERROR(VLOOKUP(B270, Project_Management!B:H, 7, FALSE), ""))</f>
        <v>45238</v>
      </c>
      <c r="I270" s="224">
        <v>0.0625</v>
      </c>
      <c r="J270" s="223">
        <f>IFERROR(VLOOKUP(C270, Content_Creation!B:H, 7, FALSE), IFERROR(VLOOKUP(C270, Project_Management!B:H, 7, FALSE), ""))</f>
        <v>45238</v>
      </c>
      <c r="K270" s="217"/>
      <c r="L270" s="225" t="str">
        <f>IFERROR(VLOOKUP(B270, Data_Validation!X:Y, 2, FALSE), "")</f>
        <v>Done</v>
      </c>
      <c r="M270" s="226" t="str">
        <f t="shared" si="1"/>
        <v>TheMVP | Client Reviews - Pt 3 - Shorts | Thumbnail</v>
      </c>
      <c r="N270" s="226"/>
      <c r="O270" s="226"/>
    </row>
    <row r="271" ht="24.0" customHeight="1">
      <c r="A271" s="216" t="str">
        <f>IFERROR(__xludf.DUMMYFUNCTION("ARRAYFORMULA(IFERROR(VLOOKUP(REGEXEXTRACT(B271, ""-(\w+)-""), {Data_Validation!$F$16:$F$29, Data_Validation!$E$16:$E$29}, 2, FALSE), """"))
"),"TheMVP")</f>
        <v>TheMVP</v>
      </c>
      <c r="B271" s="217" t="str">
        <f>IFERROR(__xludf.DUMMYFUNCTION("""COMPUTED_VALUE"""),"CC-MVP-90.07")</f>
        <v>CC-MVP-90.07</v>
      </c>
      <c r="C271" s="218" t="str">
        <f>IFERROR(__xludf.DUMMYFUNCTION("IFERROR(REGEXEXTRACT(B271, ""^[A-Z]+-[A-Z]+-"") &amp; TEXT(VALUE(REGEXEXTRACT(B271, ""-(\d+)\."")), ""00""), """")"),"CC-MVP-90")</f>
        <v>CC-MVP-90</v>
      </c>
      <c r="D271" s="219" t="str">
        <f>IFERROR(VLOOKUP(C271, Content_Creation!B:D, 2, FALSE), IFERROR(VLOOKUP(C271, Project_Management!B:D, 2, FALSE), ""))
&amp; " - "
&amp; IFERROR(VLOOKUP(C271, Content_Creation!B:E, 4, FALSE), IFERROR(VLOOKUP(C271, Project_Management!B:E, 4, FALSE), ""))</f>
        <v>Client Reviews - Pt 3 - Shorts</v>
      </c>
      <c r="E271" s="220" t="str">
        <f>IFERROR(
    VLOOKUP(B270:B1001, Content_Creation!B:D, 3, FALSE),
    IFERROR(VLOOKUP(B270:B1001, Project_Management!B:D, 3, FALSE),"")
  )</f>
        <v>Upload</v>
      </c>
      <c r="F271" s="221" t="str">
        <f>IFERROR(VLOOKUP(B271, Content_Creation!B:F, 5, FALSE), IFERROR(VLOOKUP(B271, Project_Management!B:F, 5, FALSE), ""))</f>
        <v>Talha</v>
      </c>
      <c r="G271" s="222" t="s">
        <v>26</v>
      </c>
      <c r="H271" s="223">
        <f>IFERROR(VLOOKUP(B271, Content_Creation!B:H, 7, FALSE), IFERROR(VLOOKUP(B271, Project_Management!B:H, 7, FALSE), ""))</f>
        <v>45238</v>
      </c>
      <c r="I271" s="224">
        <v>0.1875</v>
      </c>
      <c r="J271" s="223">
        <f>IFERROR(VLOOKUP(C271, Content_Creation!B:H, 7, FALSE), IFERROR(VLOOKUP(C271, Project_Management!B:H, 7, FALSE), ""))</f>
        <v>45238</v>
      </c>
      <c r="K271" s="217"/>
      <c r="L271" s="225" t="str">
        <f>IFERROR(VLOOKUP(B271, Data_Validation!X:Y, 2, FALSE), "")</f>
        <v>Done</v>
      </c>
      <c r="M271" s="226" t="str">
        <f t="shared" si="1"/>
        <v>TheMVP | Client Reviews - Pt 3 - Shorts | Upload</v>
      </c>
      <c r="N271" s="226"/>
      <c r="O271" s="226"/>
    </row>
    <row r="272" ht="24.0" customHeight="1">
      <c r="A272" s="216" t="str">
        <f>IFERROR(__xludf.DUMMYFUNCTION("ARRAYFORMULA(IFERROR(VLOOKUP(REGEXEXTRACT(B272, ""-(\w+)-""), {Data_Validation!$F$16:$F$29, Data_Validation!$E$16:$E$29}, 2, FALSE), """"))
"),"TheMVP")</f>
        <v>TheMVP</v>
      </c>
      <c r="B272" s="217" t="str">
        <f>IFERROR(__xludf.DUMMYFUNCTION("""COMPUTED_VALUE"""),"CC-MVP-100.04")</f>
        <v>CC-MVP-100.04</v>
      </c>
      <c r="C272" s="218" t="str">
        <f>IFERROR(__xludf.DUMMYFUNCTION("IFERROR(REGEXEXTRACT(B272, ""^[A-Z]+-[A-Z]+-"") &amp; TEXT(VALUE(REGEXEXTRACT(B272, ""-(\d+)\."")), ""00""), """")"),"CC-MVP-100")</f>
        <v>CC-MVP-100</v>
      </c>
      <c r="D272" s="219" t="str">
        <f>IFERROR(VLOOKUP(C272, Content_Creation!B:D, 2, FALSE), IFERROR(VLOOKUP(C272, Project_Management!B:D, 2, FALSE), ""))
&amp; " - "
&amp; IFERROR(VLOOKUP(C272, Content_Creation!B:E, 4, FALSE), IFERROR(VLOOKUP(C272, Project_Management!B:E, 4, FALSE), ""))</f>
        <v>Arm vs x86 - Linkedin</v>
      </c>
      <c r="E272" s="220" t="str">
        <f>IFERROR(
    VLOOKUP(B271:B1001, Content_Creation!B:D, 3, FALSE),
    IFERROR(VLOOKUP(B271:B1001, Project_Management!B:D, 3, FALSE),"")
  )</f>
        <v>Upload</v>
      </c>
      <c r="F272" s="221" t="str">
        <f>IFERROR(VLOOKUP(B272, Content_Creation!B:F, 5, FALSE), IFERROR(VLOOKUP(B272, Project_Management!B:F, 5, FALSE), ""))</f>
        <v>Nasser</v>
      </c>
      <c r="G272" s="222" t="s">
        <v>26</v>
      </c>
      <c r="H272" s="223">
        <f>IFERROR(VLOOKUP(B272, Content_Creation!B:H, 7, FALSE), IFERROR(VLOOKUP(B272, Project_Management!B:H, 7, FALSE), ""))</f>
        <v>45238</v>
      </c>
      <c r="I272" s="224">
        <v>0.0625</v>
      </c>
      <c r="J272" s="223">
        <f>IFERROR(VLOOKUP(C272, Content_Creation!B:H, 7, FALSE), IFERROR(VLOOKUP(C272, Project_Management!B:H, 7, FALSE), ""))</f>
        <v>45238</v>
      </c>
      <c r="K272" s="217"/>
      <c r="L272" s="225" t="str">
        <f>IFERROR(VLOOKUP(B272, Data_Validation!X:Y, 2, FALSE), "")</f>
        <v>Done</v>
      </c>
      <c r="M272" s="226" t="str">
        <f t="shared" si="1"/>
        <v>TheMVP | Arm vs x86 - Linkedin | Upload</v>
      </c>
      <c r="N272" s="226"/>
      <c r="O272" s="226"/>
    </row>
    <row r="273" ht="24.0" customHeight="1">
      <c r="A273" s="216" t="str">
        <f>IFERROR(__xludf.DUMMYFUNCTION("ARRAYFORMULA(IFERROR(VLOOKUP(REGEXEXTRACT(B273, ""-(\w+)-""), {Data_Validation!$F$16:$F$29, Data_Validation!$E$16:$E$29}, 2, FALSE), """"))
"),"TheMVP")</f>
        <v>TheMVP</v>
      </c>
      <c r="B273" s="217" t="str">
        <f>IFERROR(__xludf.DUMMYFUNCTION("""COMPUTED_VALUE"""),"CC-MVP-72.04")</f>
        <v>CC-MVP-72.04</v>
      </c>
      <c r="C273" s="218" t="str">
        <f>IFERROR(__xludf.DUMMYFUNCTION("IFERROR(REGEXEXTRACT(B273, ""^[A-Z]+-[A-Z]+-"") &amp; TEXT(VALUE(REGEXEXTRACT(B273, ""-(\d+)\."")), ""00""), """")"),"CC-MVP-72")</f>
        <v>CC-MVP-72</v>
      </c>
      <c r="D273" s="219" t="str">
        <f>IFERROR(VLOOKUP(C273, Content_Creation!B:D, 2, FALSE), IFERROR(VLOOKUP(C273, Project_Management!B:D, 2, FALSE), ""))
&amp; " - "
&amp; IFERROR(VLOOKUP(C273, Content_Creation!B:E, 4, FALSE), IFERROR(VLOOKUP(C273, Project_Management!B:E, 4, FALSE), ""))</f>
        <v>Build Photo 05102302 Suprim X - Insta</v>
      </c>
      <c r="E273" s="220" t="str">
        <f>IFERROR(
    VLOOKUP(B272:B1001, Content_Creation!B:D, 3, FALSE),
    IFERROR(VLOOKUP(B272:B1001, Project_Management!B:D, 3, FALSE),"")
  )</f>
        <v>Upload</v>
      </c>
      <c r="F273" s="221" t="str">
        <f>IFERROR(VLOOKUP(B273, Content_Creation!B:F, 5, FALSE), IFERROR(VLOOKUP(B273, Project_Management!B:F, 5, FALSE), ""))</f>
        <v>Talha</v>
      </c>
      <c r="G273" s="222" t="s">
        <v>26</v>
      </c>
      <c r="H273" s="223">
        <f>IFERROR(VLOOKUP(B273, Content_Creation!B:H, 7, FALSE), IFERROR(VLOOKUP(B273, Project_Management!B:H, 7, FALSE), ""))</f>
        <v>45238</v>
      </c>
      <c r="I273" s="224">
        <v>0.020833333333333332</v>
      </c>
      <c r="J273" s="223">
        <f>IFERROR(VLOOKUP(C273, Content_Creation!B:H, 7, FALSE), IFERROR(VLOOKUP(C273, Project_Management!B:H, 7, FALSE), ""))</f>
        <v>45238</v>
      </c>
      <c r="K273" s="217"/>
      <c r="L273" s="225" t="str">
        <f>IFERROR(VLOOKUP(B273, Data_Validation!X:Y, 2, FALSE), "")</f>
        <v>Done</v>
      </c>
      <c r="M273" s="226" t="str">
        <f t="shared" si="1"/>
        <v>TheMVP | Build Photo 05102302 Suprim X - Insta | Upload</v>
      </c>
      <c r="N273" s="226"/>
      <c r="O273" s="226"/>
    </row>
    <row r="274" ht="24.0" customHeight="1">
      <c r="A274" s="216" t="str">
        <f>IFERROR(__xludf.DUMMYFUNCTION("ARRAYFORMULA(IFERROR(VLOOKUP(REGEXEXTRACT(B274, ""-(\w+)-""), {Data_Validation!$F$16:$F$29, Data_Validation!$E$16:$E$29}, 2, FALSE), """"))
"),"TheMVP")</f>
        <v>TheMVP</v>
      </c>
      <c r="B274" s="217" t="str">
        <f>IFERROR(__xludf.DUMMYFUNCTION("""COMPUTED_VALUE"""),"CC-MVP-105.04")</f>
        <v>CC-MVP-105.04</v>
      </c>
      <c r="C274" s="218" t="str">
        <f>IFERROR(__xludf.DUMMYFUNCTION("IFERROR(REGEXEXTRACT(B274, ""^[A-Z]+-[A-Z]+-"") &amp; TEXT(VALUE(REGEXEXTRACT(B274, ""-(\d+)\."")), ""00""), """")"),"CC-MVP-105")</f>
        <v>CC-MVP-105</v>
      </c>
      <c r="D274" s="219" t="str">
        <f>IFERROR(VLOOKUP(C274, Content_Creation!B:D, 2, FALSE), IFERROR(VLOOKUP(C274, Project_Management!B:D, 2, FALSE), ""))
&amp; " - "
&amp; IFERROR(VLOOKUP(C274, Content_Creation!B:E, 4, FALSE), IFERROR(VLOOKUP(C274, Project_Management!B:E, 4, FALSE), ""))</f>
        <v>GTA 6 Launch - Tweet</v>
      </c>
      <c r="E274" s="220" t="str">
        <f>IFERROR(
    VLOOKUP(B273:B1001, Content_Creation!B:D, 3, FALSE),
    IFERROR(VLOOKUP(B273:B1001, Project_Management!B:D, 3, FALSE),"")
  )</f>
        <v>Upload</v>
      </c>
      <c r="F274" s="221" t="str">
        <f>IFERROR(VLOOKUP(B274, Content_Creation!B:F, 5, FALSE), IFERROR(VLOOKUP(B274, Project_Management!B:F, 5, FALSE), ""))</f>
        <v>Nasser</v>
      </c>
      <c r="G274" s="222" t="s">
        <v>26</v>
      </c>
      <c r="H274" s="223">
        <f>IFERROR(VLOOKUP(B274, Content_Creation!B:H, 7, FALSE), IFERROR(VLOOKUP(B274, Project_Management!B:H, 7, FALSE), ""))</f>
        <v>45238</v>
      </c>
      <c r="I274" s="224">
        <v>0.010416666666666666</v>
      </c>
      <c r="J274" s="223">
        <f>IFERROR(VLOOKUP(C274, Content_Creation!B:H, 7, FALSE), IFERROR(VLOOKUP(C274, Project_Management!B:H, 7, FALSE), ""))</f>
        <v>45238</v>
      </c>
      <c r="K274" s="217"/>
      <c r="L274" s="225" t="str">
        <f>IFERROR(VLOOKUP(B274, Data_Validation!X:Y, 2, FALSE), "")</f>
        <v>Done</v>
      </c>
      <c r="M274" s="226" t="str">
        <f t="shared" si="1"/>
        <v>TheMVP | GTA 6 Launch - Tweet | Upload</v>
      </c>
      <c r="N274" s="226"/>
      <c r="O274" s="226"/>
    </row>
    <row r="275" ht="24.0" customHeight="1">
      <c r="A275" s="216" t="str">
        <f>IFERROR(__xludf.DUMMYFUNCTION("ARRAYFORMULA(IFERROR(VLOOKUP(REGEXEXTRACT(B275, ""-(\w+)-""), {Data_Validation!$F$16:$F$29, Data_Validation!$E$16:$E$29}, 2, FALSE), """"))
"),"TheMVP")</f>
        <v>TheMVP</v>
      </c>
      <c r="B275" s="217" t="str">
        <f>IFERROR(__xludf.DUMMYFUNCTION("""COMPUTED_VALUE"""),"CC-MVP-66.04")</f>
        <v>CC-MVP-66.04</v>
      </c>
      <c r="C275" s="218" t="str">
        <f>IFERROR(__xludf.DUMMYFUNCTION("IFERROR(REGEXEXTRACT(B275, ""^[A-Z]+-[A-Z]+-"") &amp; TEXT(VALUE(REGEXEXTRACT(B275, ""-(\d+)\."")), ""00""), """")"),"CC-MVP-66")</f>
        <v>CC-MVP-66</v>
      </c>
      <c r="D275" s="219" t="str">
        <f>IFERROR(VLOOKUP(C275, Content_Creation!B:D, 2, FALSE), IFERROR(VLOOKUP(C275, Project_Management!B:D, 2, FALSE), ""))
&amp; " - "
&amp; IFERROR(VLOOKUP(C275, Content_Creation!B:E, 4, FALSE), IFERROR(VLOOKUP(C275, Project_Management!B:E, 4, FALSE), ""))</f>
        <v>Ryzen + Radeon - All AMD - Shorts</v>
      </c>
      <c r="E275" s="220" t="str">
        <f>IFERROR(
    VLOOKUP(B274:B1001, Content_Creation!B:D, 3, FALSE),
    IFERROR(VLOOKUP(B274:B1001, Project_Management!B:D, 3, FALSE),"")
  )</f>
        <v>Editor Notes</v>
      </c>
      <c r="F275" s="221" t="str">
        <f>IFERROR(VLOOKUP(B275, Content_Creation!B:F, 5, FALSE), IFERROR(VLOOKUP(B275, Project_Management!B:F, 5, FALSE), ""))</f>
        <v>Tazeen</v>
      </c>
      <c r="G275" s="222" t="s">
        <v>26</v>
      </c>
      <c r="H275" s="223">
        <f>IFERROR(VLOOKUP(B275, Content_Creation!B:H, 7, FALSE), IFERROR(VLOOKUP(B275, Project_Management!B:H, 7, FALSE), ""))</f>
        <v>45238</v>
      </c>
      <c r="I275" s="224">
        <v>0.003472222222222222</v>
      </c>
      <c r="J275" s="223">
        <f>IFERROR(VLOOKUP(C275, Content_Creation!B:H, 7, FALSE), IFERROR(VLOOKUP(C275, Project_Management!B:H, 7, FALSE), ""))</f>
        <v>45239</v>
      </c>
      <c r="K275" s="217"/>
      <c r="L275" s="225" t="str">
        <f>IFERROR(VLOOKUP(B275, Data_Validation!X:Y, 2, FALSE), "")</f>
        <v>Done</v>
      </c>
      <c r="M275" s="226" t="str">
        <f t="shared" si="1"/>
        <v>TheMVP | Ryzen + Radeon - All AMD - Shorts | Editor Notes</v>
      </c>
      <c r="N275" s="226"/>
      <c r="O275" s="226"/>
    </row>
    <row r="276" ht="24.0" customHeight="1">
      <c r="A276" s="216" t="str">
        <f>IFERROR(__xludf.DUMMYFUNCTION("ARRAYFORMULA(IFERROR(VLOOKUP(REGEXEXTRACT(B276, ""-(\w+)-""), {Data_Validation!$F$16:$F$29, Data_Validation!$E$16:$E$29}, 2, FALSE), """"))
"),"TheMVP")</f>
        <v>TheMVP</v>
      </c>
      <c r="B276" s="217" t="str">
        <f>IFERROR(__xludf.DUMMYFUNCTION("""COMPUTED_VALUE"""),"CC-MVP-92.01")</f>
        <v>CC-MVP-92.01</v>
      </c>
      <c r="C276" s="218" t="str">
        <f>IFERROR(__xludf.DUMMYFUNCTION("IFERROR(REGEXEXTRACT(B276, ""^[A-Z]+-[A-Z]+-"") &amp; TEXT(VALUE(REGEXEXTRACT(B276, ""-(\d+)\."")), ""00""), """")"),"CC-MVP-92")</f>
        <v>CC-MVP-92</v>
      </c>
      <c r="D276" s="219" t="str">
        <f>IFERROR(VLOOKUP(C276, Content_Creation!B:D, 2, FALSE), IFERROR(VLOOKUP(C276, Project_Management!B:D, 2, FALSE), ""))
&amp; " - "
&amp; IFERROR(VLOOKUP(C276, Content_Creation!B:E, 4, FALSE), IFERROR(VLOOKUP(C276, Project_Management!B:E, 4, FALSE), ""))</f>
        <v>Build Photo - H9 White + iGame - Insta</v>
      </c>
      <c r="E276" s="220" t="str">
        <f>IFERROR(
    VLOOKUP(B275:B1001, Content_Creation!B:D, 3, FALSE),
    IFERROR(VLOOKUP(B275:B1001, Project_Management!B:D, 3, FALSE),"")
  )</f>
        <v>Script</v>
      </c>
      <c r="F276" s="221" t="str">
        <f>IFERROR(VLOOKUP(B276, Content_Creation!B:F, 5, FALSE), IFERROR(VLOOKUP(B276, Project_Management!B:F, 5, FALSE), ""))</f>
        <v>Naveen</v>
      </c>
      <c r="G276" s="222" t="s">
        <v>26</v>
      </c>
      <c r="H276" s="223">
        <f>IFERROR(VLOOKUP(B276, Content_Creation!B:H, 7, FALSE), IFERROR(VLOOKUP(B276, Project_Management!B:H, 7, FALSE), ""))</f>
        <v>45238</v>
      </c>
      <c r="I276" s="224">
        <v>0.010416666666666666</v>
      </c>
      <c r="J276" s="223">
        <f>IFERROR(VLOOKUP(C276, Content_Creation!B:H, 7, FALSE), IFERROR(VLOOKUP(C276, Project_Management!B:H, 7, FALSE), ""))</f>
        <v>45239</v>
      </c>
      <c r="K276" s="217"/>
      <c r="L276" s="225" t="str">
        <f>IFERROR(VLOOKUP(B276, Data_Validation!X:Y, 2, FALSE), "")</f>
        <v>Done</v>
      </c>
      <c r="M276" s="226" t="str">
        <f t="shared" si="1"/>
        <v>TheMVP | Build Photo - H9 White + iGame - Insta | Script</v>
      </c>
      <c r="N276" s="226"/>
      <c r="O276" s="226"/>
    </row>
    <row r="277" ht="24.0" customHeight="1">
      <c r="A277" s="216" t="str">
        <f>IFERROR(__xludf.DUMMYFUNCTION("ARRAYFORMULA(IFERROR(VLOOKUP(REGEXEXTRACT(B277, ""-(\w+)-""), {Data_Validation!$F$16:$F$29, Data_Validation!$E$16:$E$29}, 2, FALSE), """"))
"),"TheMVP")</f>
        <v>TheMVP</v>
      </c>
      <c r="B277" s="217" t="str">
        <f>IFERROR(__xludf.DUMMYFUNCTION("""COMPUTED_VALUE"""),"CC-MVP-77.04")</f>
        <v>CC-MVP-77.04</v>
      </c>
      <c r="C277" s="218" t="str">
        <f>IFERROR(__xludf.DUMMYFUNCTION("IFERROR(REGEXEXTRACT(B277, ""^[A-Z]+-[A-Z]+-"") &amp; TEXT(VALUE(REGEXEXTRACT(B277, ""-(\d+)\."")), ""00""), """")"),"CC-MVP-77")</f>
        <v>CC-MVP-77</v>
      </c>
      <c r="D277" s="219" t="str">
        <f>IFERROR(VLOOKUP(C277, Content_Creation!B:D, 2, FALSE), IFERROR(VLOOKUP(C277, Project_Management!B:D, 2, FALSE), ""))
&amp; " - "
&amp; IFERROR(VLOOKUP(C277, Content_Creation!B:E, 4, FALSE), IFERROR(VLOOKUP(C277, Project_Management!B:E, 4, FALSE), ""))</f>
        <v>Nvidia L40s - YT Video</v>
      </c>
      <c r="E277" s="220" t="str">
        <f>IFERROR(
    VLOOKUP(B276:B1001, Content_Creation!B:D, 3, FALSE),
    IFERROR(VLOOKUP(B276:B1001, Project_Management!B:D, 3, FALSE),"")
  )</f>
        <v>Editor Notes</v>
      </c>
      <c r="F277" s="221" t="str">
        <f>IFERROR(VLOOKUP(B277, Content_Creation!B:F, 5, FALSE), IFERROR(VLOOKUP(B277, Project_Management!B:F, 5, FALSE), ""))</f>
        <v>Tazeen</v>
      </c>
      <c r="G277" s="222" t="s">
        <v>26</v>
      </c>
      <c r="H277" s="223">
        <f>IFERROR(VLOOKUP(B277, Content_Creation!B:H, 7, FALSE), IFERROR(VLOOKUP(B277, Project_Management!B:H, 7, FALSE), ""))</f>
        <v>45238</v>
      </c>
      <c r="I277" s="224">
        <v>0.0</v>
      </c>
      <c r="J277" s="223">
        <f>IFERROR(VLOOKUP(C277, Content_Creation!B:H, 7, FALSE), IFERROR(VLOOKUP(C277, Project_Management!B:H, 7, FALSE), ""))</f>
        <v>45241</v>
      </c>
      <c r="K277" s="217"/>
      <c r="L277" s="225" t="str">
        <f>IFERROR(VLOOKUP(B277, Data_Validation!X:Y, 2, FALSE), "")</f>
        <v>Done</v>
      </c>
      <c r="M277" s="226" t="str">
        <f t="shared" si="1"/>
        <v>TheMVP | Nvidia L40s - YT Video | Editor Notes</v>
      </c>
      <c r="N277" s="226"/>
      <c r="O277" s="226"/>
    </row>
    <row r="278" ht="24.0" customHeight="1">
      <c r="A278" s="216" t="str">
        <f>IFERROR(__xludf.DUMMYFUNCTION("ARRAYFORMULA(IFERROR(VLOOKUP(REGEXEXTRACT(B278, ""-(\w+)-""), {Data_Validation!$F$16:$F$29, Data_Validation!$E$16:$E$29}, 2, FALSE), """"))
"),"TheMVP")</f>
        <v>TheMVP</v>
      </c>
      <c r="B278" s="217" t="str">
        <f>IFERROR(__xludf.DUMMYFUNCTION("""COMPUTED_VALUE"""),"CC-MVP-77.05")</f>
        <v>CC-MVP-77.05</v>
      </c>
      <c r="C278" s="218" t="str">
        <f>IFERROR(__xludf.DUMMYFUNCTION("IFERROR(REGEXEXTRACT(B278, ""^[A-Z]+-[A-Z]+-"") &amp; TEXT(VALUE(REGEXEXTRACT(B278, ""-(\d+)\."")), ""00""), """")"),"CC-MVP-77")</f>
        <v>CC-MVP-77</v>
      </c>
      <c r="D278" s="219" t="str">
        <f>IFERROR(VLOOKUP(C278, Content_Creation!B:D, 2, FALSE), IFERROR(VLOOKUP(C278, Project_Management!B:D, 2, FALSE), ""))
&amp; " - "
&amp; IFERROR(VLOOKUP(C278, Content_Creation!B:E, 4, FALSE), IFERROR(VLOOKUP(C278, Project_Management!B:E, 4, FALSE), ""))</f>
        <v>Nvidia L40s - YT Video</v>
      </c>
      <c r="E278" s="220" t="str">
        <f>IFERROR(
    VLOOKUP(B277:B1001, Content_Creation!B:D, 3, FALSE),
    IFERROR(VLOOKUP(B277:B1001, Project_Management!B:D, 3, FALSE),"")
  )</f>
        <v>Edit</v>
      </c>
      <c r="F278" s="221" t="str">
        <f>IFERROR(VLOOKUP(B278, Content_Creation!B:F, 5, FALSE), IFERROR(VLOOKUP(B278, Project_Management!B:F, 5, FALSE), ""))</f>
        <v>Freelancer</v>
      </c>
      <c r="G278" s="222" t="s">
        <v>179</v>
      </c>
      <c r="H278" s="223">
        <f>IFERROR(VLOOKUP(B278, Content_Creation!B:H, 7, FALSE), IFERROR(VLOOKUP(B278, Project_Management!B:H, 7, FALSE), ""))</f>
        <v>45238</v>
      </c>
      <c r="I278" s="224">
        <v>0.03125</v>
      </c>
      <c r="J278" s="223">
        <f>IFERROR(VLOOKUP(C278, Content_Creation!B:H, 7, FALSE), IFERROR(VLOOKUP(C278, Project_Management!B:H, 7, FALSE), ""))</f>
        <v>45241</v>
      </c>
      <c r="K278" s="217"/>
      <c r="L278" s="225" t="str">
        <f>IFERROR(VLOOKUP(B278, Data_Validation!X:Y, 2, FALSE), "")</f>
        <v>Not Started</v>
      </c>
      <c r="M278" s="226" t="str">
        <f t="shared" si="1"/>
        <v>TheMVP | Nvidia L40s - YT Video | Edit</v>
      </c>
      <c r="N278" s="226"/>
      <c r="O278" s="226"/>
    </row>
    <row r="279" ht="24.0" customHeight="1">
      <c r="A279" s="216" t="str">
        <f>IFERROR(__xludf.DUMMYFUNCTION("ARRAYFORMULA(IFERROR(VLOOKUP(REGEXEXTRACT(B279, ""-(\w+)-""), {Data_Validation!$F$16:$F$29, Data_Validation!$E$16:$E$29}, 2, FALSE), """"))
"),"TheMVP")</f>
        <v>TheMVP</v>
      </c>
      <c r="B279" s="217" t="str">
        <f>IFERROR(__xludf.DUMMYFUNCTION("""COMPUTED_VALUE"""),"CC-MVP-76.05")</f>
        <v>CC-MVP-76.05</v>
      </c>
      <c r="C279" s="218" t="str">
        <f>IFERROR(__xludf.DUMMYFUNCTION("IFERROR(REGEXEXTRACT(B279, ""^[A-Z]+-[A-Z]+-"") &amp; TEXT(VALUE(REGEXEXTRACT(B279, ""-(\d+)\."")), ""00""), """")"),"CC-MVP-76")</f>
        <v>CC-MVP-76</v>
      </c>
      <c r="D279" s="219" t="str">
        <f>IFERROR(VLOOKUP(C279, Content_Creation!B:D, 2, FALSE), IFERROR(VLOOKUP(C279, Project_Management!B:D, 2, FALSE), ""))
&amp; " - "
&amp; IFERROR(VLOOKUP(C279, Content_Creation!B:E, 4, FALSE), IFERROR(VLOOKUP(C279, Project_Management!B:E, 4, FALSE), ""))</f>
        <v>12 Lakh GPU - Nvidia L40s - Shorts</v>
      </c>
      <c r="E279" s="220" t="str">
        <f>IFERROR(
    VLOOKUP(B278:B1001, Content_Creation!B:D, 3, FALSE),
    IFERROR(VLOOKUP(B278:B1001, Project_Management!B:D, 3, FALSE),"")
  )</f>
        <v>Shoot</v>
      </c>
      <c r="F279" s="221" t="str">
        <f>IFERROR(VLOOKUP(B279, Content_Creation!B:F, 5, FALSE), IFERROR(VLOOKUP(B279, Project_Management!B:F, 5, FALSE), ""))</f>
        <v>Akhil</v>
      </c>
      <c r="G279" s="222" t="s">
        <v>26</v>
      </c>
      <c r="H279" s="223">
        <f>IFERROR(VLOOKUP(B279, Content_Creation!B:H, 7, FALSE), IFERROR(VLOOKUP(B279, Project_Management!B:H, 7, FALSE), ""))</f>
        <v>45238</v>
      </c>
      <c r="I279" s="224">
        <v>0.0</v>
      </c>
      <c r="J279" s="223">
        <f>IFERROR(VLOOKUP(C279, Content_Creation!B:H, 7, FALSE), IFERROR(VLOOKUP(C279, Project_Management!B:H, 7, FALSE), ""))</f>
        <v>45242</v>
      </c>
      <c r="K279" s="217"/>
      <c r="L279" s="225" t="str">
        <f>IFERROR(VLOOKUP(B279, Data_Validation!X:Y, 2, FALSE), "")</f>
        <v>Done</v>
      </c>
      <c r="M279" s="226" t="str">
        <f t="shared" si="1"/>
        <v>TheMVP | 12 Lakh GPU - Nvidia L40s - Shorts | Shoot</v>
      </c>
      <c r="N279" s="226"/>
      <c r="O279" s="226"/>
    </row>
    <row r="280" ht="24.0" customHeight="1">
      <c r="A280" s="216" t="str">
        <f>IFERROR(__xludf.DUMMYFUNCTION("ARRAYFORMULA(IFERROR(VLOOKUP(REGEXEXTRACT(B280, ""-(\w+)-""), {Data_Validation!$F$16:$F$29, Data_Validation!$E$16:$E$29}, 2, FALSE), """"))
"),"TheMVP")</f>
        <v>TheMVP</v>
      </c>
      <c r="B280" s="217" t="str">
        <f>IFERROR(__xludf.DUMMYFUNCTION("""COMPUTED_VALUE"""),"CC-MVP-82.02")</f>
        <v>CC-MVP-82.02</v>
      </c>
      <c r="C280" s="218" t="str">
        <f>IFERROR(__xludf.DUMMYFUNCTION("IFERROR(REGEXEXTRACT(B280, ""^[A-Z]+-[A-Z]+-"") &amp; TEXT(VALUE(REGEXEXTRACT(B280, ""-(\d+)\."")), ""00""), """")"),"CC-MVP-82")</f>
        <v>CC-MVP-82</v>
      </c>
      <c r="D280" s="219" t="str">
        <f>IFERROR(VLOOKUP(C280, Content_Creation!B:D, 2, FALSE), IFERROR(VLOOKUP(C280, Project_Management!B:D, 2, FALSE), ""))
&amp; " - "
&amp; IFERROR(VLOOKUP(C280, Content_Creation!B:E, 4, FALSE), IFERROR(VLOOKUP(C280, Project_Management!B:E, 4, FALSE), ""))</f>
        <v>G613 Keyboard - Logi Offer - Shorts</v>
      </c>
      <c r="E280" s="220" t="str">
        <f>IFERROR(
    VLOOKUP(B279:B1001, Content_Creation!B:D, 3, FALSE),
    IFERROR(VLOOKUP(B279:B1001, Project_Management!B:D, 3, FALSE),"")
  )</f>
        <v>Shoot</v>
      </c>
      <c r="F280" s="221" t="str">
        <f>IFERROR(VLOOKUP(B280, Content_Creation!B:F, 5, FALSE), IFERROR(VLOOKUP(B280, Project_Management!B:F, 5, FALSE), ""))</f>
        <v/>
      </c>
      <c r="G280" s="264" t="s">
        <v>179</v>
      </c>
      <c r="H280" s="223">
        <f>IFERROR(VLOOKUP(B280, Content_Creation!B:H, 7, FALSE), IFERROR(VLOOKUP(B280, Project_Management!B:H, 7, FALSE), ""))</f>
        <v>45238</v>
      </c>
      <c r="I280" s="224">
        <v>0.020833333333333332</v>
      </c>
      <c r="J280" s="223">
        <f>IFERROR(VLOOKUP(C280, Content_Creation!B:H, 7, FALSE), IFERROR(VLOOKUP(C280, Project_Management!B:H, 7, FALSE), ""))</f>
        <v>45243</v>
      </c>
      <c r="K280" s="217"/>
      <c r="L280" s="225" t="str">
        <f>IFERROR(VLOOKUP(B280, Data_Validation!X:Y, 2, FALSE), "")</f>
        <v>Not Started</v>
      </c>
      <c r="M280" s="226" t="str">
        <f t="shared" si="1"/>
        <v>TheMVP | G613 Keyboard - Logi Offer - Shorts | Shoot</v>
      </c>
      <c r="N280" s="226"/>
      <c r="O280" s="226"/>
    </row>
    <row r="281" ht="24.0" customHeight="1">
      <c r="A281" s="216" t="str">
        <f>IFERROR(__xludf.DUMMYFUNCTION("ARRAYFORMULA(IFERROR(VLOOKUP(REGEXEXTRACT(B281, ""-(\w+)-""), {Data_Validation!$F$16:$F$29, Data_Validation!$E$16:$E$29}, 2, FALSE), """"))
"),"Picture This!")</f>
        <v>Picture This!</v>
      </c>
      <c r="B281" s="217" t="str">
        <f>IFERROR(__xludf.DUMMYFUNCTION("""COMPUTED_VALUE"""),"CC-PTS-10.01")</f>
        <v>CC-PTS-10.01</v>
      </c>
      <c r="C281" s="218" t="str">
        <f>IFERROR(__xludf.DUMMYFUNCTION("IFERROR(REGEXEXTRACT(B281, ""^[A-Z]+-[A-Z]+-"") &amp; TEXT(VALUE(REGEXEXTRACT(B281, ""-(\d+)\."")), ""00""), """")"),"CC-PTS-10")</f>
        <v>CC-PTS-10</v>
      </c>
      <c r="D281" s="219" t="str">
        <f>IFERROR(VLOOKUP(C281, Content_Creation!B:D, 2, FALSE), IFERROR(VLOOKUP(C281, Project_Management!B:D, 2, FALSE), ""))
&amp; " - "
&amp; IFERROR(VLOOKUP(C281, Content_Creation!B:E, 4, FALSE), IFERROR(VLOOKUP(C281, Project_Management!B:E, 4, FALSE), ""))</f>
        <v>Before vs After - Shorts</v>
      </c>
      <c r="E281" s="220" t="str">
        <f>IFERROR(
    VLOOKUP(B280:B1001, Content_Creation!B:D, 3, FALSE),
    IFERROR(VLOOKUP(B280:B1001, Project_Management!B:D, 3, FALSE),"")
  )</f>
        <v>Script</v>
      </c>
      <c r="F281" s="221" t="str">
        <f>IFERROR(VLOOKUP(B281, Content_Creation!B:F, 5, FALSE), IFERROR(VLOOKUP(B281, Project_Management!B:F, 5, FALSE), ""))</f>
        <v/>
      </c>
      <c r="G281" s="222" t="s">
        <v>179</v>
      </c>
      <c r="H281" s="223">
        <f>IFERROR(VLOOKUP(B281, Content_Creation!B:H, 7, FALSE), IFERROR(VLOOKUP(B281, Project_Management!B:H, 7, FALSE), ""))</f>
        <v>45238</v>
      </c>
      <c r="I281" s="224">
        <v>0.041666666666666664</v>
      </c>
      <c r="J281" s="223">
        <f>IFERROR(VLOOKUP(C281, Content_Creation!B:H, 7, FALSE), IFERROR(VLOOKUP(C281, Project_Management!B:H, 7, FALSE), ""))</f>
        <v>45240</v>
      </c>
      <c r="K281" s="217"/>
      <c r="L281" s="225" t="str">
        <f>IFERROR(VLOOKUP(B281, Data_Validation!X:Y, 2, FALSE), "")</f>
        <v>Not Started</v>
      </c>
      <c r="M281" s="226" t="str">
        <f t="shared" si="1"/>
        <v>Picture This! | Before vs After - Shorts | Script</v>
      </c>
      <c r="N281" s="226"/>
      <c r="O281" s="226"/>
    </row>
    <row r="282" ht="24.0" customHeight="1">
      <c r="A282" s="216" t="str">
        <f>IFERROR(__xludf.DUMMYFUNCTION("ARRAYFORMULA(IFERROR(VLOOKUP(REGEXEXTRACT(B282, ""-(\w+)-""), {Data_Validation!$F$16:$F$29, Data_Validation!$E$16:$E$29}, 2, FALSE), """"))
"),"Colorful Tech")</f>
        <v>Colorful Tech</v>
      </c>
      <c r="B282" s="217" t="str">
        <f>IFERROR(__xludf.DUMMYFUNCTION("""COMPUTED_VALUE"""),"CC-CTH-14.07")</f>
        <v>CC-CTH-14.07</v>
      </c>
      <c r="C282" s="218" t="str">
        <f>IFERROR(__xludf.DUMMYFUNCTION("IFERROR(REGEXEXTRACT(B282, ""^[A-Z]+-[A-Z]+-"") &amp; TEXT(VALUE(REGEXEXTRACT(B282, ""-(\d+)\."")), ""00""), """")"),"CC-CTH-14")</f>
        <v>CC-CTH-14</v>
      </c>
      <c r="D282" s="219" t="str">
        <f>IFERROR(VLOOKUP(C282, Content_Creation!B:D, 2, FALSE), IFERROR(VLOOKUP(C282, Project_Management!B:D, 2, FALSE), ""))
&amp; " - "
&amp; IFERROR(VLOOKUP(C282, Content_Creation!B:E, 4, FALSE), IFERROR(VLOOKUP(C282, Project_Management!B:E, 4, FALSE), ""))</f>
        <v>RTX 4090 Vulcan - Build Reel - Shorts</v>
      </c>
      <c r="E282" s="220" t="str">
        <f>IFERROR(
    VLOOKUP(B281:B1001, Content_Creation!B:D, 3, FALSE),
    IFERROR(VLOOKUP(B281:B1001, Project_Management!B:D, 3, FALSE),"")
  )</f>
        <v>Upload</v>
      </c>
      <c r="F282" s="221" t="str">
        <f>IFERROR(VLOOKUP(B282, Content_Creation!B:F, 5, FALSE), IFERROR(VLOOKUP(B282, Project_Management!B:F, 5, FALSE), ""))</f>
        <v>Talha</v>
      </c>
      <c r="G282" s="222" t="s">
        <v>26</v>
      </c>
      <c r="H282" s="223">
        <f>IFERROR(VLOOKUP(B282, Content_Creation!B:H, 7, FALSE), IFERROR(VLOOKUP(B282, Project_Management!B:H, 7, FALSE), ""))</f>
        <v>45238</v>
      </c>
      <c r="I282" s="224">
        <v>0.010416666666666666</v>
      </c>
      <c r="J282" s="223">
        <f>IFERROR(VLOOKUP(C282, Content_Creation!B:H, 7, FALSE), IFERROR(VLOOKUP(C282, Project_Management!B:H, 7, FALSE), ""))</f>
        <v>45238</v>
      </c>
      <c r="K282" s="217"/>
      <c r="L282" s="225" t="str">
        <f>IFERROR(VLOOKUP(B282, Data_Validation!X:Y, 2, FALSE), "")</f>
        <v>Done</v>
      </c>
      <c r="M282" s="226" t="str">
        <f t="shared" si="1"/>
        <v>Colorful Tech | RTX 4090 Vulcan - Build Reel - Shorts | Upload</v>
      </c>
      <c r="N282" s="226"/>
      <c r="O282" s="226"/>
    </row>
    <row r="283" ht="24.0" customHeight="1">
      <c r="A283" s="216" t="str">
        <f>IFERROR(__xludf.DUMMYFUNCTION("ARRAYFORMULA(IFERROR(VLOOKUP(REGEXEXTRACT(B283, ""-(\w+)-""), {Data_Validation!$F$16:$F$29, Data_Validation!$E$16:$E$29}, 2, FALSE), """"))
"),"Colorful Tech")</f>
        <v>Colorful Tech</v>
      </c>
      <c r="B283" s="217" t="str">
        <f>IFERROR(__xludf.DUMMYFUNCTION("""COMPUTED_VALUE"""),"CC-CTH-12.02")</f>
        <v>CC-CTH-12.02</v>
      </c>
      <c r="C283" s="218" t="str">
        <f>IFERROR(__xludf.DUMMYFUNCTION("IFERROR(REGEXEXTRACT(B283, ""^[A-Z]+-[A-Z]+-"") &amp; TEXT(VALUE(REGEXEXTRACT(B283, ""-(\d+)\."")), ""00""), """")"),"CC-CTH-12")</f>
        <v>CC-CTH-12</v>
      </c>
      <c r="D283" s="219" t="str">
        <f>IFERROR(VLOOKUP(C283, Content_Creation!B:D, 2, FALSE), IFERROR(VLOOKUP(C283, Project_Management!B:D, 2, FALSE), ""))
&amp; " - "
&amp; IFERROR(VLOOKUP(C283, Content_Creation!B:E, 4, FALSE), IFERROR(VLOOKUP(C283, Project_Management!B:E, 4, FALSE), ""))</f>
        <v>STEM Studies - Shorts</v>
      </c>
      <c r="E283" s="220" t="str">
        <f>IFERROR(
    VLOOKUP(B282:B1001, Content_Creation!B:D, 3, FALSE),
    IFERROR(VLOOKUP(B282:B1001, Project_Management!B:D, 3, FALSE),"")
  )</f>
        <v>Voiceover</v>
      </c>
      <c r="F283" s="221" t="str">
        <f>IFERROR(VLOOKUP(B283, Content_Creation!B:F, 5, FALSE), IFERROR(VLOOKUP(B283, Project_Management!B:F, 5, FALSE), ""))</f>
        <v>Talha</v>
      </c>
      <c r="G283" s="222" t="s">
        <v>26</v>
      </c>
      <c r="H283" s="223">
        <f>IFERROR(VLOOKUP(B283, Content_Creation!B:H, 7, FALSE), IFERROR(VLOOKUP(B283, Project_Management!B:H, 7, FALSE), ""))</f>
        <v>45238</v>
      </c>
      <c r="I283" s="224">
        <v>0.10416666666666667</v>
      </c>
      <c r="J283" s="223">
        <f>IFERROR(VLOOKUP(C283, Content_Creation!B:H, 7, FALSE), IFERROR(VLOOKUP(C283, Project_Management!B:H, 7, FALSE), ""))</f>
        <v>45239</v>
      </c>
      <c r="K283" s="217"/>
      <c r="L283" s="225" t="str">
        <f>IFERROR(VLOOKUP(B283, Data_Validation!X:Y, 2, FALSE), "")</f>
        <v>Done</v>
      </c>
      <c r="M283" s="226" t="str">
        <f t="shared" si="1"/>
        <v>Colorful Tech | STEM Studies - Shorts | Voiceover</v>
      </c>
      <c r="N283" s="226"/>
      <c r="O283" s="226"/>
    </row>
    <row r="284" ht="24.0" customHeight="1">
      <c r="A284" s="235" t="str">
        <f>IFERROR(__xludf.DUMMYFUNCTION("ARRAYFORMULA(IFERROR(VLOOKUP(REGEXEXTRACT(B284, ""-(\w+)-""), {Data_Validation!$F$16:$F$29, Data_Validation!$E$16:$E$29}, 2, FALSE), """"))
"),"Colorful Tech")</f>
        <v>Colorful Tech</v>
      </c>
      <c r="B284" s="236" t="str">
        <f>IFERROR(__xludf.DUMMYFUNCTION("""COMPUTED_VALUE"""),"CC-CTH-10.04")</f>
        <v>CC-CTH-10.04</v>
      </c>
      <c r="C284" s="258" t="str">
        <f>IFERROR(__xludf.DUMMYFUNCTION("IFERROR(REGEXEXTRACT(B284, ""^[A-Z]+-[A-Z]+-"") &amp; TEXT(VALUE(REGEXEXTRACT(B284, ""-(\d+)\."")), ""00""), """")"),"CC-CTH-10")</f>
        <v>CC-CTH-10</v>
      </c>
      <c r="D284" s="219" t="str">
        <f>IFERROR(VLOOKUP(C284, Content_Creation!B:D, 2, FALSE), IFERROR(VLOOKUP(C284, Project_Management!B:D, 2, FALSE), ""))
&amp; " - "
&amp; IFERROR(VLOOKUP(C284, Content_Creation!B:E, 4, FALSE), IFERROR(VLOOKUP(C284, Project_Management!B:E, 4, FALSE), ""))</f>
        <v>iGame Center Introduction - Shorts</v>
      </c>
      <c r="E284" s="245" t="str">
        <f>IFERROR(
    VLOOKUP(B283:B1001, Content_Creation!B:D, 3, FALSE),
    IFERROR(VLOOKUP(B283:B1001, Project_Management!B:D, 3, FALSE),"")
  )</f>
        <v>Voiceover</v>
      </c>
      <c r="F284" s="238" t="str">
        <f>IFERROR(VLOOKUP(B284, Content_Creation!B:F, 5, FALSE), IFERROR(VLOOKUP(B284, Project_Management!B:F, 5, FALSE), ""))</f>
        <v>Talha</v>
      </c>
      <c r="G284" s="238" t="s">
        <v>26</v>
      </c>
      <c r="H284" s="239">
        <f>IFERROR(VLOOKUP(B284, Content_Creation!B:H, 7, FALSE), IFERROR(VLOOKUP(B284, Project_Management!B:H, 7, FALSE), ""))</f>
        <v>45238</v>
      </c>
      <c r="I284" s="240">
        <v>0.020833333333333332</v>
      </c>
      <c r="J284" s="223">
        <f>IFERROR(VLOOKUP(C284, Content_Creation!B:H, 7, FALSE), IFERROR(VLOOKUP(C284, Project_Management!B:H, 7, FALSE), ""))</f>
        <v>45241</v>
      </c>
      <c r="K284" s="236"/>
      <c r="L284" s="241" t="str">
        <f>IFERROR(VLOOKUP(B284, Data_Validation!X:Y, 2, FALSE), "")</f>
        <v>Done</v>
      </c>
      <c r="M284" s="226" t="str">
        <f t="shared" si="1"/>
        <v>Colorful Tech | iGame Center Introduction - Shorts | Voiceover</v>
      </c>
      <c r="N284" s="242"/>
      <c r="O284" s="242"/>
    </row>
    <row r="285" ht="24.0" customHeight="1">
      <c r="A285" s="216" t="str">
        <f>IFERROR(__xludf.DUMMYFUNCTION("ARRAYFORMULA(IFERROR(VLOOKUP(REGEXEXTRACT(B285, ""-(\w+)-""), {Data_Validation!$F$16:$F$29, Data_Validation!$E$16:$E$29}, 2, FALSE), """"))
"),"Colorful Tech")</f>
        <v>Colorful Tech</v>
      </c>
      <c r="B285" s="217" t="str">
        <f>IFERROR(__xludf.DUMMYFUNCTION("""COMPUTED_VALUE"""),"CC-CTH-15.06")</f>
        <v>CC-CTH-15.06</v>
      </c>
      <c r="C285" s="218" t="str">
        <f>IFERROR(__xludf.DUMMYFUNCTION("IFERROR(REGEXEXTRACT(B285, ""^[A-Z]+-[A-Z]+-"") &amp; TEXT(VALUE(REGEXEXTRACT(B285, ""-(\d+)\."")), ""00""), """")"),"CC-CTH-15")</f>
        <v>CC-CTH-15</v>
      </c>
      <c r="D285" s="219" t="str">
        <f>IFERROR(VLOOKUP(C285, Content_Creation!B:D, 2, FALSE), IFERROR(VLOOKUP(C285, Project_Management!B:D, 2, FALSE), ""))
&amp; " - "
&amp; IFERROR(VLOOKUP(C285, Content_Creation!B:E, 4, FALSE), IFERROR(VLOOKUP(C285, Project_Management!B:E, 4, FALSE), ""))</f>
        <v>POV: you bought your first GPU - Shorts</v>
      </c>
      <c r="E285" s="220" t="str">
        <f>IFERROR(
    VLOOKUP(B284:B1001, Content_Creation!B:D, 3, FALSE),
    IFERROR(VLOOKUP(B284:B1001, Project_Management!B:D, 3, FALSE),"")
  )</f>
        <v>Caption</v>
      </c>
      <c r="F285" s="221" t="str">
        <f>IFERROR(VLOOKUP(B285, Content_Creation!B:F, 5, FALSE), IFERROR(VLOOKUP(B285, Project_Management!B:F, 5, FALSE), ""))</f>
        <v>Talha</v>
      </c>
      <c r="G285" s="222" t="s">
        <v>26</v>
      </c>
      <c r="H285" s="223">
        <f>IFERROR(VLOOKUP(B285, Content_Creation!B:H, 7, FALSE), IFERROR(VLOOKUP(B285, Project_Management!B:H, 7, FALSE), ""))</f>
        <v>45238</v>
      </c>
      <c r="I285" s="224">
        <v>0.020833333333333332</v>
      </c>
      <c r="J285" s="223">
        <f>IFERROR(VLOOKUP(C285, Content_Creation!B:H, 7, FALSE), IFERROR(VLOOKUP(C285, Project_Management!B:H, 7, FALSE), ""))</f>
        <v>45243</v>
      </c>
      <c r="K285" s="217"/>
      <c r="L285" s="225" t="str">
        <f>IFERROR(VLOOKUP(B285, Data_Validation!X:Y, 2, FALSE), "")</f>
        <v>Done</v>
      </c>
      <c r="M285" s="226" t="str">
        <f t="shared" si="1"/>
        <v>Colorful Tech | POV: you bought your first GPU - Shorts | Caption</v>
      </c>
      <c r="N285" s="226"/>
      <c r="O285" s="226"/>
    </row>
    <row r="286" ht="24.0" customHeight="1">
      <c r="A286" s="216" t="str">
        <f>IFERROR(__xludf.DUMMYFUNCTION("ARRAYFORMULA(IFERROR(VLOOKUP(REGEXEXTRACT(B286, ""-(\w+)-""), {Data_Validation!$F$16:$F$29, Data_Validation!$E$16:$E$29}, 2, FALSE), """"))
"),"Inno3D")</f>
        <v>Inno3D</v>
      </c>
      <c r="B286" s="217" t="str">
        <f>IFERROR(__xludf.DUMMYFUNCTION("""COMPUTED_VALUE"""),"CC-INN-26.04")</f>
        <v>CC-INN-26.04</v>
      </c>
      <c r="C286" s="218" t="str">
        <f>IFERROR(__xludf.DUMMYFUNCTION("IFERROR(REGEXEXTRACT(B286, ""^[A-Z]+-[A-Z]+-"") &amp; TEXT(VALUE(REGEXEXTRACT(B286, ""-(\d+)\."")), ""00""), """")"),"CC-INN-26")</f>
        <v>CC-INN-26</v>
      </c>
      <c r="D286" s="219" t="str">
        <f>IFERROR(VLOOKUP(C286, Content_Creation!B:D, 2, FALSE), IFERROR(VLOOKUP(C286, Project_Management!B:D, 2, FALSE), ""))
&amp; " - "
&amp; IFERROR(VLOOKUP(C286, Content_Creation!B:E, 4, FALSE), IFERROR(VLOOKUP(C286, Project_Management!B:E, 4, FALSE), ""))</f>
        <v>Build photo - Insta</v>
      </c>
      <c r="E286" s="220" t="str">
        <f>IFERROR(
    VLOOKUP(B285:B1001, Content_Creation!B:D, 3, FALSE),
    IFERROR(VLOOKUP(B285:B1001, Project_Management!B:D, 3, FALSE),"")
  )</f>
        <v>Upload</v>
      </c>
      <c r="F286" s="221" t="str">
        <f>IFERROR(VLOOKUP(B286, Content_Creation!B:F, 5, FALSE), IFERROR(VLOOKUP(B286, Project_Management!B:F, 5, FALSE), ""))</f>
        <v>Naveen</v>
      </c>
      <c r="G286" s="222" t="s">
        <v>26</v>
      </c>
      <c r="H286" s="223">
        <f>IFERROR(VLOOKUP(B286, Content_Creation!B:H, 7, FALSE), IFERROR(VLOOKUP(B286, Project_Management!B:H, 7, FALSE), ""))</f>
        <v>45238</v>
      </c>
      <c r="I286" s="224">
        <v>0.0625</v>
      </c>
      <c r="J286" s="223">
        <f>IFERROR(VLOOKUP(C286, Content_Creation!B:H, 7, FALSE), IFERROR(VLOOKUP(C286, Project_Management!B:H, 7, FALSE), ""))</f>
        <v>45238</v>
      </c>
      <c r="K286" s="217"/>
      <c r="L286" s="225" t="str">
        <f>IFERROR(VLOOKUP(B286, Data_Validation!X:Y, 2, FALSE), "")</f>
        <v>Done</v>
      </c>
      <c r="M286" s="226" t="str">
        <f t="shared" si="1"/>
        <v>Inno3D | Build photo - Insta | Upload</v>
      </c>
      <c r="N286" s="226"/>
      <c r="O286" s="226"/>
    </row>
    <row r="287" ht="24.0" customHeight="1">
      <c r="A287" s="216" t="str">
        <f>IFERROR(__xludf.DUMMYFUNCTION("ARRAYFORMULA(IFERROR(VLOOKUP(REGEXEXTRACT(B287, ""-(\w+)-""), {Data_Validation!$F$16:$F$29, Data_Validation!$E$16:$E$29}, 2, FALSE), """"))
"),"Thats No Moon")</f>
        <v>Thats No Moon</v>
      </c>
      <c r="B287" s="217" t="str">
        <f>IFERROR(__xludf.DUMMYFUNCTION("""COMPUTED_VALUE"""),"PM-TNM-01.04")</f>
        <v>PM-TNM-01.04</v>
      </c>
      <c r="C287" s="218" t="str">
        <f>IFERROR(__xludf.DUMMYFUNCTION("IFERROR(REGEXEXTRACT(B287, ""^[A-Z]+-[A-Z]+-"") &amp; TEXT(VALUE(REGEXEXTRACT(B287, ""-(\d+)\."")), ""00""), """")"),"PM-TNM-01")</f>
        <v>PM-TNM-01</v>
      </c>
      <c r="D287" s="219" t="str">
        <f>IFERROR(VLOOKUP(C287, Content_Creation!B:D, 2, FALSE), IFERROR(VLOOKUP(C287, Project_Management!B:D, 2, FALSE), ""))
&amp; " - "
&amp; IFERROR(VLOOKUP(C287, Content_Creation!B:E, 4, FALSE), IFERROR(VLOOKUP(C287, Project_Management!B:E, 4, FALSE), ""))</f>
        <v>GIF Design - Graphics</v>
      </c>
      <c r="E287" s="220" t="str">
        <f>IFERROR(
    VLOOKUP(B286:B1001, Content_Creation!B:D, 3, FALSE),
    IFERROR(VLOOKUP(B286:B1001, Project_Management!B:D, 3, FALSE),"")
  )</f>
        <v>Quote</v>
      </c>
      <c r="F287" s="221" t="str">
        <f>IFERROR(VLOOKUP(B287, Content_Creation!B:F, 5, FALSE), IFERROR(VLOOKUP(B287, Project_Management!B:F, 5, FALSE), ""))</f>
        <v>Nasser</v>
      </c>
      <c r="G287" s="222" t="s">
        <v>179</v>
      </c>
      <c r="H287" s="223">
        <f>IFERROR(VLOOKUP(B287, Content_Creation!B:H, 7, FALSE), IFERROR(VLOOKUP(B287, Project_Management!B:H, 7, FALSE), ""))</f>
        <v>45238</v>
      </c>
      <c r="I287" s="224">
        <v>0.09027777777777778</v>
      </c>
      <c r="J287" s="223">
        <f>IFERROR(VLOOKUP(C287, Content_Creation!B:H, 7, FALSE), IFERROR(VLOOKUP(C287, Project_Management!B:H, 7, FALSE), ""))</f>
        <v>45238</v>
      </c>
      <c r="K287" s="217"/>
      <c r="L287" s="225" t="str">
        <f>IFERROR(VLOOKUP(B287, Data_Validation!X:Y, 2, FALSE), "")</f>
        <v>Not Started</v>
      </c>
      <c r="M287" s="226" t="str">
        <f t="shared" si="1"/>
        <v>Thats No Moon | GIF Design - Graphics | Quote</v>
      </c>
      <c r="N287" s="226"/>
      <c r="O287" s="226"/>
    </row>
    <row r="288" ht="24.0" customHeight="1">
      <c r="A288" s="216" t="str">
        <f>IFERROR(__xludf.DUMMYFUNCTION("ARRAYFORMULA(IFERROR(VLOOKUP(REGEXEXTRACT(B288, ""-(\w+)-""), {Data_Validation!$F$16:$F$29, Data_Validation!$E$16:$E$29}, 2, FALSE), """"))
"),"Emerson")</f>
        <v>Emerson</v>
      </c>
      <c r="B288" s="217" t="str">
        <f>IFERROR(__xludf.DUMMYFUNCTION("""COMPUTED_VALUE"""),"PM-EMR-10.02")</f>
        <v>PM-EMR-10.02</v>
      </c>
      <c r="C288" s="218" t="str">
        <f>IFERROR(__xludf.DUMMYFUNCTION("IFERROR(REGEXEXTRACT(B288, ""^[A-Z]+-[A-Z]+-"") &amp; TEXT(VALUE(REGEXEXTRACT(B288, ""-(\d+)\."")), ""00""), """")"),"PM-EMR-10")</f>
        <v>PM-EMR-10</v>
      </c>
      <c r="D288" s="219" t="str">
        <f>IFERROR(VLOOKUP(C288, Content_Creation!B:D, 2, FALSE), IFERROR(VLOOKUP(C288, Project_Management!B:D, 2, FALSE), ""))
&amp; " - "
&amp; IFERROR(VLOOKUP(C288, Content_Creation!B:E, 4, FALSE), IFERROR(VLOOKUP(C288, Project_Management!B:E, 4, FALSE), ""))</f>
        <v>Mission Possible - Video</v>
      </c>
      <c r="E288" s="220" t="str">
        <f>IFERROR(
    VLOOKUP(B287:B1001, Content_Creation!B:D, 3, FALSE),
    IFERROR(VLOOKUP(B287:B1001, Project_Management!B:D, 3, FALSE),"")
  )</f>
        <v>Video 2</v>
      </c>
      <c r="F288" s="221" t="str">
        <f>IFERROR(VLOOKUP(B288, Content_Creation!B:F, 5, FALSE), IFERROR(VLOOKUP(B288, Project_Management!B:F, 5, FALSE), ""))</f>
        <v>Nasser</v>
      </c>
      <c r="G288" s="222" t="s">
        <v>388</v>
      </c>
      <c r="H288" s="223">
        <f>IFERROR(VLOOKUP(B288, Content_Creation!B:H, 7, FALSE), IFERROR(VLOOKUP(B288, Project_Management!B:H, 7, FALSE), ""))</f>
        <v>45238</v>
      </c>
      <c r="I288" s="224">
        <v>0.020833333333333332</v>
      </c>
      <c r="J288" s="223">
        <f>IFERROR(VLOOKUP(C288, Content_Creation!B:H, 7, FALSE), IFERROR(VLOOKUP(C288, Project_Management!B:H, 7, FALSE), ""))</f>
        <v>45238</v>
      </c>
      <c r="K288" s="217"/>
      <c r="L288" s="225" t="str">
        <f>IFERROR(VLOOKUP(B288, Data_Validation!X:Y, 2, FALSE), "")</f>
        <v>In Review</v>
      </c>
      <c r="M288" s="226" t="str">
        <f t="shared" si="1"/>
        <v>Emerson | Mission Possible - Video | Video 2</v>
      </c>
      <c r="N288" s="226"/>
      <c r="O288" s="226"/>
    </row>
    <row r="289" ht="24.0" customHeight="1">
      <c r="A289" s="216" t="str">
        <f>IFERROR(__xludf.DUMMYFUNCTION("ARRAYFORMULA(IFERROR(VLOOKUP(REGEXEXTRACT(B289, ""-(\w+)-""), {Data_Validation!$F$16:$F$29, Data_Validation!$E$16:$E$29}, 2, FALSE), """"))
"),"Picture This!")</f>
        <v>Picture This!</v>
      </c>
      <c r="B289" s="217" t="str">
        <f>IFERROR(__xludf.DUMMYFUNCTION("""COMPUTED_VALUE"""),"PM-PTS-01.01")</f>
        <v>PM-PTS-01.01</v>
      </c>
      <c r="C289" s="218" t="str">
        <f>IFERROR(__xludf.DUMMYFUNCTION("IFERROR(REGEXEXTRACT(B289, ""^[A-Z]+-[A-Z]+-"") &amp; TEXT(VALUE(REGEXEXTRACT(B289, ""-(\d+)\."")), ""00""), """")"),"PM-PTS-01")</f>
        <v>PM-PTS-01</v>
      </c>
      <c r="D289" s="219" t="str">
        <f>IFERROR(VLOOKUP(C289, Content_Creation!B:D, 2, FALSE), IFERROR(VLOOKUP(C289, Project_Management!B:D, 2, FALSE), ""))
&amp; " - "
&amp; IFERROR(VLOOKUP(C289, Content_Creation!B:E, 4, FALSE), IFERROR(VLOOKUP(C289, Project_Management!B:E, 4, FALSE), ""))</f>
        <v>SOPs - Misc</v>
      </c>
      <c r="E289" s="220" t="str">
        <f>IFERROR(
    VLOOKUP(B288:B1001, Content_Creation!B:D, 3, FALSE),
    IFERROR(VLOOKUP(B288:B1001, Project_Management!B:D, 3, FALSE),"")
  )</f>
        <v>Shares Agreement</v>
      </c>
      <c r="F289" s="221" t="str">
        <f>IFERROR(VLOOKUP(B289, Content_Creation!B:F, 5, FALSE), IFERROR(VLOOKUP(B289, Project_Management!B:F, 5, FALSE), ""))</f>
        <v>Nasser</v>
      </c>
      <c r="G289" s="222" t="s">
        <v>388</v>
      </c>
      <c r="H289" s="223">
        <f>IFERROR(VLOOKUP(B289, Content_Creation!B:H, 7, FALSE), IFERROR(VLOOKUP(B289, Project_Management!B:H, 7, FALSE), ""))</f>
        <v>45238</v>
      </c>
      <c r="I289" s="224">
        <v>0.013888888888888888</v>
      </c>
      <c r="J289" s="223">
        <f>IFERROR(VLOOKUP(C289, Content_Creation!B:H, 7, FALSE), IFERROR(VLOOKUP(C289, Project_Management!B:H, 7, FALSE), ""))</f>
        <v>45240</v>
      </c>
      <c r="K289" s="217"/>
      <c r="L289" s="225" t="str">
        <f>IFERROR(VLOOKUP(B289, Data_Validation!X:Y, 2, FALSE), "")</f>
        <v>In Review</v>
      </c>
      <c r="M289" s="226" t="str">
        <f t="shared" si="1"/>
        <v>Picture This! | SOPs - Misc | Shares Agreement</v>
      </c>
      <c r="N289" s="226"/>
      <c r="O289" s="226"/>
    </row>
    <row r="290" ht="24.0" customHeight="1">
      <c r="A290" s="216" t="str">
        <f>IFERROR(__xludf.DUMMYFUNCTION("ARRAYFORMULA(IFERROR(VLOOKUP(REGEXEXTRACT(B290, ""-(\w+)-""), {Data_Validation!$F$16:$F$29, Data_Validation!$E$16:$E$29}, 2, FALSE), """"))
"),"TheMVP")</f>
        <v>TheMVP</v>
      </c>
      <c r="B290" s="217" t="str">
        <f>IFERROR(__xludf.DUMMYFUNCTION("""COMPUTED_VALUE"""),"PM-MVP-04.07")</f>
        <v>PM-MVP-04.07</v>
      </c>
      <c r="C290" s="218" t="str">
        <f>IFERROR(__xludf.DUMMYFUNCTION("IFERROR(REGEXEXTRACT(B290, ""^[A-Z]+-[A-Z]+-"") &amp; TEXT(VALUE(REGEXEXTRACT(B290, ""-(\d+)\."")), ""00""), """")"),"PM-MVP-04")</f>
        <v>PM-MVP-04</v>
      </c>
      <c r="D290" s="219" t="str">
        <f>IFERROR(VLOOKUP(C290, Content_Creation!B:D, 2, FALSE), IFERROR(VLOOKUP(C290, Project_Management!B:D, 2, FALSE), ""))
&amp; " - "
&amp; IFERROR(VLOOKUP(C290, Content_Creation!B:E, 4, FALSE), IFERROR(VLOOKUP(C290, Project_Management!B:E, 4, FALSE), ""))</f>
        <v>Product Catalog - Docs</v>
      </c>
      <c r="E290" s="220" t="str">
        <f>IFERROR(
    VLOOKUP(B289:B1001, Content_Creation!B:D, 3, FALSE),
    IFERROR(VLOOKUP(B289:B1001, Project_Management!B:D, 3, FALSE),"")
  )</f>
        <v>Deliver</v>
      </c>
      <c r="F290" s="221" t="str">
        <f>IFERROR(VLOOKUP(B290, Content_Creation!B:F, 5, FALSE), IFERROR(VLOOKUP(B290, Project_Management!B:F, 5, FALSE), ""))</f>
        <v>Naveen</v>
      </c>
      <c r="G290" s="222" t="s">
        <v>179</v>
      </c>
      <c r="H290" s="223">
        <f>IFERROR(VLOOKUP(B290, Content_Creation!B:H, 7, FALSE), IFERROR(VLOOKUP(B290, Project_Management!B:H, 7, FALSE), ""))</f>
        <v>45238</v>
      </c>
      <c r="I290" s="224">
        <v>0.006944444444444444</v>
      </c>
      <c r="J290" s="223">
        <f>IFERROR(VLOOKUP(C290, Content_Creation!B:H, 7, FALSE), IFERROR(VLOOKUP(C290, Project_Management!B:H, 7, FALSE), ""))</f>
        <v>45244</v>
      </c>
      <c r="K290" s="217"/>
      <c r="L290" s="225" t="str">
        <f>IFERROR(VLOOKUP(B290, Data_Validation!X:Y, 2, FALSE), "")</f>
        <v>Not Started</v>
      </c>
      <c r="M290" s="226" t="str">
        <f t="shared" si="1"/>
        <v>TheMVP | Product Catalog - Docs | Deliver</v>
      </c>
      <c r="N290" s="226"/>
      <c r="O290" s="226"/>
    </row>
    <row r="291" ht="24.0" customHeight="1">
      <c r="A291" s="216" t="str">
        <f>IFERROR(__xludf.DUMMYFUNCTION("ARRAYFORMULA(IFERROR(VLOOKUP(REGEXEXTRACT(B291, ""-(\w+)-""), {Data_Validation!$F$16:$F$29, Data_Validation!$E$16:$E$29}, 2, FALSE), """"))
"),"TheMVP")</f>
        <v>TheMVP</v>
      </c>
      <c r="B291" s="217" t="str">
        <f>IFERROR(__xludf.DUMMYFUNCTION("""COMPUTED_VALUE"""),"CC-MVP-64.04")</f>
        <v>CC-MVP-64.04</v>
      </c>
      <c r="C291" s="218" t="str">
        <f>IFERROR(__xludf.DUMMYFUNCTION("IFERROR(REGEXEXTRACT(B291, ""^[A-Z]+-[A-Z]+-"") &amp; TEXT(VALUE(REGEXEXTRACT(B291, ""-(\d+)\."")), ""00""), """")"),"CC-MVP-64")</f>
        <v>CC-MVP-64</v>
      </c>
      <c r="D291" s="219" t="str">
        <f>IFERROR(VLOOKUP(C291, Content_Creation!B:D, 2, FALSE), IFERROR(VLOOKUP(C291, Project_Management!B:D, 2, FALSE), ""))
&amp; " - "
&amp; IFERROR(VLOOKUP(C291, Content_Creation!B:E, 4, FALSE), IFERROR(VLOOKUP(C291, Project_Management!B:E, 4, FALSE), ""))</f>
        <v>TrueNAS Setup - Blog</v>
      </c>
      <c r="E291" s="220" t="str">
        <f>IFERROR(
    VLOOKUP(B290:B1001, Content_Creation!B:D, 3, FALSE),
    IFERROR(VLOOKUP(B290:B1001, Project_Management!B:D, 3, FALSE),"")
  )</f>
        <v>Upload</v>
      </c>
      <c r="F291" s="221" t="str">
        <f>IFERROR(VLOOKUP(B291, Content_Creation!B:F, 5, FALSE), IFERROR(VLOOKUP(B291, Project_Management!B:F, 5, FALSE), ""))</f>
        <v>Nasser</v>
      </c>
      <c r="G291" s="222" t="s">
        <v>179</v>
      </c>
      <c r="H291" s="223">
        <f>IFERROR(VLOOKUP(B291, Content_Creation!B:H, 7, FALSE), IFERROR(VLOOKUP(B291, Project_Management!B:H, 7, FALSE), ""))</f>
        <v>45239</v>
      </c>
      <c r="I291" s="224">
        <v>0.08333333333333333</v>
      </c>
      <c r="J291" s="223">
        <f>IFERROR(VLOOKUP(C291, Content_Creation!B:H, 7, FALSE), IFERROR(VLOOKUP(C291, Project_Management!B:H, 7, FALSE), ""))</f>
        <v>45239</v>
      </c>
      <c r="K291" s="217"/>
      <c r="L291" s="225" t="str">
        <f>IFERROR(VLOOKUP(B291, Data_Validation!X:Y, 2, FALSE), "")</f>
        <v>Not Started</v>
      </c>
      <c r="M291" s="226" t="str">
        <f t="shared" si="1"/>
        <v>TheMVP | TrueNAS Setup - Blog | Upload</v>
      </c>
      <c r="N291" s="226"/>
      <c r="O291" s="226"/>
    </row>
    <row r="292" ht="24.0" customHeight="1">
      <c r="A292" s="216" t="str">
        <f>IFERROR(__xludf.DUMMYFUNCTION("ARRAYFORMULA(IFERROR(VLOOKUP(REGEXEXTRACT(B292, ""-(\w+)-""), {Data_Validation!$F$16:$F$29, Data_Validation!$E$16:$E$29}, 2, FALSE), """"))
"),"TheMVP")</f>
        <v>TheMVP</v>
      </c>
      <c r="B292" s="217" t="str">
        <f>IFERROR(__xludf.DUMMYFUNCTION("""COMPUTED_VALUE"""),"CC-MVP-66.05")</f>
        <v>CC-MVP-66.05</v>
      </c>
      <c r="C292" s="218" t="str">
        <f>IFERROR(__xludf.DUMMYFUNCTION("IFERROR(REGEXEXTRACT(B292, ""^[A-Z]+-[A-Z]+-"") &amp; TEXT(VALUE(REGEXEXTRACT(B292, ""-(\d+)\."")), ""00""), """")"),"CC-MVP-66")</f>
        <v>CC-MVP-66</v>
      </c>
      <c r="D292" s="219" t="str">
        <f>IFERROR(VLOOKUP(C292, Content_Creation!B:D, 2, FALSE), IFERROR(VLOOKUP(C292, Project_Management!B:D, 2, FALSE), ""))
&amp; " - "
&amp; IFERROR(VLOOKUP(C292, Content_Creation!B:E, 4, FALSE), IFERROR(VLOOKUP(C292, Project_Management!B:E, 4, FALSE), ""))</f>
        <v>Ryzen + Radeon - All AMD - Shorts</v>
      </c>
      <c r="E292" s="220" t="str">
        <f>IFERROR(
    VLOOKUP(B291:B1001, Content_Creation!B:D, 3, FALSE),
    IFERROR(VLOOKUP(B291:B1001, Project_Management!B:D, 3, FALSE),"")
  )</f>
        <v>Edit</v>
      </c>
      <c r="F292" s="221" t="str">
        <f>IFERROR(VLOOKUP(B292, Content_Creation!B:F, 5, FALSE), IFERROR(VLOOKUP(B292, Project_Management!B:F, 5, FALSE), ""))</f>
        <v>Jayanth</v>
      </c>
      <c r="G292" s="222" t="s">
        <v>26</v>
      </c>
      <c r="H292" s="223">
        <f>IFERROR(VLOOKUP(B292, Content_Creation!B:H, 7, FALSE), IFERROR(VLOOKUP(B292, Project_Management!B:H, 7, FALSE), ""))</f>
        <v>45239</v>
      </c>
      <c r="I292" s="224">
        <v>0.0</v>
      </c>
      <c r="J292" s="223">
        <f>IFERROR(VLOOKUP(C292, Content_Creation!B:H, 7, FALSE), IFERROR(VLOOKUP(C292, Project_Management!B:H, 7, FALSE), ""))</f>
        <v>45239</v>
      </c>
      <c r="K292" s="217"/>
      <c r="L292" s="225" t="str">
        <f>IFERROR(VLOOKUP(B292, Data_Validation!X:Y, 2, FALSE), "")</f>
        <v>Done</v>
      </c>
      <c r="M292" s="226" t="str">
        <f t="shared" si="1"/>
        <v>TheMVP | Ryzen + Radeon - All AMD - Shorts | Edit</v>
      </c>
      <c r="N292" s="226"/>
      <c r="O292" s="226"/>
    </row>
    <row r="293" ht="24.0" customHeight="1">
      <c r="A293" s="216" t="str">
        <f>IFERROR(__xludf.DUMMYFUNCTION("ARRAYFORMULA(IFERROR(VLOOKUP(REGEXEXTRACT(B293, ""-(\w+)-""), {Data_Validation!$F$16:$F$29, Data_Validation!$E$16:$E$29}, 2, FALSE), """"))
"),"TheMVP")</f>
        <v>TheMVP</v>
      </c>
      <c r="B293" s="217" t="str">
        <f>IFERROR(__xludf.DUMMYFUNCTION("""COMPUTED_VALUE"""),"CC-MVP-66.06")</f>
        <v>CC-MVP-66.06</v>
      </c>
      <c r="C293" s="218" t="str">
        <f>IFERROR(__xludf.DUMMYFUNCTION("IFERROR(REGEXEXTRACT(B293, ""^[A-Z]+-[A-Z]+-"") &amp; TEXT(VALUE(REGEXEXTRACT(B293, ""-(\d+)\."")), ""00""), """")"),"CC-MVP-66")</f>
        <v>CC-MVP-66</v>
      </c>
      <c r="D293" s="219" t="str">
        <f>IFERROR(VLOOKUP(C293, Content_Creation!B:D, 2, FALSE), IFERROR(VLOOKUP(C293, Project_Management!B:D, 2, FALSE), ""))
&amp; " - "
&amp; IFERROR(VLOOKUP(C293, Content_Creation!B:E, 4, FALSE), IFERROR(VLOOKUP(C293, Project_Management!B:E, 4, FALSE), ""))</f>
        <v>Ryzen + Radeon - All AMD - Shorts</v>
      </c>
      <c r="E293" s="220" t="str">
        <f>IFERROR(
    VLOOKUP(B292:B1001, Content_Creation!B:D, 3, FALSE),
    IFERROR(VLOOKUP(B292:B1001, Project_Management!B:D, 3, FALSE),"")
  )</f>
        <v>Thumbnail</v>
      </c>
      <c r="F293" s="221" t="str">
        <f>IFERROR(VLOOKUP(B293, Content_Creation!B:F, 5, FALSE), IFERROR(VLOOKUP(B293, Project_Management!B:F, 5, FALSE), ""))</f>
        <v>Naveen</v>
      </c>
      <c r="G293" s="222" t="s">
        <v>26</v>
      </c>
      <c r="H293" s="223">
        <f>IFERROR(VLOOKUP(B293, Content_Creation!B:H, 7, FALSE), IFERROR(VLOOKUP(B293, Project_Management!B:H, 7, FALSE), ""))</f>
        <v>45239</v>
      </c>
      <c r="I293" s="224">
        <v>0.006944444444444444</v>
      </c>
      <c r="J293" s="223">
        <f>IFERROR(VLOOKUP(C293, Content_Creation!B:H, 7, FALSE), IFERROR(VLOOKUP(C293, Project_Management!B:H, 7, FALSE), ""))</f>
        <v>45239</v>
      </c>
      <c r="K293" s="217"/>
      <c r="L293" s="225" t="str">
        <f>IFERROR(VLOOKUP(B293, Data_Validation!X:Y, 2, FALSE), "")</f>
        <v>Done</v>
      </c>
      <c r="M293" s="226" t="str">
        <f t="shared" si="1"/>
        <v>TheMVP | Ryzen + Radeon - All AMD - Shorts | Thumbnail</v>
      </c>
      <c r="N293" s="226"/>
      <c r="O293" s="226"/>
    </row>
    <row r="294" ht="24.0" customHeight="1">
      <c r="A294" s="216" t="str">
        <f>IFERROR(__xludf.DUMMYFUNCTION("ARRAYFORMULA(IFERROR(VLOOKUP(REGEXEXTRACT(B294, ""-(\w+)-""), {Data_Validation!$F$16:$F$29, Data_Validation!$E$16:$E$29}, 2, FALSE), """"))
"),"TheMVP")</f>
        <v>TheMVP</v>
      </c>
      <c r="B294" s="217" t="str">
        <f>IFERROR(__xludf.DUMMYFUNCTION("""COMPUTED_VALUE"""),"CC-MVP-66.07")</f>
        <v>CC-MVP-66.07</v>
      </c>
      <c r="C294" s="218" t="str">
        <f>IFERROR(__xludf.DUMMYFUNCTION("IFERROR(REGEXEXTRACT(B294, ""^[A-Z]+-[A-Z]+-"") &amp; TEXT(VALUE(REGEXEXTRACT(B294, ""-(\d+)\."")), ""00""), """")"),"CC-MVP-66")</f>
        <v>CC-MVP-66</v>
      </c>
      <c r="D294" s="219" t="str">
        <f>IFERROR(VLOOKUP(C294, Content_Creation!B:D, 2, FALSE), IFERROR(VLOOKUP(C294, Project_Management!B:D, 2, FALSE), ""))
&amp; " - "
&amp; IFERROR(VLOOKUP(C294, Content_Creation!B:E, 4, FALSE), IFERROR(VLOOKUP(C294, Project_Management!B:E, 4, FALSE), ""))</f>
        <v>Ryzen + Radeon - All AMD - Shorts</v>
      </c>
      <c r="E294" s="220" t="str">
        <f>IFERROR(
    VLOOKUP(B293:B1001, Content_Creation!B:D, 3, FALSE),
    IFERROR(VLOOKUP(B293:B1001, Project_Management!B:D, 3, FALSE),"")
  )</f>
        <v>Upload</v>
      </c>
      <c r="F294" s="221" t="str">
        <f>IFERROR(VLOOKUP(B294, Content_Creation!B:F, 5, FALSE), IFERROR(VLOOKUP(B294, Project_Management!B:F, 5, FALSE), ""))</f>
        <v>Tazeen</v>
      </c>
      <c r="G294" s="222" t="s">
        <v>26</v>
      </c>
      <c r="H294" s="223">
        <f>IFERROR(VLOOKUP(B294, Content_Creation!B:H, 7, FALSE), IFERROR(VLOOKUP(B294, Project_Management!B:H, 7, FALSE), ""))</f>
        <v>45239</v>
      </c>
      <c r="I294" s="224">
        <v>0.16666666666666666</v>
      </c>
      <c r="J294" s="223">
        <f>IFERROR(VLOOKUP(C294, Content_Creation!B:H, 7, FALSE), IFERROR(VLOOKUP(C294, Project_Management!B:H, 7, FALSE), ""))</f>
        <v>45239</v>
      </c>
      <c r="K294" s="217"/>
      <c r="L294" s="225" t="str">
        <f>IFERROR(VLOOKUP(B294, Data_Validation!X:Y, 2, FALSE), "")</f>
        <v>Done</v>
      </c>
      <c r="M294" s="226" t="str">
        <f t="shared" si="1"/>
        <v>TheMVP | Ryzen + Radeon - All AMD - Shorts | Upload</v>
      </c>
      <c r="N294" s="226"/>
      <c r="O294" s="226"/>
    </row>
    <row r="295" ht="24.0" customHeight="1">
      <c r="A295" s="216" t="str">
        <f>IFERROR(__xludf.DUMMYFUNCTION("ARRAYFORMULA(IFERROR(VLOOKUP(REGEXEXTRACT(B295, ""-(\w+)-""), {Data_Validation!$F$16:$F$29, Data_Validation!$E$16:$E$29}, 2, FALSE), """"))
"),"TheMVP")</f>
        <v>TheMVP</v>
      </c>
      <c r="B295" s="217" t="str">
        <f>IFERROR(__xludf.DUMMYFUNCTION("""COMPUTED_VALUE"""),"CC-MVP-92.03")</f>
        <v>CC-MVP-92.03</v>
      </c>
      <c r="C295" s="218" t="str">
        <f>IFERROR(__xludf.DUMMYFUNCTION("IFERROR(REGEXEXTRACT(B295, ""^[A-Z]+-[A-Z]+-"") &amp; TEXT(VALUE(REGEXEXTRACT(B295, ""-(\d+)\."")), ""00""), """")"),"CC-MVP-92")</f>
        <v>CC-MVP-92</v>
      </c>
      <c r="D295" s="219" t="str">
        <f>IFERROR(VLOOKUP(C295, Content_Creation!B:D, 2, FALSE), IFERROR(VLOOKUP(C295, Project_Management!B:D, 2, FALSE), ""))
&amp; " - "
&amp; IFERROR(VLOOKUP(C295, Content_Creation!B:E, 4, FALSE), IFERROR(VLOOKUP(C295, Project_Management!B:E, 4, FALSE), ""))</f>
        <v>Build Photo - H9 White + iGame - Insta</v>
      </c>
      <c r="E295" s="220" t="str">
        <f>IFERROR(
    VLOOKUP(B294:B1001, Content_Creation!B:D, 3, FALSE),
    IFERROR(VLOOKUP(B294:B1001, Project_Management!B:D, 3, FALSE),"")
  )</f>
        <v>Edit</v>
      </c>
      <c r="F295" s="221" t="str">
        <f>IFERROR(VLOOKUP(B295, Content_Creation!B:F, 5, FALSE), IFERROR(VLOOKUP(B295, Project_Management!B:F, 5, FALSE), ""))</f>
        <v>Akhil</v>
      </c>
      <c r="G295" s="222" t="s">
        <v>26</v>
      </c>
      <c r="H295" s="223">
        <f>IFERROR(VLOOKUP(B295, Content_Creation!B:H, 7, FALSE), IFERROR(VLOOKUP(B295, Project_Management!B:H, 7, FALSE), ""))</f>
        <v>45239</v>
      </c>
      <c r="I295" s="224">
        <v>0.0625</v>
      </c>
      <c r="J295" s="223">
        <f>IFERROR(VLOOKUP(C295, Content_Creation!B:H, 7, FALSE), IFERROR(VLOOKUP(C295, Project_Management!B:H, 7, FALSE), ""))</f>
        <v>45239</v>
      </c>
      <c r="K295" s="217"/>
      <c r="L295" s="225" t="str">
        <f>IFERROR(VLOOKUP(B295, Data_Validation!X:Y, 2, FALSE), "")</f>
        <v>Done</v>
      </c>
      <c r="M295" s="226" t="str">
        <f t="shared" si="1"/>
        <v>TheMVP | Build Photo - H9 White + iGame - Insta | Edit</v>
      </c>
      <c r="N295" s="226"/>
      <c r="O295" s="226"/>
    </row>
    <row r="296" ht="24.0" customHeight="1">
      <c r="A296" s="216" t="str">
        <f>IFERROR(__xludf.DUMMYFUNCTION("ARRAYFORMULA(IFERROR(VLOOKUP(REGEXEXTRACT(B296, ""-(\w+)-""), {Data_Validation!$F$16:$F$29, Data_Validation!$E$16:$E$29}, 2, FALSE), """"))
"),"TheMVP")</f>
        <v>TheMVP</v>
      </c>
      <c r="B296" s="217" t="str">
        <f>IFERROR(__xludf.DUMMYFUNCTION("""COMPUTED_VALUE"""),"CC-MVP-92.04")</f>
        <v>CC-MVP-92.04</v>
      </c>
      <c r="C296" s="218" t="str">
        <f>IFERROR(__xludf.DUMMYFUNCTION("IFERROR(REGEXEXTRACT(B296, ""^[A-Z]+-[A-Z]+-"") &amp; TEXT(VALUE(REGEXEXTRACT(B296, ""-(\d+)\."")), ""00""), """")"),"CC-MVP-92")</f>
        <v>CC-MVP-92</v>
      </c>
      <c r="D296" s="219" t="str">
        <f>IFERROR(VLOOKUP(C296, Content_Creation!B:D, 2, FALSE), IFERROR(VLOOKUP(C296, Project_Management!B:D, 2, FALSE), ""))
&amp; " - "
&amp; IFERROR(VLOOKUP(C296, Content_Creation!B:E, 4, FALSE), IFERROR(VLOOKUP(C296, Project_Management!B:E, 4, FALSE), ""))</f>
        <v>Build Photo - H9 White + iGame - Insta</v>
      </c>
      <c r="E296" s="220" t="str">
        <f>IFERROR(
    VLOOKUP(B295:B1001, Content_Creation!B:D, 3, FALSE),
    IFERROR(VLOOKUP(B295:B1001, Project_Management!B:D, 3, FALSE),"")
  )</f>
        <v>Upload</v>
      </c>
      <c r="F296" s="221" t="str">
        <f>IFERROR(VLOOKUP(B296, Content_Creation!B:F, 5, FALSE), IFERROR(VLOOKUP(B296, Project_Management!B:F, 5, FALSE), ""))</f>
        <v>Talha</v>
      </c>
      <c r="G296" s="222" t="s">
        <v>26</v>
      </c>
      <c r="H296" s="223">
        <f>IFERROR(VLOOKUP(B296, Content_Creation!B:H, 7, FALSE), IFERROR(VLOOKUP(B296, Project_Management!B:H, 7, FALSE), ""))</f>
        <v>45239</v>
      </c>
      <c r="I296" s="224">
        <v>0.0</v>
      </c>
      <c r="J296" s="223">
        <f>IFERROR(VLOOKUP(C296, Content_Creation!B:H, 7, FALSE), IFERROR(VLOOKUP(C296, Project_Management!B:H, 7, FALSE), ""))</f>
        <v>45239</v>
      </c>
      <c r="K296" s="217"/>
      <c r="L296" s="225" t="str">
        <f>IFERROR(VLOOKUP(B296, Data_Validation!X:Y, 2, FALSE), "")</f>
        <v>Done</v>
      </c>
      <c r="M296" s="226" t="str">
        <f t="shared" si="1"/>
        <v>TheMVP | Build Photo - H9 White + iGame - Insta | Upload</v>
      </c>
      <c r="N296" s="226"/>
      <c r="O296" s="226"/>
    </row>
    <row r="297" ht="24.0" customHeight="1">
      <c r="A297" s="216" t="str">
        <f>IFERROR(__xludf.DUMMYFUNCTION("ARRAYFORMULA(IFERROR(VLOOKUP(REGEXEXTRACT(B297, ""-(\w+)-""), {Data_Validation!$F$16:$F$29, Data_Validation!$E$16:$E$29}, 2, FALSE), """"))
"),"TheMVP")</f>
        <v>TheMVP</v>
      </c>
      <c r="B297" s="217" t="str">
        <f>IFERROR(__xludf.DUMMYFUNCTION("""COMPUTED_VALUE"""),"CC-MVP-76.01")</f>
        <v>CC-MVP-76.01</v>
      </c>
      <c r="C297" s="218" t="str">
        <f>IFERROR(__xludf.DUMMYFUNCTION("IFERROR(REGEXEXTRACT(B297, ""^[A-Z]+-[A-Z]+-"") &amp; TEXT(VALUE(REGEXEXTRACT(B297, ""-(\d+)\."")), ""00""), """")"),"CC-MVP-76")</f>
        <v>CC-MVP-76</v>
      </c>
      <c r="D297" s="219" t="str">
        <f>IFERROR(VLOOKUP(C297, Content_Creation!B:D, 2, FALSE), IFERROR(VLOOKUP(C297, Project_Management!B:D, 2, FALSE), ""))
&amp; " - "
&amp; IFERROR(VLOOKUP(C297, Content_Creation!B:E, 4, FALSE), IFERROR(VLOOKUP(C297, Project_Management!B:E, 4, FALSE), ""))</f>
        <v>12 Lakh GPU - Nvidia L40s - Shorts</v>
      </c>
      <c r="E297" s="220" t="str">
        <f>IFERROR(
    VLOOKUP(B296:B1001, Content_Creation!B:D, 3, FALSE),
    IFERROR(VLOOKUP(B296:B1001, Project_Management!B:D, 3, FALSE),"")
  )</f>
        <v>Script</v>
      </c>
      <c r="F297" s="221" t="str">
        <f>IFERROR(VLOOKUP(B297, Content_Creation!B:F, 5, FALSE), IFERROR(VLOOKUP(B297, Project_Management!B:F, 5, FALSE), ""))</f>
        <v>Nasser</v>
      </c>
      <c r="G297" s="222" t="s">
        <v>26</v>
      </c>
      <c r="H297" s="223">
        <f>IFERROR(VLOOKUP(B297, Content_Creation!B:H, 7, FALSE), IFERROR(VLOOKUP(B297, Project_Management!B:H, 7, FALSE), ""))</f>
        <v>45239</v>
      </c>
      <c r="I297" s="224">
        <v>0.0625</v>
      </c>
      <c r="J297" s="223">
        <f>IFERROR(VLOOKUP(C297, Content_Creation!B:H, 7, FALSE), IFERROR(VLOOKUP(C297, Project_Management!B:H, 7, FALSE), ""))</f>
        <v>45242</v>
      </c>
      <c r="K297" s="217"/>
      <c r="L297" s="225" t="str">
        <f>IFERROR(VLOOKUP(B297, Data_Validation!X:Y, 2, FALSE), "")</f>
        <v>Done</v>
      </c>
      <c r="M297" s="226" t="str">
        <f t="shared" si="1"/>
        <v>TheMVP | 12 Lakh GPU - Nvidia L40s - Shorts | Script</v>
      </c>
      <c r="N297" s="226"/>
      <c r="O297" s="226"/>
    </row>
    <row r="298" ht="24.0" customHeight="1">
      <c r="A298" s="216" t="str">
        <f>IFERROR(__xludf.DUMMYFUNCTION("ARRAYFORMULA(IFERROR(VLOOKUP(REGEXEXTRACT(B298, ""-(\w+)-""), {Data_Validation!$F$16:$F$29, Data_Validation!$E$16:$E$29}, 2, FALSE), """"))
"),"TheMVP")</f>
        <v>TheMVP</v>
      </c>
      <c r="B298" s="217" t="str">
        <f>IFERROR(__xludf.DUMMYFUNCTION("""COMPUTED_VALUE"""),"CC-MVP-82.03")</f>
        <v>CC-MVP-82.03</v>
      </c>
      <c r="C298" s="218" t="str">
        <f>IFERROR(__xludf.DUMMYFUNCTION("IFERROR(REGEXEXTRACT(B298, ""^[A-Z]+-[A-Z]+-"") &amp; TEXT(VALUE(REGEXEXTRACT(B298, ""-(\d+)\."")), ""00""), """")"),"CC-MVP-82")</f>
        <v>CC-MVP-82</v>
      </c>
      <c r="D298" s="219" t="str">
        <f>IFERROR(VLOOKUP(C298, Content_Creation!B:D, 2, FALSE), IFERROR(VLOOKUP(C298, Project_Management!B:D, 2, FALSE), ""))
&amp; " - "
&amp; IFERROR(VLOOKUP(C298, Content_Creation!B:E, 4, FALSE), IFERROR(VLOOKUP(C298, Project_Management!B:E, 4, FALSE), ""))</f>
        <v>G613 Keyboard - Logi Offer - Shorts</v>
      </c>
      <c r="E298" s="220" t="str">
        <f>IFERROR(
    VLOOKUP(B297:B1001, Content_Creation!B:D, 3, FALSE),
    IFERROR(VLOOKUP(B297:B1001, Project_Management!B:D, 3, FALSE),"")
  )</f>
        <v>Timeline</v>
      </c>
      <c r="F298" s="221" t="str">
        <f>IFERROR(VLOOKUP(B298, Content_Creation!B:F, 5, FALSE), IFERROR(VLOOKUP(B298, Project_Management!B:F, 5, FALSE), ""))</f>
        <v/>
      </c>
      <c r="G298" s="222" t="s">
        <v>179</v>
      </c>
      <c r="H298" s="223">
        <f>IFERROR(VLOOKUP(B298, Content_Creation!B:H, 7, FALSE), IFERROR(VLOOKUP(B298, Project_Management!B:H, 7, FALSE), ""))</f>
        <v>45239</v>
      </c>
      <c r="I298" s="224">
        <v>0.08333333333333333</v>
      </c>
      <c r="J298" s="223">
        <f>IFERROR(VLOOKUP(C298, Content_Creation!B:H, 7, FALSE), IFERROR(VLOOKUP(C298, Project_Management!B:H, 7, FALSE), ""))</f>
        <v>45243</v>
      </c>
      <c r="K298" s="217"/>
      <c r="L298" s="225" t="str">
        <f>IFERROR(VLOOKUP(B298, Data_Validation!X:Y, 2, FALSE), "")</f>
        <v>Not Started</v>
      </c>
      <c r="M298" s="226" t="str">
        <f t="shared" si="1"/>
        <v>TheMVP | G613 Keyboard - Logi Offer - Shorts | Timeline</v>
      </c>
      <c r="N298" s="226"/>
      <c r="O298" s="226"/>
    </row>
    <row r="299" ht="24.0" customHeight="1">
      <c r="A299" s="216" t="str">
        <f>IFERROR(__xludf.DUMMYFUNCTION("ARRAYFORMULA(IFERROR(VLOOKUP(REGEXEXTRACT(B299, ""-(\w+)-""), {Data_Validation!$F$16:$F$29, Data_Validation!$E$16:$E$29}, 2, FALSE), """"))
"),"TheMVP")</f>
        <v>TheMVP</v>
      </c>
      <c r="B299" s="217" t="str">
        <f>IFERROR(__xludf.DUMMYFUNCTION("""COMPUTED_VALUE"""),"CC-MVP-83.01")</f>
        <v>CC-MVP-83.01</v>
      </c>
      <c r="C299" s="218" t="str">
        <f>IFERROR(__xludf.DUMMYFUNCTION("IFERROR(REGEXEXTRACT(B299, ""^[A-Z]+-[A-Z]+-"") &amp; TEXT(VALUE(REGEXEXTRACT(B299, ""-(\d+)\."")), ""00""), """")"),"CC-MVP-83")</f>
        <v>CC-MVP-83</v>
      </c>
      <c r="D299" s="219" t="str">
        <f>IFERROR(VLOOKUP(C299, Content_Creation!B:D, 2, FALSE), IFERROR(VLOOKUP(C299, Project_Management!B:D, 2, FALSE), ""))
&amp; " - "
&amp; IFERROR(VLOOKUP(C299, Content_Creation!B:E, 4, FALSE), IFERROR(VLOOKUP(C299, Project_Management!B:E, 4, FALSE), ""))</f>
        <v>G Pro TKL - Logi Offer - Shorts</v>
      </c>
      <c r="E299" s="220" t="str">
        <f>IFERROR(
    VLOOKUP(B298:B1001, Content_Creation!B:D, 3, FALSE),
    IFERROR(VLOOKUP(B298:B1001, Project_Management!B:D, 3, FALSE),"")
  )</f>
        <v>Script</v>
      </c>
      <c r="F299" s="221" t="str">
        <f>IFERROR(VLOOKUP(B299, Content_Creation!B:F, 5, FALSE), IFERROR(VLOOKUP(B299, Project_Management!B:F, 5, FALSE), ""))</f>
        <v/>
      </c>
      <c r="G299" s="222" t="s">
        <v>179</v>
      </c>
      <c r="H299" s="223">
        <f>IFERROR(VLOOKUP(B299, Content_Creation!B:H, 7, FALSE), IFERROR(VLOOKUP(B299, Project_Management!B:H, 7, FALSE), ""))</f>
        <v>45239</v>
      </c>
      <c r="I299" s="224">
        <v>0.0625</v>
      </c>
      <c r="J299" s="223">
        <f>IFERROR(VLOOKUP(C299, Content_Creation!B:H, 7, FALSE), IFERROR(VLOOKUP(C299, Project_Management!B:H, 7, FALSE), ""))</f>
        <v>45245</v>
      </c>
      <c r="K299" s="217"/>
      <c r="L299" s="225" t="str">
        <f>IFERROR(VLOOKUP(B299, Data_Validation!X:Y, 2, FALSE), "")</f>
        <v>Not Started</v>
      </c>
      <c r="M299" s="226" t="str">
        <f t="shared" si="1"/>
        <v>TheMVP | G Pro TKL - Logi Offer - Shorts | Script</v>
      </c>
      <c r="N299" s="226"/>
      <c r="O299" s="226"/>
    </row>
    <row r="300" ht="24.0" customHeight="1">
      <c r="A300" s="216" t="str">
        <f>IFERROR(__xludf.DUMMYFUNCTION("ARRAYFORMULA(IFERROR(VLOOKUP(REGEXEXTRACT(B300, ""-(\w+)-""), {Data_Validation!$F$16:$F$29, Data_Validation!$E$16:$E$29}, 2, FALSE), """"))
"),"Picture This!")</f>
        <v>Picture This!</v>
      </c>
      <c r="B300" s="217" t="str">
        <f>IFERROR(__xludf.DUMMYFUNCTION("""COMPUTED_VALUE"""),"CC-PTS-10.06")</f>
        <v>CC-PTS-10.06</v>
      </c>
      <c r="C300" s="218" t="str">
        <f>IFERROR(__xludf.DUMMYFUNCTION("IFERROR(REGEXEXTRACT(B300, ""^[A-Z]+-[A-Z]+-"") &amp; TEXT(VALUE(REGEXEXTRACT(B300, ""-(\d+)\."")), ""00""), """")"),"CC-PTS-10")</f>
        <v>CC-PTS-10</v>
      </c>
      <c r="D300" s="219" t="str">
        <f>IFERROR(VLOOKUP(C300, Content_Creation!B:D, 2, FALSE), IFERROR(VLOOKUP(C300, Project_Management!B:D, 2, FALSE), ""))
&amp; " - "
&amp; IFERROR(VLOOKUP(C300, Content_Creation!B:E, 4, FALSE), IFERROR(VLOOKUP(C300, Project_Management!B:E, 4, FALSE), ""))</f>
        <v>Before vs After - Shorts</v>
      </c>
      <c r="E300" s="220" t="str">
        <f>IFERROR(
    VLOOKUP(B299:B1001, Content_Creation!B:D, 3, FALSE),
    IFERROR(VLOOKUP(B299:B1001, Project_Management!B:D, 3, FALSE),"")
  )</f>
        <v>Thumbnail</v>
      </c>
      <c r="F300" s="221" t="str">
        <f>IFERROR(VLOOKUP(B300, Content_Creation!B:F, 5, FALSE), IFERROR(VLOOKUP(B300, Project_Management!B:F, 5, FALSE), ""))</f>
        <v/>
      </c>
      <c r="G300" s="222" t="s">
        <v>179</v>
      </c>
      <c r="H300" s="223">
        <f>IFERROR(VLOOKUP(B300, Content_Creation!B:H, 7, FALSE), IFERROR(VLOOKUP(B300, Project_Management!B:H, 7, FALSE), ""))</f>
        <v>45239</v>
      </c>
      <c r="I300" s="224">
        <v>0.0625</v>
      </c>
      <c r="J300" s="223">
        <f>IFERROR(VLOOKUP(C300, Content_Creation!B:H, 7, FALSE), IFERROR(VLOOKUP(C300, Project_Management!B:H, 7, FALSE), ""))</f>
        <v>45240</v>
      </c>
      <c r="K300" s="217"/>
      <c r="L300" s="225" t="str">
        <f>IFERROR(VLOOKUP(B300, Data_Validation!X:Y, 2, FALSE), "")</f>
        <v>Not Started</v>
      </c>
      <c r="M300" s="226" t="str">
        <f t="shared" si="1"/>
        <v>Picture This! | Before vs After - Shorts | Thumbnail</v>
      </c>
      <c r="N300" s="226"/>
      <c r="O300" s="226"/>
    </row>
    <row r="301" ht="24.0" customHeight="1">
      <c r="A301" s="216" t="str">
        <f>IFERROR(__xludf.DUMMYFUNCTION("ARRAYFORMULA(IFERROR(VLOOKUP(REGEXEXTRACT(B301, ""-(\w+)-""), {Data_Validation!$F$16:$F$29, Data_Validation!$E$16:$E$29}, 2, FALSE), """"))
"),"Colorful Tech")</f>
        <v>Colorful Tech</v>
      </c>
      <c r="B301" s="217" t="str">
        <f>IFERROR(__xludf.DUMMYFUNCTION("""COMPUTED_VALUE"""),"CC-CTH-12.05")</f>
        <v>CC-CTH-12.05</v>
      </c>
      <c r="C301" s="218" t="str">
        <f>IFERROR(__xludf.DUMMYFUNCTION("IFERROR(REGEXEXTRACT(B301, ""^[A-Z]+-[A-Z]+-"") &amp; TEXT(VALUE(REGEXEXTRACT(B301, ""-(\d+)\."")), ""00""), """")"),"CC-CTH-12")</f>
        <v>CC-CTH-12</v>
      </c>
      <c r="D301" s="219" t="str">
        <f>IFERROR(VLOOKUP(C301, Content_Creation!B:D, 2, FALSE), IFERROR(VLOOKUP(C301, Project_Management!B:D, 2, FALSE), ""))
&amp; " - "
&amp; IFERROR(VLOOKUP(C301, Content_Creation!B:E, 4, FALSE), IFERROR(VLOOKUP(C301, Project_Management!B:E, 4, FALSE), ""))</f>
        <v>STEM Studies - Shorts</v>
      </c>
      <c r="E301" s="220" t="str">
        <f>IFERROR(
    VLOOKUP(B300:B1001, Content_Creation!B:D, 3, FALSE),
    IFERROR(VLOOKUP(B300:B1001, Project_Management!B:D, 3, FALSE),"")
  )</f>
        <v>Edit</v>
      </c>
      <c r="F301" s="221" t="str">
        <f>IFERROR(VLOOKUP(B301, Content_Creation!B:F, 5, FALSE), IFERROR(VLOOKUP(B301, Project_Management!B:F, 5, FALSE), ""))</f>
        <v>Talha</v>
      </c>
      <c r="G301" s="222" t="s">
        <v>26</v>
      </c>
      <c r="H301" s="223">
        <f>IFERROR(VLOOKUP(B301, Content_Creation!B:H, 7, FALSE), IFERROR(VLOOKUP(B301, Project_Management!B:H, 7, FALSE), ""))</f>
        <v>45239</v>
      </c>
      <c r="I301" s="224">
        <v>0.0625</v>
      </c>
      <c r="J301" s="223">
        <f>IFERROR(VLOOKUP(C301, Content_Creation!B:H, 7, FALSE), IFERROR(VLOOKUP(C301, Project_Management!B:H, 7, FALSE), ""))</f>
        <v>45239</v>
      </c>
      <c r="K301" s="217"/>
      <c r="L301" s="225" t="str">
        <f>IFERROR(VLOOKUP(B301, Data_Validation!X:Y, 2, FALSE), "")</f>
        <v>Done</v>
      </c>
      <c r="M301" s="226" t="str">
        <f t="shared" si="1"/>
        <v>Colorful Tech | STEM Studies - Shorts | Edit</v>
      </c>
      <c r="N301" s="226"/>
      <c r="O301" s="226"/>
    </row>
    <row r="302" ht="24.0" customHeight="1">
      <c r="A302" s="216" t="str">
        <f>IFERROR(__xludf.DUMMYFUNCTION("ARRAYFORMULA(IFERROR(VLOOKUP(REGEXEXTRACT(B302, ""-(\w+)-""), {Data_Validation!$F$16:$F$29, Data_Validation!$E$16:$E$29}, 2, FALSE), """"))
"),"Colorful Tech")</f>
        <v>Colorful Tech</v>
      </c>
      <c r="B302" s="217" t="str">
        <f>IFERROR(__xludf.DUMMYFUNCTION("""COMPUTED_VALUE"""),"CC-CTH-12.06")</f>
        <v>CC-CTH-12.06</v>
      </c>
      <c r="C302" s="218" t="str">
        <f>IFERROR(__xludf.DUMMYFUNCTION("IFERROR(REGEXEXTRACT(B302, ""^[A-Z]+-[A-Z]+-"") &amp; TEXT(VALUE(REGEXEXTRACT(B302, ""-(\d+)\."")), ""00""), """")"),"CC-CTH-12")</f>
        <v>CC-CTH-12</v>
      </c>
      <c r="D302" s="219" t="str">
        <f>IFERROR(VLOOKUP(C302, Content_Creation!B:D, 2, FALSE), IFERROR(VLOOKUP(C302, Project_Management!B:D, 2, FALSE), ""))
&amp; " - "
&amp; IFERROR(VLOOKUP(C302, Content_Creation!B:E, 4, FALSE), IFERROR(VLOOKUP(C302, Project_Management!B:E, 4, FALSE), ""))</f>
        <v>STEM Studies - Shorts</v>
      </c>
      <c r="E302" s="220" t="str">
        <f>IFERROR(
    VLOOKUP(B301:B1001, Content_Creation!B:D, 3, FALSE),
    IFERROR(VLOOKUP(B301:B1001, Project_Management!B:D, 3, FALSE),"")
  )</f>
        <v>Report</v>
      </c>
      <c r="F302" s="221" t="str">
        <f>IFERROR(VLOOKUP(B302, Content_Creation!B:F, 5, FALSE), IFERROR(VLOOKUP(B302, Project_Management!B:F, 5, FALSE), ""))</f>
        <v>Nasser</v>
      </c>
      <c r="G302" s="222" t="s">
        <v>26</v>
      </c>
      <c r="H302" s="223">
        <f>IFERROR(VLOOKUP(B302, Content_Creation!B:H, 7, FALSE), IFERROR(VLOOKUP(B302, Project_Management!B:H, 7, FALSE), ""))</f>
        <v>45239</v>
      </c>
      <c r="I302" s="224">
        <v>0.020833333333333332</v>
      </c>
      <c r="J302" s="223">
        <f>IFERROR(VLOOKUP(C302, Content_Creation!B:H, 7, FALSE), IFERROR(VLOOKUP(C302, Project_Management!B:H, 7, FALSE), ""))</f>
        <v>45239</v>
      </c>
      <c r="K302" s="217"/>
      <c r="L302" s="225" t="str">
        <f>IFERROR(VLOOKUP(B302, Data_Validation!X:Y, 2, FALSE), "")</f>
        <v>Done</v>
      </c>
      <c r="M302" s="226" t="str">
        <f t="shared" si="1"/>
        <v>Colorful Tech | STEM Studies - Shorts | Report</v>
      </c>
      <c r="N302" s="226"/>
      <c r="O302" s="226"/>
    </row>
    <row r="303" ht="24.0" customHeight="1">
      <c r="A303" s="216" t="str">
        <f>IFERROR(__xludf.DUMMYFUNCTION("ARRAYFORMULA(IFERROR(VLOOKUP(REGEXEXTRACT(B303, ""-(\w+)-""), {Data_Validation!$F$16:$F$29, Data_Validation!$E$16:$E$29}, 2, FALSE), """"))
"),"Colorful Tech")</f>
        <v>Colorful Tech</v>
      </c>
      <c r="B303" s="217" t="str">
        <f>IFERROR(__xludf.DUMMYFUNCTION("""COMPUTED_VALUE"""),"CC-CTH-12.07")</f>
        <v>CC-CTH-12.07</v>
      </c>
      <c r="C303" s="218" t="str">
        <f>IFERROR(__xludf.DUMMYFUNCTION("IFERROR(REGEXEXTRACT(B303, ""^[A-Z]+-[A-Z]+-"") &amp; TEXT(VALUE(REGEXEXTRACT(B303, ""-(\d+)\."")), ""00""), """")"),"CC-CTH-12")</f>
        <v>CC-CTH-12</v>
      </c>
      <c r="D303" s="219" t="str">
        <f>IFERROR(VLOOKUP(C303, Content_Creation!B:D, 2, FALSE), IFERROR(VLOOKUP(C303, Project_Management!B:D, 2, FALSE), ""))
&amp; " - "
&amp; IFERROR(VLOOKUP(C303, Content_Creation!B:E, 4, FALSE), IFERROR(VLOOKUP(C303, Project_Management!B:E, 4, FALSE), ""))</f>
        <v>STEM Studies - Shorts</v>
      </c>
      <c r="E303" s="220" t="str">
        <f>IFERROR(
    VLOOKUP(B302:B1001, Content_Creation!B:D, 3, FALSE),
    IFERROR(VLOOKUP(B302:B1001, Project_Management!B:D, 3, FALSE),"")
  )</f>
        <v>Upload</v>
      </c>
      <c r="F303" s="221" t="str">
        <f>IFERROR(VLOOKUP(B303, Content_Creation!B:F, 5, FALSE), IFERROR(VLOOKUP(B303, Project_Management!B:F, 5, FALSE), ""))</f>
        <v>Talha</v>
      </c>
      <c r="G303" s="222" t="s">
        <v>26</v>
      </c>
      <c r="H303" s="223">
        <f>IFERROR(VLOOKUP(B303, Content_Creation!B:H, 7, FALSE), IFERROR(VLOOKUP(B303, Project_Management!B:H, 7, FALSE), ""))</f>
        <v>45239</v>
      </c>
      <c r="I303" s="224">
        <v>0.006944444444444444</v>
      </c>
      <c r="J303" s="223">
        <f>IFERROR(VLOOKUP(C303, Content_Creation!B:H, 7, FALSE), IFERROR(VLOOKUP(C303, Project_Management!B:H, 7, FALSE), ""))</f>
        <v>45239</v>
      </c>
      <c r="K303" s="217"/>
      <c r="L303" s="225" t="str">
        <f>IFERROR(VLOOKUP(B303, Data_Validation!X:Y, 2, FALSE), "")</f>
        <v>Done</v>
      </c>
      <c r="M303" s="226" t="str">
        <f t="shared" si="1"/>
        <v>Colorful Tech | STEM Studies - Shorts | Upload</v>
      </c>
      <c r="N303" s="226"/>
      <c r="O303" s="226"/>
    </row>
    <row r="304" ht="24.0" customHeight="1">
      <c r="A304" s="216" t="str">
        <f>IFERROR(__xludf.DUMMYFUNCTION("ARRAYFORMULA(IFERROR(VLOOKUP(REGEXEXTRACT(B304, ""-(\w+)-""), {Data_Validation!$F$16:$F$29, Data_Validation!$E$16:$E$29}, 2, FALSE), """"))
"),"Colorful Tech")</f>
        <v>Colorful Tech</v>
      </c>
      <c r="B304" s="217" t="str">
        <f>IFERROR(__xludf.DUMMYFUNCTION("""COMPUTED_VALUE"""),"CC-CTH-16.01")</f>
        <v>CC-CTH-16.01</v>
      </c>
      <c r="C304" s="218" t="str">
        <f>IFERROR(__xludf.DUMMYFUNCTION("IFERROR(REGEXEXTRACT(B304, ""^[A-Z]+-[A-Z]+-"") &amp; TEXT(VALUE(REGEXEXTRACT(B304, ""-(\d+)\."")), ""00""), """")"),"CC-CTH-16")</f>
        <v>CC-CTH-16</v>
      </c>
      <c r="D304" s="219" t="str">
        <f>IFERROR(VLOOKUP(C304, Content_Creation!B:D, 2, FALSE), IFERROR(VLOOKUP(C304, Project_Management!B:D, 2, FALSE), ""))
&amp; " - "
&amp; IFERROR(VLOOKUP(C304, Content_Creation!B:E, 4, FALSE), IFERROR(VLOOKUP(C304, Project_Management!B:E, 4, FALSE), ""))</f>
        <v>Diwali Post - Insta</v>
      </c>
      <c r="E304" s="220" t="str">
        <f>IFERROR(
    VLOOKUP(B303:B1001, Content_Creation!B:D, 3, FALSE),
    IFERROR(VLOOKUP(B303:B1001, Project_Management!B:D, 3, FALSE),"")
  )</f>
        <v>Draft</v>
      </c>
      <c r="F304" s="221" t="str">
        <f>IFERROR(VLOOKUP(B304, Content_Creation!B:F, 5, FALSE), IFERROR(VLOOKUP(B304, Project_Management!B:F, 5, FALSE), ""))</f>
        <v>Akhil</v>
      </c>
      <c r="G304" s="222" t="s">
        <v>26</v>
      </c>
      <c r="H304" s="223">
        <f>IFERROR(VLOOKUP(B304, Content_Creation!B:H, 7, FALSE), IFERROR(VLOOKUP(B304, Project_Management!B:H, 7, FALSE), ""))</f>
        <v>45239</v>
      </c>
      <c r="I304" s="224">
        <v>0.006944444444444444</v>
      </c>
      <c r="J304" s="223">
        <f>IFERROR(VLOOKUP(C304, Content_Creation!B:H, 7, FALSE), IFERROR(VLOOKUP(C304, Project_Management!B:H, 7, FALSE), ""))</f>
        <v>45242</v>
      </c>
      <c r="K304" s="217"/>
      <c r="L304" s="225" t="str">
        <f>IFERROR(VLOOKUP(B304, Data_Validation!X:Y, 2, FALSE), "")</f>
        <v>Done</v>
      </c>
      <c r="M304" s="226" t="str">
        <f t="shared" si="1"/>
        <v>Colorful Tech | Diwali Post - Insta | Draft</v>
      </c>
      <c r="N304" s="226"/>
      <c r="O304" s="226"/>
    </row>
    <row r="305" ht="24.0" customHeight="1">
      <c r="A305" s="216" t="str">
        <f>IFERROR(__xludf.DUMMYFUNCTION("ARRAYFORMULA(IFERROR(VLOOKUP(REGEXEXTRACT(B305, ""-(\w+)-""), {Data_Validation!$F$16:$F$29, Data_Validation!$E$16:$E$29}, 2, FALSE), """"))
"),"Inno3D")</f>
        <v>Inno3D</v>
      </c>
      <c r="B305" s="217" t="str">
        <f>IFERROR(__xludf.DUMMYFUNCTION("""COMPUTED_VALUE"""),"CC-INN-30.03")</f>
        <v>CC-INN-30.03</v>
      </c>
      <c r="C305" s="218" t="str">
        <f>IFERROR(__xludf.DUMMYFUNCTION("IFERROR(REGEXEXTRACT(B305, ""^[A-Z]+-[A-Z]+-"") &amp; TEXT(VALUE(REGEXEXTRACT(B305, ""-(\d+)\."")), ""00""), """")"),"CC-INN-30")</f>
        <v>CC-INN-30</v>
      </c>
      <c r="D305" s="219" t="str">
        <f>IFERROR(VLOOKUP(C305, Content_Creation!B:D, 2, FALSE), IFERROR(VLOOKUP(C305, Project_Management!B:D, 2, FALSE), ""))
&amp; " - "
&amp; IFERROR(VLOOKUP(C305, Content_Creation!B:E, 4, FALSE), IFERROR(VLOOKUP(C305, Project_Management!B:E, 4, FALSE), ""))</f>
        <v>COD MW3 - Insta</v>
      </c>
      <c r="E305" s="220" t="str">
        <f>IFERROR(
    VLOOKUP(B304:B1001, Content_Creation!B:D, 3, FALSE),
    IFERROR(VLOOKUP(B304:B1001, Project_Management!B:D, 3, FALSE),"")
  )</f>
        <v>Edit</v>
      </c>
      <c r="F305" s="221" t="str">
        <f>IFERROR(VLOOKUP(B305, Content_Creation!B:F, 5, FALSE), IFERROR(VLOOKUP(B305, Project_Management!B:F, 5, FALSE), ""))</f>
        <v/>
      </c>
      <c r="G305" s="222" t="s">
        <v>26</v>
      </c>
      <c r="H305" s="223">
        <f>IFERROR(VLOOKUP(B305, Content_Creation!B:H, 7, FALSE), IFERROR(VLOOKUP(B305, Project_Management!B:H, 7, FALSE), ""))</f>
        <v>45239</v>
      </c>
      <c r="I305" s="224">
        <v>0.08333333333333333</v>
      </c>
      <c r="J305" s="223">
        <f>IFERROR(VLOOKUP(C305, Content_Creation!B:H, 7, FALSE), IFERROR(VLOOKUP(C305, Project_Management!B:H, 7, FALSE), ""))</f>
        <v>45239</v>
      </c>
      <c r="K305" s="217"/>
      <c r="L305" s="225" t="str">
        <f>IFERROR(VLOOKUP(B305, Data_Validation!X:Y, 2, FALSE), "")</f>
        <v>Done</v>
      </c>
      <c r="M305" s="226" t="str">
        <f t="shared" si="1"/>
        <v>Inno3D | COD MW3 - Insta | Edit</v>
      </c>
      <c r="N305" s="226"/>
      <c r="O305" s="226"/>
    </row>
    <row r="306" ht="24.0" customHeight="1">
      <c r="A306" s="216" t="str">
        <f>IFERROR(__xludf.DUMMYFUNCTION("ARRAYFORMULA(IFERROR(VLOOKUP(REGEXEXTRACT(B306, ""-(\w+)-""), {Data_Validation!$F$16:$F$29, Data_Validation!$E$16:$E$29}, 2, FALSE), """"))
"),"Inno3D")</f>
        <v>Inno3D</v>
      </c>
      <c r="B306" s="217" t="str">
        <f>IFERROR(__xludf.DUMMYFUNCTION("""COMPUTED_VALUE"""),"CC-INN-30.04")</f>
        <v>CC-INN-30.04</v>
      </c>
      <c r="C306" s="218" t="str">
        <f>IFERROR(__xludf.DUMMYFUNCTION("IFERROR(REGEXEXTRACT(B306, ""^[A-Z]+-[A-Z]+-"") &amp; TEXT(VALUE(REGEXEXTRACT(B306, ""-(\d+)\."")), ""00""), """")"),"CC-INN-30")</f>
        <v>CC-INN-30</v>
      </c>
      <c r="D306" s="219" t="str">
        <f>IFERROR(VLOOKUP(C306, Content_Creation!B:D, 2, FALSE), IFERROR(VLOOKUP(C306, Project_Management!B:D, 2, FALSE), ""))
&amp; " - "
&amp; IFERROR(VLOOKUP(C306, Content_Creation!B:E, 4, FALSE), IFERROR(VLOOKUP(C306, Project_Management!B:E, 4, FALSE), ""))</f>
        <v>COD MW3 - Insta</v>
      </c>
      <c r="E306" s="220" t="str">
        <f>IFERROR(
    VLOOKUP(B305:B1001, Content_Creation!B:D, 3, FALSE),
    IFERROR(VLOOKUP(B305:B1001, Project_Management!B:D, 3, FALSE),"")
  )</f>
        <v>Upload</v>
      </c>
      <c r="F306" s="221" t="str">
        <f>IFERROR(VLOOKUP(B306, Content_Creation!B:F, 5, FALSE), IFERROR(VLOOKUP(B306, Project_Management!B:F, 5, FALSE), ""))</f>
        <v/>
      </c>
      <c r="G306" s="222" t="s">
        <v>26</v>
      </c>
      <c r="H306" s="223">
        <f>IFERROR(VLOOKUP(B306, Content_Creation!B:H, 7, FALSE), IFERROR(VLOOKUP(B306, Project_Management!B:H, 7, FALSE), ""))</f>
        <v>45239</v>
      </c>
      <c r="I306" s="224">
        <v>0.03125</v>
      </c>
      <c r="J306" s="223">
        <f>IFERROR(VLOOKUP(C306, Content_Creation!B:H, 7, FALSE), IFERROR(VLOOKUP(C306, Project_Management!B:H, 7, FALSE), ""))</f>
        <v>45239</v>
      </c>
      <c r="K306" s="217"/>
      <c r="L306" s="225" t="str">
        <f>IFERROR(VLOOKUP(B306, Data_Validation!X:Y, 2, FALSE), "")</f>
        <v>Done</v>
      </c>
      <c r="M306" s="226" t="str">
        <f t="shared" si="1"/>
        <v>Inno3D | COD MW3 - Insta | Upload</v>
      </c>
      <c r="N306" s="226"/>
      <c r="O306" s="226"/>
    </row>
    <row r="307" ht="24.0" customHeight="1">
      <c r="A307" s="216" t="str">
        <f>IFERROR(__xludf.DUMMYFUNCTION("ARRAYFORMULA(IFERROR(VLOOKUP(REGEXEXTRACT(B307, ""-(\w+)-""), {Data_Validation!$F$16:$F$29, Data_Validation!$E$16:$E$29}, 2, FALSE), """"))
"),"Inno3D")</f>
        <v>Inno3D</v>
      </c>
      <c r="B307" s="217" t="str">
        <f>IFERROR(__xludf.DUMMYFUNCTION("""COMPUTED_VALUE"""),"CC-INN-32.03")</f>
        <v>CC-INN-32.03</v>
      </c>
      <c r="C307" s="218" t="str">
        <f>IFERROR(__xludf.DUMMYFUNCTION("IFERROR(REGEXEXTRACT(B307, ""^[A-Z]+-[A-Z]+-"") &amp; TEXT(VALUE(REGEXEXTRACT(B307, ""-(\d+)\."")), ""00""), """")"),"CC-INN-32")</f>
        <v>CC-INN-32</v>
      </c>
      <c r="D307" s="219" t="str">
        <f>IFERROR(VLOOKUP(C307, Content_Creation!B:D, 2, FALSE), IFERROR(VLOOKUP(C307, Project_Management!B:D, 2, FALSE), ""))
&amp; " - "
&amp; IFERROR(VLOOKUP(C307, Content_Creation!B:E, 4, FALSE), IFERROR(VLOOKUP(C307, Project_Management!B:E, 4, FALSE), ""))</f>
        <v>Imagine you have limitless budget - Insta</v>
      </c>
      <c r="E307" s="220" t="str">
        <f>IFERROR(
    VLOOKUP(B306:B1001, Content_Creation!B:D, 3, FALSE),
    IFERROR(VLOOKUP(B306:B1001, Project_Management!B:D, 3, FALSE),"")
  )</f>
        <v>Edit</v>
      </c>
      <c r="F307" s="221" t="str">
        <f>IFERROR(VLOOKUP(B307, Content_Creation!B:F, 5, FALSE), IFERROR(VLOOKUP(B307, Project_Management!B:F, 5, FALSE), ""))</f>
        <v>Naveen</v>
      </c>
      <c r="G307" s="222" t="s">
        <v>26</v>
      </c>
      <c r="H307" s="223">
        <f>IFERROR(VLOOKUP(B307, Content_Creation!B:H, 7, FALSE), IFERROR(VLOOKUP(B307, Project_Management!B:H, 7, FALSE), ""))</f>
        <v>45239</v>
      </c>
      <c r="I307" s="224">
        <v>0.010416666666666666</v>
      </c>
      <c r="J307" s="223">
        <f>IFERROR(VLOOKUP(C307, Content_Creation!B:H, 7, FALSE), IFERROR(VLOOKUP(C307, Project_Management!B:H, 7, FALSE), ""))</f>
        <v>45239</v>
      </c>
      <c r="K307" s="217"/>
      <c r="L307" s="225" t="str">
        <f>IFERROR(VLOOKUP(B307, Data_Validation!X:Y, 2, FALSE), "")</f>
        <v>Done</v>
      </c>
      <c r="M307" s="226" t="str">
        <f t="shared" si="1"/>
        <v>Inno3D | Imagine you have limitless budget - Insta | Edit</v>
      </c>
      <c r="N307" s="226"/>
      <c r="O307" s="226"/>
    </row>
    <row r="308" ht="24.0" customHeight="1">
      <c r="A308" s="216" t="str">
        <f>IFERROR(__xludf.DUMMYFUNCTION("ARRAYFORMULA(IFERROR(VLOOKUP(REGEXEXTRACT(B308, ""-(\w+)-""), {Data_Validation!$F$16:$F$29, Data_Validation!$E$16:$E$29}, 2, FALSE), """"))
"),"Inno3D")</f>
        <v>Inno3D</v>
      </c>
      <c r="B308" s="217" t="str">
        <f>IFERROR(__xludf.DUMMYFUNCTION("""COMPUTED_VALUE"""),"CC-INN-32.04")</f>
        <v>CC-INN-32.04</v>
      </c>
      <c r="C308" s="218" t="str">
        <f>IFERROR(__xludf.DUMMYFUNCTION("IFERROR(REGEXEXTRACT(B308, ""^[A-Z]+-[A-Z]+-"") &amp; TEXT(VALUE(REGEXEXTRACT(B308, ""-(\d+)\."")), ""00""), """")"),"CC-INN-32")</f>
        <v>CC-INN-32</v>
      </c>
      <c r="D308" s="219" t="str">
        <f>IFERROR(VLOOKUP(C308, Content_Creation!B:D, 2, FALSE), IFERROR(VLOOKUP(C308, Project_Management!B:D, 2, FALSE), ""))
&amp; " - "
&amp; IFERROR(VLOOKUP(C308, Content_Creation!B:E, 4, FALSE), IFERROR(VLOOKUP(C308, Project_Management!B:E, 4, FALSE), ""))</f>
        <v>Imagine you have limitless budget - Insta</v>
      </c>
      <c r="E308" s="220" t="str">
        <f>IFERROR(
    VLOOKUP(B307:B1001, Content_Creation!B:D, 3, FALSE),
    IFERROR(VLOOKUP(B307:B1001, Project_Management!B:D, 3, FALSE),"")
  )</f>
        <v>Upload</v>
      </c>
      <c r="F308" s="221" t="str">
        <f>IFERROR(VLOOKUP(B308, Content_Creation!B:F, 5, FALSE), IFERROR(VLOOKUP(B308, Project_Management!B:F, 5, FALSE), ""))</f>
        <v>Naveen</v>
      </c>
      <c r="G308" s="221" t="s">
        <v>26</v>
      </c>
      <c r="H308" s="223">
        <f>IFERROR(VLOOKUP(B308, Content_Creation!B:H, 7, FALSE), IFERROR(VLOOKUP(B308, Project_Management!B:H, 7, FALSE), ""))</f>
        <v>45239</v>
      </c>
      <c r="I308" s="224">
        <v>0.03125</v>
      </c>
      <c r="J308" s="223">
        <f>IFERROR(VLOOKUP(C308, Content_Creation!B:H, 7, FALSE), IFERROR(VLOOKUP(C308, Project_Management!B:H, 7, FALSE), ""))</f>
        <v>45239</v>
      </c>
      <c r="K308" s="217"/>
      <c r="L308" s="225" t="str">
        <f>IFERROR(VLOOKUP(B308, Data_Validation!X:Y, 2, FALSE), "")</f>
        <v>Done</v>
      </c>
      <c r="M308" s="226" t="str">
        <f t="shared" si="1"/>
        <v>Inno3D | Imagine you have limitless budget - Insta | Upload</v>
      </c>
      <c r="N308" s="226"/>
      <c r="O308" s="226"/>
    </row>
    <row r="309" ht="24.0" customHeight="1">
      <c r="A309" s="216" t="str">
        <f>IFERROR(__xludf.DUMMYFUNCTION("ARRAYFORMULA(IFERROR(VLOOKUP(REGEXEXTRACT(B309, ""-(\w+)-""), {Data_Validation!$F$16:$F$29, Data_Validation!$E$16:$E$29}, 2, FALSE), """"))
"),"Inno3D")</f>
        <v>Inno3D</v>
      </c>
      <c r="B309" s="217" t="str">
        <f>IFERROR(__xludf.DUMMYFUNCTION("""COMPUTED_VALUE"""),"CC-INN-29.02")</f>
        <v>CC-INN-29.02</v>
      </c>
      <c r="C309" s="218" t="str">
        <f>IFERROR(__xludf.DUMMYFUNCTION("IFERROR(REGEXEXTRACT(B309, ""^[A-Z]+-[A-Z]+-"") &amp; TEXT(VALUE(REGEXEXTRACT(B309, ""-(\d+)\."")), ""00""), """")"),"CC-INN-29")</f>
        <v>CC-INN-29</v>
      </c>
      <c r="D309" s="219" t="str">
        <f>IFERROR(VLOOKUP(C309, Content_Creation!B:D, 2, FALSE), IFERROR(VLOOKUP(C309, Project_Management!B:D, 2, FALSE), ""))
&amp; " - "
&amp; IFERROR(VLOOKUP(C309, Content_Creation!B:E, 4, FALSE), IFERROR(VLOOKUP(C309, Project_Management!B:E, 4, FALSE), ""))</f>
        <v>Troubleshoot GPU issues - Shorts</v>
      </c>
      <c r="E309" s="220" t="str">
        <f>IFERROR(
    VLOOKUP(B308:B1001, Content_Creation!B:D, 3, FALSE),
    IFERROR(VLOOKUP(B308:B1001, Project_Management!B:D, 3, FALSE),"")
  )</f>
        <v>Shoot &amp; VO</v>
      </c>
      <c r="F309" s="221" t="str">
        <f>IFERROR(VLOOKUP(B309, Content_Creation!B:F, 5, FALSE), IFERROR(VLOOKUP(B309, Project_Management!B:F, 5, FALSE), ""))</f>
        <v>Akhil</v>
      </c>
      <c r="G309" s="222" t="s">
        <v>26</v>
      </c>
      <c r="H309" s="223">
        <f>IFERROR(VLOOKUP(B309, Content_Creation!B:H, 7, FALSE), IFERROR(VLOOKUP(B309, Project_Management!B:H, 7, FALSE), ""))</f>
        <v>45239</v>
      </c>
      <c r="I309" s="224">
        <v>0.006944444444444444</v>
      </c>
      <c r="J309" s="223">
        <f>IFERROR(VLOOKUP(C309, Content_Creation!B:H, 7, FALSE), IFERROR(VLOOKUP(C309, Project_Management!B:H, 7, FALSE), ""))</f>
        <v>45240</v>
      </c>
      <c r="K309" s="217"/>
      <c r="L309" s="225" t="str">
        <f>IFERROR(VLOOKUP(B309, Data_Validation!X:Y, 2, FALSE), "")</f>
        <v>Done</v>
      </c>
      <c r="M309" s="226" t="str">
        <f t="shared" si="1"/>
        <v>Inno3D | Troubleshoot GPU issues - Shorts | Shoot &amp; VO</v>
      </c>
      <c r="N309" s="226"/>
      <c r="O309" s="226"/>
    </row>
    <row r="310" ht="24.0" customHeight="1">
      <c r="A310" s="216" t="str">
        <f>IFERROR(__xludf.DUMMYFUNCTION("ARRAYFORMULA(IFERROR(VLOOKUP(REGEXEXTRACT(B310, ""-(\w+)-""), {Data_Validation!$F$16:$F$29, Data_Validation!$E$16:$E$29}, 2, FALSE), """"))
"),"Inno3D")</f>
        <v>Inno3D</v>
      </c>
      <c r="B310" s="217" t="str">
        <f>IFERROR(__xludf.DUMMYFUNCTION("""COMPUTED_VALUE"""),"CC-INN-29.03")</f>
        <v>CC-INN-29.03</v>
      </c>
      <c r="C310" s="218" t="str">
        <f>IFERROR(__xludf.DUMMYFUNCTION("IFERROR(REGEXEXTRACT(B310, ""^[A-Z]+-[A-Z]+-"") &amp; TEXT(VALUE(REGEXEXTRACT(B310, ""-(\d+)\."")), ""00""), """")"),"CC-INN-29")</f>
        <v>CC-INN-29</v>
      </c>
      <c r="D310" s="219" t="str">
        <f>IFERROR(VLOOKUP(C310, Content_Creation!B:D, 2, FALSE), IFERROR(VLOOKUP(C310, Project_Management!B:D, 2, FALSE), ""))
&amp; " - "
&amp; IFERROR(VLOOKUP(C310, Content_Creation!B:E, 4, FALSE), IFERROR(VLOOKUP(C310, Project_Management!B:E, 4, FALSE), ""))</f>
        <v>Troubleshoot GPU issues - Shorts</v>
      </c>
      <c r="E310" s="220" t="str">
        <f>IFERROR(
    VLOOKUP(B309:B1001, Content_Creation!B:D, 3, FALSE),
    IFERROR(VLOOKUP(B309:B1001, Project_Management!B:D, 3, FALSE),"")
  )</f>
        <v>Edit</v>
      </c>
      <c r="F310" s="221" t="str">
        <f>IFERROR(VLOOKUP(B310, Content_Creation!B:F, 5, FALSE), IFERROR(VLOOKUP(B310, Project_Management!B:F, 5, FALSE), ""))</f>
        <v>Naveen</v>
      </c>
      <c r="G310" s="222" t="s">
        <v>26</v>
      </c>
      <c r="H310" s="223">
        <f>IFERROR(VLOOKUP(B310, Content_Creation!B:H, 7, FALSE), IFERROR(VLOOKUP(B310, Project_Management!B:H, 7, FALSE), ""))</f>
        <v>45239</v>
      </c>
      <c r="I310" s="224">
        <v>0.041666666666666664</v>
      </c>
      <c r="J310" s="223">
        <f>IFERROR(VLOOKUP(C310, Content_Creation!B:H, 7, FALSE), IFERROR(VLOOKUP(C310, Project_Management!B:H, 7, FALSE), ""))</f>
        <v>45240</v>
      </c>
      <c r="K310" s="217"/>
      <c r="L310" s="225" t="str">
        <f>IFERROR(VLOOKUP(B310, Data_Validation!X:Y, 2, FALSE), "")</f>
        <v>Done</v>
      </c>
      <c r="M310" s="226" t="str">
        <f t="shared" si="1"/>
        <v>Inno3D | Troubleshoot GPU issues - Shorts | Edit</v>
      </c>
      <c r="N310" s="226"/>
      <c r="O310" s="226"/>
    </row>
    <row r="311" ht="24.0" customHeight="1">
      <c r="A311" s="216" t="str">
        <f>IFERROR(__xludf.DUMMYFUNCTION("ARRAYFORMULA(IFERROR(VLOOKUP(REGEXEXTRACT(B311, ""-(\w+)-""), {Data_Validation!$F$16:$F$29, Data_Validation!$E$16:$E$29}, 2, FALSE), """"))
"),"Inno3D")</f>
        <v>Inno3D</v>
      </c>
      <c r="B311" s="217" t="str">
        <f>IFERROR(__xludf.DUMMYFUNCTION("""COMPUTED_VALUE"""),"CC-INN-27.02")</f>
        <v>CC-INN-27.02</v>
      </c>
      <c r="C311" s="218" t="str">
        <f>IFERROR(__xludf.DUMMYFUNCTION("IFERROR(REGEXEXTRACT(B311, ""^[A-Z]+-[A-Z]+-"") &amp; TEXT(VALUE(REGEXEXTRACT(B311, ""-(\d+)\."")), ""00""), """")"),"CC-INN-27")</f>
        <v>CC-INN-27</v>
      </c>
      <c r="D311" s="219" t="str">
        <f>IFERROR(VLOOKUP(C311, Content_Creation!B:D, 2, FALSE), IFERROR(VLOOKUP(C311, Project_Management!B:D, 2, FALSE), ""))
&amp; " - "
&amp; IFERROR(VLOOKUP(C311, Content_Creation!B:E, 4, FALSE), IFERROR(VLOOKUP(C311, Project_Management!B:E, 4, FALSE), ""))</f>
        <v>NVIDIA RTX Video Super Resolution - Shorts</v>
      </c>
      <c r="E311" s="220" t="str">
        <f>IFERROR(
    VLOOKUP(B310:B1001, Content_Creation!B:D, 3, FALSE),
    IFERROR(VLOOKUP(B310:B1001, Project_Management!B:D, 3, FALSE),"")
  )</f>
        <v>Voiceover</v>
      </c>
      <c r="F311" s="221" t="str">
        <f>IFERROR(VLOOKUP(B311, Content_Creation!B:F, 5, FALSE), IFERROR(VLOOKUP(B311, Project_Management!B:F, 5, FALSE), ""))</f>
        <v>Akhil</v>
      </c>
      <c r="G311" s="222" t="s">
        <v>26</v>
      </c>
      <c r="H311" s="223">
        <f>IFERROR(VLOOKUP(B311, Content_Creation!B:H, 7, FALSE), IFERROR(VLOOKUP(B311, Project_Management!B:H, 7, FALSE), ""))</f>
        <v>45239</v>
      </c>
      <c r="I311" s="224">
        <v>0.16666666666666666</v>
      </c>
      <c r="J311" s="223">
        <f>IFERROR(VLOOKUP(C311, Content_Creation!B:H, 7, FALSE), IFERROR(VLOOKUP(C311, Project_Management!B:H, 7, FALSE), ""))</f>
        <v>45243</v>
      </c>
      <c r="K311" s="217"/>
      <c r="L311" s="225" t="str">
        <f>IFERROR(VLOOKUP(B311, Data_Validation!X:Y, 2, FALSE), "")</f>
        <v>Done</v>
      </c>
      <c r="M311" s="226" t="str">
        <f t="shared" si="1"/>
        <v>Inno3D | NVIDIA RTX Video Super Resolution - Shorts | Voiceover</v>
      </c>
      <c r="N311" s="226"/>
      <c r="O311" s="226"/>
    </row>
    <row r="312" ht="24.0" customHeight="1">
      <c r="A312" s="216" t="str">
        <f>IFERROR(__xludf.DUMMYFUNCTION("ARRAYFORMULA(IFERROR(VLOOKUP(REGEXEXTRACT(B312, ""-(\w+)-""), {Data_Validation!$F$16:$F$29, Data_Validation!$E$16:$E$29}, 2, FALSE), """"))
"),"Inno3D")</f>
        <v>Inno3D</v>
      </c>
      <c r="B312" s="217" t="str">
        <f>IFERROR(__xludf.DUMMYFUNCTION("""COMPUTED_VALUE"""),"CC-INN-31.03")</f>
        <v>CC-INN-31.03</v>
      </c>
      <c r="C312" s="218" t="str">
        <f>IFERROR(__xludf.DUMMYFUNCTION("IFERROR(REGEXEXTRACT(B312, ""^[A-Z]+-[A-Z]+-"") &amp; TEXT(VALUE(REGEXEXTRACT(B312, ""-(\d+)\."")), ""00""), """")"),"CC-INN-31")</f>
        <v>CC-INN-31</v>
      </c>
      <c r="D312" s="219" t="str">
        <f>IFERROR(VLOOKUP(C312, Content_Creation!B:D, 2, FALSE), IFERROR(VLOOKUP(C312, Project_Management!B:D, 2, FALSE), ""))
&amp; " - "
&amp; IFERROR(VLOOKUP(C312, Content_Creation!B:E, 4, FALSE), IFERROR(VLOOKUP(C312, Project_Management!B:E, 4, FALSE), ""))</f>
        <v> - </v>
      </c>
      <c r="E312" s="220" t="str">
        <f>IFERROR(
    VLOOKUP(B311:B1001, Content_Creation!B:D, 3, FALSE),
    IFERROR(VLOOKUP(B311:B1001, Project_Management!B:D, 3, FALSE),"")
  )</f>
        <v>Edit</v>
      </c>
      <c r="F312" s="221" t="str">
        <f>IFERROR(VLOOKUP(B312, Content_Creation!B:F, 5, FALSE), IFERROR(VLOOKUP(B312, Project_Management!B:F, 5, FALSE), ""))</f>
        <v/>
      </c>
      <c r="G312" s="222" t="s">
        <v>179</v>
      </c>
      <c r="H312" s="223">
        <f>IFERROR(VLOOKUP(B312, Content_Creation!B:H, 7, FALSE), IFERROR(VLOOKUP(B312, Project_Management!B:H, 7, FALSE), ""))</f>
        <v>45239</v>
      </c>
      <c r="I312" s="224">
        <v>0.4166666666666667</v>
      </c>
      <c r="J312" s="223" t="str">
        <f>IFERROR(VLOOKUP(C312, Content_Creation!B:H, 7, FALSE), IFERROR(VLOOKUP(C312, Project_Management!B:H, 7, FALSE), ""))</f>
        <v/>
      </c>
      <c r="K312" s="217"/>
      <c r="L312" s="225" t="str">
        <f>IFERROR(VLOOKUP(B312, Data_Validation!X:Y, 2, FALSE), "")</f>
        <v>Not Started</v>
      </c>
      <c r="M312" s="226" t="str">
        <f t="shared" si="1"/>
        <v>Inno3D |  -  | Edit</v>
      </c>
      <c r="N312" s="226"/>
      <c r="O312" s="226"/>
    </row>
    <row r="313" ht="24.0" customHeight="1">
      <c r="A313" s="216" t="str">
        <f>IFERROR(__xludf.DUMMYFUNCTION("ARRAYFORMULA(IFERROR(VLOOKUP(REGEXEXTRACT(B313, ""-(\w+)-""), {Data_Validation!$F$16:$F$29, Data_Validation!$E$16:$E$29}, 2, FALSE), """"))
"),"Inno3D")</f>
        <v>Inno3D</v>
      </c>
      <c r="B313" s="217" t="str">
        <f>IFERROR(__xludf.DUMMYFUNCTION("""COMPUTED_VALUE"""),"CC-INN-31.04")</f>
        <v>CC-INN-31.04</v>
      </c>
      <c r="C313" s="218" t="str">
        <f>IFERROR(__xludf.DUMMYFUNCTION("IFERROR(REGEXEXTRACT(B313, ""^[A-Z]+-[A-Z]+-"") &amp; TEXT(VALUE(REGEXEXTRACT(B313, ""-(\d+)\."")), ""00""), """")"),"CC-INN-31")</f>
        <v>CC-INN-31</v>
      </c>
      <c r="D313" s="219" t="str">
        <f>IFERROR(VLOOKUP(C313, Content_Creation!B:D, 2, FALSE), IFERROR(VLOOKUP(C313, Project_Management!B:D, 2, FALSE), ""))
&amp; " - "
&amp; IFERROR(VLOOKUP(C313, Content_Creation!B:E, 4, FALSE), IFERROR(VLOOKUP(C313, Project_Management!B:E, 4, FALSE), ""))</f>
        <v> - </v>
      </c>
      <c r="E313" s="220" t="str">
        <f>IFERROR(
    VLOOKUP(B312:B1001, Content_Creation!B:D, 3, FALSE),
    IFERROR(VLOOKUP(B312:B1001, Project_Management!B:D, 3, FALSE),"")
  )</f>
        <v>Upload</v>
      </c>
      <c r="F313" s="221" t="str">
        <f>IFERROR(VLOOKUP(B313, Content_Creation!B:F, 5, FALSE), IFERROR(VLOOKUP(B313, Project_Management!B:F, 5, FALSE), ""))</f>
        <v/>
      </c>
      <c r="G313" s="222" t="s">
        <v>179</v>
      </c>
      <c r="H313" s="223">
        <f>IFERROR(VLOOKUP(B313, Content_Creation!B:H, 7, FALSE), IFERROR(VLOOKUP(B313, Project_Management!B:H, 7, FALSE), ""))</f>
        <v>45239</v>
      </c>
      <c r="I313" s="224">
        <v>0.006944444444444444</v>
      </c>
      <c r="J313" s="223" t="str">
        <f>IFERROR(VLOOKUP(C313, Content_Creation!B:H, 7, FALSE), IFERROR(VLOOKUP(C313, Project_Management!B:H, 7, FALSE), ""))</f>
        <v/>
      </c>
      <c r="K313" s="217"/>
      <c r="L313" s="225" t="str">
        <f>IFERROR(VLOOKUP(B313, Data_Validation!X:Y, 2, FALSE), "")</f>
        <v>Not Started</v>
      </c>
      <c r="M313" s="226" t="str">
        <f t="shared" si="1"/>
        <v>Inno3D |  -  | Upload</v>
      </c>
      <c r="N313" s="226"/>
      <c r="O313" s="226"/>
    </row>
    <row r="314" ht="24.0" customHeight="1">
      <c r="A314" s="216" t="str">
        <f>IFERROR(__xludf.DUMMYFUNCTION("ARRAYFORMULA(IFERROR(VLOOKUP(REGEXEXTRACT(B314, ""-(\w+)-""), {Data_Validation!$F$16:$F$29, Data_Validation!$E$16:$E$29}, 2, FALSE), """"))
"),"Nvidia")</f>
        <v>Nvidia</v>
      </c>
      <c r="B314" s="217" t="str">
        <f>IFERROR(__xludf.DUMMYFUNCTION("""COMPUTED_VALUE"""),"PM-NVI-03.07")</f>
        <v>PM-NVI-03.07</v>
      </c>
      <c r="C314" s="218" t="str">
        <f>IFERROR(__xludf.DUMMYFUNCTION("IFERROR(REGEXEXTRACT(B314, ""^[A-Z]+-[A-Z]+-"") &amp; TEXT(VALUE(REGEXEXTRACT(B314, ""-(\d+)\."")), ""00""), """")"),"PM-NVI-03")</f>
        <v>PM-NVI-03</v>
      </c>
      <c r="D314" s="219" t="str">
        <f>IFERROR(VLOOKUP(C314, Content_Creation!B:D, 2, FALSE), IFERROR(VLOOKUP(C314, Project_Management!B:D, 2, FALSE), ""))
&amp; " - "
&amp; IFERROR(VLOOKUP(C314, Content_Creation!B:E, 4, FALSE), IFERROR(VLOOKUP(C314, Project_Management!B:E, 4, FALSE), ""))</f>
        <v>Laptop Projects &amp; Shipments - Misc</v>
      </c>
      <c r="E314" s="220" t="str">
        <f>IFERROR(
    VLOOKUP(B313:B1001, Content_Creation!B:D, 3, FALSE),
    IFERROR(VLOOKUP(B313:B1001, Project_Management!B:D, 3, FALSE),"")
  )</f>
        <v>ACER RTX 3050</v>
      </c>
      <c r="F314" s="221" t="str">
        <f>IFERROR(VLOOKUP(B314, Content_Creation!B:F, 5, FALSE), IFERROR(VLOOKUP(B314, Project_Management!B:F, 5, FALSE), ""))</f>
        <v>Naveen</v>
      </c>
      <c r="G314" s="222" t="s">
        <v>179</v>
      </c>
      <c r="H314" s="223">
        <f>IFERROR(VLOOKUP(B314, Content_Creation!B:H, 7, FALSE), IFERROR(VLOOKUP(B314, Project_Management!B:H, 7, FALSE), ""))</f>
        <v>45239</v>
      </c>
      <c r="I314" s="224">
        <v>0.041666666666666664</v>
      </c>
      <c r="J314" s="223">
        <f>IFERROR(VLOOKUP(C314, Content_Creation!B:H, 7, FALSE), IFERROR(VLOOKUP(C314, Project_Management!B:H, 7, FALSE), ""))</f>
        <v>45239</v>
      </c>
      <c r="K314" s="217"/>
      <c r="L314" s="225" t="str">
        <f>IFERROR(VLOOKUP(B314, Data_Validation!X:Y, 2, FALSE), "")</f>
        <v>Not Started</v>
      </c>
      <c r="M314" s="226" t="str">
        <f t="shared" si="1"/>
        <v>Nvidia | Laptop Projects &amp; Shipments - Misc | ACER RTX 3050</v>
      </c>
      <c r="N314" s="226"/>
      <c r="O314" s="226"/>
    </row>
    <row r="315" ht="24.0" customHeight="1">
      <c r="A315" s="216" t="str">
        <f>IFERROR(__xludf.DUMMYFUNCTION("ARRAYFORMULA(IFERROR(VLOOKUP(REGEXEXTRACT(B315, ""-(\w+)-""), {Data_Validation!$F$16:$F$29, Data_Validation!$E$16:$E$29}, 2, FALSE), """"))
"),"Inno3D")</f>
        <v>Inno3D</v>
      </c>
      <c r="B315" s="217" t="str">
        <f>IFERROR(__xludf.DUMMYFUNCTION("""COMPUTED_VALUE"""),"PM-INN-01.04")</f>
        <v>PM-INN-01.04</v>
      </c>
      <c r="C315" s="218" t="str">
        <f>IFERROR(__xludf.DUMMYFUNCTION("IFERROR(REGEXEXTRACT(B315, ""^[A-Z]+-[A-Z]+-"") &amp; TEXT(VALUE(REGEXEXTRACT(B315, ""-(\d+)\."")), ""00""), """")"),"PM-INN-01")</f>
        <v>PM-INN-01</v>
      </c>
      <c r="D315" s="219" t="str">
        <f>IFERROR(VLOOKUP(C315, Content_Creation!B:D, 2, FALSE), IFERROR(VLOOKUP(C315, Project_Management!B:D, 2, FALSE), ""))
&amp; " - "
&amp; IFERROR(VLOOKUP(C315, Content_Creation!B:E, 4, FALSE), IFERROR(VLOOKUP(C315, Project_Management!B:E, 4, FALSE), ""))</f>
        <v>AdHoc - Misc</v>
      </c>
      <c r="E315" s="220" t="str">
        <f>IFERROR(
    VLOOKUP(B314:B1001, Content_Creation!B:D, 3, FALSE),
    IFERROR(VLOOKUP(B314:B1001, Project_Management!B:D, 3, FALSE),"")
  )</f>
        <v>Landing Pages</v>
      </c>
      <c r="F315" s="221" t="str">
        <f>IFERROR(VLOOKUP(B315, Content_Creation!B:F, 5, FALSE), IFERROR(VLOOKUP(B315, Project_Management!B:F, 5, FALSE), ""))</f>
        <v>Naveen</v>
      </c>
      <c r="G315" s="222" t="s">
        <v>26</v>
      </c>
      <c r="H315" s="223">
        <f>IFERROR(VLOOKUP(B315, Content_Creation!B:H, 7, FALSE), IFERROR(VLOOKUP(B315, Project_Management!B:H, 7, FALSE), ""))</f>
        <v>45239</v>
      </c>
      <c r="I315" s="224">
        <v>0.0625</v>
      </c>
      <c r="J315" s="223">
        <f>IFERROR(VLOOKUP(C315, Content_Creation!B:H, 7, FALSE), IFERROR(VLOOKUP(C315, Project_Management!B:H, 7, FALSE), ""))</f>
        <v>45239</v>
      </c>
      <c r="K315" s="217"/>
      <c r="L315" s="225" t="str">
        <f>IFERROR(VLOOKUP(B315, Data_Validation!X:Y, 2, FALSE), "")</f>
        <v>Done</v>
      </c>
      <c r="M315" s="226" t="str">
        <f t="shared" si="1"/>
        <v>Inno3D | AdHoc - Misc | Landing Pages</v>
      </c>
      <c r="N315" s="226"/>
      <c r="O315" s="226"/>
    </row>
    <row r="316" ht="24.0" customHeight="1">
      <c r="A316" s="216" t="str">
        <f>IFERROR(__xludf.DUMMYFUNCTION("ARRAYFORMULA(IFERROR(VLOOKUP(REGEXEXTRACT(B316, ""-(\w+)-""), {Data_Validation!$F$16:$F$29, Data_Validation!$E$16:$E$29}, 2, FALSE), """"))
"),"TheMVP")</f>
        <v>TheMVP</v>
      </c>
      <c r="B316" s="217" t="str">
        <f>IFERROR(__xludf.DUMMYFUNCTION("""COMPUTED_VALUE"""),"PM-MVP-03.08")</f>
        <v>PM-MVP-03.08</v>
      </c>
      <c r="C316" s="218" t="str">
        <f>IFERROR(__xludf.DUMMYFUNCTION("IFERROR(REGEXEXTRACT(B316, ""^[A-Z]+-[A-Z]+-"") &amp; TEXT(VALUE(REGEXEXTRACT(B316, ""-(\d+)\."")), ""00""), """")"),"PM-MVP-03")</f>
        <v>PM-MVP-03</v>
      </c>
      <c r="D316" s="219" t="str">
        <f>IFERROR(VLOOKUP(C316, Content_Creation!B:D, 2, FALSE), IFERROR(VLOOKUP(C316, Project_Management!B:D, 2, FALSE), ""))
&amp; " - "
&amp; IFERROR(VLOOKUP(C316, Content_Creation!B:E, 4, FALSE), IFERROR(VLOOKUP(C316, Project_Management!B:E, 4, FALSE), ""))</f>
        <v>Nov-AdHoc - Misc</v>
      </c>
      <c r="E316" s="220" t="str">
        <f>IFERROR(
    VLOOKUP(B315:B1001, Content_Creation!B:D, 3, FALSE),
    IFERROR(VLOOKUP(B315:B1001, Project_Management!B:D, 3, FALSE),"")
  )</f>
        <v>Diwali Visiting Card</v>
      </c>
      <c r="F316" s="221" t="str">
        <f>IFERROR(VLOOKUP(B316, Content_Creation!B:F, 5, FALSE), IFERROR(VLOOKUP(B316, Project_Management!B:F, 5, FALSE), ""))</f>
        <v>Akhil</v>
      </c>
      <c r="G316" s="222" t="s">
        <v>26</v>
      </c>
      <c r="H316" s="223">
        <f>IFERROR(VLOOKUP(B316, Content_Creation!B:H, 7, FALSE), IFERROR(VLOOKUP(B316, Project_Management!B:H, 7, FALSE), ""))</f>
        <v>45239</v>
      </c>
      <c r="I316" s="224">
        <v>0.0</v>
      </c>
      <c r="J316" s="223">
        <f>IFERROR(VLOOKUP(C316, Content_Creation!B:H, 7, FALSE), IFERROR(VLOOKUP(C316, Project_Management!B:H, 7, FALSE), ""))</f>
        <v>45240</v>
      </c>
      <c r="K316" s="217"/>
      <c r="L316" s="225" t="str">
        <f>IFERROR(VLOOKUP(B316, Data_Validation!X:Y, 2, FALSE), "")</f>
        <v>Done</v>
      </c>
      <c r="M316" s="226" t="str">
        <f t="shared" si="1"/>
        <v>TheMVP | Nov-AdHoc - Misc | Diwali Visiting Card</v>
      </c>
      <c r="N316" s="226"/>
      <c r="O316" s="226"/>
    </row>
    <row r="317" ht="24.0" customHeight="1">
      <c r="A317" s="216" t="str">
        <f>IFERROR(__xludf.DUMMYFUNCTION("ARRAYFORMULA(IFERROR(VLOOKUP(REGEXEXTRACT(B317, ""-(\w+)-""), {Data_Validation!$F$16:$F$29, Data_Validation!$E$16:$E$29}, 2, FALSE), """"))
"),"Picture This!")</f>
        <v>Picture This!</v>
      </c>
      <c r="B317" s="217" t="str">
        <f>IFERROR(__xludf.DUMMYFUNCTION("""COMPUTED_VALUE"""),"PM-PTS-07.05")</f>
        <v>PM-PTS-07.05</v>
      </c>
      <c r="C317" s="218" t="str">
        <f>IFERROR(__xludf.DUMMYFUNCTION("IFERROR(REGEXEXTRACT(B317, ""^[A-Z]+-[A-Z]+-"") &amp; TEXT(VALUE(REGEXEXTRACT(B317, ""-(\d+)\."")), ""00""), """")"),"PM-PTS-07")</f>
        <v>PM-PTS-07</v>
      </c>
      <c r="D317" s="219" t="str">
        <f>IFERROR(VLOOKUP(C317, Content_Creation!B:D, 2, FALSE), IFERROR(VLOOKUP(C317, Project_Management!B:D, 2, FALSE), ""))
&amp; " - "
&amp; IFERROR(VLOOKUP(C317, Content_Creation!B:E, 4, FALSE), IFERROR(VLOOKUP(C317, Project_Management!B:E, 4, FALSE), ""))</f>
        <v>SP-100 - Chipkol - Video</v>
      </c>
      <c r="E317" s="220" t="str">
        <f>IFERROR(
    VLOOKUP(B316:B1001, Content_Creation!B:D, 3, FALSE),
    IFERROR(VLOOKUP(B316:B1001, Project_Management!B:D, 3, FALSE),"")
  )</f>
        <v>Re-Script</v>
      </c>
      <c r="F317" s="221" t="str">
        <f>IFERROR(VLOOKUP(B317, Content_Creation!B:F, 5, FALSE), IFERROR(VLOOKUP(B317, Project_Management!B:F, 5, FALSE), ""))</f>
        <v>Talha</v>
      </c>
      <c r="G317" s="222" t="s">
        <v>26</v>
      </c>
      <c r="H317" s="223">
        <f>IFERROR(VLOOKUP(B317, Content_Creation!B:H, 7, FALSE), IFERROR(VLOOKUP(B317, Project_Management!B:H, 7, FALSE), ""))</f>
        <v>45239</v>
      </c>
      <c r="I317" s="224">
        <v>0.08333333333333333</v>
      </c>
      <c r="J317" s="223">
        <f>IFERROR(VLOOKUP(C317, Content_Creation!B:H, 7, FALSE), IFERROR(VLOOKUP(C317, Project_Management!B:H, 7, FALSE), ""))</f>
        <v>45241</v>
      </c>
      <c r="K317" s="217"/>
      <c r="L317" s="225" t="str">
        <f>IFERROR(VLOOKUP(B317, Data_Validation!X:Y, 2, FALSE), "")</f>
        <v>Done</v>
      </c>
      <c r="M317" s="226" t="str">
        <f t="shared" si="1"/>
        <v>Picture This! | SP-100 - Chipkol - Video | Re-Script</v>
      </c>
      <c r="N317" s="226"/>
      <c r="O317" s="226"/>
    </row>
    <row r="318" ht="24.0" customHeight="1">
      <c r="A318" s="216" t="str">
        <f>IFERROR(__xludf.DUMMYFUNCTION("ARRAYFORMULA(IFERROR(VLOOKUP(REGEXEXTRACT(B318, ""-(\w+)-""), {Data_Validation!$F$16:$F$29, Data_Validation!$E$16:$E$29}, 2, FALSE), """"))
"),"Picture This!")</f>
        <v>Picture This!</v>
      </c>
      <c r="B318" s="217" t="str">
        <f>IFERROR(__xludf.DUMMYFUNCTION("""COMPUTED_VALUE"""),"PM-PTS-05.14")</f>
        <v>PM-PTS-05.14</v>
      </c>
      <c r="C318" s="218" t="str">
        <f>IFERROR(__xludf.DUMMYFUNCTION("IFERROR(REGEXEXTRACT(B318, ""^[A-Z]+-[A-Z]+-"") &amp; TEXT(VALUE(REGEXEXTRACT(B318, ""-(\d+)\."")), ""00""), """")"),"PM-PTS-05")</f>
        <v>PM-PTS-05</v>
      </c>
      <c r="D318" s="219" t="str">
        <f>IFERROR(VLOOKUP(C318, Content_Creation!B:D, 2, FALSE), IFERROR(VLOOKUP(C318, Project_Management!B:D, 2, FALSE), ""))
&amp; " - "
&amp; IFERROR(VLOOKUP(C318, Content_Creation!B:E, 4, FALSE), IFERROR(VLOOKUP(C318, Project_Management!B:E, 4, FALSE), ""))</f>
        <v>Picture This- AdHoc - Website</v>
      </c>
      <c r="E318" s="220" t="str">
        <f>IFERROR(
    VLOOKUP(B317:B1001, Content_Creation!B:D, 3, FALSE),
    IFERROR(VLOOKUP(B317:B1001, Project_Management!B:D, 3, FALSE),"")
  )</f>
        <v>Huston sample</v>
      </c>
      <c r="F318" s="221" t="str">
        <f>IFERROR(VLOOKUP(B318, Content_Creation!B:F, 5, FALSE), IFERROR(VLOOKUP(B318, Project_Management!B:F, 5, FALSE), ""))</f>
        <v>Nasser</v>
      </c>
      <c r="G318" s="222" t="s">
        <v>388</v>
      </c>
      <c r="H318" s="223">
        <f>IFERROR(VLOOKUP(B318, Content_Creation!B:H, 7, FALSE), IFERROR(VLOOKUP(B318, Project_Management!B:H, 7, FALSE), ""))</f>
        <v>45239</v>
      </c>
      <c r="I318" s="224">
        <v>0.006944444444444444</v>
      </c>
      <c r="J318" s="223">
        <f>IFERROR(VLOOKUP(C318, Content_Creation!B:H, 7, FALSE), IFERROR(VLOOKUP(C318, Project_Management!B:H, 7, FALSE), ""))</f>
        <v>45241</v>
      </c>
      <c r="K318" s="217"/>
      <c r="L318" s="225" t="str">
        <f>IFERROR(VLOOKUP(B318, Data_Validation!X:Y, 2, FALSE), "")</f>
        <v>In Review</v>
      </c>
      <c r="M318" s="226" t="str">
        <f t="shared" si="1"/>
        <v>Picture This! | Picture This- AdHoc - Website | Huston sample</v>
      </c>
      <c r="N318" s="226"/>
      <c r="O318" s="226"/>
    </row>
    <row r="319" ht="24.0" customHeight="1">
      <c r="A319" s="216" t="str">
        <f>IFERROR(__xludf.DUMMYFUNCTION("ARRAYFORMULA(IFERROR(VLOOKUP(REGEXEXTRACT(B319, ""-(\w+)-""), {Data_Validation!$F$16:$F$29, Data_Validation!$E$16:$E$29}, 2, FALSE), """"))
"),"Picture This!")</f>
        <v>Picture This!</v>
      </c>
      <c r="B319" s="217" t="str">
        <f>IFERROR(__xludf.DUMMYFUNCTION("""COMPUTED_VALUE"""),"PM-PTS-09.01")</f>
        <v>PM-PTS-09.01</v>
      </c>
      <c r="C319" s="218" t="str">
        <f>IFERROR(__xludf.DUMMYFUNCTION("IFERROR(REGEXEXTRACT(B319, ""^[A-Z]+-[A-Z]+-"") &amp; TEXT(VALUE(REGEXEXTRACT(B319, ""-(\d+)\."")), ""00""), """")"),"PM-PTS-09")</f>
        <v>PM-PTS-09</v>
      </c>
      <c r="D319" s="219" t="str">
        <f>IFERROR(VLOOKUP(C319, Content_Creation!B:D, 2, FALSE), IFERROR(VLOOKUP(C319, Project_Management!B:D, 2, FALSE), ""))
&amp; " - "
&amp; IFERROR(VLOOKUP(C319, Content_Creation!B:E, 4, FALSE), IFERROR(VLOOKUP(C319, Project_Management!B:E, 4, FALSE), ""))</f>
        <v>Swipe Up Productions  - Video</v>
      </c>
      <c r="E319" s="220" t="str">
        <f>IFERROR(
    VLOOKUP(B318:B1001, Content_Creation!B:D, 3, FALSE),
    IFERROR(VLOOKUP(B318:B1001, Project_Management!B:D, 3, FALSE),"")
  )</f>
        <v>Script</v>
      </c>
      <c r="F319" s="221" t="str">
        <f>IFERROR(VLOOKUP(B319, Content_Creation!B:F, 5, FALSE), IFERROR(VLOOKUP(B319, Project_Management!B:F, 5, FALSE), ""))</f>
        <v/>
      </c>
      <c r="G319" s="222" t="s">
        <v>179</v>
      </c>
      <c r="H319" s="223">
        <f>IFERROR(VLOOKUP(B319, Content_Creation!B:H, 7, FALSE), IFERROR(VLOOKUP(B319, Project_Management!B:H, 7, FALSE), ""))</f>
        <v>45239.80562</v>
      </c>
      <c r="I319" s="224">
        <v>0.0</v>
      </c>
      <c r="J319" s="223">
        <f>IFERROR(VLOOKUP(C319, Content_Creation!B:H, 7, FALSE), IFERROR(VLOOKUP(C319, Project_Management!B:H, 7, FALSE), ""))</f>
        <v>45251.80562</v>
      </c>
      <c r="K319" s="217"/>
      <c r="L319" s="225" t="str">
        <f>IFERROR(VLOOKUP(B319, Data_Validation!X:Y, 2, FALSE), "")</f>
        <v>Not Started</v>
      </c>
      <c r="M319" s="226" t="str">
        <f t="shared" si="1"/>
        <v>Picture This! | Swipe Up Productions  - Video | Script</v>
      </c>
      <c r="N319" s="226"/>
      <c r="O319" s="226"/>
    </row>
    <row r="320" ht="24.0" customHeight="1">
      <c r="A320" s="216" t="str">
        <f>IFERROR(__xludf.DUMMYFUNCTION("ARRAYFORMULA(IFERROR(VLOOKUP(REGEXEXTRACT(B320, ""-(\w+)-""), {Data_Validation!$F$16:$F$29, Data_Validation!$E$16:$E$29}, 2, FALSE), """"))
"),"TheMVP")</f>
        <v>TheMVP</v>
      </c>
      <c r="B320" s="217" t="str">
        <f>IFERROR(__xludf.DUMMYFUNCTION("""COMPUTED_VALUE"""),"CC-MVP-101.04")</f>
        <v>CC-MVP-101.04</v>
      </c>
      <c r="C320" s="218" t="str">
        <f>IFERROR(__xludf.DUMMYFUNCTION("IFERROR(REGEXEXTRACT(B320, ""^[A-Z]+-[A-Z]+-"") &amp; TEXT(VALUE(REGEXEXTRACT(B320, ""-(\d+)\."")), ""00""), """")"),"CC-MVP-101")</f>
        <v>CC-MVP-101</v>
      </c>
      <c r="D320" s="219" t="str">
        <f>IFERROR(VLOOKUP(C320, Content_Creation!B:D, 2, FALSE), IFERROR(VLOOKUP(C320, Project_Management!B:D, 2, FALSE), ""))
&amp; " - "
&amp; IFERROR(VLOOKUP(C320, Content_Creation!B:E, 4, FALSE), IFERROR(VLOOKUP(C320, Project_Management!B:E, 4, FALSE), ""))</f>
        <v>Stock Trading Setup - Linkedin</v>
      </c>
      <c r="E320" s="220" t="str">
        <f>IFERROR(
    VLOOKUP(B319:B1001, Content_Creation!B:D, 3, FALSE),
    IFERROR(VLOOKUP(B319:B1001, Project_Management!B:D, 3, FALSE),"")
  )</f>
        <v>Upload</v>
      </c>
      <c r="F320" s="221" t="str">
        <f>IFERROR(VLOOKUP(B320, Content_Creation!B:F, 5, FALSE), IFERROR(VLOOKUP(B320, Project_Management!B:F, 5, FALSE), ""))</f>
        <v>Nasser</v>
      </c>
      <c r="G320" s="222" t="s">
        <v>26</v>
      </c>
      <c r="H320" s="223">
        <f>IFERROR(VLOOKUP(B320, Content_Creation!B:H, 7, FALSE), IFERROR(VLOOKUP(B320, Project_Management!B:H, 7, FALSE), ""))</f>
        <v>45240</v>
      </c>
      <c r="I320" s="224">
        <v>0.0</v>
      </c>
      <c r="J320" s="223">
        <f>IFERROR(VLOOKUP(C320, Content_Creation!B:H, 7, FALSE), IFERROR(VLOOKUP(C320, Project_Management!B:H, 7, FALSE), ""))</f>
        <v>45240</v>
      </c>
      <c r="K320" s="217"/>
      <c r="L320" s="225" t="str">
        <f>IFERROR(VLOOKUP(B320, Data_Validation!X:Y, 2, FALSE), "")</f>
        <v>Done</v>
      </c>
      <c r="M320" s="226" t="str">
        <f t="shared" si="1"/>
        <v>TheMVP | Stock Trading Setup - Linkedin | Upload</v>
      </c>
      <c r="N320" s="226"/>
      <c r="O320" s="226"/>
    </row>
    <row r="321" ht="24.0" customHeight="1">
      <c r="A321" s="216" t="str">
        <f>IFERROR(__xludf.DUMMYFUNCTION("ARRAYFORMULA(IFERROR(VLOOKUP(REGEXEXTRACT(B321, ""-(\w+)-""), {Data_Validation!$F$16:$F$29, Data_Validation!$E$16:$E$29}, 2, FALSE), """"))
"),"TheMVP")</f>
        <v>TheMVP</v>
      </c>
      <c r="B321" s="217" t="str">
        <f>IFERROR(__xludf.DUMMYFUNCTION("""COMPUTED_VALUE"""),"CC-MVP-43.02")</f>
        <v>CC-MVP-43.02</v>
      </c>
      <c r="C321" s="218" t="str">
        <f>IFERROR(__xludf.DUMMYFUNCTION("IFERROR(REGEXEXTRACT(B321, ""^[A-Z]+-[A-Z]+-"") &amp; TEXT(VALUE(REGEXEXTRACT(B321, ""-(\d+)\."")), ""00""), """")"),"CC-MVP-43")</f>
        <v>CC-MVP-43</v>
      </c>
      <c r="D321" s="219" t="str">
        <f>IFERROR(VLOOKUP(C321, Content_Creation!B:D, 2, FALSE), IFERROR(VLOOKUP(C321, Project_Management!B:D, 2, FALSE), ""))
&amp; " - "
&amp; IFERROR(VLOOKUP(C321, Content_Creation!B:E, 4, FALSE), IFERROR(VLOOKUP(C321, Project_Management!B:E, 4, FALSE), ""))</f>
        <v>8K Gaming - RTX 4090 - Shorts</v>
      </c>
      <c r="E321" s="220" t="str">
        <f>IFERROR(
    VLOOKUP(B320:B1001, Content_Creation!B:D, 3, FALSE),
    IFERROR(VLOOKUP(B320:B1001, Project_Management!B:D, 3, FALSE),"")
  )</f>
        <v>Shoot</v>
      </c>
      <c r="F321" s="221" t="str">
        <f>IFERROR(VLOOKUP(B321, Content_Creation!B:F, 5, FALSE), IFERROR(VLOOKUP(B321, Project_Management!B:F, 5, FALSE), ""))</f>
        <v>Akhil</v>
      </c>
      <c r="G321" s="222" t="s">
        <v>26</v>
      </c>
      <c r="H321" s="223">
        <f>IFERROR(VLOOKUP(B321, Content_Creation!B:H, 7, FALSE), IFERROR(VLOOKUP(B321, Project_Management!B:H, 7, FALSE), ""))</f>
        <v>45240</v>
      </c>
      <c r="I321" s="224">
        <v>0.006944444444444444</v>
      </c>
      <c r="J321" s="223">
        <f>IFERROR(VLOOKUP(C321, Content_Creation!B:H, 7, FALSE), IFERROR(VLOOKUP(C321, Project_Management!B:H, 7, FALSE), ""))</f>
        <v>45240</v>
      </c>
      <c r="K321" s="217"/>
      <c r="L321" s="225" t="str">
        <f>IFERROR(VLOOKUP(B321, Data_Validation!X:Y, 2, FALSE), "")</f>
        <v>Done</v>
      </c>
      <c r="M321" s="226" t="str">
        <f t="shared" si="1"/>
        <v>TheMVP | 8K Gaming - RTX 4090 - Shorts | Shoot</v>
      </c>
      <c r="N321" s="226"/>
      <c r="O321" s="226"/>
    </row>
    <row r="322" ht="24.0" customHeight="1">
      <c r="A322" s="216" t="str">
        <f>IFERROR(__xludf.DUMMYFUNCTION("ARRAYFORMULA(IFERROR(VLOOKUP(REGEXEXTRACT(B322, ""-(\w+)-""), {Data_Validation!$F$16:$F$29, Data_Validation!$E$16:$E$29}, 2, FALSE), """"))
"),"TheMVP")</f>
        <v>TheMVP</v>
      </c>
      <c r="B322" s="217" t="str">
        <f>IFERROR(__xludf.DUMMYFUNCTION("""COMPUTED_VALUE"""),"CC-MVP-43.05")</f>
        <v>CC-MVP-43.05</v>
      </c>
      <c r="C322" s="218" t="str">
        <f>IFERROR(__xludf.DUMMYFUNCTION("IFERROR(REGEXEXTRACT(B322, ""^[A-Z]+-[A-Z]+-"") &amp; TEXT(VALUE(REGEXEXTRACT(B322, ""-(\d+)\."")), ""00""), """")"),"CC-MVP-43")</f>
        <v>CC-MVP-43</v>
      </c>
      <c r="D322" s="219" t="str">
        <f>IFERROR(VLOOKUP(C322, Content_Creation!B:D, 2, FALSE), IFERROR(VLOOKUP(C322, Project_Management!B:D, 2, FALSE), ""))
&amp; " - "
&amp; IFERROR(VLOOKUP(C322, Content_Creation!B:E, 4, FALSE), IFERROR(VLOOKUP(C322, Project_Management!B:E, 4, FALSE), ""))</f>
        <v>8K Gaming - RTX 4090 - Shorts</v>
      </c>
      <c r="E322" s="220" t="str">
        <f>IFERROR(
    VLOOKUP(B321:B1001, Content_Creation!B:D, 3, FALSE),
    IFERROR(VLOOKUP(B321:B1001, Project_Management!B:D, 3, FALSE),"")
  )</f>
        <v>Edit</v>
      </c>
      <c r="F322" s="221" t="str">
        <f>IFERROR(VLOOKUP(B322, Content_Creation!B:F, 5, FALSE), IFERROR(VLOOKUP(B322, Project_Management!B:F, 5, FALSE), ""))</f>
        <v>Tazeen</v>
      </c>
      <c r="G322" s="221" t="s">
        <v>220</v>
      </c>
      <c r="H322" s="223">
        <f>IFERROR(VLOOKUP(B322, Content_Creation!B:H, 7, FALSE), IFERROR(VLOOKUP(B322, Project_Management!B:H, 7, FALSE), ""))</f>
        <v>45240</v>
      </c>
      <c r="I322" s="224">
        <v>0.020833333333333332</v>
      </c>
      <c r="J322" s="223">
        <f>IFERROR(VLOOKUP(C322, Content_Creation!B:H, 7, FALSE), IFERROR(VLOOKUP(C322, Project_Management!B:H, 7, FALSE), ""))</f>
        <v>45240</v>
      </c>
      <c r="K322" s="217"/>
      <c r="L322" s="225" t="str">
        <f>IFERROR(VLOOKUP(B322, Data_Validation!X:Y, 2, FALSE), "")</f>
        <v>Working On it</v>
      </c>
      <c r="M322" s="226" t="str">
        <f t="shared" si="1"/>
        <v>TheMVP | 8K Gaming - RTX 4090 - Shorts | Edit</v>
      </c>
      <c r="N322" s="226"/>
      <c r="O322" s="226"/>
    </row>
    <row r="323" ht="24.0" customHeight="1">
      <c r="A323" s="216" t="str">
        <f>IFERROR(__xludf.DUMMYFUNCTION("ARRAYFORMULA(IFERROR(VLOOKUP(REGEXEXTRACT(B323, ""-(\w+)-""), {Data_Validation!$F$16:$F$29, Data_Validation!$E$16:$E$29}, 2, FALSE), """"))
"),"TheMVP")</f>
        <v>TheMVP</v>
      </c>
      <c r="B323" s="217" t="str">
        <f>IFERROR(__xludf.DUMMYFUNCTION("""COMPUTED_VALUE"""),"CC-MVP-43.06")</f>
        <v>CC-MVP-43.06</v>
      </c>
      <c r="C323" s="218" t="str">
        <f>IFERROR(__xludf.DUMMYFUNCTION("IFERROR(REGEXEXTRACT(B323, ""^[A-Z]+-[A-Z]+-"") &amp; TEXT(VALUE(REGEXEXTRACT(B323, ""-(\d+)\."")), ""00""), """")"),"CC-MVP-43")</f>
        <v>CC-MVP-43</v>
      </c>
      <c r="D323" s="219" t="str">
        <f>IFERROR(VLOOKUP(C323, Content_Creation!B:D, 2, FALSE), IFERROR(VLOOKUP(C323, Project_Management!B:D, 2, FALSE), ""))
&amp; " - "
&amp; IFERROR(VLOOKUP(C323, Content_Creation!B:E, 4, FALSE), IFERROR(VLOOKUP(C323, Project_Management!B:E, 4, FALSE), ""))</f>
        <v>8K Gaming - RTX 4090 - Shorts</v>
      </c>
      <c r="E323" s="220" t="str">
        <f>IFERROR(
    VLOOKUP(B322:B1001, Content_Creation!B:D, 3, FALSE),
    IFERROR(VLOOKUP(B322:B1001, Project_Management!B:D, 3, FALSE),"")
  )</f>
        <v>Thumbnail</v>
      </c>
      <c r="F323" s="221" t="str">
        <f>IFERROR(VLOOKUP(B323, Content_Creation!B:F, 5, FALSE), IFERROR(VLOOKUP(B323, Project_Management!B:F, 5, FALSE), ""))</f>
        <v>Tazeen</v>
      </c>
      <c r="G323" s="222" t="s">
        <v>179</v>
      </c>
      <c r="H323" s="223">
        <f>IFERROR(VLOOKUP(B323, Content_Creation!B:H, 7, FALSE), IFERROR(VLOOKUP(B323, Project_Management!B:H, 7, FALSE), ""))</f>
        <v>45240</v>
      </c>
      <c r="I323" s="224">
        <v>0.006944444444444444</v>
      </c>
      <c r="J323" s="223">
        <f>IFERROR(VLOOKUP(C323, Content_Creation!B:H, 7, FALSE), IFERROR(VLOOKUP(C323, Project_Management!B:H, 7, FALSE), ""))</f>
        <v>45240</v>
      </c>
      <c r="K323" s="217"/>
      <c r="L323" s="225" t="str">
        <f>IFERROR(VLOOKUP(B323, Data_Validation!X:Y, 2, FALSE), "")</f>
        <v>Not Started</v>
      </c>
      <c r="M323" s="226" t="str">
        <f t="shared" si="1"/>
        <v>TheMVP | 8K Gaming - RTX 4090 - Shorts | Thumbnail</v>
      </c>
      <c r="N323" s="226"/>
      <c r="O323" s="226"/>
    </row>
    <row r="324" ht="24.0" customHeight="1">
      <c r="A324" s="216" t="str">
        <f>IFERROR(__xludf.DUMMYFUNCTION("ARRAYFORMULA(IFERROR(VLOOKUP(REGEXEXTRACT(B324, ""-(\w+)-""), {Data_Validation!$F$16:$F$29, Data_Validation!$E$16:$E$29}, 2, FALSE), """"))
"),"TheMVP")</f>
        <v>TheMVP</v>
      </c>
      <c r="B324" s="217" t="str">
        <f>IFERROR(__xludf.DUMMYFUNCTION("""COMPUTED_VALUE"""),"CC-MVP-43.07")</f>
        <v>CC-MVP-43.07</v>
      </c>
      <c r="C324" s="218" t="str">
        <f>IFERROR(__xludf.DUMMYFUNCTION("IFERROR(REGEXEXTRACT(B324, ""^[A-Z]+-[A-Z]+-"") &amp; TEXT(VALUE(REGEXEXTRACT(B324, ""-(\d+)\."")), ""00""), """")"),"CC-MVP-43")</f>
        <v>CC-MVP-43</v>
      </c>
      <c r="D324" s="219" t="str">
        <f>IFERROR(VLOOKUP(C324, Content_Creation!B:D, 2, FALSE), IFERROR(VLOOKUP(C324, Project_Management!B:D, 2, FALSE), ""))
&amp; " - "
&amp; IFERROR(VLOOKUP(C324, Content_Creation!B:E, 4, FALSE), IFERROR(VLOOKUP(C324, Project_Management!B:E, 4, FALSE), ""))</f>
        <v>8K Gaming - RTX 4090 - Shorts</v>
      </c>
      <c r="E324" s="220" t="str">
        <f>IFERROR(
    VLOOKUP(B323:B1001, Content_Creation!B:D, 3, FALSE),
    IFERROR(VLOOKUP(B323:B1001, Project_Management!B:D, 3, FALSE),"")
  )</f>
        <v>Upload</v>
      </c>
      <c r="F324" s="221" t="str">
        <f>IFERROR(VLOOKUP(B324, Content_Creation!B:F, 5, FALSE), IFERROR(VLOOKUP(B324, Project_Management!B:F, 5, FALSE), ""))</f>
        <v>Tazeen</v>
      </c>
      <c r="G324" s="222" t="s">
        <v>179</v>
      </c>
      <c r="H324" s="223">
        <f>IFERROR(VLOOKUP(B324, Content_Creation!B:H, 7, FALSE), IFERROR(VLOOKUP(B324, Project_Management!B:H, 7, FALSE), ""))</f>
        <v>45240</v>
      </c>
      <c r="I324" s="224">
        <v>0.006944444444444444</v>
      </c>
      <c r="J324" s="223">
        <f>IFERROR(VLOOKUP(C324, Content_Creation!B:H, 7, FALSE), IFERROR(VLOOKUP(C324, Project_Management!B:H, 7, FALSE), ""))</f>
        <v>45240</v>
      </c>
      <c r="K324" s="217"/>
      <c r="L324" s="225" t="str">
        <f>IFERROR(VLOOKUP(B324, Data_Validation!X:Y, 2, FALSE), "")</f>
        <v>Not Started</v>
      </c>
      <c r="M324" s="226" t="str">
        <f t="shared" si="1"/>
        <v>TheMVP | 8K Gaming - RTX 4090 - Shorts | Upload</v>
      </c>
      <c r="N324" s="226"/>
      <c r="O324" s="226"/>
    </row>
    <row r="325" ht="24.0" customHeight="1">
      <c r="A325" s="216" t="str">
        <f>IFERROR(__xludf.DUMMYFUNCTION("ARRAYFORMULA(IFERROR(VLOOKUP(REGEXEXTRACT(B325, ""-(\w+)-""), {Data_Validation!$F$16:$F$29, Data_Validation!$E$16:$E$29}, 2, FALSE), """"))
"),"TheMVP")</f>
        <v>TheMVP</v>
      </c>
      <c r="B325" s="217" t="str">
        <f>IFERROR(__xludf.DUMMYFUNCTION("""COMPUTED_VALUE"""),"CC-MVP-106.01")</f>
        <v>CC-MVP-106.01</v>
      </c>
      <c r="C325" s="218" t="str">
        <f>IFERROR(__xludf.DUMMYFUNCTION("IFERROR(REGEXEXTRACT(B325, ""^[A-Z]+-[A-Z]+-"") &amp; TEXT(VALUE(REGEXEXTRACT(B325, ""-(\d+)\."")), ""00""), """")"),"CC-MVP-106")</f>
        <v>CC-MVP-106</v>
      </c>
      <c r="D325" s="219" t="str">
        <f>IFERROR(VLOOKUP(C325, Content_Creation!B:D, 2, FALSE), IFERROR(VLOOKUP(C325, Project_Management!B:D, 2, FALSE), ""))
&amp; " - "
&amp; IFERROR(VLOOKUP(C325, Content_Creation!B:E, 4, FALSE), IFERROR(VLOOKUP(C325, Project_Management!B:E, 4, FALSE), ""))</f>
        <v>Idea Pending - Tweet</v>
      </c>
      <c r="E325" s="220" t="str">
        <f>IFERROR(
    VLOOKUP(B324:B1001, Content_Creation!B:D, 3, FALSE),
    IFERROR(VLOOKUP(B324:B1001, Project_Management!B:D, 3, FALSE),"")
  )</f>
        <v>Script</v>
      </c>
      <c r="F325" s="221" t="str">
        <f>IFERROR(VLOOKUP(B325, Content_Creation!B:F, 5, FALSE), IFERROR(VLOOKUP(B325, Project_Management!B:F, 5, FALSE), ""))</f>
        <v>Jayanth</v>
      </c>
      <c r="G325" s="222" t="s">
        <v>179</v>
      </c>
      <c r="H325" s="223">
        <f>IFERROR(VLOOKUP(B325, Content_Creation!B:H, 7, FALSE), IFERROR(VLOOKUP(B325, Project_Management!B:H, 7, FALSE), ""))</f>
        <v>45240</v>
      </c>
      <c r="I325" s="224">
        <v>0.006944444444444444</v>
      </c>
      <c r="J325" s="223">
        <f>IFERROR(VLOOKUP(C325, Content_Creation!B:H, 7, FALSE), IFERROR(VLOOKUP(C325, Project_Management!B:H, 7, FALSE), ""))</f>
        <v>45241.60398</v>
      </c>
      <c r="K325" s="217"/>
      <c r="L325" s="225" t="str">
        <f>IFERROR(VLOOKUP(B325, Data_Validation!X:Y, 2, FALSE), "")</f>
        <v>Not Started</v>
      </c>
      <c r="M325" s="226" t="str">
        <f t="shared" si="1"/>
        <v>TheMVP | Idea Pending - Tweet | Script</v>
      </c>
      <c r="N325" s="226"/>
      <c r="O325" s="226"/>
    </row>
    <row r="326" ht="24.0" customHeight="1">
      <c r="A326" s="216" t="str">
        <f>IFERROR(__xludf.DUMMYFUNCTION("ARRAYFORMULA(IFERROR(VLOOKUP(REGEXEXTRACT(B326, ""-(\w+)-""), {Data_Validation!$F$16:$F$29, Data_Validation!$E$16:$E$29}, 2, FALSE), """"))
"),"TheMVP")</f>
        <v>TheMVP</v>
      </c>
      <c r="B326" s="217" t="str">
        <f>IFERROR(__xludf.DUMMYFUNCTION("""COMPUTED_VALUE"""),"CC-MVP-115.03")</f>
        <v>CC-MVP-115.03</v>
      </c>
      <c r="C326" s="218" t="str">
        <f>IFERROR(__xludf.DUMMYFUNCTION("IFERROR(REGEXEXTRACT(B326, ""^[A-Z]+-[A-Z]+-"") &amp; TEXT(VALUE(REGEXEXTRACT(B326, ""-(\d+)\."")), ""00""), """")"),"CC-MVP-115")</f>
        <v>CC-MVP-115</v>
      </c>
      <c r="D326" s="219" t="str">
        <f>IFERROR(VLOOKUP(C326, Content_Creation!B:D, 2, FALSE), IFERROR(VLOOKUP(C326, Project_Management!B:D, 2, FALSE), ""))
&amp; " - "
&amp; IFERROR(VLOOKUP(C326, Content_Creation!B:E, 4, FALSE), IFERROR(VLOOKUP(C326, Project_Management!B:E, 4, FALSE), ""))</f>
        <v>Diwali Post - Story</v>
      </c>
      <c r="E326" s="220" t="str">
        <f>IFERROR(
    VLOOKUP(B325:B1001, Content_Creation!B:D, 3, FALSE),
    IFERROR(VLOOKUP(B325:B1001, Project_Management!B:D, 3, FALSE),"")
  )</f>
        <v>Edit</v>
      </c>
      <c r="F326" s="221" t="str">
        <f>IFERROR(VLOOKUP(B326, Content_Creation!B:F, 5, FALSE), IFERROR(VLOOKUP(B326, Project_Management!B:F, 5, FALSE), ""))</f>
        <v>Akhil</v>
      </c>
      <c r="G326" s="222" t="s">
        <v>26</v>
      </c>
      <c r="H326" s="223">
        <f>IFERROR(VLOOKUP(B326, Content_Creation!B:H, 7, FALSE), IFERROR(VLOOKUP(B326, Project_Management!B:H, 7, FALSE), ""))</f>
        <v>45240</v>
      </c>
      <c r="I326" s="224">
        <v>0.041666666666666664</v>
      </c>
      <c r="J326" s="223">
        <f>IFERROR(VLOOKUP(C326, Content_Creation!B:H, 7, FALSE), IFERROR(VLOOKUP(C326, Project_Management!B:H, 7, FALSE), ""))</f>
        <v>45241</v>
      </c>
      <c r="K326" s="217"/>
      <c r="L326" s="225" t="str">
        <f>IFERROR(VLOOKUP(B326, Data_Validation!X:Y, 2, FALSE), "")</f>
        <v>Done</v>
      </c>
      <c r="M326" s="226" t="str">
        <f t="shared" si="1"/>
        <v>TheMVP | Diwali Post - Story | Edit</v>
      </c>
      <c r="N326" s="226"/>
      <c r="O326" s="226"/>
    </row>
    <row r="327" ht="24.0" customHeight="1">
      <c r="A327" s="216" t="str">
        <f>IFERROR(__xludf.DUMMYFUNCTION("ARRAYFORMULA(IFERROR(VLOOKUP(REGEXEXTRACT(B327, ""-(\w+)-""), {Data_Validation!$F$16:$F$29, Data_Validation!$E$16:$E$29}, 2, FALSE), """"))
"),"TheMVP")</f>
        <v>TheMVP</v>
      </c>
      <c r="B327" s="217" t="str">
        <f>IFERROR(__xludf.DUMMYFUNCTION("""COMPUTED_VALUE"""),"CC-MVP-94.01")</f>
        <v>CC-MVP-94.01</v>
      </c>
      <c r="C327" s="218" t="str">
        <f>IFERROR(__xludf.DUMMYFUNCTION("IFERROR(REGEXEXTRACT(B327, ""^[A-Z]+-[A-Z]+-"") &amp; TEXT(VALUE(REGEXEXTRACT(B327, ""-(\d+)\."")), ""00""), """")"),"CC-MVP-94")</f>
        <v>CC-MVP-94</v>
      </c>
      <c r="D327" s="219" t="str">
        <f>IFERROR(VLOOKUP(C327, Content_Creation!B:D, 2, FALSE), IFERROR(VLOOKUP(C327, Project_Management!B:D, 2, FALSE), ""))
&amp; " - "
&amp; IFERROR(VLOOKUP(C327, Content_Creation!B:E, 4, FALSE), IFERROR(VLOOKUP(C327, Project_Management!B:E, 4, FALSE), ""))</f>
        <v>TrueNAS Setup Revamp - Blog</v>
      </c>
      <c r="E327" s="220" t="str">
        <f>IFERROR(
    VLOOKUP(B326:B1001, Content_Creation!B:D, 3, FALSE),
    IFERROR(VLOOKUP(B326:B1001, Project_Management!B:D, 3, FALSE),"")
  )</f>
        <v>Script</v>
      </c>
      <c r="F327" s="221" t="str">
        <f>IFERROR(VLOOKUP(B327, Content_Creation!B:F, 5, FALSE), IFERROR(VLOOKUP(B327, Project_Management!B:F, 5, FALSE), ""))</f>
        <v>Ahmer</v>
      </c>
      <c r="G327" s="221" t="s">
        <v>179</v>
      </c>
      <c r="H327" s="223">
        <f>IFERROR(VLOOKUP(B327, Content_Creation!B:H, 7, FALSE), IFERROR(VLOOKUP(B327, Project_Management!B:H, 7, FALSE), ""))</f>
        <v>45240</v>
      </c>
      <c r="I327" s="224">
        <v>0.041666666666666664</v>
      </c>
      <c r="J327" s="223">
        <f>IFERROR(VLOOKUP(C327, Content_Creation!B:H, 7, FALSE), IFERROR(VLOOKUP(C327, Project_Management!B:H, 7, FALSE), ""))</f>
        <v>45243</v>
      </c>
      <c r="K327" s="217"/>
      <c r="L327" s="225" t="str">
        <f>IFERROR(VLOOKUP(B327, Data_Validation!X:Y, 2, FALSE), "")</f>
        <v>Not Started</v>
      </c>
      <c r="M327" s="226" t="str">
        <f t="shared" si="1"/>
        <v>TheMVP | TrueNAS Setup Revamp - Blog | Script</v>
      </c>
      <c r="N327" s="226"/>
      <c r="O327" s="226"/>
    </row>
    <row r="328" ht="24.0" customHeight="1">
      <c r="A328" s="216" t="str">
        <f>IFERROR(__xludf.DUMMYFUNCTION("ARRAYFORMULA(IFERROR(VLOOKUP(REGEXEXTRACT(B328, ""-(\w+)-""), {Data_Validation!$F$16:$F$29, Data_Validation!$E$16:$E$29}, 2, FALSE), """"))
"),"TheMVP")</f>
        <v>TheMVP</v>
      </c>
      <c r="B328" s="217" t="str">
        <f>IFERROR(__xludf.DUMMYFUNCTION("""COMPUTED_VALUE"""),"CC-MVP-82.04")</f>
        <v>CC-MVP-82.04</v>
      </c>
      <c r="C328" s="218" t="str">
        <f>IFERROR(__xludf.DUMMYFUNCTION("IFERROR(REGEXEXTRACT(B328, ""^[A-Z]+-[A-Z]+-"") &amp; TEXT(VALUE(REGEXEXTRACT(B328, ""-(\d+)\."")), ""00""), """")"),"CC-MVP-82")</f>
        <v>CC-MVP-82</v>
      </c>
      <c r="D328" s="219" t="str">
        <f>IFERROR(VLOOKUP(C328, Content_Creation!B:D, 2, FALSE), IFERROR(VLOOKUP(C328, Project_Management!B:D, 2, FALSE), ""))
&amp; " - "
&amp; IFERROR(VLOOKUP(C328, Content_Creation!B:E, 4, FALSE), IFERROR(VLOOKUP(C328, Project_Management!B:E, 4, FALSE), ""))</f>
        <v>G613 Keyboard - Logi Offer - Shorts</v>
      </c>
      <c r="E328" s="220" t="str">
        <f>IFERROR(
    VLOOKUP(B327:B1001, Content_Creation!B:D, 3, FALSE),
    IFERROR(VLOOKUP(B327:B1001, Project_Management!B:D, 3, FALSE),"")
  )</f>
        <v>Editor Notes</v>
      </c>
      <c r="F328" s="221" t="str">
        <f>IFERROR(VLOOKUP(B328, Content_Creation!B:F, 5, FALSE), IFERROR(VLOOKUP(B328, Project_Management!B:F, 5, FALSE), ""))</f>
        <v/>
      </c>
      <c r="G328" s="222" t="s">
        <v>179</v>
      </c>
      <c r="H328" s="223">
        <f>IFERROR(VLOOKUP(B328, Content_Creation!B:H, 7, FALSE), IFERROR(VLOOKUP(B328, Project_Management!B:H, 7, FALSE), ""))</f>
        <v>45240</v>
      </c>
      <c r="I328" s="224">
        <v>0.0</v>
      </c>
      <c r="J328" s="223">
        <f>IFERROR(VLOOKUP(C328, Content_Creation!B:H, 7, FALSE), IFERROR(VLOOKUP(C328, Project_Management!B:H, 7, FALSE), ""))</f>
        <v>45243</v>
      </c>
      <c r="K328" s="217"/>
      <c r="L328" s="225" t="str">
        <f>IFERROR(VLOOKUP(B328, Data_Validation!X:Y, 2, FALSE), "")</f>
        <v>Not Started</v>
      </c>
      <c r="M328" s="226" t="str">
        <f t="shared" si="1"/>
        <v>TheMVP | G613 Keyboard - Logi Offer - Shorts | Editor Notes</v>
      </c>
      <c r="N328" s="226"/>
      <c r="O328" s="226"/>
    </row>
    <row r="329" ht="24.0" customHeight="1">
      <c r="A329" s="216" t="str">
        <f>IFERROR(__xludf.DUMMYFUNCTION("ARRAYFORMULA(IFERROR(VLOOKUP(REGEXEXTRACT(B329, ""-(\w+)-""), {Data_Validation!$F$16:$F$29, Data_Validation!$E$16:$E$29}, 2, FALSE), """"))
"),"TheMVP")</f>
        <v>TheMVP</v>
      </c>
      <c r="B329" s="217" t="str">
        <f>IFERROR(__xludf.DUMMYFUNCTION("""COMPUTED_VALUE"""),"CC-MVP-24.04")</f>
        <v>CC-MVP-24.04</v>
      </c>
      <c r="C329" s="218" t="str">
        <f>IFERROR(__xludf.DUMMYFUNCTION("IFERROR(REGEXEXTRACT(B329, ""^[A-Z]+-[A-Z]+-"") &amp; TEXT(VALUE(REGEXEXTRACT(B329, ""-(\d+)\."")), ""00""), """")"),"CC-MVP-24")</f>
        <v>CC-MVP-24</v>
      </c>
      <c r="D329" s="219" t="str">
        <f>IFERROR(VLOOKUP(C329, Content_Creation!B:D, 2, FALSE), IFERROR(VLOOKUP(C329, Project_Management!B:D, 2, FALSE), ""))
&amp; " - "
&amp; IFERROR(VLOOKUP(C329, Content_Creation!B:E, 4, FALSE), IFERROR(VLOOKUP(C329, Project_Management!B:E, 4, FALSE), ""))</f>
        <v>AMD vs Intel - with GPUs - YT Video</v>
      </c>
      <c r="E329" s="220" t="str">
        <f>IFERROR(
    VLOOKUP(B328:B1001, Content_Creation!B:D, 3, FALSE),
    IFERROR(VLOOKUP(B328:B1001, Project_Management!B:D, 3, FALSE),"")
  )</f>
        <v>Benchmarks</v>
      </c>
      <c r="F329" s="221" t="str">
        <f>IFERROR(VLOOKUP(B329, Content_Creation!B:F, 5, FALSE), IFERROR(VLOOKUP(B329, Project_Management!B:F, 5, FALSE), ""))</f>
        <v>Naveen</v>
      </c>
      <c r="G329" s="222" t="s">
        <v>26</v>
      </c>
      <c r="H329" s="223">
        <f>IFERROR(VLOOKUP(B329, Content_Creation!B:H, 7, FALSE), IFERROR(VLOOKUP(B329, Project_Management!B:H, 7, FALSE), ""))</f>
        <v>45240</v>
      </c>
      <c r="I329" s="224">
        <v>0.0</v>
      </c>
      <c r="J329" s="223">
        <f>IFERROR(VLOOKUP(C329, Content_Creation!B:H, 7, FALSE), IFERROR(VLOOKUP(C329, Project_Management!B:H, 7, FALSE), ""))</f>
        <v>45244</v>
      </c>
      <c r="K329" s="217"/>
      <c r="L329" s="225" t="str">
        <f>IFERROR(VLOOKUP(B329, Data_Validation!X:Y, 2, FALSE), "")</f>
        <v>Done</v>
      </c>
      <c r="M329" s="226" t="str">
        <f t="shared" si="1"/>
        <v>TheMVP | AMD vs Intel - with GPUs - YT Video | Benchmarks</v>
      </c>
      <c r="N329" s="226"/>
      <c r="O329" s="226"/>
    </row>
    <row r="330" ht="24.0" customHeight="1">
      <c r="A330" s="216" t="str">
        <f>IFERROR(__xludf.DUMMYFUNCTION("ARRAYFORMULA(IFERROR(VLOOKUP(REGEXEXTRACT(B330, ""-(\w+)-""), {Data_Validation!$F$16:$F$29, Data_Validation!$E$16:$E$29}, 2, FALSE), """"))
"),"TheMVP")</f>
        <v>TheMVP</v>
      </c>
      <c r="B330" s="217" t="str">
        <f>IFERROR(__xludf.DUMMYFUNCTION("""COMPUTED_VALUE"""),"CC-MVP-24.05")</f>
        <v>CC-MVP-24.05</v>
      </c>
      <c r="C330" s="218" t="str">
        <f>IFERROR(__xludf.DUMMYFUNCTION("IFERROR(REGEXEXTRACT(B330, ""^[A-Z]+-[A-Z]+-"") &amp; TEXT(VALUE(REGEXEXTRACT(B330, ""-(\d+)\."")), ""00""), """")"),"CC-MVP-24")</f>
        <v>CC-MVP-24</v>
      </c>
      <c r="D330" s="219" t="str">
        <f>IFERROR(VLOOKUP(C330, Content_Creation!B:D, 2, FALSE), IFERROR(VLOOKUP(C330, Project_Management!B:D, 2, FALSE), ""))
&amp; " - "
&amp; IFERROR(VLOOKUP(C330, Content_Creation!B:E, 4, FALSE), IFERROR(VLOOKUP(C330, Project_Management!B:E, 4, FALSE), ""))</f>
        <v>AMD vs Intel - with GPUs - YT Video</v>
      </c>
      <c r="E330" s="220" t="str">
        <f>IFERROR(
    VLOOKUP(B329:B1001, Content_Creation!B:D, 3, FALSE),
    IFERROR(VLOOKUP(B329:B1001, Project_Management!B:D, 3, FALSE),"")
  )</f>
        <v>Edit</v>
      </c>
      <c r="F330" s="221" t="str">
        <f>IFERROR(VLOOKUP(B330, Content_Creation!B:F, 5, FALSE), IFERROR(VLOOKUP(B330, Project_Management!B:F, 5, FALSE), ""))</f>
        <v>Jayanth</v>
      </c>
      <c r="G330" s="222" t="s">
        <v>307</v>
      </c>
      <c r="H330" s="223">
        <f>IFERROR(VLOOKUP(B330, Content_Creation!B:H, 7, FALSE), IFERROR(VLOOKUP(B330, Project_Management!B:H, 7, FALSE), ""))</f>
        <v>45240</v>
      </c>
      <c r="I330" s="224">
        <v>0.0</v>
      </c>
      <c r="J330" s="223">
        <f>IFERROR(VLOOKUP(C330, Content_Creation!B:H, 7, FALSE), IFERROR(VLOOKUP(C330, Project_Management!B:H, 7, FALSE), ""))</f>
        <v>45244</v>
      </c>
      <c r="K330" s="217"/>
      <c r="L330" s="225" t="str">
        <f>IFERROR(VLOOKUP(B330, Data_Validation!X:Y, 2, FALSE), "")</f>
        <v>On Hold</v>
      </c>
      <c r="M330" s="226" t="str">
        <f t="shared" si="1"/>
        <v>TheMVP | AMD vs Intel - with GPUs - YT Video | Edit</v>
      </c>
      <c r="N330" s="226"/>
      <c r="O330" s="226"/>
    </row>
    <row r="331" ht="24.0" customHeight="1">
      <c r="A331" s="216" t="str">
        <f>IFERROR(__xludf.DUMMYFUNCTION("ARRAYFORMULA(IFERROR(VLOOKUP(REGEXEXTRACT(B331, ""-(\w+)-""), {Data_Validation!$F$16:$F$29, Data_Validation!$E$16:$E$29}, 2, FALSE), """"))
"),"TheMVP")</f>
        <v>TheMVP</v>
      </c>
      <c r="B331" s="217" t="str">
        <f>IFERROR(__xludf.DUMMYFUNCTION("""COMPUTED_VALUE"""),"CC-MVP-83.02")</f>
        <v>CC-MVP-83.02</v>
      </c>
      <c r="C331" s="218" t="str">
        <f>IFERROR(__xludf.DUMMYFUNCTION("IFERROR(REGEXEXTRACT(B331, ""^[A-Z]+-[A-Z]+-"") &amp; TEXT(VALUE(REGEXEXTRACT(B331, ""-(\d+)\."")), ""00""), """")"),"CC-MVP-83")</f>
        <v>CC-MVP-83</v>
      </c>
      <c r="D331" s="219" t="str">
        <f>IFERROR(VLOOKUP(C331, Content_Creation!B:D, 2, FALSE), IFERROR(VLOOKUP(C331, Project_Management!B:D, 2, FALSE), ""))
&amp; " - "
&amp; IFERROR(VLOOKUP(C331, Content_Creation!B:E, 4, FALSE), IFERROR(VLOOKUP(C331, Project_Management!B:E, 4, FALSE), ""))</f>
        <v>G Pro TKL - Logi Offer - Shorts</v>
      </c>
      <c r="E331" s="220" t="str">
        <f>IFERROR(
    VLOOKUP(B330:B1001, Content_Creation!B:D, 3, FALSE),
    IFERROR(VLOOKUP(B330:B1001, Project_Management!B:D, 3, FALSE),"")
  )</f>
        <v>Shoot</v>
      </c>
      <c r="F331" s="221" t="str">
        <f>IFERROR(VLOOKUP(B331, Content_Creation!B:F, 5, FALSE), IFERROR(VLOOKUP(B331, Project_Management!B:F, 5, FALSE), ""))</f>
        <v/>
      </c>
      <c r="G331" s="222" t="s">
        <v>179</v>
      </c>
      <c r="H331" s="223">
        <f>IFERROR(VLOOKUP(B331, Content_Creation!B:H, 7, FALSE), IFERROR(VLOOKUP(B331, Project_Management!B:H, 7, FALSE), ""))</f>
        <v>45240</v>
      </c>
      <c r="I331" s="224">
        <v>0.006944444444444444</v>
      </c>
      <c r="J331" s="223">
        <f>IFERROR(VLOOKUP(C331, Content_Creation!B:H, 7, FALSE), IFERROR(VLOOKUP(C331, Project_Management!B:H, 7, FALSE), ""))</f>
        <v>45245</v>
      </c>
      <c r="K331" s="217"/>
      <c r="L331" s="225" t="str">
        <f>IFERROR(VLOOKUP(B331, Data_Validation!X:Y, 2, FALSE), "")</f>
        <v>Not Started</v>
      </c>
      <c r="M331" s="226" t="str">
        <f t="shared" si="1"/>
        <v>TheMVP | G Pro TKL - Logi Offer - Shorts | Shoot</v>
      </c>
      <c r="N331" s="226"/>
      <c r="O331" s="226"/>
    </row>
    <row r="332" ht="24.0" customHeight="1">
      <c r="A332" s="216" t="str">
        <f>IFERROR(__xludf.DUMMYFUNCTION("ARRAYFORMULA(IFERROR(VLOOKUP(REGEXEXTRACT(B332, ""-(\w+)-""), {Data_Validation!$F$16:$F$29, Data_Validation!$E$16:$E$29}, 2, FALSE), """"))
"),"TheMVP")</f>
        <v>TheMVP</v>
      </c>
      <c r="B332" s="217" t="str">
        <f>IFERROR(__xludf.DUMMYFUNCTION("""COMPUTED_VALUE"""),"CC-MVP-89.04")</f>
        <v>CC-MVP-89.04</v>
      </c>
      <c r="C332" s="218" t="str">
        <f>IFERROR(__xludf.DUMMYFUNCTION("IFERROR(REGEXEXTRACT(B332, ""^[A-Z]+-[A-Z]+-"") &amp; TEXT(VALUE(REGEXEXTRACT(B332, ""-(\d+)\."")), ""00""), """")"),"CC-MVP-89")</f>
        <v>CC-MVP-89</v>
      </c>
      <c r="D332" s="219" t="str">
        <f>IFERROR(VLOOKUP(C332, Content_Creation!B:D, 2, FALSE), IFERROR(VLOOKUP(C332, Project_Management!B:D, 2, FALSE), ""))
&amp; " - "
&amp; IFERROR(VLOOKUP(C332, Content_Creation!B:E, 4, FALSE), IFERROR(VLOOKUP(C332, Project_Management!B:E, 4, FALSE), ""))</f>
        <v>Client Reviews - MasterCut - YT Video</v>
      </c>
      <c r="E332" s="220" t="str">
        <f>IFERROR(
    VLOOKUP(B331:B1001, Content_Creation!B:D, 3, FALSE),
    IFERROR(VLOOKUP(B331:B1001, Project_Management!B:D, 3, FALSE),"")
  )</f>
        <v>Edit</v>
      </c>
      <c r="F332" s="221" t="str">
        <f>IFERROR(VLOOKUP(B332, Content_Creation!B:F, 5, FALSE), IFERROR(VLOOKUP(B332, Project_Management!B:F, 5, FALSE), ""))</f>
        <v>Talha</v>
      </c>
      <c r="G332" s="222" t="s">
        <v>179</v>
      </c>
      <c r="H332" s="223">
        <f>IFERROR(VLOOKUP(B332, Content_Creation!B:H, 7, FALSE), IFERROR(VLOOKUP(B332, Project_Management!B:H, 7, FALSE), ""))</f>
        <v>45240</v>
      </c>
      <c r="I332" s="224">
        <v>0.09375</v>
      </c>
      <c r="J332" s="223">
        <f>IFERROR(VLOOKUP(C332, Content_Creation!B:H, 7, FALSE), IFERROR(VLOOKUP(C332, Project_Management!B:H, 7, FALSE), ""))</f>
        <v>45246</v>
      </c>
      <c r="K332" s="217"/>
      <c r="L332" s="225" t="str">
        <f>IFERROR(VLOOKUP(B332, Data_Validation!X:Y, 2, FALSE), "")</f>
        <v>Not Started</v>
      </c>
      <c r="M332" s="226" t="str">
        <f t="shared" si="1"/>
        <v>TheMVP | Client Reviews - MasterCut - YT Video | Edit</v>
      </c>
      <c r="N332" s="226"/>
      <c r="O332" s="226"/>
    </row>
    <row r="333" ht="24.0" customHeight="1">
      <c r="A333" s="216" t="str">
        <f>IFERROR(__xludf.DUMMYFUNCTION("ARRAYFORMULA(IFERROR(VLOOKUP(REGEXEXTRACT(B333, ""-(\w+)-""), {Data_Validation!$F$16:$F$29, Data_Validation!$E$16:$E$29}, 2, FALSE), """"))
"),"TheMVP")</f>
        <v>TheMVP</v>
      </c>
      <c r="B333" s="217" t="str">
        <f>IFERROR(__xludf.DUMMYFUNCTION("""COMPUTED_VALUE"""),"CC-MVP-113.02")</f>
        <v>CC-MVP-113.02</v>
      </c>
      <c r="C333" s="218" t="str">
        <f>IFERROR(__xludf.DUMMYFUNCTION("IFERROR(REGEXEXTRACT(B333, ""^[A-Z]+-[A-Z]+-"") &amp; TEXT(VALUE(REGEXEXTRACT(B333, ""-(\d+)\."")), ""00""), """")"),"CC-MVP-113")</f>
        <v>CC-MVP-113</v>
      </c>
      <c r="D333" s="219" t="str">
        <f>IFERROR(VLOOKUP(C333, Content_Creation!B:D, 2, FALSE), IFERROR(VLOOKUP(C333, Project_Management!B:D, 2, FALSE), ""))
&amp; " - "
&amp; IFERROR(VLOOKUP(C333, Content_Creation!B:E, 4, FALSE), IFERROR(VLOOKUP(C333, Project_Management!B:E, 4, FALSE), ""))</f>
        <v>Build Photo - Enthoo Case - Insta</v>
      </c>
      <c r="E333" s="220" t="str">
        <f>IFERROR(
    VLOOKUP(B332:B1001, Content_Creation!B:D, 3, FALSE),
    IFERROR(VLOOKUP(B332:B1001, Project_Management!B:D, 3, FALSE),"")
  )</f>
        <v>Shoot</v>
      </c>
      <c r="F333" s="221" t="str">
        <f>IFERROR(VLOOKUP(B333, Content_Creation!B:F, 5, FALSE), IFERROR(VLOOKUP(B333, Project_Management!B:F, 5, FALSE), ""))</f>
        <v>Akhil</v>
      </c>
      <c r="G333" s="222" t="s">
        <v>388</v>
      </c>
      <c r="H333" s="223">
        <f>IFERROR(VLOOKUP(B333, Content_Creation!B:H, 7, FALSE), IFERROR(VLOOKUP(B333, Project_Management!B:H, 7, FALSE), ""))</f>
        <v>45240</v>
      </c>
      <c r="I333" s="224">
        <v>0.08333333333333333</v>
      </c>
      <c r="J333" s="223">
        <f>IFERROR(VLOOKUP(C333, Content_Creation!B:H, 7, FALSE), IFERROR(VLOOKUP(C333, Project_Management!B:H, 7, FALSE), ""))</f>
        <v>45249</v>
      </c>
      <c r="K333" s="217"/>
      <c r="L333" s="225" t="str">
        <f>IFERROR(VLOOKUP(B333, Data_Validation!X:Y, 2, FALSE), "")</f>
        <v>In Review</v>
      </c>
      <c r="M333" s="226" t="str">
        <f t="shared" si="1"/>
        <v>TheMVP | Build Photo - Enthoo Case - Insta | Shoot</v>
      </c>
      <c r="N333" s="226"/>
      <c r="O333" s="226"/>
    </row>
    <row r="334" ht="24.0" customHeight="1">
      <c r="A334" s="216" t="str">
        <f>IFERROR(__xludf.DUMMYFUNCTION("ARRAYFORMULA(IFERROR(VLOOKUP(REGEXEXTRACT(B334, ""-(\w+)-""), {Data_Validation!$F$16:$F$29, Data_Validation!$E$16:$E$29}, 2, FALSE), """"))
"),"TheMVP")</f>
        <v>TheMVP</v>
      </c>
      <c r="B334" s="217" t="str">
        <f>IFERROR(__xludf.DUMMYFUNCTION("""COMPUTED_VALUE"""),"CC-MVP-116.01")</f>
        <v>CC-MVP-116.01</v>
      </c>
      <c r="C334" s="218" t="str">
        <f>IFERROR(__xludf.DUMMYFUNCTION("IFERROR(REGEXEXTRACT(B334, ""^[A-Z]+-[A-Z]+-"") &amp; TEXT(VALUE(REGEXEXTRACT(B334, ""-(\d+)\."")), ""00""), """")"),"CC-MVP-116")</f>
        <v>CC-MVP-116</v>
      </c>
      <c r="D334" s="219" t="str">
        <f>IFERROR(VLOOKUP(C334, Content_Creation!B:D, 2, FALSE), IFERROR(VLOOKUP(C334, Project_Management!B:D, 2, FALSE), ""))
&amp; " - "
&amp; IFERROR(VLOOKUP(C334, Content_Creation!B:E, 4, FALSE), IFERROR(VLOOKUP(C334, Project_Management!B:E, 4, FALSE), ""))</f>
        <v>Enthoo Case Review - YT Video</v>
      </c>
      <c r="E334" s="220" t="str">
        <f>IFERROR(
    VLOOKUP(B333:B1001, Content_Creation!B:D, 3, FALSE),
    IFERROR(VLOOKUP(B333:B1001, Project_Management!B:D, 3, FALSE),"")
  )</f>
        <v>Script</v>
      </c>
      <c r="F334" s="221" t="str">
        <f>IFERROR(VLOOKUP(B334, Content_Creation!B:F, 5, FALSE), IFERROR(VLOOKUP(B334, Project_Management!B:F, 5, FALSE), ""))</f>
        <v>Nasser</v>
      </c>
      <c r="G334" s="222" t="s">
        <v>26</v>
      </c>
      <c r="H334" s="223">
        <f>IFERROR(VLOOKUP(B334, Content_Creation!B:H, 7, FALSE), IFERROR(VLOOKUP(B334, Project_Management!B:H, 7, FALSE), ""))</f>
        <v>45240.44312</v>
      </c>
      <c r="I334" s="224">
        <v>0.010416666666666666</v>
      </c>
      <c r="J334" s="223">
        <f>IFERROR(VLOOKUP(C334, Content_Creation!B:H, 7, FALSE), IFERROR(VLOOKUP(C334, Project_Management!B:H, 7, FALSE), ""))</f>
        <v>45252.44312</v>
      </c>
      <c r="K334" s="217"/>
      <c r="L334" s="225" t="str">
        <f>IFERROR(VLOOKUP(B334, Data_Validation!X:Y, 2, FALSE), "")</f>
        <v>Done</v>
      </c>
      <c r="M334" s="226" t="str">
        <f t="shared" si="1"/>
        <v>TheMVP | Enthoo Case Review - YT Video | Script</v>
      </c>
      <c r="N334" s="226"/>
      <c r="O334" s="226"/>
    </row>
    <row r="335" ht="24.0" customHeight="1">
      <c r="A335" s="216" t="str">
        <f>IFERROR(__xludf.DUMMYFUNCTION("ARRAYFORMULA(IFERROR(VLOOKUP(REGEXEXTRACT(B335, ""-(\w+)-""), {Data_Validation!$F$16:$F$29, Data_Validation!$E$16:$E$29}, 2, FALSE), """"))
"),"TheMVP")</f>
        <v>TheMVP</v>
      </c>
      <c r="B335" s="217" t="str">
        <f>IFERROR(__xludf.DUMMYFUNCTION("""COMPUTED_VALUE"""),"CC-MVP-116.02")</f>
        <v>CC-MVP-116.02</v>
      </c>
      <c r="C335" s="218" t="str">
        <f>IFERROR(__xludf.DUMMYFUNCTION("IFERROR(REGEXEXTRACT(B335, ""^[A-Z]+-[A-Z]+-"") &amp; TEXT(VALUE(REGEXEXTRACT(B335, ""-(\d+)\."")), ""00""), """")"),"CC-MVP-116")</f>
        <v>CC-MVP-116</v>
      </c>
      <c r="D335" s="219" t="str">
        <f>IFERROR(VLOOKUP(C335, Content_Creation!B:D, 2, FALSE), IFERROR(VLOOKUP(C335, Project_Management!B:D, 2, FALSE), ""))
&amp; " - "
&amp; IFERROR(VLOOKUP(C335, Content_Creation!B:E, 4, FALSE), IFERROR(VLOOKUP(C335, Project_Management!B:E, 4, FALSE), ""))</f>
        <v>Enthoo Case Review - YT Video</v>
      </c>
      <c r="E335" s="220" t="str">
        <f>IFERROR(
    VLOOKUP(B334:B1001, Content_Creation!B:D, 3, FALSE),
    IFERROR(VLOOKUP(B334:B1001, Project_Management!B:D, 3, FALSE),"")
  )</f>
        <v>Shoot</v>
      </c>
      <c r="F335" s="221" t="str">
        <f>IFERROR(VLOOKUP(B335, Content_Creation!B:F, 5, FALSE), IFERROR(VLOOKUP(B335, Project_Management!B:F, 5, FALSE), ""))</f>
        <v>Akhil</v>
      </c>
      <c r="G335" s="221" t="s">
        <v>388</v>
      </c>
      <c r="H335" s="223">
        <f>IFERROR(VLOOKUP(B335, Content_Creation!B:H, 7, FALSE), IFERROR(VLOOKUP(B335, Project_Management!B:H, 7, FALSE), ""))</f>
        <v>45240</v>
      </c>
      <c r="I335" s="224">
        <v>0.08333333333333333</v>
      </c>
      <c r="J335" s="223">
        <f>IFERROR(VLOOKUP(C335, Content_Creation!B:H, 7, FALSE), IFERROR(VLOOKUP(C335, Project_Management!B:H, 7, FALSE), ""))</f>
        <v>45252.44312</v>
      </c>
      <c r="K335" s="217"/>
      <c r="L335" s="225" t="str">
        <f>IFERROR(VLOOKUP(B335, Data_Validation!X:Y, 2, FALSE), "")</f>
        <v>In Review</v>
      </c>
      <c r="M335" s="226" t="str">
        <f t="shared" si="1"/>
        <v>TheMVP | Enthoo Case Review - YT Video | Shoot</v>
      </c>
      <c r="N335" s="226"/>
      <c r="O335" s="226"/>
    </row>
    <row r="336" ht="24.0" customHeight="1">
      <c r="A336" s="216" t="str">
        <f>IFERROR(__xludf.DUMMYFUNCTION("ARRAYFORMULA(IFERROR(VLOOKUP(REGEXEXTRACT(B336, ""-(\w+)-""), {Data_Validation!$F$16:$F$29, Data_Validation!$E$16:$E$29}, 2, FALSE), """"))
"),"TheMVP")</f>
        <v>TheMVP</v>
      </c>
      <c r="B336" s="217" t="str">
        <f>IFERROR(__xludf.DUMMYFUNCTION("""COMPUTED_VALUE"""),"CC-MVP-117.02")</f>
        <v>CC-MVP-117.02</v>
      </c>
      <c r="C336" s="218" t="str">
        <f>IFERROR(__xludf.DUMMYFUNCTION("IFERROR(REGEXEXTRACT(B336, ""^[A-Z]+-[A-Z]+-"") &amp; TEXT(VALUE(REGEXEXTRACT(B336, ""-(\d+)\."")), ""00""), """")"),"CC-MVP-117")</f>
        <v>CC-MVP-117</v>
      </c>
      <c r="D336" s="219" t="str">
        <f>IFERROR(VLOOKUP(C336, Content_Creation!B:D, 2, FALSE), IFERROR(VLOOKUP(C336, Project_Management!B:D, 2, FALSE), ""))
&amp; " - "
&amp; IFERROR(VLOOKUP(C336, Content_Creation!B:E, 4, FALSE), IFERROR(VLOOKUP(C336, Project_Management!B:E, 4, FALSE), ""))</f>
        <v>Enthoo Case - Shorts</v>
      </c>
      <c r="E336" s="220" t="str">
        <f>IFERROR(
    VLOOKUP(B335:B1001, Content_Creation!B:D, 3, FALSE),
    IFERROR(VLOOKUP(B335:B1001, Project_Management!B:D, 3, FALSE),"")
  )</f>
        <v>B-Roll Shoot</v>
      </c>
      <c r="F336" s="221" t="str">
        <f>IFERROR(VLOOKUP(B336, Content_Creation!B:F, 5, FALSE), IFERROR(VLOOKUP(B336, Project_Management!B:F, 5, FALSE), ""))</f>
        <v>Akhil</v>
      </c>
      <c r="G336" s="222" t="s">
        <v>179</v>
      </c>
      <c r="H336" s="223">
        <f>IFERROR(VLOOKUP(B336, Content_Creation!B:H, 7, FALSE), IFERROR(VLOOKUP(B336, Project_Management!B:H, 7, FALSE), ""))</f>
        <v>45240</v>
      </c>
      <c r="I336" s="224">
        <v>0.006944444444444444</v>
      </c>
      <c r="J336" s="223">
        <f>IFERROR(VLOOKUP(C336, Content_Creation!B:H, 7, FALSE), IFERROR(VLOOKUP(C336, Project_Management!B:H, 7, FALSE), ""))</f>
        <v>45246.45665</v>
      </c>
      <c r="K336" s="217"/>
      <c r="L336" s="225" t="str">
        <f>IFERROR(VLOOKUP(B336, Data_Validation!X:Y, 2, FALSE), "")</f>
        <v>Not Started</v>
      </c>
      <c r="M336" s="226" t="str">
        <f t="shared" si="1"/>
        <v>TheMVP | Enthoo Case - Shorts | B-Roll Shoot</v>
      </c>
      <c r="N336" s="226"/>
      <c r="O336" s="226"/>
    </row>
    <row r="337" ht="24.0" customHeight="1">
      <c r="A337" s="216" t="str">
        <f>IFERROR(__xludf.DUMMYFUNCTION("ARRAYFORMULA(IFERROR(VLOOKUP(REGEXEXTRACT(B337, ""-(\w+)-""), {Data_Validation!$F$16:$F$29, Data_Validation!$E$16:$E$29}, 2, FALSE), """"))
"),"TheMVP")</f>
        <v>TheMVP</v>
      </c>
      <c r="B337" s="217" t="str">
        <f>IFERROR(__xludf.DUMMYFUNCTION("""COMPUTED_VALUE"""),"CC-MVP-118.01")</f>
        <v>CC-MVP-118.01</v>
      </c>
      <c r="C337" s="218" t="str">
        <f>IFERROR(__xludf.DUMMYFUNCTION("IFERROR(REGEXEXTRACT(B337, ""^[A-Z]+-[A-Z]+-"") &amp; TEXT(VALUE(REGEXEXTRACT(B337, ""-(\d+)\."")), ""00""), """")"),"CC-MVP-118")</f>
        <v>CC-MVP-118</v>
      </c>
      <c r="D337" s="219" t="str">
        <f>IFERROR(VLOOKUP(C337, Content_Creation!B:D, 2, FALSE), IFERROR(VLOOKUP(C337, Project_Management!B:D, 2, FALSE), ""))
&amp; " - "
&amp; IFERROR(VLOOKUP(C337, Content_Creation!B:E, 4, FALSE), IFERROR(VLOOKUP(C337, Project_Management!B:E, 4, FALSE), ""))</f>
        <v>Editing Category Downedit - Shorts</v>
      </c>
      <c r="E337" s="220" t="str">
        <f>IFERROR(
    VLOOKUP(B336:B1001, Content_Creation!B:D, 3, FALSE),
    IFERROR(VLOOKUP(B336:B1001, Project_Management!B:D, 3, FALSE),"")
  )</f>
        <v>Script</v>
      </c>
      <c r="F337" s="221" t="str">
        <f>IFERROR(VLOOKUP(B337, Content_Creation!B:F, 5, FALSE), IFERROR(VLOOKUP(B337, Project_Management!B:F, 5, FALSE), ""))</f>
        <v/>
      </c>
      <c r="G337" s="222" t="s">
        <v>179</v>
      </c>
      <c r="H337" s="223">
        <f>IFERROR(VLOOKUP(B337, Content_Creation!B:H, 7, FALSE), IFERROR(VLOOKUP(B337, Project_Management!B:H, 7, FALSE), ""))</f>
        <v>45240.99818</v>
      </c>
      <c r="I337" s="224">
        <v>0.03125</v>
      </c>
      <c r="J337" s="223">
        <f>IFERROR(VLOOKUP(C337, Content_Creation!B:H, 7, FALSE), IFERROR(VLOOKUP(C337, Project_Management!B:H, 7, FALSE), ""))</f>
        <v>45252.99818</v>
      </c>
      <c r="K337" s="217"/>
      <c r="L337" s="225" t="str">
        <f>IFERROR(VLOOKUP(B337, Data_Validation!X:Y, 2, FALSE), "")</f>
        <v>Not Started</v>
      </c>
      <c r="M337" s="226" t="str">
        <f t="shared" si="1"/>
        <v>TheMVP | Editing Category Downedit - Shorts | Script</v>
      </c>
      <c r="N337" s="226"/>
      <c r="O337" s="226"/>
    </row>
    <row r="338" ht="24.0" customHeight="1">
      <c r="A338" s="216" t="str">
        <f>IFERROR(__xludf.DUMMYFUNCTION("ARRAYFORMULA(IFERROR(VLOOKUP(REGEXEXTRACT(B338, ""-(\w+)-""), {Data_Validation!$F$16:$F$29, Data_Validation!$E$16:$E$29}, 2, FALSE), """"))
"),"Picture This!")</f>
        <v>Picture This!</v>
      </c>
      <c r="B338" s="217" t="str">
        <f>IFERROR(__xludf.DUMMYFUNCTION("""COMPUTED_VALUE"""),"CC-PTS-10.07")</f>
        <v>CC-PTS-10.07</v>
      </c>
      <c r="C338" s="218" t="str">
        <f>IFERROR(__xludf.DUMMYFUNCTION("IFERROR(REGEXEXTRACT(B338, ""^[A-Z]+-[A-Z]+-"") &amp; TEXT(VALUE(REGEXEXTRACT(B338, ""-(\d+)\."")), ""00""), """")"),"CC-PTS-10")</f>
        <v>CC-PTS-10</v>
      </c>
      <c r="D338" s="219" t="str">
        <f>IFERROR(VLOOKUP(C338, Content_Creation!B:D, 2, FALSE), IFERROR(VLOOKUP(C338, Project_Management!B:D, 2, FALSE), ""))
&amp; " - "
&amp; IFERROR(VLOOKUP(C338, Content_Creation!B:E, 4, FALSE), IFERROR(VLOOKUP(C338, Project_Management!B:E, 4, FALSE), ""))</f>
        <v>Before vs After - Shorts</v>
      </c>
      <c r="E338" s="220" t="str">
        <f>IFERROR(
    VLOOKUP(B337:B1001, Content_Creation!B:D, 3, FALSE),
    IFERROR(VLOOKUP(B337:B1001, Project_Management!B:D, 3, FALSE),"")
  )</f>
        <v>Upload</v>
      </c>
      <c r="F338" s="221" t="str">
        <f>IFERROR(VLOOKUP(B338, Content_Creation!B:F, 5, FALSE), IFERROR(VLOOKUP(B338, Project_Management!B:F, 5, FALSE), ""))</f>
        <v/>
      </c>
      <c r="G338" s="222" t="s">
        <v>179</v>
      </c>
      <c r="H338" s="223">
        <f>IFERROR(VLOOKUP(B338, Content_Creation!B:H, 7, FALSE), IFERROR(VLOOKUP(B338, Project_Management!B:H, 7, FALSE), ""))</f>
        <v>45240</v>
      </c>
      <c r="I338" s="224">
        <v>0.020833333333333332</v>
      </c>
      <c r="J338" s="223">
        <f>IFERROR(VLOOKUP(C338, Content_Creation!B:H, 7, FALSE), IFERROR(VLOOKUP(C338, Project_Management!B:H, 7, FALSE), ""))</f>
        <v>45240</v>
      </c>
      <c r="K338" s="217"/>
      <c r="L338" s="225" t="str">
        <f>IFERROR(VLOOKUP(B338, Data_Validation!X:Y, 2, FALSE), "")</f>
        <v>Not Started</v>
      </c>
      <c r="M338" s="226" t="str">
        <f t="shared" si="1"/>
        <v>Picture This! | Before vs After - Shorts | Upload</v>
      </c>
      <c r="N338" s="226"/>
      <c r="O338" s="226"/>
    </row>
    <row r="339" ht="24.0" customHeight="1">
      <c r="A339" s="216" t="str">
        <f>IFERROR(__xludf.DUMMYFUNCTION("ARRAYFORMULA(IFERROR(VLOOKUP(REGEXEXTRACT(B339, ""-(\w+)-""), {Data_Validation!$F$16:$F$29, Data_Validation!$E$16:$E$29}, 2, FALSE), """"))
"),"Nvidia")</f>
        <v>Nvidia</v>
      </c>
      <c r="B339" s="217" t="str">
        <f>IFERROR(__xludf.DUMMYFUNCTION("""COMPUTED_VALUE"""),"CC-NVI-13.01")</f>
        <v>CC-NVI-13.01</v>
      </c>
      <c r="C339" s="218" t="str">
        <f>IFERROR(__xludf.DUMMYFUNCTION("IFERROR(REGEXEXTRACT(B339, ""^[A-Z]+-[A-Z]+-"") &amp; TEXT(VALUE(REGEXEXTRACT(B339, ""-(\d+)\."")), ""00""), """")"),"CC-NVI-13")</f>
        <v>CC-NVI-13</v>
      </c>
      <c r="D339" s="219" t="str">
        <f>IFERROR(VLOOKUP(C339, Content_Creation!B:D, 2, FALSE), IFERROR(VLOOKUP(C339, Project_Management!B:D, 2, FALSE), ""))
&amp; " - "
&amp; IFERROR(VLOOKUP(C339, Content_Creation!B:E, 4, FALSE), IFERROR(VLOOKUP(C339, Project_Management!B:E, 4, FALSE), ""))</f>
        <v>MSI Laptop 1 - Shorts</v>
      </c>
      <c r="E339" s="220" t="str">
        <f>IFERROR(
    VLOOKUP(B338:B1001, Content_Creation!B:D, 3, FALSE),
    IFERROR(VLOOKUP(B338:B1001, Project_Management!B:D, 3, FALSE),"")
  )</f>
        <v>Script</v>
      </c>
      <c r="F339" s="221" t="str">
        <f>IFERROR(VLOOKUP(B339, Content_Creation!B:F, 5, FALSE), IFERROR(VLOOKUP(B339, Project_Management!B:F, 5, FALSE), ""))</f>
        <v>Naveen</v>
      </c>
      <c r="G339" s="222" t="s">
        <v>179</v>
      </c>
      <c r="H339" s="223">
        <f>IFERROR(VLOOKUP(B339, Content_Creation!B:H, 7, FALSE), IFERROR(VLOOKUP(B339, Project_Management!B:H, 7, FALSE), ""))</f>
        <v>45240</v>
      </c>
      <c r="I339" s="224">
        <v>0.020833333333333332</v>
      </c>
      <c r="J339" s="223">
        <f>IFERROR(VLOOKUP(C339, Content_Creation!B:H, 7, FALSE), IFERROR(VLOOKUP(C339, Project_Management!B:H, 7, FALSE), ""))</f>
        <v>45242</v>
      </c>
      <c r="K339" s="217"/>
      <c r="L339" s="225" t="str">
        <f>IFERROR(VLOOKUP(B339, Data_Validation!X:Y, 2, FALSE), "")</f>
        <v>Not Started</v>
      </c>
      <c r="M339" s="226" t="str">
        <f t="shared" si="1"/>
        <v>Nvidia | MSI Laptop 1 - Shorts | Script</v>
      </c>
      <c r="N339" s="226"/>
      <c r="O339" s="226"/>
    </row>
    <row r="340" ht="24.0" customHeight="1">
      <c r="A340" s="216" t="str">
        <f>IFERROR(__xludf.DUMMYFUNCTION("ARRAYFORMULA(IFERROR(VLOOKUP(REGEXEXTRACT(B340, ""-(\w+)-""), {Data_Validation!$F$16:$F$29, Data_Validation!$E$16:$E$29}, 2, FALSE), """"))
"),"Nvidia")</f>
        <v>Nvidia</v>
      </c>
      <c r="B340" s="217" t="str">
        <f>IFERROR(__xludf.DUMMYFUNCTION("""COMPUTED_VALUE"""),"CC-NVI-14.01")</f>
        <v>CC-NVI-14.01</v>
      </c>
      <c r="C340" s="218" t="str">
        <f>IFERROR(__xludf.DUMMYFUNCTION("IFERROR(REGEXEXTRACT(B340, ""^[A-Z]+-[A-Z]+-"") &amp; TEXT(VALUE(REGEXEXTRACT(B340, ""-(\d+)\."")), ""00""), """")"),"CC-NVI-14")</f>
        <v>CC-NVI-14</v>
      </c>
      <c r="D340" s="219" t="str">
        <f>IFERROR(VLOOKUP(C340, Content_Creation!B:D, 2, FALSE), IFERROR(VLOOKUP(C340, Project_Management!B:D, 2, FALSE), ""))
&amp; " - "
&amp; IFERROR(VLOOKUP(C340, Content_Creation!B:E, 4, FALSE), IFERROR(VLOOKUP(C340, Project_Management!B:E, 4, FALSE), ""))</f>
        <v>MSI Laptop 2 - Shorts</v>
      </c>
      <c r="E340" s="220" t="str">
        <f>IFERROR(
    VLOOKUP(B339:B1001, Content_Creation!B:D, 3, FALSE),
    IFERROR(VLOOKUP(B339:B1001, Project_Management!B:D, 3, FALSE),"")
  )</f>
        <v>Script</v>
      </c>
      <c r="F340" s="221" t="str">
        <f>IFERROR(VLOOKUP(B340, Content_Creation!B:F, 5, FALSE), IFERROR(VLOOKUP(B340, Project_Management!B:F, 5, FALSE), ""))</f>
        <v>Naveen</v>
      </c>
      <c r="G340" s="222" t="s">
        <v>26</v>
      </c>
      <c r="H340" s="223">
        <f>IFERROR(VLOOKUP(B340, Content_Creation!B:H, 7, FALSE), IFERROR(VLOOKUP(B340, Project_Management!B:H, 7, FALSE), ""))</f>
        <v>45240</v>
      </c>
      <c r="I340" s="224">
        <v>0.0</v>
      </c>
      <c r="J340" s="223">
        <f>IFERROR(VLOOKUP(C340, Content_Creation!B:H, 7, FALSE), IFERROR(VLOOKUP(C340, Project_Management!B:H, 7, FALSE), ""))</f>
        <v>45242</v>
      </c>
      <c r="K340" s="217"/>
      <c r="L340" s="225" t="str">
        <f>IFERROR(VLOOKUP(B340, Data_Validation!X:Y, 2, FALSE), "")</f>
        <v>Not Started</v>
      </c>
      <c r="M340" s="226" t="str">
        <f t="shared" si="1"/>
        <v>Nvidia | MSI Laptop 2 - Shorts | Script</v>
      </c>
      <c r="N340" s="226"/>
      <c r="O340" s="226"/>
    </row>
    <row r="341" ht="24.0" customHeight="1">
      <c r="A341" s="216" t="str">
        <f>IFERROR(__xludf.DUMMYFUNCTION("ARRAYFORMULA(IFERROR(VLOOKUP(REGEXEXTRACT(B341, ""-(\w+)-""), {Data_Validation!$F$16:$F$29, Data_Validation!$E$16:$E$29}, 2, FALSE), """"))
"),"Colorful Tech")</f>
        <v>Colorful Tech</v>
      </c>
      <c r="B341" s="217" t="str">
        <f>IFERROR(__xludf.DUMMYFUNCTION("""COMPUTED_VALUE"""),"CC-CTH-10.05")</f>
        <v>CC-CTH-10.05</v>
      </c>
      <c r="C341" s="218" t="str">
        <f>IFERROR(__xludf.DUMMYFUNCTION("IFERROR(REGEXEXTRACT(B341, ""^[A-Z]+-[A-Z]+-"") &amp; TEXT(VALUE(REGEXEXTRACT(B341, ""-(\d+)\."")), ""00""), """")"),"CC-CTH-10")</f>
        <v>CC-CTH-10</v>
      </c>
      <c r="D341" s="219" t="str">
        <f>IFERROR(VLOOKUP(C341, Content_Creation!B:D, 2, FALSE), IFERROR(VLOOKUP(C341, Project_Management!B:D, 2, FALSE), ""))
&amp; " - "
&amp; IFERROR(VLOOKUP(C341, Content_Creation!B:E, 4, FALSE), IFERROR(VLOOKUP(C341, Project_Management!B:E, 4, FALSE), ""))</f>
        <v>iGame Center Introduction - Shorts</v>
      </c>
      <c r="E341" s="220" t="str">
        <f>IFERROR(
    VLOOKUP(B340:B1001, Content_Creation!B:D, 3, FALSE),
    IFERROR(VLOOKUP(B340:B1001, Project_Management!B:D, 3, FALSE),"")
  )</f>
        <v>Re-Script</v>
      </c>
      <c r="F341" s="221" t="str">
        <f>IFERROR(VLOOKUP(B341, Content_Creation!B:F, 5, FALSE), IFERROR(VLOOKUP(B341, Project_Management!B:F, 5, FALSE), ""))</f>
        <v>Naveen</v>
      </c>
      <c r="G341" s="222" t="s">
        <v>388</v>
      </c>
      <c r="H341" s="223">
        <f>IFERROR(VLOOKUP(B341, Content_Creation!B:H, 7, FALSE), IFERROR(VLOOKUP(B341, Project_Management!B:H, 7, FALSE), ""))</f>
        <v>45237</v>
      </c>
      <c r="I341" s="224">
        <v>0.020833333333333332</v>
      </c>
      <c r="J341" s="223">
        <f>IFERROR(VLOOKUP(C341, Content_Creation!B:H, 7, FALSE), IFERROR(VLOOKUP(C341, Project_Management!B:H, 7, FALSE), ""))</f>
        <v>45241</v>
      </c>
      <c r="K341" s="217"/>
      <c r="L341" s="225" t="str">
        <f>IFERROR(VLOOKUP(B341, Data_Validation!X:Y, 2, FALSE), "")</f>
        <v>Done</v>
      </c>
      <c r="M341" s="226" t="str">
        <f t="shared" si="1"/>
        <v>Colorful Tech | iGame Center Introduction - Shorts | Re-Script</v>
      </c>
      <c r="N341" s="226"/>
      <c r="O341" s="226"/>
    </row>
    <row r="342" ht="24.0" customHeight="1">
      <c r="A342" s="216" t="str">
        <f>IFERROR(__xludf.DUMMYFUNCTION("ARRAYFORMULA(IFERROR(VLOOKUP(REGEXEXTRACT(B342, ""-(\w+)-""), {Data_Validation!$F$16:$F$29, Data_Validation!$E$16:$E$29}, 2, FALSE), """"))
"),"Colorful Tech")</f>
        <v>Colorful Tech</v>
      </c>
      <c r="B342" s="217" t="str">
        <f>IFERROR(__xludf.DUMMYFUNCTION("""COMPUTED_VALUE"""),"CC-CTH-10.06")</f>
        <v>CC-CTH-10.06</v>
      </c>
      <c r="C342" s="218" t="str">
        <f>IFERROR(__xludf.DUMMYFUNCTION("IFERROR(REGEXEXTRACT(B342, ""^[A-Z]+-[A-Z]+-"") &amp; TEXT(VALUE(REGEXEXTRACT(B342, ""-(\d+)\."")), ""00""), """")"),"CC-CTH-10")</f>
        <v>CC-CTH-10</v>
      </c>
      <c r="D342" s="219" t="str">
        <f>IFERROR(VLOOKUP(C342, Content_Creation!B:D, 2, FALSE), IFERROR(VLOOKUP(C342, Project_Management!B:D, 2, FALSE), ""))
&amp; " - "
&amp; IFERROR(VLOOKUP(C342, Content_Creation!B:E, 4, FALSE), IFERROR(VLOOKUP(C342, Project_Management!B:E, 4, FALSE), ""))</f>
        <v>iGame Center Introduction - Shorts</v>
      </c>
      <c r="E342" s="220" t="str">
        <f>IFERROR(
    VLOOKUP(B341:B1001, Content_Creation!B:D, 3, FALSE),
    IFERROR(VLOOKUP(B341:B1001, Project_Management!B:D, 3, FALSE),"")
  )</f>
        <v>Edit</v>
      </c>
      <c r="F342" s="221" t="str">
        <f>IFERROR(VLOOKUP(B342, Content_Creation!B:F, 5, FALSE), IFERROR(VLOOKUP(B342, Project_Management!B:F, 5, FALSE), ""))</f>
        <v>Talha</v>
      </c>
      <c r="G342" s="222" t="s">
        <v>26</v>
      </c>
      <c r="H342" s="223">
        <f>IFERROR(VLOOKUP(B342, Content_Creation!B:H, 7, FALSE), IFERROR(VLOOKUP(B342, Project_Management!B:H, 7, FALSE), ""))</f>
        <v>45240</v>
      </c>
      <c r="I342" s="224">
        <v>0.041666666666666664</v>
      </c>
      <c r="J342" s="223">
        <f>IFERROR(VLOOKUP(C342, Content_Creation!B:H, 7, FALSE), IFERROR(VLOOKUP(C342, Project_Management!B:H, 7, FALSE), ""))</f>
        <v>45241</v>
      </c>
      <c r="K342" s="217"/>
      <c r="L342" s="225" t="str">
        <f>IFERROR(VLOOKUP(B342, Data_Validation!X:Y, 2, FALSE), "")</f>
        <v>In Review</v>
      </c>
      <c r="M342" s="226" t="str">
        <f t="shared" si="1"/>
        <v>Colorful Tech | iGame Center Introduction - Shorts | Edit</v>
      </c>
      <c r="N342" s="226"/>
      <c r="O342" s="226"/>
    </row>
    <row r="343" ht="24.0" customHeight="1">
      <c r="A343" s="216" t="str">
        <f>IFERROR(__xludf.DUMMYFUNCTION("ARRAYFORMULA(IFERROR(VLOOKUP(REGEXEXTRACT(B343, ""-(\w+)-""), {Data_Validation!$F$16:$F$29, Data_Validation!$E$16:$E$29}, 2, FALSE), """"))
"),"Colorful Tech")</f>
        <v>Colorful Tech</v>
      </c>
      <c r="B343" s="217" t="str">
        <f>IFERROR(__xludf.DUMMYFUNCTION("""COMPUTED_VALUE"""),"CC-CTH-16.03")</f>
        <v>CC-CTH-16.03</v>
      </c>
      <c r="C343" s="218" t="str">
        <f>IFERROR(__xludf.DUMMYFUNCTION("IFERROR(REGEXEXTRACT(B343, ""^[A-Z]+-[A-Z]+-"") &amp; TEXT(VALUE(REGEXEXTRACT(B343, ""-(\d+)\."")), ""00""), """")"),"CC-CTH-16")</f>
        <v>CC-CTH-16</v>
      </c>
      <c r="D343" s="219" t="str">
        <f>IFERROR(VLOOKUP(C343, Content_Creation!B:D, 2, FALSE), IFERROR(VLOOKUP(C343, Project_Management!B:D, 2, FALSE), ""))
&amp; " - "
&amp; IFERROR(VLOOKUP(C343, Content_Creation!B:E, 4, FALSE), IFERROR(VLOOKUP(C343, Project_Management!B:E, 4, FALSE), ""))</f>
        <v>Diwali Post - Insta</v>
      </c>
      <c r="E343" s="220" t="str">
        <f>IFERROR(
    VLOOKUP(B342:B1001, Content_Creation!B:D, 3, FALSE),
    IFERROR(VLOOKUP(B342:B1001, Project_Management!B:D, 3, FALSE),"")
  )</f>
        <v>Captions</v>
      </c>
      <c r="F343" s="221" t="str">
        <f>IFERROR(VLOOKUP(B343, Content_Creation!B:F, 5, FALSE), IFERROR(VLOOKUP(B343, Project_Management!B:F, 5, FALSE), ""))</f>
        <v>Talha</v>
      </c>
      <c r="G343" s="221" t="s">
        <v>388</v>
      </c>
      <c r="H343" s="223">
        <f>IFERROR(VLOOKUP(B343, Content_Creation!B:H, 7, FALSE), IFERROR(VLOOKUP(B343, Project_Management!B:H, 7, FALSE), ""))</f>
        <v>45240</v>
      </c>
      <c r="I343" s="224">
        <v>0.0</v>
      </c>
      <c r="J343" s="223">
        <f>IFERROR(VLOOKUP(C343, Content_Creation!B:H, 7, FALSE), IFERROR(VLOOKUP(C343, Project_Management!B:H, 7, FALSE), ""))</f>
        <v>45242</v>
      </c>
      <c r="K343" s="217"/>
      <c r="L343" s="225" t="str">
        <f>IFERROR(VLOOKUP(B343, Data_Validation!X:Y, 2, FALSE), "")</f>
        <v>Done</v>
      </c>
      <c r="M343" s="226" t="str">
        <f t="shared" si="1"/>
        <v>Colorful Tech | Diwali Post - Insta | Captions</v>
      </c>
      <c r="N343" s="226"/>
      <c r="O343" s="226"/>
    </row>
    <row r="344" ht="24.0" customHeight="1">
      <c r="A344" s="216" t="str">
        <f>IFERROR(__xludf.DUMMYFUNCTION("ARRAYFORMULA(IFERROR(VLOOKUP(REGEXEXTRACT(B344, ""-(\w+)-""), {Data_Validation!$F$16:$F$29, Data_Validation!$E$16:$E$29}, 2, FALSE), """"))
"),"Colorful Tech")</f>
        <v>Colorful Tech</v>
      </c>
      <c r="B344" s="217" t="str">
        <f>IFERROR(__xludf.DUMMYFUNCTION("""COMPUTED_VALUE"""),"CC-CTH-15.05")</f>
        <v>CC-CTH-15.05</v>
      </c>
      <c r="C344" s="218" t="str">
        <f>IFERROR(__xludf.DUMMYFUNCTION("IFERROR(REGEXEXTRACT(B344, ""^[A-Z]+-[A-Z]+-"") &amp; TEXT(VALUE(REGEXEXTRACT(B344, ""-(\d+)\."")), ""00""), """")"),"CC-CTH-15")</f>
        <v>CC-CTH-15</v>
      </c>
      <c r="D344" s="219" t="str">
        <f>IFERROR(VLOOKUP(C344, Content_Creation!B:D, 2, FALSE), IFERROR(VLOOKUP(C344, Project_Management!B:D, 2, FALSE), ""))
&amp; " - "
&amp; IFERROR(VLOOKUP(C344, Content_Creation!B:E, 4, FALSE), IFERROR(VLOOKUP(C344, Project_Management!B:E, 4, FALSE), ""))</f>
        <v>POV: you bought your first GPU - Shorts</v>
      </c>
      <c r="E344" s="220" t="str">
        <f>IFERROR(
    VLOOKUP(B343:B1001, Content_Creation!B:D, 3, FALSE),
    IFERROR(VLOOKUP(B343:B1001, Project_Management!B:D, 3, FALSE),"")
  )</f>
        <v>Edit</v>
      </c>
      <c r="F344" s="221" t="str">
        <f>IFERROR(VLOOKUP(B344, Content_Creation!B:F, 5, FALSE), IFERROR(VLOOKUP(B344, Project_Management!B:F, 5, FALSE), ""))</f>
        <v>Talha</v>
      </c>
      <c r="G344" s="222" t="s">
        <v>388</v>
      </c>
      <c r="H344" s="223">
        <f>IFERROR(VLOOKUP(B344, Content_Creation!B:H, 7, FALSE), IFERROR(VLOOKUP(B344, Project_Management!B:H, 7, FALSE), ""))</f>
        <v>45240</v>
      </c>
      <c r="I344" s="224">
        <v>0.041666666666666664</v>
      </c>
      <c r="J344" s="223">
        <f>IFERROR(VLOOKUP(C344, Content_Creation!B:H, 7, FALSE), IFERROR(VLOOKUP(C344, Project_Management!B:H, 7, FALSE), ""))</f>
        <v>45243</v>
      </c>
      <c r="K344" s="217"/>
      <c r="L344" s="225" t="str">
        <f>IFERROR(VLOOKUP(B344, Data_Validation!X:Y, 2, FALSE), "")</f>
        <v>In Review</v>
      </c>
      <c r="M344" s="226" t="str">
        <f t="shared" si="1"/>
        <v>Colorful Tech | POV: you bought your first GPU - Shorts | Edit</v>
      </c>
      <c r="N344" s="226"/>
      <c r="O344" s="226"/>
    </row>
    <row r="345" ht="24.0" customHeight="1">
      <c r="A345" s="216" t="str">
        <f>IFERROR(__xludf.DUMMYFUNCTION("ARRAYFORMULA(IFERROR(VLOOKUP(REGEXEXTRACT(B345, ""-(\w+)-""), {Data_Validation!$F$16:$F$29, Data_Validation!$E$16:$E$29}, 2, FALSE), """"))
"),"Colorful Tech")</f>
        <v>Colorful Tech</v>
      </c>
      <c r="B345" s="217" t="str">
        <f>IFERROR(__xludf.DUMMYFUNCTION("""COMPUTED_VALUE"""),"CC-CTH-13.03")</f>
        <v>CC-CTH-13.03</v>
      </c>
      <c r="C345" s="218" t="str">
        <f>IFERROR(__xludf.DUMMYFUNCTION("IFERROR(REGEXEXTRACT(B345, ""^[A-Z]+-[A-Z]+-"") &amp; TEXT(VALUE(REGEXEXTRACT(B345, ""-(\d+)\."")), ""00""), """")"),"CC-CTH-13")</f>
        <v>CC-CTH-13</v>
      </c>
      <c r="D345" s="219" t="str">
        <f>IFERROR(VLOOKUP(C345, Content_Creation!B:D, 2, FALSE), IFERROR(VLOOKUP(C345, Project_Management!B:D, 2, FALSE), ""))
&amp; " - "
&amp; IFERROR(VLOOKUP(C345, Content_Creation!B:E, 4, FALSE), IFERROR(VLOOKUP(C345, Project_Management!B:E, 4, FALSE), ""))</f>
        <v>PC for Generative AI - Shorts</v>
      </c>
      <c r="E345" s="220" t="str">
        <f>IFERROR(
    VLOOKUP(B344:B1001, Content_Creation!B:D, 3, FALSE),
    IFERROR(VLOOKUP(B344:B1001, Project_Management!B:D, 3, FALSE),"")
  )</f>
        <v>Edit</v>
      </c>
      <c r="F345" s="221" t="str">
        <f>IFERROR(VLOOKUP(B345, Content_Creation!B:F, 5, FALSE), IFERROR(VLOOKUP(B345, Project_Management!B:F, 5, FALSE), ""))</f>
        <v>Akhil</v>
      </c>
      <c r="G345" s="222" t="s">
        <v>388</v>
      </c>
      <c r="H345" s="223">
        <f>IFERROR(VLOOKUP(B345, Content_Creation!B:H, 7, FALSE), IFERROR(VLOOKUP(B345, Project_Management!B:H, 7, FALSE), ""))</f>
        <v>45240</v>
      </c>
      <c r="I345" s="224">
        <v>0.020833333333333332</v>
      </c>
      <c r="J345" s="223">
        <f>IFERROR(VLOOKUP(C345, Content_Creation!B:H, 7, FALSE), IFERROR(VLOOKUP(C345, Project_Management!B:H, 7, FALSE), ""))</f>
        <v>45244</v>
      </c>
      <c r="K345" s="217"/>
      <c r="L345" s="225" t="str">
        <f>IFERROR(VLOOKUP(B345, Data_Validation!X:Y, 2, FALSE), "")</f>
        <v>In Review</v>
      </c>
      <c r="M345" s="226" t="str">
        <f t="shared" si="1"/>
        <v>Colorful Tech | PC for Generative AI - Shorts | Edit</v>
      </c>
      <c r="N345" s="226"/>
      <c r="O345" s="226"/>
    </row>
    <row r="346" ht="24.0" customHeight="1">
      <c r="A346" s="216" t="str">
        <f>IFERROR(__xludf.DUMMYFUNCTION("ARRAYFORMULA(IFERROR(VLOOKUP(REGEXEXTRACT(B346, ""-(\w+)-""), {Data_Validation!$F$16:$F$29, Data_Validation!$E$16:$E$29}, 2, FALSE), """"))
"),"MaCaw")</f>
        <v>MaCaw</v>
      </c>
      <c r="B346" s="217" t="str">
        <f>IFERROR(__xludf.DUMMYFUNCTION("""COMPUTED_VALUE"""),"CC-MAC-12.03")</f>
        <v>CC-MAC-12.03</v>
      </c>
      <c r="C346" s="218" t="str">
        <f>IFERROR(__xludf.DUMMYFUNCTION("IFERROR(REGEXEXTRACT(B346, ""^[A-Z]+-[A-Z]+-"") &amp; TEXT(VALUE(REGEXEXTRACT(B346, ""-(\d+)\."")), ""00""), """")"),"CC-MAC-12")</f>
        <v>CC-MAC-12</v>
      </c>
      <c r="D346" s="219" t="str">
        <f>IFERROR(VLOOKUP(C346, Content_Creation!B:D, 2, FALSE), IFERROR(VLOOKUP(C346, Project_Management!B:D, 2, FALSE), ""))
&amp; " - "
&amp; IFERROR(VLOOKUP(C346, Content_Creation!B:E, 4, FALSE), IFERROR(VLOOKUP(C346, Project_Management!B:E, 4, FALSE), ""))</f>
        <v>Diwali Post - Insta</v>
      </c>
      <c r="E346" s="220" t="str">
        <f>IFERROR(
    VLOOKUP(B345:B1001, Content_Creation!B:D, 3, FALSE),
    IFERROR(VLOOKUP(B345:B1001, Project_Management!B:D, 3, FALSE),"")
  )</f>
        <v>Edit</v>
      </c>
      <c r="F346" s="221" t="str">
        <f>IFERROR(VLOOKUP(B346, Content_Creation!B:F, 5, FALSE), IFERROR(VLOOKUP(B346, Project_Management!B:F, 5, FALSE), ""))</f>
        <v>Akhil</v>
      </c>
      <c r="G346" s="222" t="s">
        <v>26</v>
      </c>
      <c r="H346" s="223">
        <f>IFERROR(VLOOKUP(B346, Content_Creation!B:H, 7, FALSE), IFERROR(VLOOKUP(B346, Project_Management!B:H, 7, FALSE), ""))</f>
        <v>45240</v>
      </c>
      <c r="I346" s="224">
        <v>0.03125</v>
      </c>
      <c r="J346" s="223">
        <f>IFERROR(VLOOKUP(C346, Content_Creation!B:H, 7, FALSE), IFERROR(VLOOKUP(C346, Project_Management!B:H, 7, FALSE), ""))</f>
        <v>45241</v>
      </c>
      <c r="K346" s="217"/>
      <c r="L346" s="225" t="str">
        <f>IFERROR(VLOOKUP(B346, Data_Validation!X:Y, 2, FALSE), "")</f>
        <v>In Review</v>
      </c>
      <c r="M346" s="226" t="str">
        <f t="shared" si="1"/>
        <v>MaCaw | Diwali Post - Insta | Edit</v>
      </c>
      <c r="N346" s="226"/>
      <c r="O346" s="226"/>
    </row>
    <row r="347" ht="24.0" customHeight="1">
      <c r="A347" s="216" t="str">
        <f>IFERROR(__xludf.DUMMYFUNCTION("ARRAYFORMULA(IFERROR(VLOOKUP(REGEXEXTRACT(B347, ""-(\w+)-""), {Data_Validation!$F$16:$F$29, Data_Validation!$E$16:$E$29}, 2, FALSE), """"))
"),"Inno3D")</f>
        <v>Inno3D</v>
      </c>
      <c r="B347" s="217" t="str">
        <f>IFERROR(__xludf.DUMMYFUNCTION("""COMPUTED_VALUE"""),"CC-INN-29.04")</f>
        <v>CC-INN-29.04</v>
      </c>
      <c r="C347" s="218" t="str">
        <f>IFERROR(__xludf.DUMMYFUNCTION("IFERROR(REGEXEXTRACT(B347, ""^[A-Z]+-[A-Z]+-"") &amp; TEXT(VALUE(REGEXEXTRACT(B347, ""-(\d+)\."")), ""00""), """")"),"CC-INN-29")</f>
        <v>CC-INN-29</v>
      </c>
      <c r="D347" s="219" t="str">
        <f>IFERROR(VLOOKUP(C347, Content_Creation!B:D, 2, FALSE), IFERROR(VLOOKUP(C347, Project_Management!B:D, 2, FALSE), ""))
&amp; " - "
&amp; IFERROR(VLOOKUP(C347, Content_Creation!B:E, 4, FALSE), IFERROR(VLOOKUP(C347, Project_Management!B:E, 4, FALSE), ""))</f>
        <v>Troubleshoot GPU issues - Shorts</v>
      </c>
      <c r="E347" s="220" t="str">
        <f>IFERROR(
    VLOOKUP(B346:B1001, Content_Creation!B:D, 3, FALSE),
    IFERROR(VLOOKUP(B346:B1001, Project_Management!B:D, 3, FALSE),"")
  )</f>
        <v>Upload</v>
      </c>
      <c r="F347" s="221" t="str">
        <f>IFERROR(VLOOKUP(B347, Content_Creation!B:F, 5, FALSE), IFERROR(VLOOKUP(B347, Project_Management!B:F, 5, FALSE), ""))</f>
        <v>Naveen</v>
      </c>
      <c r="G347" s="222" t="s">
        <v>388</v>
      </c>
      <c r="H347" s="223">
        <f>IFERROR(VLOOKUP(B347, Content_Creation!B:H, 7, FALSE), IFERROR(VLOOKUP(B347, Project_Management!B:H, 7, FALSE), ""))</f>
        <v>45240</v>
      </c>
      <c r="I347" s="224">
        <v>0.006944444444444444</v>
      </c>
      <c r="J347" s="223">
        <f>IFERROR(VLOOKUP(C347, Content_Creation!B:H, 7, FALSE), IFERROR(VLOOKUP(C347, Project_Management!B:H, 7, FALSE), ""))</f>
        <v>45240</v>
      </c>
      <c r="K347" s="217"/>
      <c r="L347" s="225" t="str">
        <f>IFERROR(VLOOKUP(B347, Data_Validation!X:Y, 2, FALSE), "")</f>
        <v>Done</v>
      </c>
      <c r="M347" s="226" t="str">
        <f t="shared" si="1"/>
        <v>Inno3D | Troubleshoot GPU issues - Shorts | Upload</v>
      </c>
      <c r="N347" s="226"/>
      <c r="O347" s="226"/>
    </row>
    <row r="348" ht="24.0" customHeight="1">
      <c r="A348" s="216" t="str">
        <f>IFERROR(__xludf.DUMMYFUNCTION("ARRAYFORMULA(IFERROR(VLOOKUP(REGEXEXTRACT(B348, ""-(\w+)-""), {Data_Validation!$F$16:$F$29, Data_Validation!$E$16:$E$29}, 2, FALSE), """"))
"),"Inno3D")</f>
        <v>Inno3D</v>
      </c>
      <c r="B348" s="217" t="str">
        <f>IFERROR(__xludf.DUMMYFUNCTION("""COMPUTED_VALUE"""),"CC-INN-28.03")</f>
        <v>CC-INN-28.03</v>
      </c>
      <c r="C348" s="218" t="str">
        <f>IFERROR(__xludf.DUMMYFUNCTION("IFERROR(REGEXEXTRACT(B348, ""^[A-Z]+-[A-Z]+-"") &amp; TEXT(VALUE(REGEXEXTRACT(B348, ""-(\d+)\."")), ""00""), """")"),"CC-INN-28")</f>
        <v>CC-INN-28</v>
      </c>
      <c r="D348" s="219" t="str">
        <f>IFERROR(VLOOKUP(C348, Content_Creation!B:D, 2, FALSE), IFERROR(VLOOKUP(C348, Project_Management!B:D, 2, FALSE), ""))
&amp; " - "
&amp; IFERROR(VLOOKUP(C348, Content_Creation!B:E, 4, FALSE), IFERROR(VLOOKUP(C348, Project_Management!B:E, 4, FALSE), ""))</f>
        <v>Diwali Post - Insta</v>
      </c>
      <c r="E348" s="220" t="str">
        <f>IFERROR(
    VLOOKUP(B347:B1001, Content_Creation!B:D, 3, FALSE),
    IFERROR(VLOOKUP(B347:B1001, Project_Management!B:D, 3, FALSE),"")
  )</f>
        <v>Edit</v>
      </c>
      <c r="F348" s="221" t="str">
        <f>IFERROR(VLOOKUP(B348, Content_Creation!B:F, 5, FALSE), IFERROR(VLOOKUP(B348, Project_Management!B:F, 5, FALSE), ""))</f>
        <v>Akhil</v>
      </c>
      <c r="G348" s="222" t="s">
        <v>26</v>
      </c>
      <c r="H348" s="223">
        <f>IFERROR(VLOOKUP(B348, Content_Creation!B:H, 7, FALSE), IFERROR(VLOOKUP(B348, Project_Management!B:H, 7, FALSE), ""))</f>
        <v>45240</v>
      </c>
      <c r="I348" s="224">
        <v>0.041666666666666664</v>
      </c>
      <c r="J348" s="223">
        <f>IFERROR(VLOOKUP(C348, Content_Creation!B:H, 7, FALSE), IFERROR(VLOOKUP(C348, Project_Management!B:H, 7, FALSE), ""))</f>
        <v>45241</v>
      </c>
      <c r="K348" s="217"/>
      <c r="L348" s="225" t="str">
        <f>IFERROR(VLOOKUP(B348, Data_Validation!X:Y, 2, FALSE), "")</f>
        <v>In Review</v>
      </c>
      <c r="M348" s="226" t="str">
        <f t="shared" si="1"/>
        <v>Inno3D | Diwali Post - Insta | Edit</v>
      </c>
      <c r="N348" s="226"/>
      <c r="O348" s="226"/>
    </row>
    <row r="349" ht="24.0" customHeight="1">
      <c r="A349" s="216" t="str">
        <f>IFERROR(__xludf.DUMMYFUNCTION("ARRAYFORMULA(IFERROR(VLOOKUP(REGEXEXTRACT(B349, ""-(\w+)-""), {Data_Validation!$F$16:$F$29, Data_Validation!$E$16:$E$29}, 2, FALSE), """"))
"),"Inno3D")</f>
        <v>Inno3D</v>
      </c>
      <c r="B349" s="217" t="str">
        <f>IFERROR(__xludf.DUMMYFUNCTION("""COMPUTED_VALUE"""),"CC-INN-27.01")</f>
        <v>CC-INN-27.01</v>
      </c>
      <c r="C349" s="218" t="str">
        <f>IFERROR(__xludf.DUMMYFUNCTION("IFERROR(REGEXEXTRACT(B349, ""^[A-Z]+-[A-Z]+-"") &amp; TEXT(VALUE(REGEXEXTRACT(B349, ""-(\d+)\."")), ""00""), """")"),"CC-INN-27")</f>
        <v>CC-INN-27</v>
      </c>
      <c r="D349" s="219" t="str">
        <f>IFERROR(VLOOKUP(C349, Content_Creation!B:D, 2, FALSE), IFERROR(VLOOKUP(C349, Project_Management!B:D, 2, FALSE), ""))
&amp; " - "
&amp; IFERROR(VLOOKUP(C349, Content_Creation!B:E, 4, FALSE), IFERROR(VLOOKUP(C349, Project_Management!B:E, 4, FALSE), ""))</f>
        <v>NVIDIA RTX Video Super Resolution - Shorts</v>
      </c>
      <c r="E349" s="220" t="str">
        <f>IFERROR(
    VLOOKUP(B348:B1001, Content_Creation!B:D, 3, FALSE),
    IFERROR(VLOOKUP(B348:B1001, Project_Management!B:D, 3, FALSE),"")
  )</f>
        <v>Script</v>
      </c>
      <c r="F349" s="221" t="str">
        <f>IFERROR(VLOOKUP(B349, Content_Creation!B:F, 5, FALSE), IFERROR(VLOOKUP(B349, Project_Management!B:F, 5, FALSE), ""))</f>
        <v>Tazeen</v>
      </c>
      <c r="G349" s="222" t="s">
        <v>388</v>
      </c>
      <c r="H349" s="223">
        <f>IFERROR(VLOOKUP(B349, Content_Creation!B:H, 7, FALSE), IFERROR(VLOOKUP(B349, Project_Management!B:H, 7, FALSE), ""))</f>
        <v>45240</v>
      </c>
      <c r="I349" s="224">
        <v>0.020833333333333332</v>
      </c>
      <c r="J349" s="223">
        <f>IFERROR(VLOOKUP(C349, Content_Creation!B:H, 7, FALSE), IFERROR(VLOOKUP(C349, Project_Management!B:H, 7, FALSE), ""))</f>
        <v>45243</v>
      </c>
      <c r="K349" s="217"/>
      <c r="L349" s="225" t="str">
        <f>IFERROR(VLOOKUP(B349, Data_Validation!X:Y, 2, FALSE), "")</f>
        <v>Done</v>
      </c>
      <c r="M349" s="226" t="str">
        <f t="shared" si="1"/>
        <v>Inno3D | NVIDIA RTX Video Super Resolution - Shorts | Script</v>
      </c>
      <c r="N349" s="226"/>
      <c r="O349" s="226"/>
    </row>
    <row r="350" ht="24.0" customHeight="1">
      <c r="A350" s="216" t="str">
        <f>IFERROR(__xludf.DUMMYFUNCTION("ARRAYFORMULA(IFERROR(VLOOKUP(REGEXEXTRACT(B350, ""-(\w+)-""), {Data_Validation!$F$16:$F$29, Data_Validation!$E$16:$E$29}, 2, FALSE), """"))
"),"TheMVP")</f>
        <v>TheMVP</v>
      </c>
      <c r="B350" s="217" t="str">
        <f>IFERROR(__xludf.DUMMYFUNCTION("""COMPUTED_VALUE"""),"PM-MVP-03.07")</f>
        <v>PM-MVP-03.07</v>
      </c>
      <c r="C350" s="218" t="str">
        <f>IFERROR(__xludf.DUMMYFUNCTION("IFERROR(REGEXEXTRACT(B350, ""^[A-Z]+-[A-Z]+-"") &amp; TEXT(VALUE(REGEXEXTRACT(B350, ""-(\d+)\."")), ""00""), """")"),"PM-MVP-03")</f>
        <v>PM-MVP-03</v>
      </c>
      <c r="D350" s="219" t="str">
        <f>IFERROR(VLOOKUP(C350, Content_Creation!B:D, 2, FALSE), IFERROR(VLOOKUP(C350, Project_Management!B:D, 2, FALSE), ""))
&amp; " - "
&amp; IFERROR(VLOOKUP(C350, Content_Creation!B:E, 4, FALSE), IFERROR(VLOOKUP(C350, Project_Management!B:E, 4, FALSE), ""))</f>
        <v>Nov-AdHoc - Misc</v>
      </c>
      <c r="E350" s="220" t="str">
        <f>IFERROR(
    VLOOKUP(B349:B1001, Content_Creation!B:D, 3, FALSE),
    IFERROR(VLOOKUP(B349:B1001, Project_Management!B:D, 3, FALSE),"")
  )</f>
        <v>NCR Diwali Post</v>
      </c>
      <c r="F350" s="221" t="str">
        <f>IFERROR(VLOOKUP(B350, Content_Creation!B:F, 5, FALSE), IFERROR(VLOOKUP(B350, Project_Management!B:F, 5, FALSE), ""))</f>
        <v>Naveen</v>
      </c>
      <c r="G350" s="222" t="s">
        <v>307</v>
      </c>
      <c r="H350" s="223">
        <f>IFERROR(VLOOKUP(B350, Content_Creation!B:H, 7, FALSE), IFERROR(VLOOKUP(B350, Project_Management!B:H, 7, FALSE), ""))</f>
        <v>45240</v>
      </c>
      <c r="I350" s="224">
        <v>0.013888888888888888</v>
      </c>
      <c r="J350" s="223">
        <f>IFERROR(VLOOKUP(C350, Content_Creation!B:H, 7, FALSE), IFERROR(VLOOKUP(C350, Project_Management!B:H, 7, FALSE), ""))</f>
        <v>45240</v>
      </c>
      <c r="K350" s="217"/>
      <c r="L350" s="225" t="str">
        <f>IFERROR(VLOOKUP(B350, Data_Validation!X:Y, 2, FALSE), "")</f>
        <v>In Review</v>
      </c>
      <c r="M350" s="226" t="str">
        <f t="shared" si="1"/>
        <v>TheMVP | Nov-AdHoc - Misc | NCR Diwali Post</v>
      </c>
      <c r="N350" s="226"/>
      <c r="O350" s="226"/>
    </row>
    <row r="351" ht="24.0" customHeight="1">
      <c r="A351" s="216" t="str">
        <f>IFERROR(__xludf.DUMMYFUNCTION("ARRAYFORMULA(IFERROR(VLOOKUP(REGEXEXTRACT(B351, ""-(\w+)-""), {Data_Validation!$F$16:$F$29, Data_Validation!$E$16:$E$29}, 2, FALSE), """"))
"),"Picture This!")</f>
        <v>Picture This!</v>
      </c>
      <c r="B351" s="217" t="str">
        <f>IFERROR(__xludf.DUMMYFUNCTION("""COMPUTED_VALUE"""),"PM-PTS-06.01")</f>
        <v>PM-PTS-06.01</v>
      </c>
      <c r="C351" s="218" t="str">
        <f>IFERROR(__xludf.DUMMYFUNCTION("IFERROR(REGEXEXTRACT(B351, ""^[A-Z]+-[A-Z]+-"") &amp; TEXT(VALUE(REGEXEXTRACT(B351, ""-(\d+)\."")), ""00""), """")"),"PM-PTS-06")</f>
        <v>PM-PTS-06</v>
      </c>
      <c r="D351" s="219" t="str">
        <f>IFERROR(VLOOKUP(C351, Content_Creation!B:D, 2, FALSE), IFERROR(VLOOKUP(C351, Project_Management!B:D, 2, FALSE), ""))
&amp; " - "
&amp; IFERROR(VLOOKUP(C351, Content_Creation!B:E, 4, FALSE), IFERROR(VLOOKUP(C351, Project_Management!B:E, 4, FALSE), ""))</f>
        <v>Bhukka Nawab - Video</v>
      </c>
      <c r="E351" s="220" t="str">
        <f>IFERROR(
    VLOOKUP(B350:B1001, Content_Creation!B:D, 3, FALSE),
    IFERROR(VLOOKUP(B350:B1001, Project_Management!B:D, 3, FALSE),"")
  )</f>
        <v>Script</v>
      </c>
      <c r="F351" s="221" t="str">
        <f>IFERROR(VLOOKUP(B351, Content_Creation!B:F, 5, FALSE), IFERROR(VLOOKUP(B351, Project_Management!B:F, 5, FALSE), ""))</f>
        <v>Nasser</v>
      </c>
      <c r="G351" s="222" t="s">
        <v>179</v>
      </c>
      <c r="H351" s="223">
        <f>IFERROR(VLOOKUP(B351, Content_Creation!B:H, 7, FALSE), IFERROR(VLOOKUP(B351, Project_Management!B:H, 7, FALSE), ""))</f>
        <v>45240</v>
      </c>
      <c r="I351" s="224">
        <v>0.0</v>
      </c>
      <c r="J351" s="223">
        <f>IFERROR(VLOOKUP(C351, Content_Creation!B:H, 7, FALSE), IFERROR(VLOOKUP(C351, Project_Management!B:H, 7, FALSE), ""))</f>
        <v>45244</v>
      </c>
      <c r="K351" s="217"/>
      <c r="L351" s="225" t="str">
        <f>IFERROR(VLOOKUP(B351, Data_Validation!X:Y, 2, FALSE), "")</f>
        <v>On Hold</v>
      </c>
      <c r="M351" s="226" t="str">
        <f t="shared" si="1"/>
        <v>Picture This! | Bhukka Nawab - Video | Script</v>
      </c>
      <c r="N351" s="226"/>
      <c r="O351" s="226"/>
    </row>
    <row r="352" ht="24.0" customHeight="1">
      <c r="A352" s="216" t="str">
        <f>IFERROR(__xludf.DUMMYFUNCTION("ARRAYFORMULA(IFERROR(VLOOKUP(REGEXEXTRACT(B352, ""-(\w+)-""), {Data_Validation!$F$16:$F$29, Data_Validation!$E$16:$E$29}, 2, FALSE), """"))
"),"Picture This!")</f>
        <v>Picture This!</v>
      </c>
      <c r="B352" s="217" t="str">
        <f>IFERROR(__xludf.DUMMYFUNCTION("""COMPUTED_VALUE"""),"PM-PTS-07.04")</f>
        <v>PM-PTS-07.04</v>
      </c>
      <c r="C352" s="218" t="str">
        <f>IFERROR(__xludf.DUMMYFUNCTION("IFERROR(REGEXEXTRACT(B352, ""^[A-Z]+-[A-Z]+-"") &amp; TEXT(VALUE(REGEXEXTRACT(B352, ""-(\d+)\."")), ""00""), """")"),"PM-PTS-07")</f>
        <v>PM-PTS-07</v>
      </c>
      <c r="D352" s="219" t="str">
        <f>IFERROR(VLOOKUP(C352, Content_Creation!B:D, 2, FALSE), IFERROR(VLOOKUP(C352, Project_Management!B:D, 2, FALSE), ""))
&amp; " - "
&amp; IFERROR(VLOOKUP(C352, Content_Creation!B:E, 4, FALSE), IFERROR(VLOOKUP(C352, Project_Management!B:E, 4, FALSE), ""))</f>
        <v>SP-100 - Chipkol - Video</v>
      </c>
      <c r="E352" s="220" t="str">
        <f>IFERROR(
    VLOOKUP(B351:B1001, Content_Creation!B:D, 3, FALSE),
    IFERROR(VLOOKUP(B351:B1001, Project_Management!B:D, 3, FALSE),"")
  )</f>
        <v>Shoot</v>
      </c>
      <c r="F352" s="221" t="str">
        <f>IFERROR(VLOOKUP(B352, Content_Creation!B:F, 5, FALSE), IFERROR(VLOOKUP(B352, Project_Management!B:F, 5, FALSE), ""))</f>
        <v>Akhil</v>
      </c>
      <c r="G352" s="221" t="s">
        <v>307</v>
      </c>
      <c r="H352" s="223">
        <f>IFERROR(VLOOKUP(B352, Content_Creation!B:H, 7, FALSE), IFERROR(VLOOKUP(B352, Project_Management!B:H, 7, FALSE), ""))</f>
        <v>45240</v>
      </c>
      <c r="I352" s="224">
        <v>0.020833333333333332</v>
      </c>
      <c r="J352" s="223">
        <f>IFERROR(VLOOKUP(C352, Content_Creation!B:H, 7, FALSE), IFERROR(VLOOKUP(C352, Project_Management!B:H, 7, FALSE), ""))</f>
        <v>45241</v>
      </c>
      <c r="K352" s="217"/>
      <c r="L352" s="225" t="str">
        <f>IFERROR(VLOOKUP(B352, Data_Validation!X:Y, 2, FALSE), "")</f>
        <v>Not Started</v>
      </c>
      <c r="M352" s="226" t="str">
        <f t="shared" si="1"/>
        <v>Picture This! | SP-100 - Chipkol - Video | Shoot</v>
      </c>
      <c r="N352" s="226"/>
      <c r="O352" s="226"/>
    </row>
    <row r="353" ht="24.0" customHeight="1">
      <c r="A353" s="216" t="str">
        <f>IFERROR(__xludf.DUMMYFUNCTION("ARRAYFORMULA(IFERROR(VLOOKUP(REGEXEXTRACT(B353, ""-(\w+)-""), {Data_Validation!$F$16:$F$29, Data_Validation!$E$16:$E$29}, 2, FALSE), """"))
"),"Picture This!")</f>
        <v>Picture This!</v>
      </c>
      <c r="B353" s="217" t="str">
        <f>IFERROR(__xludf.DUMMYFUNCTION("""COMPUTED_VALUE"""),"PM-PTS-07.06")</f>
        <v>PM-PTS-07.06</v>
      </c>
      <c r="C353" s="218" t="str">
        <f>IFERROR(__xludf.DUMMYFUNCTION("IFERROR(REGEXEXTRACT(B353, ""^[A-Z]+-[A-Z]+-"") &amp; TEXT(VALUE(REGEXEXTRACT(B353, ""-(\d+)\."")), ""00""), """")"),"PM-PTS-07")</f>
        <v>PM-PTS-07</v>
      </c>
      <c r="D353" s="219" t="str">
        <f>IFERROR(VLOOKUP(C353, Content_Creation!B:D, 2, FALSE), IFERROR(VLOOKUP(C353, Project_Management!B:D, 2, FALSE), ""))
&amp; " - "
&amp; IFERROR(VLOOKUP(C353, Content_Creation!B:E, 4, FALSE), IFERROR(VLOOKUP(C353, Project_Management!B:E, 4, FALSE), ""))</f>
        <v>SP-100 - Chipkol - Video</v>
      </c>
      <c r="E353" s="220" t="str">
        <f>IFERROR(
    VLOOKUP(B352:B1001, Content_Creation!B:D, 3, FALSE),
    IFERROR(VLOOKUP(B352:B1001, Project_Management!B:D, 3, FALSE),"")
  )</f>
        <v>Finalise</v>
      </c>
      <c r="F353" s="221" t="str">
        <f>IFERROR(VLOOKUP(B353, Content_Creation!B:F, 5, FALSE), IFERROR(VLOOKUP(B353, Project_Management!B:F, 5, FALSE), ""))</f>
        <v>Nasser</v>
      </c>
      <c r="G353" s="222" t="s">
        <v>307</v>
      </c>
      <c r="H353" s="223">
        <f>IFERROR(VLOOKUP(B353, Content_Creation!B:H, 7, FALSE), IFERROR(VLOOKUP(B353, Project_Management!B:H, 7, FALSE), ""))</f>
        <v>45240</v>
      </c>
      <c r="I353" s="224">
        <v>0.0</v>
      </c>
      <c r="J353" s="223">
        <f>IFERROR(VLOOKUP(C353, Content_Creation!B:H, 7, FALSE), IFERROR(VLOOKUP(C353, Project_Management!B:H, 7, FALSE), ""))</f>
        <v>45241</v>
      </c>
      <c r="K353" s="217"/>
      <c r="L353" s="225" t="str">
        <f>IFERROR(VLOOKUP(B353, Data_Validation!X:Y, 2, FALSE), "")</f>
        <v>On Hold</v>
      </c>
      <c r="M353" s="226" t="str">
        <f t="shared" si="1"/>
        <v>Picture This! | SP-100 - Chipkol - Video | Finalise</v>
      </c>
      <c r="N353" s="226"/>
      <c r="O353" s="226"/>
    </row>
    <row r="354" ht="24.0" customHeight="1">
      <c r="A354" s="216" t="str">
        <f>IFERROR(__xludf.DUMMYFUNCTION("ARRAYFORMULA(IFERROR(VLOOKUP(REGEXEXTRACT(B354, ""-(\w+)-""), {Data_Validation!$F$16:$F$29, Data_Validation!$E$16:$E$29}, 2, FALSE), """"))
"),"Picture This!")</f>
        <v>Picture This!</v>
      </c>
      <c r="B354" s="217" t="str">
        <f>IFERROR(__xludf.DUMMYFUNCTION("""COMPUTED_VALUE"""),"PM-PTS-08.02")</f>
        <v>PM-PTS-08.02</v>
      </c>
      <c r="C354" s="218" t="str">
        <f>IFERROR(__xludf.DUMMYFUNCTION("IFERROR(REGEXEXTRACT(B354, ""^[A-Z]+-[A-Z]+-"") &amp; TEXT(VALUE(REGEXEXTRACT(B354, ""-(\d+)\."")), ""00""), """")"),"PM-PTS-08")</f>
        <v>PM-PTS-08</v>
      </c>
      <c r="D354" s="219" t="str">
        <f>IFERROR(VLOOKUP(C354, Content_Creation!B:D, 2, FALSE), IFERROR(VLOOKUP(C354, Project_Management!B:D, 2, FALSE), ""))
&amp; " - "
&amp; IFERROR(VLOOKUP(C354, Content_Creation!B:E, 4, FALSE), IFERROR(VLOOKUP(C354, Project_Management!B:E, 4, FALSE), ""))</f>
        <v>AFK Geeks - Video</v>
      </c>
      <c r="E354" s="220" t="str">
        <f>IFERROR(
    VLOOKUP(B353:B1001, Content_Creation!B:D, 3, FALSE),
    IFERROR(VLOOKUP(B353:B1001, Project_Management!B:D, 3, FALSE),"")
  )</f>
        <v>Edit</v>
      </c>
      <c r="F354" s="221" t="str">
        <f>IFERROR(VLOOKUP(B354, Content_Creation!B:F, 5, FALSE), IFERROR(VLOOKUP(B354, Project_Management!B:F, 5, FALSE), ""))</f>
        <v>Jayanth</v>
      </c>
      <c r="G354" s="222" t="s">
        <v>179</v>
      </c>
      <c r="H354" s="223">
        <f>IFERROR(VLOOKUP(B354, Content_Creation!B:H, 7, FALSE), IFERROR(VLOOKUP(B354, Project_Management!B:H, 7, FALSE), ""))</f>
        <v>45240</v>
      </c>
      <c r="I354" s="224">
        <v>0.020833333333333332</v>
      </c>
      <c r="J354" s="223">
        <f>IFERROR(VLOOKUP(C354, Content_Creation!B:H, 7, FALSE), IFERROR(VLOOKUP(C354, Project_Management!B:H, 7, FALSE), ""))</f>
        <v>45241</v>
      </c>
      <c r="K354" s="217"/>
      <c r="L354" s="225" t="str">
        <f>IFERROR(VLOOKUP(B354, Data_Validation!X:Y, 2, FALSE), "")</f>
        <v>On Hold</v>
      </c>
      <c r="M354" s="226" t="str">
        <f t="shared" si="1"/>
        <v>Picture This! | AFK Geeks - Video | Edit</v>
      </c>
      <c r="N354" s="226"/>
      <c r="O354" s="226"/>
    </row>
    <row r="355" ht="24.0" customHeight="1">
      <c r="A355" s="216" t="str">
        <f>IFERROR(__xludf.DUMMYFUNCTION("ARRAYFORMULA(IFERROR(VLOOKUP(REGEXEXTRACT(B355, ""-(\w+)-""), {Data_Validation!$F$16:$F$29, Data_Validation!$E$16:$E$29}, 2, FALSE), """"))
"),"Picture This!")</f>
        <v>Picture This!</v>
      </c>
      <c r="B355" s="217" t="str">
        <f>IFERROR(__xludf.DUMMYFUNCTION("""COMPUTED_VALUE"""),"PM-PTS-05.08")</f>
        <v>PM-PTS-05.08</v>
      </c>
      <c r="C355" s="218" t="str">
        <f>IFERROR(__xludf.DUMMYFUNCTION("IFERROR(REGEXEXTRACT(B355, ""^[A-Z]+-[A-Z]+-"") &amp; TEXT(VALUE(REGEXEXTRACT(B355, ""-(\d+)\."")), ""00""), """")"),"PM-PTS-05")</f>
        <v>PM-PTS-05</v>
      </c>
      <c r="D355" s="219" t="str">
        <f>IFERROR(VLOOKUP(C355, Content_Creation!B:D, 2, FALSE), IFERROR(VLOOKUP(C355, Project_Management!B:D, 2, FALSE), ""))
&amp; " - "
&amp; IFERROR(VLOOKUP(C355, Content_Creation!B:E, 4, FALSE), IFERROR(VLOOKUP(C355, Project_Management!B:E, 4, FALSE), ""))</f>
        <v>Picture This- AdHoc - Website</v>
      </c>
      <c r="E355" s="220" t="str">
        <f>IFERROR(
    VLOOKUP(B354:B1001, Content_Creation!B:D, 3, FALSE),
    IFERROR(VLOOKUP(B354:B1001, Project_Management!B:D, 3, FALSE),"")
  )</f>
        <v>Redesign Website</v>
      </c>
      <c r="F355" s="221" t="str">
        <f>IFERROR(VLOOKUP(B355, Content_Creation!B:F, 5, FALSE), IFERROR(VLOOKUP(B355, Project_Management!B:F, 5, FALSE), ""))</f>
        <v>Talha</v>
      </c>
      <c r="G355" s="222" t="s">
        <v>179</v>
      </c>
      <c r="H355" s="223">
        <f>IFERROR(VLOOKUP(B355, Content_Creation!B:H, 7, FALSE), IFERROR(VLOOKUP(B355, Project_Management!B:H, 7, FALSE), ""))</f>
        <v>45240</v>
      </c>
      <c r="I355" s="224">
        <v>0.041666666666666664</v>
      </c>
      <c r="J355" s="223">
        <f>IFERROR(VLOOKUP(C355, Content_Creation!B:H, 7, FALSE), IFERROR(VLOOKUP(C355, Project_Management!B:H, 7, FALSE), ""))</f>
        <v>45241</v>
      </c>
      <c r="K355" s="217"/>
      <c r="L355" s="225" t="str">
        <f>IFERROR(VLOOKUP(B355, Data_Validation!X:Y, 2, FALSE), "")</f>
        <v>Not Started</v>
      </c>
      <c r="M355" s="226" t="str">
        <f t="shared" si="1"/>
        <v>Picture This! | Picture This- AdHoc - Website | Redesign Website</v>
      </c>
      <c r="N355" s="226"/>
      <c r="O355" s="226"/>
    </row>
    <row r="356" ht="24.0" customHeight="1">
      <c r="A356" s="216" t="str">
        <f>IFERROR(__xludf.DUMMYFUNCTION("ARRAYFORMULA(IFERROR(VLOOKUP(REGEXEXTRACT(B356, ""-(\w+)-""), {Data_Validation!$F$16:$F$29, Data_Validation!$E$16:$E$29}, 2, FALSE), """"))
"),"Picture This!")</f>
        <v>Picture This!</v>
      </c>
      <c r="B356" s="217" t="str">
        <f>IFERROR(__xludf.DUMMYFUNCTION("""COMPUTED_VALUE"""),"PM-PTS-01.04")</f>
        <v>PM-PTS-01.04</v>
      </c>
      <c r="C356" s="218" t="str">
        <f>IFERROR(__xludf.DUMMYFUNCTION("IFERROR(REGEXEXTRACT(B356, ""^[A-Z]+-[A-Z]+-"") &amp; TEXT(VALUE(REGEXEXTRACT(B356, ""-(\d+)\."")), ""00""), """")"),"PM-PTS-01")</f>
        <v>PM-PTS-01</v>
      </c>
      <c r="D356" s="219" t="str">
        <f>IFERROR(VLOOKUP(C356, Content_Creation!B:D, 2, FALSE), IFERROR(VLOOKUP(C356, Project_Management!B:D, 2, FALSE), ""))
&amp; " - "
&amp; IFERROR(VLOOKUP(C356, Content_Creation!B:E, 4, FALSE), IFERROR(VLOOKUP(C356, Project_Management!B:E, 4, FALSE), ""))</f>
        <v>SOPs - Misc</v>
      </c>
      <c r="E356" s="220" t="str">
        <f>IFERROR(
    VLOOKUP(B355:B1001, Content_Creation!B:D, 3, FALSE),
    IFERROR(VLOOKUP(B355:B1001, Project_Management!B:D, 3, FALSE),"")
  )</f>
        <v>TheMVP Benchmarks</v>
      </c>
      <c r="F356" s="221" t="str">
        <f>IFERROR(VLOOKUP(B356, Content_Creation!B:F, 5, FALSE), IFERROR(VLOOKUP(B356, Project_Management!B:F, 5, FALSE), ""))</f>
        <v>Tazeen</v>
      </c>
      <c r="G356" s="222" t="s">
        <v>307</v>
      </c>
      <c r="H356" s="223">
        <f>IFERROR(VLOOKUP(B356, Content_Creation!B:H, 7, FALSE), IFERROR(VLOOKUP(B356, Project_Management!B:H, 7, FALSE), ""))</f>
        <v>45240</v>
      </c>
      <c r="I356" s="224">
        <v>0.020833333333333332</v>
      </c>
      <c r="J356" s="223">
        <f>IFERROR(VLOOKUP(C356, Content_Creation!B:H, 7, FALSE), IFERROR(VLOOKUP(C356, Project_Management!B:H, 7, FALSE), ""))</f>
        <v>45240</v>
      </c>
      <c r="K356" s="217"/>
      <c r="L356" s="225" t="str">
        <f>IFERROR(VLOOKUP(B356, Data_Validation!X:Y, 2, FALSE), "")</f>
        <v>Not Started</v>
      </c>
      <c r="M356" s="226" t="str">
        <f t="shared" si="1"/>
        <v>Picture This! | SOPs - Misc | TheMVP Benchmarks</v>
      </c>
      <c r="N356" s="226"/>
      <c r="O356" s="226"/>
    </row>
    <row r="357" ht="24.0" customHeight="1">
      <c r="A357" s="216" t="str">
        <f>IFERROR(__xludf.DUMMYFUNCTION("ARRAYFORMULA(IFERROR(VLOOKUP(REGEXEXTRACT(B357, ""-(\w+)-""), {Data_Validation!$F$16:$F$29, Data_Validation!$E$16:$E$29}, 2, FALSE), """"))
"),"TheMVP")</f>
        <v>TheMVP</v>
      </c>
      <c r="B357" s="217" t="str">
        <f>IFERROR(__xludf.DUMMYFUNCTION("""COMPUTED_VALUE"""),"PM-MVP-04.06")</f>
        <v>PM-MVP-04.06</v>
      </c>
      <c r="C357" s="218" t="str">
        <f>IFERROR(__xludf.DUMMYFUNCTION("IFERROR(REGEXEXTRACT(B357, ""^[A-Z]+-[A-Z]+-"") &amp; TEXT(VALUE(REGEXEXTRACT(B357, ""-(\d+)\."")), ""00""), """")"),"PM-MVP-04")</f>
        <v>PM-MVP-04</v>
      </c>
      <c r="D357" s="219" t="str">
        <f>IFERROR(VLOOKUP(C357, Content_Creation!B:D, 2, FALSE), IFERROR(VLOOKUP(C357, Project_Management!B:D, 2, FALSE), ""))
&amp; " - "
&amp; IFERROR(VLOOKUP(C357, Content_Creation!B:E, 4, FALSE), IFERROR(VLOOKUP(C357, Project_Management!B:E, 4, FALSE), ""))</f>
        <v>Product Catalog - Docs</v>
      </c>
      <c r="E357" s="220" t="str">
        <f>IFERROR(
    VLOOKUP(B356:B1001, Content_Creation!B:D, 3, FALSE),
    IFERROR(VLOOKUP(B356:B1001, Project_Management!B:D, 3, FALSE),"")
  )</f>
        <v>About Us</v>
      </c>
      <c r="F357" s="221" t="str">
        <f>IFERROR(VLOOKUP(B357, Content_Creation!B:F, 5, FALSE), IFERROR(VLOOKUP(B357, Project_Management!B:F, 5, FALSE), ""))</f>
        <v>Naveen</v>
      </c>
      <c r="G357" s="238" t="s">
        <v>179</v>
      </c>
      <c r="H357" s="223">
        <f>IFERROR(VLOOKUP(B357, Content_Creation!B:H, 7, FALSE), IFERROR(VLOOKUP(B357, Project_Management!B:H, 7, FALSE), ""))</f>
        <v>45240</v>
      </c>
      <c r="I357" s="224">
        <v>0.04861111111111111</v>
      </c>
      <c r="J357" s="223">
        <f>IFERROR(VLOOKUP(C357, Content_Creation!B:H, 7, FALSE), IFERROR(VLOOKUP(C357, Project_Management!B:H, 7, FALSE), ""))</f>
        <v>45244</v>
      </c>
      <c r="K357" s="217"/>
      <c r="L357" s="225" t="str">
        <f>IFERROR(VLOOKUP(B357, Data_Validation!X:Y, 2, FALSE), "")</f>
        <v>On Hold</v>
      </c>
      <c r="M357" s="226" t="str">
        <f t="shared" si="1"/>
        <v>TheMVP | Product Catalog - Docs | About Us</v>
      </c>
      <c r="N357" s="226"/>
      <c r="O357" s="226"/>
    </row>
    <row r="358" ht="24.0" customHeight="1">
      <c r="A358" s="216" t="str">
        <f>IFERROR(__xludf.DUMMYFUNCTION("ARRAYFORMULA(IFERROR(VLOOKUP(REGEXEXTRACT(B358, ""-(\w+)-""), {Data_Validation!$F$16:$F$29, Data_Validation!$E$16:$E$29}, 2, FALSE), """"))
"),"TheMVP")</f>
        <v>TheMVP</v>
      </c>
      <c r="B358" s="217" t="str">
        <f>IFERROR(__xludf.DUMMYFUNCTION("""COMPUTED_VALUE"""),"CC-MVP-77.06")</f>
        <v>CC-MVP-77.06</v>
      </c>
      <c r="C358" s="218" t="str">
        <f>IFERROR(__xludf.DUMMYFUNCTION("IFERROR(REGEXEXTRACT(B358, ""^[A-Z]+-[A-Z]+-"") &amp; TEXT(VALUE(REGEXEXTRACT(B358, ""-(\d+)\."")), ""00""), """")"),"CC-MVP-77")</f>
        <v>CC-MVP-77</v>
      </c>
      <c r="D358" s="219" t="str">
        <f>IFERROR(VLOOKUP(C358, Content_Creation!B:D, 2, FALSE), IFERROR(VLOOKUP(C358, Project_Management!B:D, 2, FALSE), ""))
&amp; " - "
&amp; IFERROR(VLOOKUP(C358, Content_Creation!B:E, 4, FALSE), IFERROR(VLOOKUP(C358, Project_Management!B:E, 4, FALSE), ""))</f>
        <v>Nvidia L40s - YT Video</v>
      </c>
      <c r="E358" s="220" t="str">
        <f>IFERROR(
    VLOOKUP(B357:B1001, Content_Creation!B:D, 3, FALSE),
    IFERROR(VLOOKUP(B357:B1001, Project_Management!B:D, 3, FALSE),"")
  )</f>
        <v>Thumbnail</v>
      </c>
      <c r="F358" s="221" t="str">
        <f>IFERROR(VLOOKUP(B358, Content_Creation!B:F, 5, FALSE), IFERROR(VLOOKUP(B358, Project_Management!B:F, 5, FALSE), ""))</f>
        <v>Naveen</v>
      </c>
      <c r="G358" s="221" t="s">
        <v>179</v>
      </c>
      <c r="H358" s="223">
        <f>IFERROR(VLOOKUP(B358, Content_Creation!B:H, 7, FALSE), IFERROR(VLOOKUP(B358, Project_Management!B:H, 7, FALSE), ""))</f>
        <v>45241</v>
      </c>
      <c r="I358" s="224">
        <v>0.0</v>
      </c>
      <c r="J358" s="223">
        <f>IFERROR(VLOOKUP(C358, Content_Creation!B:H, 7, FALSE), IFERROR(VLOOKUP(C358, Project_Management!B:H, 7, FALSE), ""))</f>
        <v>45241</v>
      </c>
      <c r="K358" s="217"/>
      <c r="L358" s="225" t="str">
        <f>IFERROR(VLOOKUP(B358, Data_Validation!X:Y, 2, FALSE), "")</f>
        <v>Not Started</v>
      </c>
      <c r="M358" s="226" t="str">
        <f t="shared" si="1"/>
        <v>TheMVP | Nvidia L40s - YT Video | Thumbnail</v>
      </c>
      <c r="N358" s="226"/>
      <c r="O358" s="226"/>
    </row>
    <row r="359" ht="24.0" customHeight="1">
      <c r="A359" s="216" t="str">
        <f>IFERROR(__xludf.DUMMYFUNCTION("ARRAYFORMULA(IFERROR(VLOOKUP(REGEXEXTRACT(B359, ""-(\w+)-""), {Data_Validation!$F$16:$F$29, Data_Validation!$E$16:$E$29}, 2, FALSE), """"))
"),"TheMVP")</f>
        <v>TheMVP</v>
      </c>
      <c r="B359" s="217" t="str">
        <f>IFERROR(__xludf.DUMMYFUNCTION("""COMPUTED_VALUE"""),"CC-MVP-77.07")</f>
        <v>CC-MVP-77.07</v>
      </c>
      <c r="C359" s="218" t="str">
        <f>IFERROR(__xludf.DUMMYFUNCTION("IFERROR(REGEXEXTRACT(B359, ""^[A-Z]+-[A-Z]+-"") &amp; TEXT(VALUE(REGEXEXTRACT(B359, ""-(\d+)\."")), ""00""), """")"),"CC-MVP-77")</f>
        <v>CC-MVP-77</v>
      </c>
      <c r="D359" s="219" t="str">
        <f>IFERROR(VLOOKUP(C359, Content_Creation!B:D, 2, FALSE), IFERROR(VLOOKUP(C359, Project_Management!B:D, 2, FALSE), ""))
&amp; " - "
&amp; IFERROR(VLOOKUP(C359, Content_Creation!B:E, 4, FALSE), IFERROR(VLOOKUP(C359, Project_Management!B:E, 4, FALSE), ""))</f>
        <v>Nvidia L40s - YT Video</v>
      </c>
      <c r="E359" s="220" t="str">
        <f>IFERROR(
    VLOOKUP(B358:B1001, Content_Creation!B:D, 3, FALSE),
    IFERROR(VLOOKUP(B358:B1001, Project_Management!B:D, 3, FALSE),"")
  )</f>
        <v>Upload</v>
      </c>
      <c r="F359" s="221" t="str">
        <f>IFERROR(VLOOKUP(B359, Content_Creation!B:F, 5, FALSE), IFERROR(VLOOKUP(B359, Project_Management!B:F, 5, FALSE), ""))</f>
        <v>Tazeen</v>
      </c>
      <c r="G359" s="222" t="s">
        <v>179</v>
      </c>
      <c r="H359" s="223">
        <f>IFERROR(VLOOKUP(B359, Content_Creation!B:H, 7, FALSE), IFERROR(VLOOKUP(B359, Project_Management!B:H, 7, FALSE), ""))</f>
        <v>45241</v>
      </c>
      <c r="I359" s="224">
        <v>0.0</v>
      </c>
      <c r="J359" s="223">
        <f>IFERROR(VLOOKUP(C359, Content_Creation!B:H, 7, FALSE), IFERROR(VLOOKUP(C359, Project_Management!B:H, 7, FALSE), ""))</f>
        <v>45241</v>
      </c>
      <c r="K359" s="217"/>
      <c r="L359" s="225" t="str">
        <f>IFERROR(VLOOKUP(B359, Data_Validation!X:Y, 2, FALSE), "")</f>
        <v>Not Started</v>
      </c>
      <c r="M359" s="226" t="str">
        <f t="shared" si="1"/>
        <v>TheMVP | Nvidia L40s - YT Video | Upload</v>
      </c>
      <c r="N359" s="226"/>
      <c r="O359" s="226"/>
    </row>
    <row r="360" ht="24.0" customHeight="1">
      <c r="A360" s="216" t="str">
        <f>IFERROR(__xludf.DUMMYFUNCTION("ARRAYFORMULA(IFERROR(VLOOKUP(REGEXEXTRACT(B360, ""-(\w+)-""), {Data_Validation!$F$16:$F$29, Data_Validation!$E$16:$E$29}, 2, FALSE), """"))
"),"TheMVP")</f>
        <v>TheMVP</v>
      </c>
      <c r="B360" s="217" t="str">
        <f>IFERROR(__xludf.DUMMYFUNCTION("""COMPUTED_VALUE"""),"CC-MVP-81.01")</f>
        <v>CC-MVP-81.01</v>
      </c>
      <c r="C360" s="218" t="str">
        <f>IFERROR(__xludf.DUMMYFUNCTION("IFERROR(REGEXEXTRACT(B360, ""^[A-Z]+-[A-Z]+-"") &amp; TEXT(VALUE(REGEXEXTRACT(B360, ""-(\d+)\."")), ""00""), """")"),"CC-MVP-81")</f>
        <v>CC-MVP-81</v>
      </c>
      <c r="D360" s="219" t="str">
        <f>IFERROR(VLOOKUP(C360, Content_Creation!B:D, 2, FALSE), IFERROR(VLOOKUP(C360, Project_Management!B:D, 2, FALSE), ""))
&amp; " - "
&amp; IFERROR(VLOOKUP(C360, Content_Creation!B:E, 4, FALSE), IFERROR(VLOOKUP(C360, Project_Management!B:E, 4, FALSE), ""))</f>
        <v>Build Photo - L40s Server - Insta</v>
      </c>
      <c r="E360" s="220" t="str">
        <f>IFERROR(
    VLOOKUP(B359:B1001, Content_Creation!B:D, 3, FALSE),
    IFERROR(VLOOKUP(B359:B1001, Project_Management!B:D, 3, FALSE),"")
  )</f>
        <v>Script</v>
      </c>
      <c r="F360" s="221" t="str">
        <f>IFERROR(VLOOKUP(B360, Content_Creation!B:F, 5, FALSE), IFERROR(VLOOKUP(B360, Project_Management!B:F, 5, FALSE), ""))</f>
        <v>Naveen</v>
      </c>
      <c r="G360" s="222" t="s">
        <v>179</v>
      </c>
      <c r="H360" s="223">
        <f>IFERROR(VLOOKUP(B360, Content_Creation!B:H, 7, FALSE), IFERROR(VLOOKUP(B360, Project_Management!B:H, 7, FALSE), ""))</f>
        <v>45241</v>
      </c>
      <c r="I360" s="224">
        <v>0.0</v>
      </c>
      <c r="J360" s="223">
        <f>IFERROR(VLOOKUP(C360, Content_Creation!B:H, 7, FALSE), IFERROR(VLOOKUP(C360, Project_Management!B:H, 7, FALSE), ""))</f>
        <v>45241</v>
      </c>
      <c r="K360" s="217"/>
      <c r="L360" s="225" t="str">
        <f>IFERROR(VLOOKUP(B360, Data_Validation!X:Y, 2, FALSE), "")</f>
        <v>Not Started</v>
      </c>
      <c r="M360" s="226" t="str">
        <f t="shared" si="1"/>
        <v>TheMVP | Build Photo - L40s Server - Insta | Script</v>
      </c>
      <c r="N360" s="226"/>
      <c r="O360" s="226"/>
    </row>
    <row r="361" ht="24.0" customHeight="1">
      <c r="A361" s="216" t="str">
        <f>IFERROR(__xludf.DUMMYFUNCTION("ARRAYFORMULA(IFERROR(VLOOKUP(REGEXEXTRACT(B361, ""-(\w+)-""), {Data_Validation!$F$16:$F$29, Data_Validation!$E$16:$E$29}, 2, FALSE), """"))
"),"TheMVP")</f>
        <v>TheMVP</v>
      </c>
      <c r="B361" s="217" t="str">
        <f>IFERROR(__xludf.DUMMYFUNCTION("""COMPUTED_VALUE"""),"CC-MVP-81.03")</f>
        <v>CC-MVP-81.03</v>
      </c>
      <c r="C361" s="218" t="str">
        <f>IFERROR(__xludf.DUMMYFUNCTION("IFERROR(REGEXEXTRACT(B361, ""^[A-Z]+-[A-Z]+-"") &amp; TEXT(VALUE(REGEXEXTRACT(B361, ""-(\d+)\."")), ""00""), """")"),"CC-MVP-81")</f>
        <v>CC-MVP-81</v>
      </c>
      <c r="D361" s="219" t="str">
        <f>IFERROR(VLOOKUP(C361, Content_Creation!B:D, 2, FALSE), IFERROR(VLOOKUP(C361, Project_Management!B:D, 2, FALSE), ""))
&amp; " - "
&amp; IFERROR(VLOOKUP(C361, Content_Creation!B:E, 4, FALSE), IFERROR(VLOOKUP(C361, Project_Management!B:E, 4, FALSE), ""))</f>
        <v>Build Photo - L40s Server - Insta</v>
      </c>
      <c r="E361" s="220" t="str">
        <f>IFERROR(
    VLOOKUP(B360:B1001, Content_Creation!B:D, 3, FALSE),
    IFERROR(VLOOKUP(B360:B1001, Project_Management!B:D, 3, FALSE),"")
  )</f>
        <v>Edit</v>
      </c>
      <c r="F361" s="221" t="str">
        <f>IFERROR(VLOOKUP(B361, Content_Creation!B:F, 5, FALSE), IFERROR(VLOOKUP(B361, Project_Management!B:F, 5, FALSE), ""))</f>
        <v>Naveen</v>
      </c>
      <c r="G361" s="222" t="s">
        <v>179</v>
      </c>
      <c r="H361" s="223">
        <f>IFERROR(VLOOKUP(B361, Content_Creation!B:H, 7, FALSE), IFERROR(VLOOKUP(B361, Project_Management!B:H, 7, FALSE), ""))</f>
        <v>45241</v>
      </c>
      <c r="I361" s="224">
        <v>0.0</v>
      </c>
      <c r="J361" s="223">
        <f>IFERROR(VLOOKUP(C361, Content_Creation!B:H, 7, FALSE), IFERROR(VLOOKUP(C361, Project_Management!B:H, 7, FALSE), ""))</f>
        <v>45241</v>
      </c>
      <c r="K361" s="217"/>
      <c r="L361" s="225" t="str">
        <f>IFERROR(VLOOKUP(B361, Data_Validation!X:Y, 2, FALSE), "")</f>
        <v>Not Started</v>
      </c>
      <c r="M361" s="226" t="str">
        <f t="shared" si="1"/>
        <v>TheMVP | Build Photo - L40s Server - Insta | Edit</v>
      </c>
      <c r="N361" s="226"/>
      <c r="O361" s="226"/>
    </row>
    <row r="362" ht="24.0" customHeight="1">
      <c r="A362" s="216" t="str">
        <f>IFERROR(__xludf.DUMMYFUNCTION("ARRAYFORMULA(IFERROR(VLOOKUP(REGEXEXTRACT(B362, ""-(\w+)-""), {Data_Validation!$F$16:$F$29, Data_Validation!$E$16:$E$29}, 2, FALSE), """"))
"),"TheMVP")</f>
        <v>TheMVP</v>
      </c>
      <c r="B362" s="217" t="str">
        <f>IFERROR(__xludf.DUMMYFUNCTION("""COMPUTED_VALUE"""),"CC-MVP-81.04")</f>
        <v>CC-MVP-81.04</v>
      </c>
      <c r="C362" s="218" t="str">
        <f>IFERROR(__xludf.DUMMYFUNCTION("IFERROR(REGEXEXTRACT(B362, ""^[A-Z]+-[A-Z]+-"") &amp; TEXT(VALUE(REGEXEXTRACT(B362, ""-(\d+)\."")), ""00""), """")"),"CC-MVP-81")</f>
        <v>CC-MVP-81</v>
      </c>
      <c r="D362" s="219" t="str">
        <f>IFERROR(VLOOKUP(C362, Content_Creation!B:D, 2, FALSE), IFERROR(VLOOKUP(C362, Project_Management!B:D, 2, FALSE), ""))
&amp; " - "
&amp; IFERROR(VLOOKUP(C362, Content_Creation!B:E, 4, FALSE), IFERROR(VLOOKUP(C362, Project_Management!B:E, 4, FALSE), ""))</f>
        <v>Build Photo - L40s Server - Insta</v>
      </c>
      <c r="E362" s="220" t="str">
        <f>IFERROR(
    VLOOKUP(B361:B1001, Content_Creation!B:D, 3, FALSE),
    IFERROR(VLOOKUP(B361:B1001, Project_Management!B:D, 3, FALSE),"")
  )</f>
        <v>Upload</v>
      </c>
      <c r="F362" s="221" t="str">
        <f>IFERROR(VLOOKUP(B362, Content_Creation!B:F, 5, FALSE), IFERROR(VLOOKUP(B362, Project_Management!B:F, 5, FALSE), ""))</f>
        <v>Talha</v>
      </c>
      <c r="G362" s="222" t="s">
        <v>179</v>
      </c>
      <c r="H362" s="223">
        <f>IFERROR(VLOOKUP(B362, Content_Creation!B:H, 7, FALSE), IFERROR(VLOOKUP(B362, Project_Management!B:H, 7, FALSE), ""))</f>
        <v>45241</v>
      </c>
      <c r="I362" s="224">
        <v>0.0</v>
      </c>
      <c r="J362" s="223">
        <f>IFERROR(VLOOKUP(C362, Content_Creation!B:H, 7, FALSE), IFERROR(VLOOKUP(C362, Project_Management!B:H, 7, FALSE), ""))</f>
        <v>45241</v>
      </c>
      <c r="K362" s="217"/>
      <c r="L362" s="225" t="str">
        <f>IFERROR(VLOOKUP(B362, Data_Validation!X:Y, 2, FALSE), "")</f>
        <v>Not Started</v>
      </c>
      <c r="M362" s="226" t="str">
        <f t="shared" si="1"/>
        <v>TheMVP | Build Photo - L40s Server - Insta | Upload</v>
      </c>
      <c r="N362" s="226"/>
      <c r="O362" s="226"/>
    </row>
    <row r="363" ht="24.0" customHeight="1">
      <c r="A363" s="216" t="str">
        <f>IFERROR(__xludf.DUMMYFUNCTION("ARRAYFORMULA(IFERROR(VLOOKUP(REGEXEXTRACT(B363, ""-(\w+)-""), {Data_Validation!$F$16:$F$29, Data_Validation!$E$16:$E$29}, 2, FALSE), """"))
"),"TheMVP")</f>
        <v>TheMVP</v>
      </c>
      <c r="B363" s="217" t="str">
        <f>IFERROR(__xludf.DUMMYFUNCTION("""COMPUTED_VALUE"""),"CC-MVP-106.04")</f>
        <v>CC-MVP-106.04</v>
      </c>
      <c r="C363" s="218" t="str">
        <f>IFERROR(__xludf.DUMMYFUNCTION("IFERROR(REGEXEXTRACT(B363, ""^[A-Z]+-[A-Z]+-"") &amp; TEXT(VALUE(REGEXEXTRACT(B363, ""-(\d+)\."")), ""00""), """")"),"CC-MVP-106")</f>
        <v>CC-MVP-106</v>
      </c>
      <c r="D363" s="219" t="str">
        <f>IFERROR(VLOOKUP(C363, Content_Creation!B:D, 2, FALSE), IFERROR(VLOOKUP(C363, Project_Management!B:D, 2, FALSE), ""))
&amp; " - "
&amp; IFERROR(VLOOKUP(C363, Content_Creation!B:E, 4, FALSE), IFERROR(VLOOKUP(C363, Project_Management!B:E, 4, FALSE), ""))</f>
        <v>Idea Pending - Tweet</v>
      </c>
      <c r="E363" s="220" t="str">
        <f>IFERROR(
    VLOOKUP(B362:B1001, Content_Creation!B:D, 3, FALSE),
    IFERROR(VLOOKUP(B362:B1001, Project_Management!B:D, 3, FALSE),"")
  )</f>
        <v>Upload</v>
      </c>
      <c r="F363" s="221" t="str">
        <f>IFERROR(VLOOKUP(B363, Content_Creation!B:F, 5, FALSE), IFERROR(VLOOKUP(B363, Project_Management!B:F, 5, FALSE), ""))</f>
        <v>Tazeen</v>
      </c>
      <c r="G363" s="222" t="s">
        <v>179</v>
      </c>
      <c r="H363" s="223">
        <f>IFERROR(VLOOKUP(B363, Content_Creation!B:H, 7, FALSE), IFERROR(VLOOKUP(B363, Project_Management!B:H, 7, FALSE), ""))</f>
        <v>45241.60398</v>
      </c>
      <c r="I363" s="224">
        <v>0.08333333333333333</v>
      </c>
      <c r="J363" s="223">
        <f>IFERROR(VLOOKUP(C363, Content_Creation!B:H, 7, FALSE), IFERROR(VLOOKUP(C363, Project_Management!B:H, 7, FALSE), ""))</f>
        <v>45241.60398</v>
      </c>
      <c r="K363" s="217"/>
      <c r="L363" s="225" t="str">
        <f>IFERROR(VLOOKUP(B363, Data_Validation!X:Y, 2, FALSE), "")</f>
        <v>Not Started</v>
      </c>
      <c r="M363" s="226" t="str">
        <f t="shared" si="1"/>
        <v>TheMVP | Idea Pending - Tweet | Upload</v>
      </c>
      <c r="N363" s="226"/>
      <c r="O363" s="226"/>
    </row>
    <row r="364" ht="24.0" customHeight="1">
      <c r="A364" s="216" t="str">
        <f>IFERROR(__xludf.DUMMYFUNCTION("ARRAYFORMULA(IFERROR(VLOOKUP(REGEXEXTRACT(B364, ""-(\w+)-""), {Data_Validation!$F$16:$F$29, Data_Validation!$E$16:$E$29}, 2, FALSE), """"))
"),"TheMVP")</f>
        <v>TheMVP</v>
      </c>
      <c r="B364" s="217" t="str">
        <f>IFERROR(__xludf.DUMMYFUNCTION("""COMPUTED_VALUE"""),"CC-MVP-115.04")</f>
        <v>CC-MVP-115.04</v>
      </c>
      <c r="C364" s="218" t="str">
        <f>IFERROR(__xludf.DUMMYFUNCTION("IFERROR(REGEXEXTRACT(B364, ""^[A-Z]+-[A-Z]+-"") &amp; TEXT(VALUE(REGEXEXTRACT(B364, ""-(\d+)\."")), ""00""), """")"),"CC-MVP-115")</f>
        <v>CC-MVP-115</v>
      </c>
      <c r="D364" s="219" t="str">
        <f>IFERROR(VLOOKUP(C364, Content_Creation!B:D, 2, FALSE), IFERROR(VLOOKUP(C364, Project_Management!B:D, 2, FALSE), ""))
&amp; " - "
&amp; IFERROR(VLOOKUP(C364, Content_Creation!B:E, 4, FALSE), IFERROR(VLOOKUP(C364, Project_Management!B:E, 4, FALSE), ""))</f>
        <v>Diwali Post - Story</v>
      </c>
      <c r="E364" s="220" t="str">
        <f>IFERROR(
    VLOOKUP(B363:B1001, Content_Creation!B:D, 3, FALSE),
    IFERROR(VLOOKUP(B363:B1001, Project_Management!B:D, 3, FALSE),"")
  )</f>
        <v>Upload</v>
      </c>
      <c r="F364" s="221" t="str">
        <f>IFERROR(VLOOKUP(B364, Content_Creation!B:F, 5, FALSE), IFERROR(VLOOKUP(B364, Project_Management!B:F, 5, FALSE), ""))</f>
        <v>Nasser</v>
      </c>
      <c r="G364" s="222" t="s">
        <v>179</v>
      </c>
      <c r="H364" s="223">
        <f>IFERROR(VLOOKUP(B364, Content_Creation!B:H, 7, FALSE), IFERROR(VLOOKUP(B364, Project_Management!B:H, 7, FALSE), ""))</f>
        <v>45241</v>
      </c>
      <c r="I364" s="224">
        <v>0.0</v>
      </c>
      <c r="J364" s="223">
        <f>IFERROR(VLOOKUP(C364, Content_Creation!B:H, 7, FALSE), IFERROR(VLOOKUP(C364, Project_Management!B:H, 7, FALSE), ""))</f>
        <v>45241</v>
      </c>
      <c r="K364" s="217"/>
      <c r="L364" s="225" t="str">
        <f>IFERROR(VLOOKUP(B364, Data_Validation!X:Y, 2, FALSE), "")</f>
        <v>Not Started</v>
      </c>
      <c r="M364" s="226" t="str">
        <f t="shared" si="1"/>
        <v>TheMVP | Diwali Post - Story | Upload</v>
      </c>
      <c r="N364" s="226"/>
      <c r="O364" s="226"/>
    </row>
    <row r="365" ht="24.0" customHeight="1">
      <c r="A365" s="216" t="str">
        <f>IFERROR(__xludf.DUMMYFUNCTION("ARRAYFORMULA(IFERROR(VLOOKUP(REGEXEXTRACT(B365, ""-(\w+)-""), {Data_Validation!$F$16:$F$29, Data_Validation!$E$16:$E$29}, 2, FALSE), """"))
"),"TheMVP")</f>
        <v>TheMVP</v>
      </c>
      <c r="B365" s="217" t="str">
        <f>IFERROR(__xludf.DUMMYFUNCTION("""COMPUTED_VALUE"""),"CC-MVP-76.06")</f>
        <v>CC-MVP-76.06</v>
      </c>
      <c r="C365" s="218" t="str">
        <f>IFERROR(__xludf.DUMMYFUNCTION("IFERROR(REGEXEXTRACT(B365, ""^[A-Z]+-[A-Z]+-"") &amp; TEXT(VALUE(REGEXEXTRACT(B365, ""-(\d+)\."")), ""00""), """")"),"CC-MVP-76")</f>
        <v>CC-MVP-76</v>
      </c>
      <c r="D365" s="219" t="str">
        <f>IFERROR(VLOOKUP(C365, Content_Creation!B:D, 2, FALSE), IFERROR(VLOOKUP(C365, Project_Management!B:D, 2, FALSE), ""))
&amp; " - "
&amp; IFERROR(VLOOKUP(C365, Content_Creation!B:E, 4, FALSE), IFERROR(VLOOKUP(C365, Project_Management!B:E, 4, FALSE), ""))</f>
        <v>12 Lakh GPU - Nvidia L40s - Shorts</v>
      </c>
      <c r="E365" s="220" t="str">
        <f>IFERROR(
    VLOOKUP(B364:B1001, Content_Creation!B:D, 3, FALSE),
    IFERROR(VLOOKUP(B364:B1001, Project_Management!B:D, 3, FALSE),"")
  )</f>
        <v>Edit</v>
      </c>
      <c r="F365" s="221" t="str">
        <f>IFERROR(VLOOKUP(B365, Content_Creation!B:F, 5, FALSE), IFERROR(VLOOKUP(B365, Project_Management!B:F, 5, FALSE), ""))</f>
        <v>Naveen</v>
      </c>
      <c r="G365" s="222" t="s">
        <v>179</v>
      </c>
      <c r="H365" s="223">
        <f>IFERROR(VLOOKUP(B365, Content_Creation!B:H, 7, FALSE), IFERROR(VLOOKUP(B365, Project_Management!B:H, 7, FALSE), ""))</f>
        <v>45241</v>
      </c>
      <c r="I365" s="224">
        <v>0.0</v>
      </c>
      <c r="J365" s="223">
        <f>IFERROR(VLOOKUP(C365, Content_Creation!B:H, 7, FALSE), IFERROR(VLOOKUP(C365, Project_Management!B:H, 7, FALSE), ""))</f>
        <v>45242</v>
      </c>
      <c r="K365" s="217"/>
      <c r="L365" s="225" t="str">
        <f>IFERROR(VLOOKUP(B365, Data_Validation!X:Y, 2, FALSE), "")</f>
        <v>Not Started</v>
      </c>
      <c r="M365" s="226" t="str">
        <f t="shared" si="1"/>
        <v>TheMVP | 12 Lakh GPU - Nvidia L40s - Shorts | Edit</v>
      </c>
      <c r="N365" s="226"/>
      <c r="O365" s="226"/>
    </row>
    <row r="366" ht="24.0" customHeight="1">
      <c r="A366" s="216" t="str">
        <f>IFERROR(__xludf.DUMMYFUNCTION("ARRAYFORMULA(IFERROR(VLOOKUP(REGEXEXTRACT(B366, ""-(\w+)-""), {Data_Validation!$F$16:$F$29, Data_Validation!$E$16:$E$29}, 2, FALSE), """"))
"),"TheMVP")</f>
        <v>TheMVP</v>
      </c>
      <c r="B366" s="217" t="str">
        <f>IFERROR(__xludf.DUMMYFUNCTION("""COMPUTED_VALUE"""),"CC-MVP-76.07")</f>
        <v>CC-MVP-76.07</v>
      </c>
      <c r="C366" s="218" t="str">
        <f>IFERROR(__xludf.DUMMYFUNCTION("IFERROR(REGEXEXTRACT(B366, ""^[A-Z]+-[A-Z]+-"") &amp; TEXT(VALUE(REGEXEXTRACT(B366, ""-(\d+)\."")), ""00""), """")"),"CC-MVP-76")</f>
        <v>CC-MVP-76</v>
      </c>
      <c r="D366" s="219" t="str">
        <f>IFERROR(VLOOKUP(C366, Content_Creation!B:D, 2, FALSE), IFERROR(VLOOKUP(C366, Project_Management!B:D, 2, FALSE), ""))
&amp; " - "
&amp; IFERROR(VLOOKUP(C366, Content_Creation!B:E, 4, FALSE), IFERROR(VLOOKUP(C366, Project_Management!B:E, 4, FALSE), ""))</f>
        <v>12 Lakh GPU - Nvidia L40s - Shorts</v>
      </c>
      <c r="E366" s="220" t="str">
        <f>IFERROR(
    VLOOKUP(B365:B1001, Content_Creation!B:D, 3, FALSE),
    IFERROR(VLOOKUP(B365:B1001, Project_Management!B:D, 3, FALSE),"")
  )</f>
        <v>Thumbnail</v>
      </c>
      <c r="F366" s="221" t="str">
        <f>IFERROR(VLOOKUP(B366, Content_Creation!B:F, 5, FALSE), IFERROR(VLOOKUP(B366, Project_Management!B:F, 5, FALSE), ""))</f>
        <v>Akhil</v>
      </c>
      <c r="G366" s="222" t="s">
        <v>179</v>
      </c>
      <c r="H366" s="223">
        <f>IFERROR(VLOOKUP(B366, Content_Creation!B:H, 7, FALSE), IFERROR(VLOOKUP(B366, Project_Management!B:H, 7, FALSE), ""))</f>
        <v>45241</v>
      </c>
      <c r="I366" s="224">
        <v>0.0</v>
      </c>
      <c r="J366" s="223">
        <f>IFERROR(VLOOKUP(C366, Content_Creation!B:H, 7, FALSE), IFERROR(VLOOKUP(C366, Project_Management!B:H, 7, FALSE), ""))</f>
        <v>45242</v>
      </c>
      <c r="K366" s="217"/>
      <c r="L366" s="225" t="str">
        <f>IFERROR(VLOOKUP(B366, Data_Validation!X:Y, 2, FALSE), "")</f>
        <v>Not Started</v>
      </c>
      <c r="M366" s="226" t="str">
        <f t="shared" si="1"/>
        <v>TheMVP | 12 Lakh GPU - Nvidia L40s - Shorts | Thumbnail</v>
      </c>
      <c r="N366" s="226"/>
      <c r="O366" s="226"/>
    </row>
    <row r="367" ht="24.0" customHeight="1">
      <c r="A367" s="216" t="str">
        <f>IFERROR(__xludf.DUMMYFUNCTION("ARRAYFORMULA(IFERROR(VLOOKUP(REGEXEXTRACT(B367, ""-(\w+)-""), {Data_Validation!$F$16:$F$29, Data_Validation!$E$16:$E$29}, 2, FALSE), """"))
"),"TheMVP")</f>
        <v>TheMVP</v>
      </c>
      <c r="B367" s="217" t="str">
        <f>IFERROR(__xludf.DUMMYFUNCTION("""COMPUTED_VALUE"""),"CC-MVP-94.02")</f>
        <v>CC-MVP-94.02</v>
      </c>
      <c r="C367" s="218" t="str">
        <f>IFERROR(__xludf.DUMMYFUNCTION("IFERROR(REGEXEXTRACT(B367, ""^[A-Z]+-[A-Z]+-"") &amp; TEXT(VALUE(REGEXEXTRACT(B367, ""-(\d+)\."")), ""00""), """")"),"CC-MVP-94")</f>
        <v>CC-MVP-94</v>
      </c>
      <c r="D367" s="219" t="str">
        <f>IFERROR(VLOOKUP(C367, Content_Creation!B:D, 2, FALSE), IFERROR(VLOOKUP(C367, Project_Management!B:D, 2, FALSE), ""))
&amp; " - "
&amp; IFERROR(VLOOKUP(C367, Content_Creation!B:E, 4, FALSE), IFERROR(VLOOKUP(C367, Project_Management!B:E, 4, FALSE), ""))</f>
        <v>TrueNAS Setup Revamp - Blog</v>
      </c>
      <c r="E367" s="220" t="str">
        <f>IFERROR(
    VLOOKUP(B366:B1001, Content_Creation!B:D, 3, FALSE),
    IFERROR(VLOOKUP(B366:B1001, Project_Management!B:D, 3, FALSE),"")
  )</f>
        <v>Edit</v>
      </c>
      <c r="F367" s="221" t="str">
        <f>IFERROR(VLOOKUP(B367, Content_Creation!B:F, 5, FALSE), IFERROR(VLOOKUP(B367, Project_Management!B:F, 5, FALSE), ""))</f>
        <v>Nasser</v>
      </c>
      <c r="G367" s="222" t="s">
        <v>179</v>
      </c>
      <c r="H367" s="223">
        <f>IFERROR(VLOOKUP(B367, Content_Creation!B:H, 7, FALSE), IFERROR(VLOOKUP(B367, Project_Management!B:H, 7, FALSE), ""))</f>
        <v>45241</v>
      </c>
      <c r="I367" s="224">
        <v>0.0</v>
      </c>
      <c r="J367" s="223">
        <f>IFERROR(VLOOKUP(C367, Content_Creation!B:H, 7, FALSE), IFERROR(VLOOKUP(C367, Project_Management!B:H, 7, FALSE), ""))</f>
        <v>45243</v>
      </c>
      <c r="K367" s="217"/>
      <c r="L367" s="225" t="str">
        <f>IFERROR(VLOOKUP(B367, Data_Validation!X:Y, 2, FALSE), "")</f>
        <v>Not Started</v>
      </c>
      <c r="M367" s="226" t="str">
        <f t="shared" si="1"/>
        <v>TheMVP | TrueNAS Setup Revamp - Blog | Edit</v>
      </c>
      <c r="N367" s="226"/>
      <c r="O367" s="226"/>
    </row>
    <row r="368" ht="24.0" customHeight="1">
      <c r="A368" s="216" t="str">
        <f>IFERROR(__xludf.DUMMYFUNCTION("ARRAYFORMULA(IFERROR(VLOOKUP(REGEXEXTRACT(B368, ""-(\w+)-""), {Data_Validation!$F$16:$F$29, Data_Validation!$E$16:$E$29}, 2, FALSE), """"))
"),"TheMVP")</f>
        <v>TheMVP</v>
      </c>
      <c r="B368" s="217" t="str">
        <f>IFERROR(__xludf.DUMMYFUNCTION("""COMPUTED_VALUE"""),"CC-MVP-102.02")</f>
        <v>CC-MVP-102.02</v>
      </c>
      <c r="C368" s="218" t="str">
        <f>IFERROR(__xludf.DUMMYFUNCTION("IFERROR(REGEXEXTRACT(B368, ""^[A-Z]+-[A-Z]+-"") &amp; TEXT(VALUE(REGEXEXTRACT(B368, ""-(\d+)\."")), ""00""), """")"),"CC-MVP-102")</f>
        <v>CC-MVP-102</v>
      </c>
      <c r="D368" s="219" t="str">
        <f>IFERROR(VLOOKUP(C368, Content_Creation!B:D, 2, FALSE), IFERROR(VLOOKUP(C368, Project_Management!B:D, 2, FALSE), ""))
&amp; " - "
&amp; IFERROR(VLOOKUP(C368, Content_Creation!B:E, 4, FALSE), IFERROR(VLOOKUP(C368, Project_Management!B:E, 4, FALSE), ""))</f>
        <v>Custom PC for VFX Worflow - Linkedin</v>
      </c>
      <c r="E368" s="220" t="str">
        <f>IFERROR(
    VLOOKUP(B367:B1001, Content_Creation!B:D, 3, FALSE),
    IFERROR(VLOOKUP(B367:B1001, Project_Management!B:D, 3, FALSE),"")
  )</f>
        <v>Edit</v>
      </c>
      <c r="F368" s="221" t="str">
        <f>IFERROR(VLOOKUP(B368, Content_Creation!B:F, 5, FALSE), IFERROR(VLOOKUP(B368, Project_Management!B:F, 5, FALSE), ""))</f>
        <v>Nasser</v>
      </c>
      <c r="G368" s="222" t="s">
        <v>179</v>
      </c>
      <c r="H368" s="223">
        <f>IFERROR(VLOOKUP(B368, Content_Creation!B:H, 7, FALSE), IFERROR(VLOOKUP(B368, Project_Management!B:H, 7, FALSE), ""))</f>
        <v>45241</v>
      </c>
      <c r="I368" s="224">
        <v>0.0</v>
      </c>
      <c r="J368" s="223">
        <f>IFERROR(VLOOKUP(C368, Content_Creation!B:H, 7, FALSE), IFERROR(VLOOKUP(C368, Project_Management!B:H, 7, FALSE), ""))</f>
        <v>45243</v>
      </c>
      <c r="K368" s="217"/>
      <c r="L368" s="225" t="str">
        <f>IFERROR(VLOOKUP(B368, Data_Validation!X:Y, 2, FALSE), "")</f>
        <v>Not Started</v>
      </c>
      <c r="M368" s="226" t="str">
        <f t="shared" si="1"/>
        <v>TheMVP | Custom PC for VFX Worflow - Linkedin | Edit</v>
      </c>
      <c r="N368" s="226"/>
      <c r="O368" s="226"/>
    </row>
    <row r="369" ht="24.0" customHeight="1">
      <c r="A369" s="216" t="str">
        <f>IFERROR(__xludf.DUMMYFUNCTION("ARRAYFORMULA(IFERROR(VLOOKUP(REGEXEXTRACT(B369, ""-(\w+)-""), {Data_Validation!$F$16:$F$29, Data_Validation!$E$16:$E$29}, 2, FALSE), """"))
"),"TheMVP")</f>
        <v>TheMVP</v>
      </c>
      <c r="B369" s="217" t="str">
        <f>IFERROR(__xludf.DUMMYFUNCTION("""COMPUTED_VALUE"""),"CC-MVP-82.05")</f>
        <v>CC-MVP-82.05</v>
      </c>
      <c r="C369" s="218" t="str">
        <f>IFERROR(__xludf.DUMMYFUNCTION("IFERROR(REGEXEXTRACT(B369, ""^[A-Z]+-[A-Z]+-"") &amp; TEXT(VALUE(REGEXEXTRACT(B369, ""-(\d+)\."")), ""00""), """")"),"CC-MVP-82")</f>
        <v>CC-MVP-82</v>
      </c>
      <c r="D369" s="219" t="str">
        <f>IFERROR(VLOOKUP(C369, Content_Creation!B:D, 2, FALSE), IFERROR(VLOOKUP(C369, Project_Management!B:D, 2, FALSE), ""))
&amp; " - "
&amp; IFERROR(VLOOKUP(C369, Content_Creation!B:E, 4, FALSE), IFERROR(VLOOKUP(C369, Project_Management!B:E, 4, FALSE), ""))</f>
        <v>G613 Keyboard - Logi Offer - Shorts</v>
      </c>
      <c r="E369" s="220" t="str">
        <f>IFERROR(
    VLOOKUP(B368:B1001, Content_Creation!B:D, 3, FALSE),
    IFERROR(VLOOKUP(B368:B1001, Project_Management!B:D, 3, FALSE),"")
  )</f>
        <v>Edit</v>
      </c>
      <c r="F369" s="221" t="str">
        <f>IFERROR(VLOOKUP(B369, Content_Creation!B:F, 5, FALSE), IFERROR(VLOOKUP(B369, Project_Management!B:F, 5, FALSE), ""))</f>
        <v/>
      </c>
      <c r="G369" s="222" t="s">
        <v>179</v>
      </c>
      <c r="H369" s="223">
        <f>IFERROR(VLOOKUP(B369, Content_Creation!B:H, 7, FALSE), IFERROR(VLOOKUP(B369, Project_Management!B:H, 7, FALSE), ""))</f>
        <v>45241</v>
      </c>
      <c r="I369" s="224">
        <v>0.0</v>
      </c>
      <c r="J369" s="223">
        <f>IFERROR(VLOOKUP(C369, Content_Creation!B:H, 7, FALSE), IFERROR(VLOOKUP(C369, Project_Management!B:H, 7, FALSE), ""))</f>
        <v>45243</v>
      </c>
      <c r="K369" s="217"/>
      <c r="L369" s="225" t="str">
        <f>IFERROR(VLOOKUP(B369, Data_Validation!X:Y, 2, FALSE), "")</f>
        <v>Not Started</v>
      </c>
      <c r="M369" s="226" t="str">
        <f t="shared" si="1"/>
        <v>TheMVP | G613 Keyboard - Logi Offer - Shorts | Edit</v>
      </c>
      <c r="N369" s="226"/>
      <c r="O369" s="226"/>
    </row>
    <row r="370" ht="24.0" customHeight="1">
      <c r="A370" s="216" t="str">
        <f>IFERROR(__xludf.DUMMYFUNCTION("ARRAYFORMULA(IFERROR(VLOOKUP(REGEXEXTRACT(B370, ""-(\w+)-""), {Data_Validation!$F$16:$F$29, Data_Validation!$E$16:$E$29}, 2, FALSE), """"))
"),"TheMVP")</f>
        <v>TheMVP</v>
      </c>
      <c r="B370" s="217" t="str">
        <f>IFERROR(__xludf.DUMMYFUNCTION("""COMPUTED_VALUE"""),"CC-MVP-107.01")</f>
        <v>CC-MVP-107.01</v>
      </c>
      <c r="C370" s="218" t="str">
        <f>IFERROR(__xludf.DUMMYFUNCTION("IFERROR(REGEXEXTRACT(B370, ""^[A-Z]+-[A-Z]+-"") &amp; TEXT(VALUE(REGEXEXTRACT(B370, ""-(\d+)\."")), ""00""), """")"),"CC-MVP-107")</f>
        <v>CC-MVP-107</v>
      </c>
      <c r="D370" s="219" t="str">
        <f>IFERROR(VLOOKUP(C370, Content_Creation!B:D, 2, FALSE), IFERROR(VLOOKUP(C370, Project_Management!B:D, 2, FALSE), ""))
&amp; " - "
&amp; IFERROR(VLOOKUP(C370, Content_Creation!B:E, 4, FALSE), IFERROR(VLOOKUP(C370, Project_Management!B:E, 4, FALSE), ""))</f>
        <v>Idea Pending - Tweet</v>
      </c>
      <c r="E370" s="220" t="str">
        <f>IFERROR(
    VLOOKUP(B369:B1001, Content_Creation!B:D, 3, FALSE),
    IFERROR(VLOOKUP(B369:B1001, Project_Management!B:D, 3, FALSE),"")
  )</f>
        <v>Script</v>
      </c>
      <c r="F370" s="221" t="str">
        <f>IFERROR(VLOOKUP(B370, Content_Creation!B:F, 5, FALSE), IFERROR(VLOOKUP(B370, Project_Management!B:F, 5, FALSE), ""))</f>
        <v>Tazeen</v>
      </c>
      <c r="G370" s="222" t="s">
        <v>179</v>
      </c>
      <c r="H370" s="223">
        <f>IFERROR(VLOOKUP(B370, Content_Creation!B:H, 7, FALSE), IFERROR(VLOOKUP(B370, Project_Management!B:H, 7, FALSE), ""))</f>
        <v>45241</v>
      </c>
      <c r="I370" s="224">
        <v>0.0</v>
      </c>
      <c r="J370" s="223">
        <f>IFERROR(VLOOKUP(C370, Content_Creation!B:H, 7, FALSE), IFERROR(VLOOKUP(C370, Project_Management!B:H, 7, FALSE), ""))</f>
        <v>45244</v>
      </c>
      <c r="K370" s="217"/>
      <c r="L370" s="225" t="str">
        <f>IFERROR(VLOOKUP(B370, Data_Validation!X:Y, 2, FALSE), "")</f>
        <v>Not Started</v>
      </c>
      <c r="M370" s="226" t="str">
        <f t="shared" si="1"/>
        <v>TheMVP | Idea Pending - Tweet | Script</v>
      </c>
      <c r="N370" s="226"/>
      <c r="O370" s="226"/>
    </row>
    <row r="371" ht="24.0" customHeight="1">
      <c r="A371" s="216" t="str">
        <f>IFERROR(__xludf.DUMMYFUNCTION("ARRAYFORMULA(IFERROR(VLOOKUP(REGEXEXTRACT(B371, ""-(\w+)-""), {Data_Validation!$F$16:$F$29, Data_Validation!$E$16:$E$29}, 2, FALSE), """"))
"),"TheMVP")</f>
        <v>TheMVP</v>
      </c>
      <c r="B371" s="217" t="str">
        <f>IFERROR(__xludf.DUMMYFUNCTION("""COMPUTED_VALUE"""),"CC-MVP-83.03")</f>
        <v>CC-MVP-83.03</v>
      </c>
      <c r="C371" s="218" t="str">
        <f>IFERROR(__xludf.DUMMYFUNCTION("IFERROR(REGEXEXTRACT(B371, ""^[A-Z]+-[A-Z]+-"") &amp; TEXT(VALUE(REGEXEXTRACT(B371, ""-(\d+)\."")), ""00""), """")"),"CC-MVP-83")</f>
        <v>CC-MVP-83</v>
      </c>
      <c r="D371" s="219" t="str">
        <f>IFERROR(VLOOKUP(C371, Content_Creation!B:D, 2, FALSE), IFERROR(VLOOKUP(C371, Project_Management!B:D, 2, FALSE), ""))
&amp; " - "
&amp; IFERROR(VLOOKUP(C371, Content_Creation!B:E, 4, FALSE), IFERROR(VLOOKUP(C371, Project_Management!B:E, 4, FALSE), ""))</f>
        <v>G Pro TKL - Logi Offer - Shorts</v>
      </c>
      <c r="E371" s="220" t="str">
        <f>IFERROR(
    VLOOKUP(B370:B1001, Content_Creation!B:D, 3, FALSE),
    IFERROR(VLOOKUP(B370:B1001, Project_Management!B:D, 3, FALSE),"")
  )</f>
        <v>Timeline</v>
      </c>
      <c r="F371" s="221" t="str">
        <f>IFERROR(VLOOKUP(B371, Content_Creation!B:F, 5, FALSE), IFERROR(VLOOKUP(B371, Project_Management!B:F, 5, FALSE), ""))</f>
        <v/>
      </c>
      <c r="G371" s="222" t="s">
        <v>179</v>
      </c>
      <c r="H371" s="223">
        <f>IFERROR(VLOOKUP(B371, Content_Creation!B:H, 7, FALSE), IFERROR(VLOOKUP(B371, Project_Management!B:H, 7, FALSE), ""))</f>
        <v>45241</v>
      </c>
      <c r="I371" s="224">
        <v>0.0</v>
      </c>
      <c r="J371" s="223">
        <f>IFERROR(VLOOKUP(C371, Content_Creation!B:H, 7, FALSE), IFERROR(VLOOKUP(C371, Project_Management!B:H, 7, FALSE), ""))</f>
        <v>45245</v>
      </c>
      <c r="K371" s="217"/>
      <c r="L371" s="225" t="str">
        <f>IFERROR(VLOOKUP(B371, Data_Validation!X:Y, 2, FALSE), "")</f>
        <v>Not Started</v>
      </c>
      <c r="M371" s="226" t="str">
        <f t="shared" si="1"/>
        <v>TheMVP | G Pro TKL - Logi Offer - Shorts | Timeline</v>
      </c>
      <c r="N371" s="226"/>
      <c r="O371" s="226"/>
    </row>
    <row r="372" ht="24.0" customHeight="1">
      <c r="A372" s="216" t="str">
        <f>IFERROR(__xludf.DUMMYFUNCTION("ARRAYFORMULA(IFERROR(VLOOKUP(REGEXEXTRACT(B372, ""-(\w+)-""), {Data_Validation!$F$16:$F$29, Data_Validation!$E$16:$E$29}, 2, FALSE), """"))
"),"TheMVP")</f>
        <v>TheMVP</v>
      </c>
      <c r="B372" s="217" t="str">
        <f>IFERROR(__xludf.DUMMYFUNCTION("""COMPUTED_VALUE"""),"CC-MVP-114.01")</f>
        <v>CC-MVP-114.01</v>
      </c>
      <c r="C372" s="218" t="str">
        <f>IFERROR(__xludf.DUMMYFUNCTION("IFERROR(REGEXEXTRACT(B372, ""^[A-Z]+-[A-Z]+-"") &amp; TEXT(VALUE(REGEXEXTRACT(B372, ""-(\d+)\."")), ""00""), """")"),"CC-MVP-114")</f>
        <v>CC-MVP-114</v>
      </c>
      <c r="D372" s="219" t="str">
        <f>IFERROR(VLOOKUP(C372, Content_Creation!B:D, 2, FALSE), IFERROR(VLOOKUP(C372, Project_Management!B:D, 2, FALSE), ""))
&amp; " - "
&amp; IFERROR(VLOOKUP(C372, Content_Creation!B:E, 4, FALSE), IFERROR(VLOOKUP(C372, Project_Management!B:E, 4, FALSE), ""))</f>
        <v>Build a PC for Ansys - Shorts</v>
      </c>
      <c r="E372" s="217" t="str">
        <f>IFERROR(
    VLOOKUP(B371:B1001, Content_Creation!B:D, 3, FALSE),
    IFERROR(VLOOKUP(B371:B1001, Project_Management!B:D, 3, FALSE),"")
  )</f>
        <v>Script</v>
      </c>
      <c r="F372" s="221" t="str">
        <f>IFERROR(VLOOKUP(B372, Content_Creation!B:F, 5, FALSE), IFERROR(VLOOKUP(B372, Project_Management!B:F, 5, FALSE), ""))</f>
        <v>Nasser</v>
      </c>
      <c r="G372" s="222" t="s">
        <v>179</v>
      </c>
      <c r="H372" s="223">
        <f>IFERROR(VLOOKUP(B372, Content_Creation!B:H, 7, FALSE), IFERROR(VLOOKUP(B372, Project_Management!B:H, 7, FALSE), ""))</f>
        <v>45241</v>
      </c>
      <c r="I372" s="224">
        <v>0.0</v>
      </c>
      <c r="J372" s="223">
        <f>IFERROR(VLOOKUP(C372, Content_Creation!B:H, 7, FALSE), IFERROR(VLOOKUP(C372, Project_Management!B:H, 7, FALSE), ""))</f>
        <v>45247.62168</v>
      </c>
      <c r="K372" s="217"/>
      <c r="L372" s="225" t="str">
        <f>IFERROR(VLOOKUP(B372, Data_Validation!X:Y, 2, FALSE), "")</f>
        <v>Not Started</v>
      </c>
      <c r="M372" s="226" t="str">
        <f t="shared" si="1"/>
        <v>TheMVP | Build a PC for Ansys - Shorts | Script</v>
      </c>
      <c r="N372" s="226"/>
      <c r="O372" s="226"/>
    </row>
    <row r="373" ht="24.0" customHeight="1">
      <c r="A373" s="216" t="str">
        <f>IFERROR(__xludf.DUMMYFUNCTION("ARRAYFORMULA(IFERROR(VLOOKUP(REGEXEXTRACT(B373, ""-(\w+)-""), {Data_Validation!$F$16:$F$29, Data_Validation!$E$16:$E$29}, 2, FALSE), """"))
"),"TheMVP")</f>
        <v>TheMVP</v>
      </c>
      <c r="B373" s="217" t="str">
        <f>IFERROR(__xludf.DUMMYFUNCTION("""COMPUTED_VALUE"""),"CC-MVP-117.01")</f>
        <v>CC-MVP-117.01</v>
      </c>
      <c r="C373" s="218" t="str">
        <f>IFERROR(__xludf.DUMMYFUNCTION("IFERROR(REGEXEXTRACT(B373, ""^[A-Z]+-[A-Z]+-"") &amp; TEXT(VALUE(REGEXEXTRACT(B373, ""-(\d+)\."")), ""00""), """")"),"CC-MVP-117")</f>
        <v>CC-MVP-117</v>
      </c>
      <c r="D373" s="219" t="str">
        <f>IFERROR(VLOOKUP(C373, Content_Creation!B:D, 2, FALSE), IFERROR(VLOOKUP(C373, Project_Management!B:D, 2, FALSE), ""))
&amp; " - "
&amp; IFERROR(VLOOKUP(C373, Content_Creation!B:E, 4, FALSE), IFERROR(VLOOKUP(C373, Project_Management!B:E, 4, FALSE), ""))</f>
        <v>Enthoo Case - Shorts</v>
      </c>
      <c r="E373" s="220" t="str">
        <f>IFERROR(
    VLOOKUP(B372:B1001, Content_Creation!B:D, 3, FALSE),
    IFERROR(VLOOKUP(B372:B1001, Project_Management!B:D, 3, FALSE),"")
  )</f>
        <v>Script</v>
      </c>
      <c r="F373" s="221" t="str">
        <f>IFERROR(VLOOKUP(B373, Content_Creation!B:F, 5, FALSE), IFERROR(VLOOKUP(B373, Project_Management!B:F, 5, FALSE), ""))</f>
        <v>Tazeen</v>
      </c>
      <c r="G373" s="222" t="s">
        <v>388</v>
      </c>
      <c r="H373" s="223">
        <f>IFERROR(VLOOKUP(B373, Content_Creation!B:H, 7, FALSE), IFERROR(VLOOKUP(B373, Project_Management!B:H, 7, FALSE), ""))</f>
        <v>45241</v>
      </c>
      <c r="I373" s="224">
        <v>0.0</v>
      </c>
      <c r="J373" s="223">
        <f>IFERROR(VLOOKUP(C373, Content_Creation!B:H, 7, FALSE), IFERROR(VLOOKUP(C373, Project_Management!B:H, 7, FALSE), ""))</f>
        <v>45246.45665</v>
      </c>
      <c r="K373" s="217"/>
      <c r="L373" s="225" t="str">
        <f>IFERROR(VLOOKUP(B373, Data_Validation!X:Y, 2, FALSE), "")</f>
        <v>Not Started</v>
      </c>
      <c r="M373" s="226" t="str">
        <f t="shared" si="1"/>
        <v>TheMVP | Enthoo Case - Shorts | Script</v>
      </c>
      <c r="N373" s="226"/>
      <c r="O373" s="226"/>
    </row>
    <row r="374" ht="24.0" customHeight="1">
      <c r="A374" s="216" t="str">
        <f>IFERROR(__xludf.DUMMYFUNCTION("ARRAYFORMULA(IFERROR(VLOOKUP(REGEXEXTRACT(B374, ""-(\w+)-""), {Data_Validation!$F$16:$F$29, Data_Validation!$E$16:$E$29}, 2, FALSE), """"))
"),"Nvidia")</f>
        <v>Nvidia</v>
      </c>
      <c r="B374" s="217" t="str">
        <f>IFERROR(__xludf.DUMMYFUNCTION("""COMPUTED_VALUE"""),"CC-NVI-13.02")</f>
        <v>CC-NVI-13.02</v>
      </c>
      <c r="C374" s="218" t="str">
        <f>IFERROR(__xludf.DUMMYFUNCTION("IFERROR(REGEXEXTRACT(B374, ""^[A-Z]+-[A-Z]+-"") &amp; TEXT(VALUE(REGEXEXTRACT(B374, ""-(\d+)\."")), ""00""), """")"),"CC-NVI-13")</f>
        <v>CC-NVI-13</v>
      </c>
      <c r="D374" s="219" t="str">
        <f>IFERROR(VLOOKUP(C374, Content_Creation!B:D, 2, FALSE), IFERROR(VLOOKUP(C374, Project_Management!B:D, 2, FALSE), ""))
&amp; " - "
&amp; IFERROR(VLOOKUP(C374, Content_Creation!B:E, 4, FALSE), IFERROR(VLOOKUP(C374, Project_Management!B:E, 4, FALSE), ""))</f>
        <v>MSI Laptop 1 - Shorts</v>
      </c>
      <c r="E374" s="220" t="str">
        <f>IFERROR(
    VLOOKUP(B373:B1001, Content_Creation!B:D, 3, FALSE),
    IFERROR(VLOOKUP(B373:B1001, Project_Management!B:D, 3, FALSE),"")
  )</f>
        <v>Shoot</v>
      </c>
      <c r="F374" s="221" t="str">
        <f>IFERROR(VLOOKUP(B374, Content_Creation!B:F, 5, FALSE), IFERROR(VLOOKUP(B374, Project_Management!B:F, 5, FALSE), ""))</f>
        <v>Akhil</v>
      </c>
      <c r="G374" s="221" t="s">
        <v>179</v>
      </c>
      <c r="H374" s="223">
        <f>IFERROR(VLOOKUP(B374, Content_Creation!B:H, 7, FALSE), IFERROR(VLOOKUP(B374, Project_Management!B:H, 7, FALSE), ""))</f>
        <v>45241</v>
      </c>
      <c r="I374" s="224">
        <v>0.0</v>
      </c>
      <c r="J374" s="223">
        <f>IFERROR(VLOOKUP(C374, Content_Creation!B:H, 7, FALSE), IFERROR(VLOOKUP(C374, Project_Management!B:H, 7, FALSE), ""))</f>
        <v>45242</v>
      </c>
      <c r="K374" s="217"/>
      <c r="L374" s="225" t="str">
        <f>IFERROR(VLOOKUP(B374, Data_Validation!X:Y, 2, FALSE), "")</f>
        <v>In Review</v>
      </c>
      <c r="M374" s="226" t="str">
        <f t="shared" si="1"/>
        <v>Nvidia | MSI Laptop 1 - Shorts | Shoot</v>
      </c>
      <c r="N374" s="226"/>
      <c r="O374" s="226"/>
    </row>
    <row r="375" ht="24.0" customHeight="1">
      <c r="A375" s="216" t="str">
        <f>IFERROR(__xludf.DUMMYFUNCTION("ARRAYFORMULA(IFERROR(VLOOKUP(REGEXEXTRACT(B375, ""-(\w+)-""), {Data_Validation!$F$16:$F$29, Data_Validation!$E$16:$E$29}, 2, FALSE), """"))
"),"Nvidia")</f>
        <v>Nvidia</v>
      </c>
      <c r="B375" s="217" t="str">
        <f>IFERROR(__xludf.DUMMYFUNCTION("""COMPUTED_VALUE"""),"CC-NVI-13.05")</f>
        <v>CC-NVI-13.05</v>
      </c>
      <c r="C375" s="218" t="str">
        <f>IFERROR(__xludf.DUMMYFUNCTION("IFERROR(REGEXEXTRACT(B375, ""^[A-Z]+-[A-Z]+-"") &amp; TEXT(VALUE(REGEXEXTRACT(B375, ""-(\d+)\."")), ""00""), """")"),"CC-NVI-13")</f>
        <v>CC-NVI-13</v>
      </c>
      <c r="D375" s="219" t="str">
        <f>IFERROR(VLOOKUP(C375, Content_Creation!B:D, 2, FALSE), IFERROR(VLOOKUP(C375, Project_Management!B:D, 2, FALSE), ""))
&amp; " - "
&amp; IFERROR(VLOOKUP(C375, Content_Creation!B:E, 4, FALSE), IFERROR(VLOOKUP(C375, Project_Management!B:E, 4, FALSE), ""))</f>
        <v>MSI Laptop 1 - Shorts</v>
      </c>
      <c r="E375" s="220" t="str">
        <f>IFERROR(
    VLOOKUP(B374:B1001, Content_Creation!B:D, 3, FALSE),
    IFERROR(VLOOKUP(B374:B1001, Project_Management!B:D, 3, FALSE),"")
  )</f>
        <v>Edit</v>
      </c>
      <c r="F375" s="221" t="str">
        <f>IFERROR(VLOOKUP(B375, Content_Creation!B:F, 5, FALSE), IFERROR(VLOOKUP(B375, Project_Management!B:F, 5, FALSE), ""))</f>
        <v>Freelancer</v>
      </c>
      <c r="G375" s="222" t="s">
        <v>179</v>
      </c>
      <c r="H375" s="223">
        <f>IFERROR(VLOOKUP(B375, Content_Creation!B:H, 7, FALSE), IFERROR(VLOOKUP(B375, Project_Management!B:H, 7, FALSE), ""))</f>
        <v>45241</v>
      </c>
      <c r="I375" s="224">
        <v>0.0</v>
      </c>
      <c r="J375" s="223">
        <f>IFERROR(VLOOKUP(C375, Content_Creation!B:H, 7, FALSE), IFERROR(VLOOKUP(C375, Project_Management!B:H, 7, FALSE), ""))</f>
        <v>45242</v>
      </c>
      <c r="K375" s="217"/>
      <c r="L375" s="225" t="str">
        <f>IFERROR(VLOOKUP(B375, Data_Validation!X:Y, 2, FALSE), "")</f>
        <v>Not Started</v>
      </c>
      <c r="M375" s="226" t="str">
        <f t="shared" si="1"/>
        <v>Nvidia | MSI Laptop 1 - Shorts | Edit</v>
      </c>
      <c r="N375" s="226"/>
      <c r="O375" s="226"/>
    </row>
    <row r="376" ht="24.0" customHeight="1">
      <c r="A376" s="216" t="str">
        <f>IFERROR(__xludf.DUMMYFUNCTION("ARRAYFORMULA(IFERROR(VLOOKUP(REGEXEXTRACT(B376, ""-(\w+)-""), {Data_Validation!$F$16:$F$29, Data_Validation!$E$16:$E$29}, 2, FALSE), """"))
"),"Nvidia")</f>
        <v>Nvidia</v>
      </c>
      <c r="B376" s="217" t="str">
        <f>IFERROR(__xludf.DUMMYFUNCTION("""COMPUTED_VALUE"""),"CC-NVI-14.02")</f>
        <v>CC-NVI-14.02</v>
      </c>
      <c r="C376" s="218" t="str">
        <f>IFERROR(__xludf.DUMMYFUNCTION("IFERROR(REGEXEXTRACT(B376, ""^[A-Z]+-[A-Z]+-"") &amp; TEXT(VALUE(REGEXEXTRACT(B376, ""-(\d+)\."")), ""00""), """")"),"CC-NVI-14")</f>
        <v>CC-NVI-14</v>
      </c>
      <c r="D376" s="219" t="str">
        <f>IFERROR(VLOOKUP(C376, Content_Creation!B:D, 2, FALSE), IFERROR(VLOOKUP(C376, Project_Management!B:D, 2, FALSE), ""))
&amp; " - "
&amp; IFERROR(VLOOKUP(C376, Content_Creation!B:E, 4, FALSE), IFERROR(VLOOKUP(C376, Project_Management!B:E, 4, FALSE), ""))</f>
        <v>MSI Laptop 2 - Shorts</v>
      </c>
      <c r="E376" s="220" t="str">
        <f>IFERROR(
    VLOOKUP(B375:B1001, Content_Creation!B:D, 3, FALSE),
    IFERROR(VLOOKUP(B375:B1001, Project_Management!B:D, 3, FALSE),"")
  )</f>
        <v>Shoot</v>
      </c>
      <c r="F376" s="221" t="str">
        <f>IFERROR(VLOOKUP(B376, Content_Creation!B:F, 5, FALSE), IFERROR(VLOOKUP(B376, Project_Management!B:F, 5, FALSE), ""))</f>
        <v>Akhil</v>
      </c>
      <c r="G376" s="222" t="s">
        <v>179</v>
      </c>
      <c r="H376" s="223">
        <f>IFERROR(VLOOKUP(B376, Content_Creation!B:H, 7, FALSE), IFERROR(VLOOKUP(B376, Project_Management!B:H, 7, FALSE), ""))</f>
        <v>45241</v>
      </c>
      <c r="I376" s="224">
        <v>0.0</v>
      </c>
      <c r="J376" s="223">
        <f>IFERROR(VLOOKUP(C376, Content_Creation!B:H, 7, FALSE), IFERROR(VLOOKUP(C376, Project_Management!B:H, 7, FALSE), ""))</f>
        <v>45242</v>
      </c>
      <c r="K376" s="217"/>
      <c r="L376" s="225" t="str">
        <f>IFERROR(VLOOKUP(B376, Data_Validation!X:Y, 2, FALSE), "")</f>
        <v>Not Started</v>
      </c>
      <c r="M376" s="226" t="str">
        <f t="shared" si="1"/>
        <v>Nvidia | MSI Laptop 2 - Shorts | Shoot</v>
      </c>
      <c r="N376" s="226"/>
      <c r="O376" s="226"/>
    </row>
    <row r="377" ht="24.0" customHeight="1">
      <c r="A377" s="216" t="str">
        <f>IFERROR(__xludf.DUMMYFUNCTION("ARRAYFORMULA(IFERROR(VLOOKUP(REGEXEXTRACT(B377, ""-(\w+)-""), {Data_Validation!$F$16:$F$29, Data_Validation!$E$16:$E$29}, 2, FALSE), """"))
"),"Nvidia")</f>
        <v>Nvidia</v>
      </c>
      <c r="B377" s="217" t="str">
        <f>IFERROR(__xludf.DUMMYFUNCTION("""COMPUTED_VALUE"""),"CC-NVI-14.05")</f>
        <v>CC-NVI-14.05</v>
      </c>
      <c r="C377" s="218" t="str">
        <f>IFERROR(__xludf.DUMMYFUNCTION("IFERROR(REGEXEXTRACT(B377, ""^[A-Z]+-[A-Z]+-"") &amp; TEXT(VALUE(REGEXEXTRACT(B377, ""-(\d+)\."")), ""00""), """")"),"CC-NVI-14")</f>
        <v>CC-NVI-14</v>
      </c>
      <c r="D377" s="219" t="str">
        <f>IFERROR(VLOOKUP(C377, Content_Creation!B:D, 2, FALSE), IFERROR(VLOOKUP(C377, Project_Management!B:D, 2, FALSE), ""))
&amp; " - "
&amp; IFERROR(VLOOKUP(C377, Content_Creation!B:E, 4, FALSE), IFERROR(VLOOKUP(C377, Project_Management!B:E, 4, FALSE), ""))</f>
        <v>MSI Laptop 2 - Shorts</v>
      </c>
      <c r="E377" s="220" t="str">
        <f>IFERROR(
    VLOOKUP(B376:B1001, Content_Creation!B:D, 3, FALSE),
    IFERROR(VLOOKUP(B376:B1001, Project_Management!B:D, 3, FALSE),"")
  )</f>
        <v>Edit</v>
      </c>
      <c r="F377" s="221" t="str">
        <f>IFERROR(VLOOKUP(B377, Content_Creation!B:F, 5, FALSE), IFERROR(VLOOKUP(B377, Project_Management!B:F, 5, FALSE), ""))</f>
        <v>Freelancer</v>
      </c>
      <c r="G377" s="222" t="s">
        <v>179</v>
      </c>
      <c r="H377" s="223">
        <f>IFERROR(VLOOKUP(B377, Content_Creation!B:H, 7, FALSE), IFERROR(VLOOKUP(B377, Project_Management!B:H, 7, FALSE), ""))</f>
        <v>45241</v>
      </c>
      <c r="I377" s="224">
        <v>0.0</v>
      </c>
      <c r="J377" s="223">
        <f>IFERROR(VLOOKUP(C377, Content_Creation!B:H, 7, FALSE), IFERROR(VLOOKUP(C377, Project_Management!B:H, 7, FALSE), ""))</f>
        <v>45242</v>
      </c>
      <c r="K377" s="217"/>
      <c r="L377" s="225" t="str">
        <f>IFERROR(VLOOKUP(B377, Data_Validation!X:Y, 2, FALSE), "")</f>
        <v>Not Started</v>
      </c>
      <c r="M377" s="226" t="str">
        <f t="shared" si="1"/>
        <v>Nvidia | MSI Laptop 2 - Shorts | Edit</v>
      </c>
      <c r="N377" s="226"/>
      <c r="O377" s="226"/>
    </row>
    <row r="378" ht="24.0" customHeight="1">
      <c r="A378" s="216" t="str">
        <f>IFERROR(__xludf.DUMMYFUNCTION("ARRAYFORMULA(IFERROR(VLOOKUP(REGEXEXTRACT(B378, ""-(\w+)-""), {Data_Validation!$F$16:$F$29, Data_Validation!$E$16:$E$29}, 2, FALSE), """"))
"),"Colorful Tech")</f>
        <v>Colorful Tech</v>
      </c>
      <c r="B378" s="217" t="str">
        <f>IFERROR(__xludf.DUMMYFUNCTION("""COMPUTED_VALUE"""),"CC-CTH-10.07")</f>
        <v>CC-CTH-10.07</v>
      </c>
      <c r="C378" s="218" t="str">
        <f>IFERROR(__xludf.DUMMYFUNCTION("IFERROR(REGEXEXTRACT(B378, ""^[A-Z]+-[A-Z]+-"") &amp; TEXT(VALUE(REGEXEXTRACT(B378, ""-(\d+)\."")), ""00""), """")"),"CC-CTH-10")</f>
        <v>CC-CTH-10</v>
      </c>
      <c r="D378" s="219" t="str">
        <f>IFERROR(VLOOKUP(C378, Content_Creation!B:D, 2, FALSE), IFERROR(VLOOKUP(C378, Project_Management!B:D, 2, FALSE), ""))
&amp; " - "
&amp; IFERROR(VLOOKUP(C378, Content_Creation!B:E, 4, FALSE), IFERROR(VLOOKUP(C378, Project_Management!B:E, 4, FALSE), ""))</f>
        <v>iGame Center Introduction - Shorts</v>
      </c>
      <c r="E378" s="220" t="str">
        <f>IFERROR(
    VLOOKUP(B377:B1001, Content_Creation!B:D, 3, FALSE),
    IFERROR(VLOOKUP(B377:B1001, Project_Management!B:D, 3, FALSE),"")
  )</f>
        <v>Upload</v>
      </c>
      <c r="F378" s="221" t="str">
        <f>IFERROR(VLOOKUP(B378, Content_Creation!B:F, 5, FALSE), IFERROR(VLOOKUP(B378, Project_Management!B:F, 5, FALSE), ""))</f>
        <v>Talha</v>
      </c>
      <c r="G378" s="222" t="s">
        <v>388</v>
      </c>
      <c r="H378" s="223">
        <f>IFERROR(VLOOKUP(B378, Content_Creation!B:H, 7, FALSE), IFERROR(VLOOKUP(B378, Project_Management!B:H, 7, FALSE), ""))</f>
        <v>45241</v>
      </c>
      <c r="I378" s="224">
        <v>0.041666666666666664</v>
      </c>
      <c r="J378" s="223">
        <f>IFERROR(VLOOKUP(C378, Content_Creation!B:H, 7, FALSE), IFERROR(VLOOKUP(C378, Project_Management!B:H, 7, FALSE), ""))</f>
        <v>45241</v>
      </c>
      <c r="K378" s="217"/>
      <c r="L378" s="225" t="str">
        <f>IFERROR(VLOOKUP(B378, Data_Validation!X:Y, 2, FALSE), "")</f>
        <v>Not Started</v>
      </c>
      <c r="M378" s="226" t="str">
        <f t="shared" si="1"/>
        <v>Colorful Tech | iGame Center Introduction - Shorts | Upload</v>
      </c>
      <c r="N378" s="226"/>
      <c r="O378" s="226"/>
    </row>
    <row r="379" ht="24.0" customHeight="1">
      <c r="A379" s="216" t="str">
        <f>IFERROR(__xludf.DUMMYFUNCTION("ARRAYFORMULA(IFERROR(VLOOKUP(REGEXEXTRACT(B379, ""-(\w+)-""), {Data_Validation!$F$16:$F$29, Data_Validation!$E$16:$E$29}, 2, FALSE), """"))
"),"Colorful Tech")</f>
        <v>Colorful Tech</v>
      </c>
      <c r="B379" s="217" t="str">
        <f>IFERROR(__xludf.DUMMYFUNCTION("""COMPUTED_VALUE"""),"CC-CTH-18.01")</f>
        <v>CC-CTH-18.01</v>
      </c>
      <c r="C379" s="218" t="str">
        <f>IFERROR(__xludf.DUMMYFUNCTION("IFERROR(REGEXEXTRACT(B379, ""^[A-Z]+-[A-Z]+-"") &amp; TEXT(VALUE(REGEXEXTRACT(B379, ""-(\d+)\."")), ""00""), """")"),"CC-CTH-18")</f>
        <v>CC-CTH-18</v>
      </c>
      <c r="D379" s="219" t="str">
        <f>IFERROR(VLOOKUP(C379, Content_Creation!B:D, 2, FALSE), IFERROR(VLOOKUP(C379, Project_Management!B:D, 2, FALSE), ""))
&amp; " - "
&amp; IFERROR(VLOOKUP(C379, Content_Creation!B:E, 4, FALSE), IFERROR(VLOOKUP(C379, Project_Management!B:E, 4, FALSE), ""))</f>
        <v>How to Upgrade your GPU - Shorts</v>
      </c>
      <c r="E379" s="220" t="str">
        <f>IFERROR(
    VLOOKUP(B378:B1001, Content_Creation!B:D, 3, FALSE),
    IFERROR(VLOOKUP(B378:B1001, Project_Management!B:D, 3, FALSE),"")
  )</f>
        <v>Script</v>
      </c>
      <c r="F379" s="221" t="str">
        <f>IFERROR(VLOOKUP(B379, Content_Creation!B:F, 5, FALSE), IFERROR(VLOOKUP(B379, Project_Management!B:F, 5, FALSE), ""))</f>
        <v>Naveen</v>
      </c>
      <c r="G379" s="222" t="s">
        <v>179</v>
      </c>
      <c r="H379" s="223">
        <f>IFERROR(VLOOKUP(B379, Content_Creation!B:H, 7, FALSE), IFERROR(VLOOKUP(B379, Project_Management!B:H, 7, FALSE), ""))</f>
        <v>45241</v>
      </c>
      <c r="I379" s="224">
        <v>0.0</v>
      </c>
      <c r="J379" s="223">
        <f>IFERROR(VLOOKUP(C379, Content_Creation!B:H, 7, FALSE), IFERROR(VLOOKUP(C379, Project_Management!B:H, 7, FALSE), ""))</f>
        <v>45246</v>
      </c>
      <c r="K379" s="217"/>
      <c r="L379" s="225" t="str">
        <f>IFERROR(VLOOKUP(B379, Data_Validation!X:Y, 2, FALSE), "")</f>
        <v>In Review</v>
      </c>
      <c r="M379" s="226" t="str">
        <f t="shared" si="1"/>
        <v>Colorful Tech | How to Upgrade your GPU - Shorts | Script</v>
      </c>
      <c r="N379" s="226"/>
      <c r="O379" s="226"/>
    </row>
    <row r="380" ht="24.0" customHeight="1">
      <c r="A380" s="216" t="str">
        <f>IFERROR(__xludf.DUMMYFUNCTION("ARRAYFORMULA(IFERROR(VLOOKUP(REGEXEXTRACT(B380, ""-(\w+)-""), {Data_Validation!$F$16:$F$29, Data_Validation!$E$16:$E$29}, 2, FALSE), """"))
"),"Colorful Tech")</f>
        <v>Colorful Tech</v>
      </c>
      <c r="B380" s="217" t="str">
        <f>IFERROR(__xludf.DUMMYFUNCTION("""COMPUTED_VALUE"""),"CC-CTH-18.02")</f>
        <v>CC-CTH-18.02</v>
      </c>
      <c r="C380" s="218" t="str">
        <f>IFERROR(__xludf.DUMMYFUNCTION("IFERROR(REGEXEXTRACT(B380, ""^[A-Z]+-[A-Z]+-"") &amp; TEXT(VALUE(REGEXEXTRACT(B380, ""-(\d+)\."")), ""00""), """")"),"CC-CTH-18")</f>
        <v>CC-CTH-18</v>
      </c>
      <c r="D380" s="219" t="str">
        <f>IFERROR(VLOOKUP(C380, Content_Creation!B:D, 2, FALSE), IFERROR(VLOOKUP(C380, Project_Management!B:D, 2, FALSE), ""))
&amp; " - "
&amp; IFERROR(VLOOKUP(C380, Content_Creation!B:E, 4, FALSE), IFERROR(VLOOKUP(C380, Project_Management!B:E, 4, FALSE), ""))</f>
        <v>How to Upgrade your GPU - Shorts</v>
      </c>
      <c r="E380" s="220" t="str">
        <f>IFERROR(
    VLOOKUP(B379:B1001, Content_Creation!B:D, 3, FALSE),
    IFERROR(VLOOKUP(B379:B1001, Project_Management!B:D, 3, FALSE),"")
  )</f>
        <v>Voiceover</v>
      </c>
      <c r="F380" s="221" t="str">
        <f>IFERROR(VLOOKUP(B380, Content_Creation!B:F, 5, FALSE), IFERROR(VLOOKUP(B380, Project_Management!B:F, 5, FALSE), ""))</f>
        <v>Talha</v>
      </c>
      <c r="G380" s="222" t="s">
        <v>179</v>
      </c>
      <c r="H380" s="223">
        <f>IFERROR(VLOOKUP(B380, Content_Creation!B:H, 7, FALSE), IFERROR(VLOOKUP(B380, Project_Management!B:H, 7, FALSE), ""))</f>
        <v>45241</v>
      </c>
      <c r="I380" s="224">
        <v>0.0</v>
      </c>
      <c r="J380" s="223">
        <f>IFERROR(VLOOKUP(C380, Content_Creation!B:H, 7, FALSE), IFERROR(VLOOKUP(C380, Project_Management!B:H, 7, FALSE), ""))</f>
        <v>45246</v>
      </c>
      <c r="K380" s="217"/>
      <c r="L380" s="225" t="str">
        <f>IFERROR(VLOOKUP(B380, Data_Validation!X:Y, 2, FALSE), "")</f>
        <v>Not Started</v>
      </c>
      <c r="M380" s="226" t="str">
        <f t="shared" si="1"/>
        <v>Colorful Tech | How to Upgrade your GPU - Shorts | Voiceover</v>
      </c>
      <c r="N380" s="226"/>
      <c r="O380" s="226"/>
    </row>
    <row r="381" ht="24.0" customHeight="1">
      <c r="A381" s="216" t="str">
        <f>IFERROR(__xludf.DUMMYFUNCTION("ARRAYFORMULA(IFERROR(VLOOKUP(REGEXEXTRACT(B381, ""-(\w+)-""), {Data_Validation!$F$16:$F$29, Data_Validation!$E$16:$E$29}, 2, FALSE), """"))
"),"Colorful Tech")</f>
        <v>Colorful Tech</v>
      </c>
      <c r="B381" s="217" t="str">
        <f>IFERROR(__xludf.DUMMYFUNCTION("""COMPUTED_VALUE"""),"CC-CTH-18.03")</f>
        <v>CC-CTH-18.03</v>
      </c>
      <c r="C381" s="218" t="str">
        <f>IFERROR(__xludf.DUMMYFUNCTION("IFERROR(REGEXEXTRACT(B381, ""^[A-Z]+-[A-Z]+-"") &amp; TEXT(VALUE(REGEXEXTRACT(B381, ""-(\d+)\."")), ""00""), """")"),"CC-CTH-18")</f>
        <v>CC-CTH-18</v>
      </c>
      <c r="D381" s="219" t="str">
        <f>IFERROR(VLOOKUP(C381, Content_Creation!B:D, 2, FALSE), IFERROR(VLOOKUP(C381, Project_Management!B:D, 2, FALSE), ""))
&amp; " - "
&amp; IFERROR(VLOOKUP(C381, Content_Creation!B:E, 4, FALSE), IFERROR(VLOOKUP(C381, Project_Management!B:E, 4, FALSE), ""))</f>
        <v>How to Upgrade your GPU - Shorts</v>
      </c>
      <c r="E381" s="220" t="str">
        <f>IFERROR(
    VLOOKUP(B380:B1001, Content_Creation!B:D, 3, FALSE),
    IFERROR(VLOOKUP(B380:B1001, Project_Management!B:D, 3, FALSE),"")
  )</f>
        <v>Shoot</v>
      </c>
      <c r="F381" s="221" t="str">
        <f>IFERROR(VLOOKUP(B381, Content_Creation!B:F, 5, FALSE), IFERROR(VLOOKUP(B381, Project_Management!B:F, 5, FALSE), ""))</f>
        <v>Akhil</v>
      </c>
      <c r="G381" s="222" t="s">
        <v>179</v>
      </c>
      <c r="H381" s="223">
        <f>IFERROR(VLOOKUP(B381, Content_Creation!B:H, 7, FALSE), IFERROR(VLOOKUP(B381, Project_Management!B:H, 7, FALSE), ""))</f>
        <v>45241</v>
      </c>
      <c r="I381" s="224">
        <v>0.0</v>
      </c>
      <c r="J381" s="223">
        <f>IFERROR(VLOOKUP(C381, Content_Creation!B:H, 7, FALSE), IFERROR(VLOOKUP(C381, Project_Management!B:H, 7, FALSE), ""))</f>
        <v>45246</v>
      </c>
      <c r="K381" s="217"/>
      <c r="L381" s="225" t="str">
        <f>IFERROR(VLOOKUP(B381, Data_Validation!X:Y, 2, FALSE), "")</f>
        <v>Not Started</v>
      </c>
      <c r="M381" s="226" t="str">
        <f t="shared" si="1"/>
        <v>Colorful Tech | How to Upgrade your GPU - Shorts | Shoot</v>
      </c>
      <c r="N381" s="226"/>
      <c r="O381" s="226"/>
    </row>
    <row r="382" ht="24.0" customHeight="1">
      <c r="A382" s="216" t="str">
        <f>IFERROR(__xludf.DUMMYFUNCTION("ARRAYFORMULA(IFERROR(VLOOKUP(REGEXEXTRACT(B382, ""-(\w+)-""), {Data_Validation!$F$16:$F$29, Data_Validation!$E$16:$E$29}, 2, FALSE), """"))
"),"Colorful Tech")</f>
        <v>Colorful Tech</v>
      </c>
      <c r="B382" s="217" t="str">
        <f>IFERROR(__xludf.DUMMYFUNCTION("""COMPUTED_VALUE"""),"CC-CTH-19.01")</f>
        <v>CC-CTH-19.01</v>
      </c>
      <c r="C382" s="218" t="str">
        <f>IFERROR(__xludf.DUMMYFUNCTION("IFERROR(REGEXEXTRACT(B382, ""^[A-Z]+-[A-Z]+-"") &amp; TEXT(VALUE(REGEXEXTRACT(B382, ""-(\d+)\."")), ""00""), """")"),"CC-CTH-19")</f>
        <v>CC-CTH-19</v>
      </c>
      <c r="D382" s="219" t="str">
        <f>IFERROR(VLOOKUP(C382, Content_Creation!B:D, 2, FALSE), IFERROR(VLOOKUP(C382, Project_Management!B:D, 2, FALSE), ""))
&amp; " - "
&amp; IFERROR(VLOOKUP(C382, Content_Creation!B:E, 4, FALSE), IFERROR(VLOOKUP(C382, Project_Management!B:E, 4, FALSE), ""))</f>
        <v>Deep Learning Anti-Aliasing - Shorts</v>
      </c>
      <c r="E382" s="220" t="str">
        <f>IFERROR(
    VLOOKUP(B381:B1001, Content_Creation!B:D, 3, FALSE),
    IFERROR(VLOOKUP(B381:B1001, Project_Management!B:D, 3, FALSE),"")
  )</f>
        <v>Script</v>
      </c>
      <c r="F382" s="221" t="str">
        <f>IFERROR(VLOOKUP(B382, Content_Creation!B:F, 5, FALSE), IFERROR(VLOOKUP(B382, Project_Management!B:F, 5, FALSE), ""))</f>
        <v>Naveen</v>
      </c>
      <c r="G382" s="222" t="s">
        <v>179</v>
      </c>
      <c r="H382" s="223">
        <f>IFERROR(VLOOKUP(B382, Content_Creation!B:H, 7, FALSE), IFERROR(VLOOKUP(B382, Project_Management!B:H, 7, FALSE), ""))</f>
        <v>45241</v>
      </c>
      <c r="I382" s="224">
        <v>0.0</v>
      </c>
      <c r="J382" s="223">
        <f>IFERROR(VLOOKUP(C382, Content_Creation!B:H, 7, FALSE), IFERROR(VLOOKUP(C382, Project_Management!B:H, 7, FALSE), ""))</f>
        <v>45247</v>
      </c>
      <c r="K382" s="217"/>
      <c r="L382" s="225" t="str">
        <f>IFERROR(VLOOKUP(B382, Data_Validation!X:Y, 2, FALSE), "")</f>
        <v>Not Started</v>
      </c>
      <c r="M382" s="226" t="str">
        <f t="shared" si="1"/>
        <v>Colorful Tech | Deep Learning Anti-Aliasing - Shorts | Script</v>
      </c>
      <c r="N382" s="226"/>
      <c r="O382" s="226"/>
    </row>
    <row r="383" ht="24.0" customHeight="1">
      <c r="A383" s="216" t="str">
        <f>IFERROR(__xludf.DUMMYFUNCTION("ARRAYFORMULA(IFERROR(VLOOKUP(REGEXEXTRACT(B383, ""-(\w+)-""), {Data_Validation!$F$16:$F$29, Data_Validation!$E$16:$E$29}, 2, FALSE), """"))
"),"MaCaw")</f>
        <v>MaCaw</v>
      </c>
      <c r="B383" s="217" t="str">
        <f>IFERROR(__xludf.DUMMYFUNCTION("""COMPUTED_VALUE"""),"CC-MAC-12.04")</f>
        <v>CC-MAC-12.04</v>
      </c>
      <c r="C383" s="218" t="str">
        <f>IFERROR(__xludf.DUMMYFUNCTION("IFERROR(REGEXEXTRACT(B383, ""^[A-Z]+-[A-Z]+-"") &amp; TEXT(VALUE(REGEXEXTRACT(B383, ""-(\d+)\."")), ""00""), """")"),"CC-MAC-12")</f>
        <v>CC-MAC-12</v>
      </c>
      <c r="D383" s="219" t="str">
        <f>IFERROR(VLOOKUP(C383, Content_Creation!B:D, 2, FALSE), IFERROR(VLOOKUP(C383, Project_Management!B:D, 2, FALSE), ""))
&amp; " - "
&amp; IFERROR(VLOOKUP(C383, Content_Creation!B:E, 4, FALSE), IFERROR(VLOOKUP(C383, Project_Management!B:E, 4, FALSE), ""))</f>
        <v>Diwali Post - Insta</v>
      </c>
      <c r="E383" s="220" t="str">
        <f>IFERROR(
    VLOOKUP(B382:B1001, Content_Creation!B:D, 3, FALSE),
    IFERROR(VLOOKUP(B382:B1001, Project_Management!B:D, 3, FALSE),"")
  )</f>
        <v>Upload</v>
      </c>
      <c r="F383" s="221" t="str">
        <f>IFERROR(VLOOKUP(B383, Content_Creation!B:F, 5, FALSE), IFERROR(VLOOKUP(B383, Project_Management!B:F, 5, FALSE), ""))</f>
        <v>Akhil</v>
      </c>
      <c r="G383" s="222" t="s">
        <v>179</v>
      </c>
      <c r="H383" s="223">
        <f>IFERROR(VLOOKUP(B383, Content_Creation!B:H, 7, FALSE), IFERROR(VLOOKUP(B383, Project_Management!B:H, 7, FALSE), ""))</f>
        <v>45241</v>
      </c>
      <c r="I383" s="224">
        <v>0.0</v>
      </c>
      <c r="J383" s="223">
        <f>IFERROR(VLOOKUP(C383, Content_Creation!B:H, 7, FALSE), IFERROR(VLOOKUP(C383, Project_Management!B:H, 7, FALSE), ""))</f>
        <v>45241</v>
      </c>
      <c r="K383" s="217"/>
      <c r="L383" s="225" t="str">
        <f>IFERROR(VLOOKUP(B383, Data_Validation!X:Y, 2, FALSE), "")</f>
        <v>Not Started</v>
      </c>
      <c r="M383" s="226" t="str">
        <f t="shared" si="1"/>
        <v>MaCaw | Diwali Post - Insta | Upload</v>
      </c>
      <c r="N383" s="226"/>
      <c r="O383" s="226"/>
    </row>
    <row r="384" ht="24.0" customHeight="1">
      <c r="A384" s="216" t="str">
        <f>IFERROR(__xludf.DUMMYFUNCTION("ARRAYFORMULA(IFERROR(VLOOKUP(REGEXEXTRACT(B384, ""-(\w+)-""), {Data_Validation!$F$16:$F$29, Data_Validation!$E$16:$E$29}, 2, FALSE), """"))
"),"Inno3D")</f>
        <v>Inno3D</v>
      </c>
      <c r="B384" s="217" t="str">
        <f>IFERROR(__xludf.DUMMYFUNCTION("""COMPUTED_VALUE"""),"CC-INN-28.04")</f>
        <v>CC-INN-28.04</v>
      </c>
      <c r="C384" s="218" t="str">
        <f>IFERROR(__xludf.DUMMYFUNCTION("IFERROR(REGEXEXTRACT(B384, ""^[A-Z]+-[A-Z]+-"") &amp; TEXT(VALUE(REGEXEXTRACT(B384, ""-(\d+)\."")), ""00""), """")"),"CC-INN-28")</f>
        <v>CC-INN-28</v>
      </c>
      <c r="D384" s="219" t="str">
        <f>IFERROR(VLOOKUP(C384, Content_Creation!B:D, 2, FALSE), IFERROR(VLOOKUP(C384, Project_Management!B:D, 2, FALSE), ""))
&amp; " - "
&amp; IFERROR(VLOOKUP(C384, Content_Creation!B:E, 4, FALSE), IFERROR(VLOOKUP(C384, Project_Management!B:E, 4, FALSE), ""))</f>
        <v>Diwali Post - Insta</v>
      </c>
      <c r="E384" s="220" t="str">
        <f>IFERROR(
    VLOOKUP(B383:B1001, Content_Creation!B:D, 3, FALSE),
    IFERROR(VLOOKUP(B383:B1001, Project_Management!B:D, 3, FALSE),"")
  )</f>
        <v>Upload</v>
      </c>
      <c r="F384" s="221" t="str">
        <f>IFERROR(VLOOKUP(B384, Content_Creation!B:F, 5, FALSE), IFERROR(VLOOKUP(B384, Project_Management!B:F, 5, FALSE), ""))</f>
        <v>Naveen</v>
      </c>
      <c r="G384" s="222" t="s">
        <v>179</v>
      </c>
      <c r="H384" s="223">
        <f>IFERROR(VLOOKUP(B384, Content_Creation!B:H, 7, FALSE), IFERROR(VLOOKUP(B384, Project_Management!B:H, 7, FALSE), ""))</f>
        <v>45241</v>
      </c>
      <c r="I384" s="224">
        <v>0.0</v>
      </c>
      <c r="J384" s="223">
        <f>IFERROR(VLOOKUP(C384, Content_Creation!B:H, 7, FALSE), IFERROR(VLOOKUP(C384, Project_Management!B:H, 7, FALSE), ""))</f>
        <v>45241</v>
      </c>
      <c r="K384" s="217"/>
      <c r="L384" s="225" t="str">
        <f>IFERROR(VLOOKUP(B384, Data_Validation!X:Y, 2, FALSE), "")</f>
        <v>Not Started</v>
      </c>
      <c r="M384" s="226" t="str">
        <f t="shared" si="1"/>
        <v>Inno3D | Diwali Post - Insta | Upload</v>
      </c>
      <c r="N384" s="226"/>
      <c r="O384" s="226"/>
    </row>
    <row r="385" ht="24.0" customHeight="1">
      <c r="A385" s="216" t="str">
        <f>IFERROR(__xludf.DUMMYFUNCTION("ARRAYFORMULA(IFERROR(VLOOKUP(REGEXEXTRACT(B385, ""-(\w+)-""), {Data_Validation!$F$16:$F$29, Data_Validation!$E$16:$E$29}, 2, FALSE), """"))
"),"Picture This!")</f>
        <v>Picture This!</v>
      </c>
      <c r="B385" s="217" t="str">
        <f>IFERROR(__xludf.DUMMYFUNCTION("""COMPUTED_VALUE"""),"PM-PTS-06.02")</f>
        <v>PM-PTS-06.02</v>
      </c>
      <c r="C385" s="218" t="str">
        <f>IFERROR(__xludf.DUMMYFUNCTION("IFERROR(REGEXEXTRACT(B385, ""^[A-Z]+-[A-Z]+-"") &amp; TEXT(VALUE(REGEXEXTRACT(B385, ""-(\d+)\."")), ""00""), """")"),"PM-PTS-06")</f>
        <v>PM-PTS-06</v>
      </c>
      <c r="D385" s="219" t="str">
        <f>IFERROR(VLOOKUP(C385, Content_Creation!B:D, 2, FALSE), IFERROR(VLOOKUP(C385, Project_Management!B:D, 2, FALSE), ""))
&amp; " - "
&amp; IFERROR(VLOOKUP(C385, Content_Creation!B:E, 4, FALSE), IFERROR(VLOOKUP(C385, Project_Management!B:E, 4, FALSE), ""))</f>
        <v>Bhukka Nawab - Video</v>
      </c>
      <c r="E385" s="220" t="str">
        <f>IFERROR(
    VLOOKUP(B384:B1001, Content_Creation!B:D, 3, FALSE),
    IFERROR(VLOOKUP(B384:B1001, Project_Management!B:D, 3, FALSE),"")
  )</f>
        <v>AI Footage</v>
      </c>
      <c r="F385" s="221" t="str">
        <f>IFERROR(VLOOKUP(B385, Content_Creation!B:F, 5, FALSE), IFERROR(VLOOKUP(B385, Project_Management!B:F, 5, FALSE), ""))</f>
        <v>Tazeen</v>
      </c>
      <c r="G385" s="221" t="s">
        <v>307</v>
      </c>
      <c r="H385" s="223">
        <f>IFERROR(VLOOKUP(B385, Content_Creation!B:H, 7, FALSE), IFERROR(VLOOKUP(B385, Project_Management!B:H, 7, FALSE), ""))</f>
        <v>45241</v>
      </c>
      <c r="I385" s="224">
        <v>0.0</v>
      </c>
      <c r="J385" s="223">
        <f>IFERROR(VLOOKUP(C385, Content_Creation!B:H, 7, FALSE), IFERROR(VLOOKUP(C385, Project_Management!B:H, 7, FALSE), ""))</f>
        <v>45244</v>
      </c>
      <c r="K385" s="217"/>
      <c r="L385" s="225" t="str">
        <f>IFERROR(VLOOKUP(B385, Data_Validation!X:Y, 2, FALSE), "")</f>
        <v>Not Started</v>
      </c>
      <c r="M385" s="226" t="str">
        <f t="shared" si="1"/>
        <v>Picture This! | Bhukka Nawab - Video | AI Footage</v>
      </c>
      <c r="N385" s="226"/>
      <c r="O385" s="226"/>
    </row>
    <row r="386" ht="24.0" customHeight="1">
      <c r="A386" s="216" t="str">
        <f>IFERROR(__xludf.DUMMYFUNCTION("ARRAYFORMULA(IFERROR(VLOOKUP(REGEXEXTRACT(B386, ""-(\w+)-""), {Data_Validation!$F$16:$F$29, Data_Validation!$E$16:$E$29}, 2, FALSE), """"))
"),"Picture This!")</f>
        <v>Picture This!</v>
      </c>
      <c r="B386" s="217" t="str">
        <f>IFERROR(__xludf.DUMMYFUNCTION("""COMPUTED_VALUE"""),"PM-PTS-07.07")</f>
        <v>PM-PTS-07.07</v>
      </c>
      <c r="C386" s="218" t="str">
        <f>IFERROR(__xludf.DUMMYFUNCTION("IFERROR(REGEXEXTRACT(B386, ""^[A-Z]+-[A-Z]+-"") &amp; TEXT(VALUE(REGEXEXTRACT(B386, ""-(\d+)\."")), ""00""), """")"),"PM-PTS-07")</f>
        <v>PM-PTS-07</v>
      </c>
      <c r="D386" s="219" t="str">
        <f>IFERROR(VLOOKUP(C386, Content_Creation!B:D, 2, FALSE), IFERROR(VLOOKUP(C386, Project_Management!B:D, 2, FALSE), ""))
&amp; " - "
&amp; IFERROR(VLOOKUP(C386, Content_Creation!B:E, 4, FALSE), IFERROR(VLOOKUP(C386, Project_Management!B:E, 4, FALSE), ""))</f>
        <v>SP-100 - Chipkol - Video</v>
      </c>
      <c r="E386" s="220" t="str">
        <f>IFERROR(
    VLOOKUP(B385:B1001, Content_Creation!B:D, 3, FALSE),
    IFERROR(VLOOKUP(B385:B1001, Project_Management!B:D, 3, FALSE),"")
  )</f>
        <v>Deliver</v>
      </c>
      <c r="F386" s="221" t="str">
        <f>IFERROR(VLOOKUP(B386, Content_Creation!B:F, 5, FALSE), IFERROR(VLOOKUP(B386, Project_Management!B:F, 5, FALSE), ""))</f>
        <v>Talha</v>
      </c>
      <c r="G386" s="222" t="s">
        <v>179</v>
      </c>
      <c r="H386" s="223">
        <f>IFERROR(VLOOKUP(B386, Content_Creation!B:H, 7, FALSE), IFERROR(VLOOKUP(B386, Project_Management!B:H, 7, FALSE), ""))</f>
        <v>45241</v>
      </c>
      <c r="I386" s="224">
        <v>0.0</v>
      </c>
      <c r="J386" s="223">
        <f>IFERROR(VLOOKUP(C386, Content_Creation!B:H, 7, FALSE), IFERROR(VLOOKUP(C386, Project_Management!B:H, 7, FALSE), ""))</f>
        <v>45241</v>
      </c>
      <c r="K386" s="217"/>
      <c r="L386" s="225" t="str">
        <f>IFERROR(VLOOKUP(B386, Data_Validation!X:Y, 2, FALSE), "")</f>
        <v>On Hold</v>
      </c>
      <c r="M386" s="226" t="str">
        <f t="shared" si="1"/>
        <v>Picture This! | SP-100 - Chipkol - Video | Deliver</v>
      </c>
      <c r="N386" s="226"/>
      <c r="O386" s="226"/>
    </row>
    <row r="387" ht="24.0" customHeight="1">
      <c r="A387" s="216" t="str">
        <f>IFERROR(__xludf.DUMMYFUNCTION("ARRAYFORMULA(IFERROR(VLOOKUP(REGEXEXTRACT(B387, ""-(\w+)-""), {Data_Validation!$F$16:$F$29, Data_Validation!$E$16:$E$29}, 2, FALSE), """"))
"),"Picture This!")</f>
        <v>Picture This!</v>
      </c>
      <c r="B387" s="217" t="str">
        <f>IFERROR(__xludf.DUMMYFUNCTION("""COMPUTED_VALUE"""),"PM-PTS-08.03")</f>
        <v>PM-PTS-08.03</v>
      </c>
      <c r="C387" s="218" t="str">
        <f>IFERROR(__xludf.DUMMYFUNCTION("IFERROR(REGEXEXTRACT(B387, ""^[A-Z]+-[A-Z]+-"") &amp; TEXT(VALUE(REGEXEXTRACT(B387, ""-(\d+)\."")), ""00""), """")"),"PM-PTS-08")</f>
        <v>PM-PTS-08</v>
      </c>
      <c r="D387" s="219" t="str">
        <f>IFERROR(VLOOKUP(C387, Content_Creation!B:D, 2, FALSE), IFERROR(VLOOKUP(C387, Project_Management!B:D, 2, FALSE), ""))
&amp; " - "
&amp; IFERROR(VLOOKUP(C387, Content_Creation!B:E, 4, FALSE), IFERROR(VLOOKUP(C387, Project_Management!B:E, 4, FALSE), ""))</f>
        <v>AFK Geeks - Video</v>
      </c>
      <c r="E387" s="220" t="str">
        <f>IFERROR(
    VLOOKUP(B386:B1001, Content_Creation!B:D, 3, FALSE),
    IFERROR(VLOOKUP(B386:B1001, Project_Management!B:D, 3, FALSE),"")
  )</f>
        <v>Script Deliver</v>
      </c>
      <c r="F387" s="221" t="str">
        <f>IFERROR(VLOOKUP(B387, Content_Creation!B:F, 5, FALSE), IFERROR(VLOOKUP(B387, Project_Management!B:F, 5, FALSE), ""))</f>
        <v>Talha</v>
      </c>
      <c r="G387" s="222" t="s">
        <v>179</v>
      </c>
      <c r="H387" s="223">
        <f>IFERROR(VLOOKUP(B387, Content_Creation!B:H, 7, FALSE), IFERROR(VLOOKUP(B387, Project_Management!B:H, 7, FALSE), ""))</f>
        <v>45241</v>
      </c>
      <c r="I387" s="224">
        <v>0.0</v>
      </c>
      <c r="J387" s="223">
        <f>IFERROR(VLOOKUP(C387, Content_Creation!B:H, 7, FALSE), IFERROR(VLOOKUP(C387, Project_Management!B:H, 7, FALSE), ""))</f>
        <v>45241</v>
      </c>
      <c r="K387" s="217"/>
      <c r="L387" s="225" t="str">
        <f>IFERROR(VLOOKUP(B387, Data_Validation!X:Y, 2, FALSE), "")</f>
        <v>Not Started</v>
      </c>
      <c r="M387" s="226" t="str">
        <f t="shared" si="1"/>
        <v>Picture This! | AFK Geeks - Video | Script Deliver</v>
      </c>
      <c r="N387" s="226"/>
      <c r="O387" s="226"/>
    </row>
    <row r="388" ht="24.0" customHeight="1">
      <c r="A388" s="216" t="str">
        <f>IFERROR(__xludf.DUMMYFUNCTION("ARRAYFORMULA(IFERROR(VLOOKUP(REGEXEXTRACT(B388, ""-(\w+)-""), {Data_Validation!$F$16:$F$29, Data_Validation!$E$16:$E$29}, 2, FALSE), """"))
"),"Picture This!")</f>
        <v>Picture This!</v>
      </c>
      <c r="B388" s="217" t="str">
        <f>IFERROR(__xludf.DUMMYFUNCTION("""COMPUTED_VALUE"""),"PM-PTS-08.04")</f>
        <v>PM-PTS-08.04</v>
      </c>
      <c r="C388" s="218" t="str">
        <f>IFERROR(__xludf.DUMMYFUNCTION("IFERROR(REGEXEXTRACT(B388, ""^[A-Z]+-[A-Z]+-"") &amp; TEXT(VALUE(REGEXEXTRACT(B388, ""-(\d+)\."")), ""00""), """")"),"PM-PTS-08")</f>
        <v>PM-PTS-08</v>
      </c>
      <c r="D388" s="219" t="str">
        <f>IFERROR(VLOOKUP(C388, Content_Creation!B:D, 2, FALSE), IFERROR(VLOOKUP(C388, Project_Management!B:D, 2, FALSE), ""))
&amp; " - "
&amp; IFERROR(VLOOKUP(C388, Content_Creation!B:E, 4, FALSE), IFERROR(VLOOKUP(C388, Project_Management!B:E, 4, FALSE), ""))</f>
        <v>AFK Geeks - Video</v>
      </c>
      <c r="E388" s="220" t="str">
        <f>IFERROR(
    VLOOKUP(B387:B1001, Content_Creation!B:D, 3, FALSE),
    IFERROR(VLOOKUP(B387:B1001, Project_Management!B:D, 3, FALSE),"")
  )</f>
        <v>Edit Deliver </v>
      </c>
      <c r="F388" s="221" t="str">
        <f>IFERROR(VLOOKUP(B388, Content_Creation!B:F, 5, FALSE), IFERROR(VLOOKUP(B388, Project_Management!B:F, 5, FALSE), ""))</f>
        <v>Talha</v>
      </c>
      <c r="G388" s="222" t="s">
        <v>179</v>
      </c>
      <c r="H388" s="223">
        <f>IFERROR(VLOOKUP(B388, Content_Creation!B:H, 7, FALSE), IFERROR(VLOOKUP(B388, Project_Management!B:H, 7, FALSE), ""))</f>
        <v>45241</v>
      </c>
      <c r="I388" s="224">
        <v>0.0</v>
      </c>
      <c r="J388" s="223">
        <f>IFERROR(VLOOKUP(C388, Content_Creation!B:H, 7, FALSE), IFERROR(VLOOKUP(C388, Project_Management!B:H, 7, FALSE), ""))</f>
        <v>45241</v>
      </c>
      <c r="K388" s="217"/>
      <c r="L388" s="225" t="str">
        <f>IFERROR(VLOOKUP(B388, Data_Validation!X:Y, 2, FALSE), "")</f>
        <v>Not Started</v>
      </c>
      <c r="M388" s="226" t="str">
        <f t="shared" si="1"/>
        <v>Picture This! | AFK Geeks - Video | Edit Deliver </v>
      </c>
      <c r="N388" s="226"/>
      <c r="O388" s="226"/>
    </row>
    <row r="389" ht="24.0" customHeight="1">
      <c r="A389" s="216" t="str">
        <f>IFERROR(__xludf.DUMMYFUNCTION("ARRAYFORMULA(IFERROR(VLOOKUP(REGEXEXTRACT(B389, ""-(\w+)-""), {Data_Validation!$F$16:$F$29, Data_Validation!$E$16:$E$29}, 2, FALSE), """"))
"),"Picture This!")</f>
        <v>Picture This!</v>
      </c>
      <c r="B389" s="217" t="str">
        <f>IFERROR(__xludf.DUMMYFUNCTION("""COMPUTED_VALUE"""),"PM-PTS-05.07")</f>
        <v>PM-PTS-05.07</v>
      </c>
      <c r="C389" s="218" t="str">
        <f>IFERROR(__xludf.DUMMYFUNCTION("IFERROR(REGEXEXTRACT(B389, ""^[A-Z]+-[A-Z]+-"") &amp; TEXT(VALUE(REGEXEXTRACT(B389, ""-(\d+)\."")), ""00""), """")"),"PM-PTS-05")</f>
        <v>PM-PTS-05</v>
      </c>
      <c r="D389" s="219" t="str">
        <f>IFERROR(VLOOKUP(C389, Content_Creation!B:D, 2, FALSE), IFERROR(VLOOKUP(C389, Project_Management!B:D, 2, FALSE), ""))
&amp; " - "
&amp; IFERROR(VLOOKUP(C389, Content_Creation!B:E, 4, FALSE), IFERROR(VLOOKUP(C389, Project_Management!B:E, 4, FALSE), ""))</f>
        <v>Picture This- AdHoc - Website</v>
      </c>
      <c r="E389" s="220" t="str">
        <f>IFERROR(
    VLOOKUP(B388:B1001, Content_Creation!B:D, 3, FALSE),
    IFERROR(VLOOKUP(B388:B1001, Project_Management!B:D, 3, FALSE),"")
  )</f>
        <v>Animation Breakdown</v>
      </c>
      <c r="F389" s="221" t="str">
        <f>IFERROR(VLOOKUP(B389, Content_Creation!B:F, 5, FALSE), IFERROR(VLOOKUP(B389, Project_Management!B:F, 5, FALSE), ""))</f>
        <v>Nasser</v>
      </c>
      <c r="G389" s="222" t="s">
        <v>179</v>
      </c>
      <c r="H389" s="223">
        <f>IFERROR(VLOOKUP(B389, Content_Creation!B:H, 7, FALSE), IFERROR(VLOOKUP(B389, Project_Management!B:H, 7, FALSE), ""))</f>
        <v>45241</v>
      </c>
      <c r="I389" s="224">
        <v>0.0</v>
      </c>
      <c r="J389" s="223">
        <f>IFERROR(VLOOKUP(C389, Content_Creation!B:H, 7, FALSE), IFERROR(VLOOKUP(C389, Project_Management!B:H, 7, FALSE), ""))</f>
        <v>45241</v>
      </c>
      <c r="K389" s="217"/>
      <c r="L389" s="225" t="str">
        <f>IFERROR(VLOOKUP(B389, Data_Validation!X:Y, 2, FALSE), "")</f>
        <v>Not Started</v>
      </c>
      <c r="M389" s="226" t="str">
        <f t="shared" si="1"/>
        <v>Picture This! | Picture This- AdHoc - Website | Animation Breakdown</v>
      </c>
      <c r="N389" s="226"/>
      <c r="O389" s="226"/>
    </row>
    <row r="390" ht="24.0" customHeight="1">
      <c r="A390" s="216" t="str">
        <f>IFERROR(__xludf.DUMMYFUNCTION("ARRAYFORMULA(IFERROR(VLOOKUP(REGEXEXTRACT(B390, ""-(\w+)-""), {Data_Validation!$F$16:$F$29, Data_Validation!$E$16:$E$29}, 2, FALSE), """"))
"),"Picture This!")</f>
        <v>Picture This!</v>
      </c>
      <c r="B390" s="217" t="str">
        <f>IFERROR(__xludf.DUMMYFUNCTION("""COMPUTED_VALUE"""),"PM-PTS-09.02")</f>
        <v>PM-PTS-09.02</v>
      </c>
      <c r="C390" s="218" t="str">
        <f>IFERROR(__xludf.DUMMYFUNCTION("IFERROR(REGEXEXTRACT(B390, ""^[A-Z]+-[A-Z]+-"") &amp; TEXT(VALUE(REGEXEXTRACT(B390, ""-(\d+)\."")), ""00""), """")"),"PM-PTS-09")</f>
        <v>PM-PTS-09</v>
      </c>
      <c r="D390" s="219" t="str">
        <f>IFERROR(VLOOKUP(C390, Content_Creation!B:D, 2, FALSE), IFERROR(VLOOKUP(C390, Project_Management!B:D, 2, FALSE), ""))
&amp; " - "
&amp; IFERROR(VLOOKUP(C390, Content_Creation!B:E, 4, FALSE), IFERROR(VLOOKUP(C390, Project_Management!B:E, 4, FALSE), ""))</f>
        <v>Swipe Up Productions  - Video</v>
      </c>
      <c r="E390" s="220" t="str">
        <f>IFERROR(
    VLOOKUP(B389:B1001, Content_Creation!B:D, 3, FALSE),
    IFERROR(VLOOKUP(B389:B1001, Project_Management!B:D, 3, FALSE),"")
  )</f>
        <v>Shoot</v>
      </c>
      <c r="F390" s="221" t="str">
        <f>IFERROR(VLOOKUP(B390, Content_Creation!B:F, 5, FALSE), IFERROR(VLOOKUP(B390, Project_Management!B:F, 5, FALSE), ""))</f>
        <v/>
      </c>
      <c r="G390" s="222" t="s">
        <v>179</v>
      </c>
      <c r="H390" s="223">
        <f>IFERROR(VLOOKUP(B390, Content_Creation!B:H, 7, FALSE), IFERROR(VLOOKUP(B390, Project_Management!B:H, 7, FALSE), ""))</f>
        <v>45241.80562</v>
      </c>
      <c r="I390" s="224">
        <v>0.0</v>
      </c>
      <c r="J390" s="223">
        <f>IFERROR(VLOOKUP(C390, Content_Creation!B:H, 7, FALSE), IFERROR(VLOOKUP(C390, Project_Management!B:H, 7, FALSE), ""))</f>
        <v>45251.80562</v>
      </c>
      <c r="K390" s="217"/>
      <c r="L390" s="225" t="str">
        <f>IFERROR(VLOOKUP(B390, Data_Validation!X:Y, 2, FALSE), "")</f>
        <v>Not Started</v>
      </c>
      <c r="M390" s="226" t="str">
        <f t="shared" si="1"/>
        <v>Picture This! | Swipe Up Productions  - Video | Shoot</v>
      </c>
      <c r="N390" s="226"/>
      <c r="O390" s="226"/>
    </row>
    <row r="391" ht="24.0" customHeight="1">
      <c r="A391" s="216" t="str">
        <f>IFERROR(__xludf.DUMMYFUNCTION("ARRAYFORMULA(IFERROR(VLOOKUP(REGEXEXTRACT(B391, ""-(\w+)-""), {Data_Validation!$F$16:$F$29, Data_Validation!$E$16:$E$29}, 2, FALSE), """"))
"),"TheMVP")</f>
        <v>TheMVP</v>
      </c>
      <c r="B391" s="217" t="str">
        <f>IFERROR(__xludf.DUMMYFUNCTION("""COMPUTED_VALUE"""),"CC-MVP-76.08")</f>
        <v>CC-MVP-76.08</v>
      </c>
      <c r="C391" s="218" t="str">
        <f>IFERROR(__xludf.DUMMYFUNCTION("IFERROR(REGEXEXTRACT(B391, ""^[A-Z]+-[A-Z]+-"") &amp; TEXT(VALUE(REGEXEXTRACT(B391, ""-(\d+)\."")), ""00""), """")"),"CC-MVP-76")</f>
        <v>CC-MVP-76</v>
      </c>
      <c r="D391" s="219" t="str">
        <f>IFERROR(VLOOKUP(C391, Content_Creation!B:D, 2, FALSE), IFERROR(VLOOKUP(C391, Project_Management!B:D, 2, FALSE), ""))
&amp; " - "
&amp; IFERROR(VLOOKUP(C391, Content_Creation!B:E, 4, FALSE), IFERROR(VLOOKUP(C391, Project_Management!B:E, 4, FALSE), ""))</f>
        <v>12 Lakh GPU - Nvidia L40s - Shorts</v>
      </c>
      <c r="E391" s="220" t="str">
        <f>IFERROR(
    VLOOKUP(B390:B1001, Content_Creation!B:D, 3, FALSE),
    IFERROR(VLOOKUP(B390:B1001, Project_Management!B:D, 3, FALSE),"")
  )</f>
        <v>Upload</v>
      </c>
      <c r="F391" s="221" t="str">
        <f>IFERROR(VLOOKUP(B391, Content_Creation!B:F, 5, FALSE), IFERROR(VLOOKUP(B391, Project_Management!B:F, 5, FALSE), ""))</f>
        <v>Nasser</v>
      </c>
      <c r="G391" s="222" t="s">
        <v>179</v>
      </c>
      <c r="H391" s="223">
        <f>IFERROR(VLOOKUP(B391, Content_Creation!B:H, 7, FALSE), IFERROR(VLOOKUP(B391, Project_Management!B:H, 7, FALSE), ""))</f>
        <v>45242</v>
      </c>
      <c r="I391" s="224">
        <v>0.0</v>
      </c>
      <c r="J391" s="223">
        <f>IFERROR(VLOOKUP(C391, Content_Creation!B:H, 7, FALSE), IFERROR(VLOOKUP(C391, Project_Management!B:H, 7, FALSE), ""))</f>
        <v>45242</v>
      </c>
      <c r="K391" s="217"/>
      <c r="L391" s="225" t="str">
        <f>IFERROR(VLOOKUP(B391, Data_Validation!X:Y, 2, FALSE), "")</f>
        <v>Not Started</v>
      </c>
      <c r="M391" s="226" t="str">
        <f t="shared" si="1"/>
        <v>TheMVP | 12 Lakh GPU - Nvidia L40s - Shorts | Upload</v>
      </c>
      <c r="N391" s="226"/>
      <c r="O391" s="226"/>
    </row>
    <row r="392" ht="24.0" customHeight="1">
      <c r="A392" s="216" t="str">
        <f>IFERROR(__xludf.DUMMYFUNCTION("ARRAYFORMULA(IFERROR(VLOOKUP(REGEXEXTRACT(B392, ""-(\w+)-""), {Data_Validation!$F$16:$F$29, Data_Validation!$E$16:$E$29}, 2, FALSE), """"))
"),"TheMVP")</f>
        <v>TheMVP</v>
      </c>
      <c r="B392" s="217" t="str">
        <f>IFERROR(__xludf.DUMMYFUNCTION("""COMPUTED_VALUE"""),"CC-MVP-94.03")</f>
        <v>CC-MVP-94.03</v>
      </c>
      <c r="C392" s="218" t="str">
        <f>IFERROR(__xludf.DUMMYFUNCTION("IFERROR(REGEXEXTRACT(B392, ""^[A-Z]+-[A-Z]+-"") &amp; TEXT(VALUE(REGEXEXTRACT(B392, ""-(\d+)\."")), ""00""), """")"),"CC-MVP-94")</f>
        <v>CC-MVP-94</v>
      </c>
      <c r="D392" s="219" t="str">
        <f>IFERROR(VLOOKUP(C392, Content_Creation!B:D, 2, FALSE), IFERROR(VLOOKUP(C392, Project_Management!B:D, 2, FALSE), ""))
&amp; " - "
&amp; IFERROR(VLOOKUP(C392, Content_Creation!B:E, 4, FALSE), IFERROR(VLOOKUP(C392, Project_Management!B:E, 4, FALSE), ""))</f>
        <v>TrueNAS Setup Revamp - Blog</v>
      </c>
      <c r="E392" s="220" t="str">
        <f>IFERROR(
    VLOOKUP(B391:B1001, Content_Creation!B:D, 3, FALSE),
    IFERROR(VLOOKUP(B391:B1001, Project_Management!B:D, 3, FALSE),"")
  )</f>
        <v>Finalise</v>
      </c>
      <c r="F392" s="221" t="str">
        <f>IFERROR(VLOOKUP(B392, Content_Creation!B:F, 5, FALSE), IFERROR(VLOOKUP(B392, Project_Management!B:F, 5, FALSE), ""))</f>
        <v>Tazeen</v>
      </c>
      <c r="G392" s="222" t="s">
        <v>179</v>
      </c>
      <c r="H392" s="223">
        <f>IFERROR(VLOOKUP(B392, Content_Creation!B:H, 7, FALSE), IFERROR(VLOOKUP(B392, Project_Management!B:H, 7, FALSE), ""))</f>
        <v>45242</v>
      </c>
      <c r="I392" s="224">
        <v>0.0</v>
      </c>
      <c r="J392" s="223">
        <f>IFERROR(VLOOKUP(C392, Content_Creation!B:H, 7, FALSE), IFERROR(VLOOKUP(C392, Project_Management!B:H, 7, FALSE), ""))</f>
        <v>45243</v>
      </c>
      <c r="K392" s="217"/>
      <c r="L392" s="225" t="str">
        <f>IFERROR(VLOOKUP(B392, Data_Validation!X:Y, 2, FALSE), "")</f>
        <v>Not Started</v>
      </c>
      <c r="M392" s="226" t="str">
        <f t="shared" si="1"/>
        <v>TheMVP | TrueNAS Setup Revamp - Blog | Finalise</v>
      </c>
      <c r="N392" s="226"/>
      <c r="O392" s="226"/>
    </row>
    <row r="393" ht="24.0" customHeight="1">
      <c r="A393" s="216" t="str">
        <f>IFERROR(__xludf.DUMMYFUNCTION("ARRAYFORMULA(IFERROR(VLOOKUP(REGEXEXTRACT(B393, ""-(\w+)-""), {Data_Validation!$F$16:$F$29, Data_Validation!$E$16:$E$29}, 2, FALSE), """"))
"),"TheMVP")</f>
        <v>TheMVP</v>
      </c>
      <c r="B393" s="217" t="str">
        <f>IFERROR(__xludf.DUMMYFUNCTION("""COMPUTED_VALUE"""),"CC-MVP-102.03")</f>
        <v>CC-MVP-102.03</v>
      </c>
      <c r="C393" s="218" t="str">
        <f>IFERROR(__xludf.DUMMYFUNCTION("IFERROR(REGEXEXTRACT(B393, ""^[A-Z]+-[A-Z]+-"") &amp; TEXT(VALUE(REGEXEXTRACT(B393, ""-(\d+)\."")), ""00""), """")"),"CC-MVP-102")</f>
        <v>CC-MVP-102</v>
      </c>
      <c r="D393" s="219" t="str">
        <f>IFERROR(VLOOKUP(C393, Content_Creation!B:D, 2, FALSE), IFERROR(VLOOKUP(C393, Project_Management!B:D, 2, FALSE), ""))
&amp; " - "
&amp; IFERROR(VLOOKUP(C393, Content_Creation!B:E, 4, FALSE), IFERROR(VLOOKUP(C393, Project_Management!B:E, 4, FALSE), ""))</f>
        <v>Custom PC for VFX Worflow - Linkedin</v>
      </c>
      <c r="E393" s="220" t="str">
        <f>IFERROR(
    VLOOKUP(B392:B1001, Content_Creation!B:D, 3, FALSE),
    IFERROR(VLOOKUP(B392:B1001, Project_Management!B:D, 3, FALSE),"")
  )</f>
        <v>Finalise</v>
      </c>
      <c r="F393" s="221" t="str">
        <f>IFERROR(VLOOKUP(B393, Content_Creation!B:F, 5, FALSE), IFERROR(VLOOKUP(B393, Project_Management!B:F, 5, FALSE), ""))</f>
        <v>Nasser</v>
      </c>
      <c r="G393" s="222" t="s">
        <v>179</v>
      </c>
      <c r="H393" s="223">
        <f>IFERROR(VLOOKUP(B393, Content_Creation!B:H, 7, FALSE), IFERROR(VLOOKUP(B393, Project_Management!B:H, 7, FALSE), ""))</f>
        <v>45242</v>
      </c>
      <c r="I393" s="224">
        <v>0.0</v>
      </c>
      <c r="J393" s="223">
        <f>IFERROR(VLOOKUP(C393, Content_Creation!B:H, 7, FALSE), IFERROR(VLOOKUP(C393, Project_Management!B:H, 7, FALSE), ""))</f>
        <v>45243</v>
      </c>
      <c r="K393" s="217"/>
      <c r="L393" s="225" t="str">
        <f>IFERROR(VLOOKUP(B393, Data_Validation!X:Y, 2, FALSE), "")</f>
        <v>Not Started</v>
      </c>
      <c r="M393" s="226" t="str">
        <f t="shared" si="1"/>
        <v>TheMVP | Custom PC for VFX Worflow - Linkedin | Finalise</v>
      </c>
      <c r="N393" s="226"/>
      <c r="O393" s="226"/>
    </row>
    <row r="394" ht="24.0" customHeight="1">
      <c r="A394" s="216" t="str">
        <f>IFERROR(__xludf.DUMMYFUNCTION("ARRAYFORMULA(IFERROR(VLOOKUP(REGEXEXTRACT(B394, ""-(\w+)-""), {Data_Validation!$F$16:$F$29, Data_Validation!$E$16:$E$29}, 2, FALSE), """"))
"),"TheMVP")</f>
        <v>TheMVP</v>
      </c>
      <c r="B394" s="217" t="str">
        <f>IFERROR(__xludf.DUMMYFUNCTION("""COMPUTED_VALUE"""),"CC-MVP-82.06")</f>
        <v>CC-MVP-82.06</v>
      </c>
      <c r="C394" s="218" t="str">
        <f>IFERROR(__xludf.DUMMYFUNCTION("IFERROR(REGEXEXTRACT(B394, ""^[A-Z]+-[A-Z]+-"") &amp; TEXT(VALUE(REGEXEXTRACT(B394, ""-(\d+)\."")), ""00""), """")"),"CC-MVP-82")</f>
        <v>CC-MVP-82</v>
      </c>
      <c r="D394" s="219" t="str">
        <f>IFERROR(VLOOKUP(C394, Content_Creation!B:D, 2, FALSE), IFERROR(VLOOKUP(C394, Project_Management!B:D, 2, FALSE), ""))
&amp; " - "
&amp; IFERROR(VLOOKUP(C394, Content_Creation!B:E, 4, FALSE), IFERROR(VLOOKUP(C394, Project_Management!B:E, 4, FALSE), ""))</f>
        <v>G613 Keyboard - Logi Offer - Shorts</v>
      </c>
      <c r="E394" s="220" t="str">
        <f>IFERROR(
    VLOOKUP(B393:B1001, Content_Creation!B:D, 3, FALSE),
    IFERROR(VLOOKUP(B393:B1001, Project_Management!B:D, 3, FALSE),"")
  )</f>
        <v>Thumbnail</v>
      </c>
      <c r="F394" s="221" t="str">
        <f>IFERROR(VLOOKUP(B394, Content_Creation!B:F, 5, FALSE), IFERROR(VLOOKUP(B394, Project_Management!B:F, 5, FALSE), ""))</f>
        <v/>
      </c>
      <c r="G394" s="222" t="s">
        <v>179</v>
      </c>
      <c r="H394" s="223">
        <f>IFERROR(VLOOKUP(B394, Content_Creation!B:H, 7, FALSE), IFERROR(VLOOKUP(B394, Project_Management!B:H, 7, FALSE), ""))</f>
        <v>45242</v>
      </c>
      <c r="I394" s="224">
        <v>0.0</v>
      </c>
      <c r="J394" s="223">
        <f>IFERROR(VLOOKUP(C394, Content_Creation!B:H, 7, FALSE), IFERROR(VLOOKUP(C394, Project_Management!B:H, 7, FALSE), ""))</f>
        <v>45243</v>
      </c>
      <c r="K394" s="217"/>
      <c r="L394" s="225" t="str">
        <f>IFERROR(VLOOKUP(B394, Data_Validation!X:Y, 2, FALSE), "")</f>
        <v>Not Started</v>
      </c>
      <c r="M394" s="226" t="str">
        <f t="shared" si="1"/>
        <v>TheMVP | G613 Keyboard - Logi Offer - Shorts | Thumbnail</v>
      </c>
      <c r="N394" s="226"/>
      <c r="O394" s="226"/>
    </row>
    <row r="395" ht="24.0" customHeight="1">
      <c r="A395" s="216" t="str">
        <f>IFERROR(__xludf.DUMMYFUNCTION("ARRAYFORMULA(IFERROR(VLOOKUP(REGEXEXTRACT(B395, ""-(\w+)-""), {Data_Validation!$F$16:$F$29, Data_Validation!$E$16:$E$29}, 2, FALSE), """"))
"),"TheMVP")</f>
        <v>TheMVP</v>
      </c>
      <c r="B395" s="217" t="str">
        <f>IFERROR(__xludf.DUMMYFUNCTION("""COMPUTED_VALUE"""),"CC-MVP-85.02")</f>
        <v>CC-MVP-85.02</v>
      </c>
      <c r="C395" s="218" t="str">
        <f>IFERROR(__xludf.DUMMYFUNCTION("IFERROR(REGEXEXTRACT(B395, ""^[A-Z]+-[A-Z]+-"") &amp; TEXT(VALUE(REGEXEXTRACT(B395, ""-(\d+)\."")), ""00""), """")"),"CC-MVP-85")</f>
        <v>CC-MVP-85</v>
      </c>
      <c r="D395" s="219" t="str">
        <f>IFERROR(VLOOKUP(C395, Content_Creation!B:D, 2, FALSE), IFERROR(VLOOKUP(C395, Project_Management!B:D, 2, FALSE), ""))
&amp; " - "
&amp; IFERROR(VLOOKUP(C395, Content_Creation!B:E, 4, FALSE), IFERROR(VLOOKUP(C395, Project_Management!B:E, 4, FALSE), ""))</f>
        <v>G335 Headset - Logi Offer - Shorts</v>
      </c>
      <c r="E395" s="220" t="str">
        <f>IFERROR(
    VLOOKUP(B394:B1001, Content_Creation!B:D, 3, FALSE),
    IFERROR(VLOOKUP(B394:B1001, Project_Management!B:D, 3, FALSE),"")
  )</f>
        <v>Shoot</v>
      </c>
      <c r="F395" s="221" t="str">
        <f>IFERROR(VLOOKUP(B395, Content_Creation!B:F, 5, FALSE), IFERROR(VLOOKUP(B395, Project_Management!B:F, 5, FALSE), ""))</f>
        <v>Akhil</v>
      </c>
      <c r="G395" s="222" t="s">
        <v>179</v>
      </c>
      <c r="H395" s="223">
        <f>IFERROR(VLOOKUP(B395, Content_Creation!B:H, 7, FALSE), IFERROR(VLOOKUP(B395, Project_Management!B:H, 7, FALSE), ""))</f>
        <v>45242</v>
      </c>
      <c r="I395" s="224">
        <v>0.0</v>
      </c>
      <c r="J395" s="223">
        <f>IFERROR(VLOOKUP(C395, Content_Creation!B:H, 7, FALSE), IFERROR(VLOOKUP(C395, Project_Management!B:H, 7, FALSE), ""))</f>
        <v>45244</v>
      </c>
      <c r="K395" s="217"/>
      <c r="L395" s="225" t="str">
        <f>IFERROR(VLOOKUP(B395, Data_Validation!X:Y, 2, FALSE), "")</f>
        <v>Not Started</v>
      </c>
      <c r="M395" s="226" t="str">
        <f t="shared" si="1"/>
        <v>TheMVP | G335 Headset - Logi Offer - Shorts | Shoot</v>
      </c>
      <c r="N395" s="226"/>
      <c r="O395" s="226"/>
    </row>
    <row r="396" ht="24.0" customHeight="1">
      <c r="A396" s="216" t="str">
        <f>IFERROR(__xludf.DUMMYFUNCTION("ARRAYFORMULA(IFERROR(VLOOKUP(REGEXEXTRACT(B396, ""-(\w+)-""), {Data_Validation!$F$16:$F$29, Data_Validation!$E$16:$E$29}, 2, FALSE), """"))
"),"TheMVP")</f>
        <v>TheMVP</v>
      </c>
      <c r="B396" s="217" t="str">
        <f>IFERROR(__xludf.DUMMYFUNCTION("""COMPUTED_VALUE"""),"CC-MVP-85.05")</f>
        <v>CC-MVP-85.05</v>
      </c>
      <c r="C396" s="218" t="str">
        <f>IFERROR(__xludf.DUMMYFUNCTION("IFERROR(REGEXEXTRACT(B396, ""^[A-Z]+-[A-Z]+-"") &amp; TEXT(VALUE(REGEXEXTRACT(B396, ""-(\d+)\."")), ""00""), """")"),"CC-MVP-85")</f>
        <v>CC-MVP-85</v>
      </c>
      <c r="D396" s="219" t="str">
        <f>IFERROR(VLOOKUP(C396, Content_Creation!B:D, 2, FALSE), IFERROR(VLOOKUP(C396, Project_Management!B:D, 2, FALSE), ""))
&amp; " - "
&amp; IFERROR(VLOOKUP(C396, Content_Creation!B:E, 4, FALSE), IFERROR(VLOOKUP(C396, Project_Management!B:E, 4, FALSE), ""))</f>
        <v>G335 Headset - Logi Offer - Shorts</v>
      </c>
      <c r="E396" s="220" t="str">
        <f>IFERROR(
    VLOOKUP(B395:B1001, Content_Creation!B:D, 3, FALSE),
    IFERROR(VLOOKUP(B395:B1001, Project_Management!B:D, 3, FALSE),"")
  )</f>
        <v>Edit</v>
      </c>
      <c r="F396" s="221" t="str">
        <f>IFERROR(VLOOKUP(B396, Content_Creation!B:F, 5, FALSE), IFERROR(VLOOKUP(B396, Project_Management!B:F, 5, FALSE), ""))</f>
        <v>Jayanth</v>
      </c>
      <c r="G396" s="222" t="s">
        <v>179</v>
      </c>
      <c r="H396" s="223">
        <f>IFERROR(VLOOKUP(B396, Content_Creation!B:H, 7, FALSE), IFERROR(VLOOKUP(B396, Project_Management!B:H, 7, FALSE), ""))</f>
        <v>45242</v>
      </c>
      <c r="I396" s="224">
        <v>0.0</v>
      </c>
      <c r="J396" s="223">
        <f>IFERROR(VLOOKUP(C396, Content_Creation!B:H, 7, FALSE), IFERROR(VLOOKUP(C396, Project_Management!B:H, 7, FALSE), ""))</f>
        <v>45244</v>
      </c>
      <c r="K396" s="217"/>
      <c r="L396" s="225" t="str">
        <f>IFERROR(VLOOKUP(B396, Data_Validation!X:Y, 2, FALSE), "")</f>
        <v>Not Started</v>
      </c>
      <c r="M396" s="226" t="str">
        <f t="shared" si="1"/>
        <v>TheMVP | G335 Headset - Logi Offer - Shorts | Edit</v>
      </c>
      <c r="N396" s="226"/>
      <c r="O396" s="226"/>
    </row>
    <row r="397" ht="24.0" customHeight="1">
      <c r="A397" s="216" t="str">
        <f>IFERROR(__xludf.DUMMYFUNCTION("ARRAYFORMULA(IFERROR(VLOOKUP(REGEXEXTRACT(B397, ""-(\w+)-""), {Data_Validation!$F$16:$F$29, Data_Validation!$E$16:$E$29}, 2, FALSE), """"))
"),"TheMVP")</f>
        <v>TheMVP</v>
      </c>
      <c r="B397" s="217" t="str">
        <f>IFERROR(__xludf.DUMMYFUNCTION("""COMPUTED_VALUE"""),"CC-MVP-83.04")</f>
        <v>CC-MVP-83.04</v>
      </c>
      <c r="C397" s="218" t="str">
        <f>IFERROR(__xludf.DUMMYFUNCTION("IFERROR(REGEXEXTRACT(B397, ""^[A-Z]+-[A-Z]+-"") &amp; TEXT(VALUE(REGEXEXTRACT(B397, ""-(\d+)\."")), ""00""), """")"),"CC-MVP-83")</f>
        <v>CC-MVP-83</v>
      </c>
      <c r="D397" s="219" t="str">
        <f>IFERROR(VLOOKUP(C397, Content_Creation!B:D, 2, FALSE), IFERROR(VLOOKUP(C397, Project_Management!B:D, 2, FALSE), ""))
&amp; " - "
&amp; IFERROR(VLOOKUP(C397, Content_Creation!B:E, 4, FALSE), IFERROR(VLOOKUP(C397, Project_Management!B:E, 4, FALSE), ""))</f>
        <v>G Pro TKL - Logi Offer - Shorts</v>
      </c>
      <c r="E397" s="220" t="str">
        <f>IFERROR(
    VLOOKUP(B396:B1001, Content_Creation!B:D, 3, FALSE),
    IFERROR(VLOOKUP(B396:B1001, Project_Management!B:D, 3, FALSE),"")
  )</f>
        <v>Editor Notes</v>
      </c>
      <c r="F397" s="221" t="str">
        <f>IFERROR(VLOOKUP(B397, Content_Creation!B:F, 5, FALSE), IFERROR(VLOOKUP(B397, Project_Management!B:F, 5, FALSE), ""))</f>
        <v/>
      </c>
      <c r="G397" s="222" t="s">
        <v>179</v>
      </c>
      <c r="H397" s="223">
        <f>IFERROR(VLOOKUP(B397, Content_Creation!B:H, 7, FALSE), IFERROR(VLOOKUP(B397, Project_Management!B:H, 7, FALSE), ""))</f>
        <v>45242</v>
      </c>
      <c r="I397" s="224">
        <v>0.0</v>
      </c>
      <c r="J397" s="223">
        <f>IFERROR(VLOOKUP(C397, Content_Creation!B:H, 7, FALSE), IFERROR(VLOOKUP(C397, Project_Management!B:H, 7, FALSE), ""))</f>
        <v>45245</v>
      </c>
      <c r="K397" s="217"/>
      <c r="L397" s="225" t="str">
        <f>IFERROR(VLOOKUP(B397, Data_Validation!X:Y, 2, FALSE), "")</f>
        <v>Not Started</v>
      </c>
      <c r="M397" s="226" t="str">
        <f t="shared" si="1"/>
        <v>TheMVP | G Pro TKL - Logi Offer - Shorts | Editor Notes</v>
      </c>
      <c r="N397" s="226"/>
      <c r="O397" s="226"/>
    </row>
    <row r="398" ht="24.0" customHeight="1">
      <c r="A398" s="216" t="str">
        <f>IFERROR(__xludf.DUMMYFUNCTION("ARRAYFORMULA(IFERROR(VLOOKUP(REGEXEXTRACT(B398, ""-(\w+)-""), {Data_Validation!$F$16:$F$29, Data_Validation!$E$16:$E$29}, 2, FALSE), """"))
"),"TheMVP")</f>
        <v>TheMVP</v>
      </c>
      <c r="B398" s="217" t="str">
        <f>IFERROR(__xludf.DUMMYFUNCTION("""COMPUTED_VALUE"""),"CC-MVP-110.01")</f>
        <v>CC-MVP-110.01</v>
      </c>
      <c r="C398" s="218" t="str">
        <f>IFERROR(__xludf.DUMMYFUNCTION("IFERROR(REGEXEXTRACT(B398, ""^[A-Z]+-[A-Z]+-"") &amp; TEXT(VALUE(REGEXEXTRACT(B398, ""-(\d+)\."")), ""00""), """")"),"CC-MVP-110")</f>
        <v>CC-MVP-110</v>
      </c>
      <c r="D398" s="219" t="str">
        <f>IFERROR(VLOOKUP(C398, Content_Creation!B:D, 2, FALSE), IFERROR(VLOOKUP(C398, Project_Management!B:D, 2, FALSE), ""))
&amp; " - "
&amp; IFERROR(VLOOKUP(C398, Content_Creation!B:E, 4, FALSE), IFERROR(VLOOKUP(C398, Project_Management!B:E, 4, FALSE), ""))</f>
        <v>Idea Pending - Tweet</v>
      </c>
      <c r="E398" s="220" t="str">
        <f>IFERROR(
    VLOOKUP(B397:B1001, Content_Creation!B:D, 3, FALSE),
    IFERROR(VLOOKUP(B397:B1001, Project_Management!B:D, 3, FALSE),"")
  )</f>
        <v>Script</v>
      </c>
      <c r="F398" s="221" t="str">
        <f>IFERROR(VLOOKUP(B398, Content_Creation!B:F, 5, FALSE), IFERROR(VLOOKUP(B398, Project_Management!B:F, 5, FALSE), ""))</f>
        <v>Tazeen</v>
      </c>
      <c r="G398" s="222" t="s">
        <v>179</v>
      </c>
      <c r="H398" s="223">
        <f>IFERROR(VLOOKUP(B398, Content_Creation!B:H, 7, FALSE), IFERROR(VLOOKUP(B398, Project_Management!B:H, 7, FALSE), ""))</f>
        <v>45242</v>
      </c>
      <c r="I398" s="224">
        <v>0.0</v>
      </c>
      <c r="J398" s="223">
        <f>IFERROR(VLOOKUP(C398, Content_Creation!B:H, 7, FALSE), IFERROR(VLOOKUP(C398, Project_Management!B:H, 7, FALSE), ""))</f>
        <v>45245</v>
      </c>
      <c r="K398" s="217"/>
      <c r="L398" s="225" t="str">
        <f>IFERROR(VLOOKUP(B398, Data_Validation!X:Y, 2, FALSE), "")</f>
        <v>Not Started</v>
      </c>
      <c r="M398" s="226" t="str">
        <f t="shared" si="1"/>
        <v>TheMVP | Idea Pending - Tweet | Script</v>
      </c>
      <c r="N398" s="226"/>
      <c r="O398" s="226"/>
    </row>
    <row r="399" ht="24.0" customHeight="1">
      <c r="A399" s="216" t="str">
        <f>IFERROR(__xludf.DUMMYFUNCTION("ARRAYFORMULA(IFERROR(VLOOKUP(REGEXEXTRACT(B399, ""-(\w+)-""), {Data_Validation!$F$16:$F$29, Data_Validation!$E$16:$E$29}, 2, FALSE), """"))
"),"TheMVP")</f>
        <v>TheMVP</v>
      </c>
      <c r="B399" s="217" t="str">
        <f>IFERROR(__xludf.DUMMYFUNCTION("""COMPUTED_VALUE"""),"CC-MVP-114.02")</f>
        <v>CC-MVP-114.02</v>
      </c>
      <c r="C399" s="218" t="str">
        <f>IFERROR(__xludf.DUMMYFUNCTION("IFERROR(REGEXEXTRACT(B399, ""^[A-Z]+-[A-Z]+-"") &amp; TEXT(VALUE(REGEXEXTRACT(B399, ""-(\d+)\."")), ""00""), """")"),"CC-MVP-114")</f>
        <v>CC-MVP-114</v>
      </c>
      <c r="D399" s="219" t="str">
        <f>IFERROR(VLOOKUP(C399, Content_Creation!B:D, 2, FALSE), IFERROR(VLOOKUP(C399, Project_Management!B:D, 2, FALSE), ""))
&amp; " - "
&amp; IFERROR(VLOOKUP(C399, Content_Creation!B:E, 4, FALSE), IFERROR(VLOOKUP(C399, Project_Management!B:E, 4, FALSE), ""))</f>
        <v>Build a PC for Ansys - Shorts</v>
      </c>
      <c r="E399" s="220" t="str">
        <f>IFERROR(
    VLOOKUP(B398:B1001, Content_Creation!B:D, 3, FALSE),
    IFERROR(VLOOKUP(B398:B1001, Project_Management!B:D, 3, FALSE),"")
  )</f>
        <v>Shoot</v>
      </c>
      <c r="F399" s="221" t="str">
        <f>IFERROR(VLOOKUP(B399, Content_Creation!B:F, 5, FALSE), IFERROR(VLOOKUP(B399, Project_Management!B:F, 5, FALSE), ""))</f>
        <v>Akhil</v>
      </c>
      <c r="G399" s="225" t="s">
        <v>179</v>
      </c>
      <c r="H399" s="223">
        <f>IFERROR(VLOOKUP(B399, Content_Creation!B:H, 7, FALSE), IFERROR(VLOOKUP(B399, Project_Management!B:H, 7, FALSE), ""))</f>
        <v>45242</v>
      </c>
      <c r="I399" s="224">
        <v>0.0</v>
      </c>
      <c r="J399" s="223">
        <f>IFERROR(VLOOKUP(C399, Content_Creation!B:H, 7, FALSE), IFERROR(VLOOKUP(C399, Project_Management!B:H, 7, FALSE), ""))</f>
        <v>45247.62168</v>
      </c>
      <c r="K399" s="217"/>
      <c r="L399" s="225" t="str">
        <f>IFERROR(VLOOKUP(B399, Data_Validation!X:Y, 2, FALSE), "")</f>
        <v>Not Started</v>
      </c>
      <c r="M399" s="226" t="str">
        <f t="shared" si="1"/>
        <v>TheMVP | Build a PC for Ansys - Shorts | Shoot</v>
      </c>
      <c r="N399" s="226"/>
      <c r="O399" s="226"/>
    </row>
    <row r="400" ht="24.0" customHeight="1">
      <c r="A400" s="216" t="str">
        <f>IFERROR(__xludf.DUMMYFUNCTION("ARRAYFORMULA(IFERROR(VLOOKUP(REGEXEXTRACT(B400, ""-(\w+)-""), {Data_Validation!$F$16:$F$29, Data_Validation!$E$16:$E$29}, 2, FALSE), """"))
"),"TheMVP")</f>
        <v>TheMVP</v>
      </c>
      <c r="B400" s="217" t="str">
        <f>IFERROR(__xludf.DUMMYFUNCTION("""COMPUTED_VALUE"""),"CC-MVP-118.02")</f>
        <v>CC-MVP-118.02</v>
      </c>
      <c r="C400" s="218" t="str">
        <f>IFERROR(__xludf.DUMMYFUNCTION("IFERROR(REGEXEXTRACT(B400, ""^[A-Z]+-[A-Z]+-"") &amp; TEXT(VALUE(REGEXEXTRACT(B400, ""-(\d+)\."")), ""00""), """")"),"CC-MVP-118")</f>
        <v>CC-MVP-118</v>
      </c>
      <c r="D400" s="219" t="str">
        <f>IFERROR(VLOOKUP(C400, Content_Creation!B:D, 2, FALSE), IFERROR(VLOOKUP(C400, Project_Management!B:D, 2, FALSE), ""))
&amp; " - "
&amp; IFERROR(VLOOKUP(C400, Content_Creation!B:E, 4, FALSE), IFERROR(VLOOKUP(C400, Project_Management!B:E, 4, FALSE), ""))</f>
        <v>Editing Category Downedit - Shorts</v>
      </c>
      <c r="E400" s="220" t="str">
        <f>IFERROR(
    VLOOKUP(B399:B1001, Content_Creation!B:D, 3, FALSE),
    IFERROR(VLOOKUP(B399:B1001, Project_Management!B:D, 3, FALSE),"")
  )</f>
        <v>Shoot</v>
      </c>
      <c r="F400" s="221" t="str">
        <f>IFERROR(VLOOKUP(B400, Content_Creation!B:F, 5, FALSE), IFERROR(VLOOKUP(B400, Project_Management!B:F, 5, FALSE), ""))</f>
        <v/>
      </c>
      <c r="G400" s="222" t="s">
        <v>179</v>
      </c>
      <c r="H400" s="223">
        <f>IFERROR(VLOOKUP(B400, Content_Creation!B:H, 7, FALSE), IFERROR(VLOOKUP(B400, Project_Management!B:H, 7, FALSE), ""))</f>
        <v>45242.99818</v>
      </c>
      <c r="I400" s="224">
        <v>0.0</v>
      </c>
      <c r="J400" s="223">
        <f>IFERROR(VLOOKUP(C400, Content_Creation!B:H, 7, FALSE), IFERROR(VLOOKUP(C400, Project_Management!B:H, 7, FALSE), ""))</f>
        <v>45252.99818</v>
      </c>
      <c r="K400" s="217"/>
      <c r="L400" s="225" t="str">
        <f>IFERROR(VLOOKUP(B400, Data_Validation!X:Y, 2, FALSE), "")</f>
        <v>Not Started</v>
      </c>
      <c r="M400" s="226" t="str">
        <f t="shared" si="1"/>
        <v>TheMVP | Editing Category Downedit - Shorts | Shoot</v>
      </c>
      <c r="N400" s="226"/>
      <c r="O400" s="226"/>
    </row>
    <row r="401" ht="24.0" customHeight="1">
      <c r="A401" s="216" t="str">
        <f>IFERROR(__xludf.DUMMYFUNCTION("ARRAYFORMULA(IFERROR(VLOOKUP(REGEXEXTRACT(B401, ""-(\w+)-""), {Data_Validation!$F$16:$F$29, Data_Validation!$E$16:$E$29}, 2, FALSE), """"))
"),"Nvidia")</f>
        <v>Nvidia</v>
      </c>
      <c r="B401" s="217" t="str">
        <f>IFERROR(__xludf.DUMMYFUNCTION("""COMPUTED_VALUE"""),"CC-NVI-13.07")</f>
        <v>CC-NVI-13.07</v>
      </c>
      <c r="C401" s="218" t="str">
        <f>IFERROR(__xludf.DUMMYFUNCTION("IFERROR(REGEXEXTRACT(B401, ""^[A-Z]+-[A-Z]+-"") &amp; TEXT(VALUE(REGEXEXTRACT(B401, ""-(\d+)\."")), ""00""), """")"),"CC-NVI-13")</f>
        <v>CC-NVI-13</v>
      </c>
      <c r="D401" s="219" t="str">
        <f>IFERROR(VLOOKUP(C401, Content_Creation!B:D, 2, FALSE), IFERROR(VLOOKUP(C401, Project_Management!B:D, 2, FALSE), ""))
&amp; " - "
&amp; IFERROR(VLOOKUP(C401, Content_Creation!B:E, 4, FALSE), IFERROR(VLOOKUP(C401, Project_Management!B:E, 4, FALSE), ""))</f>
        <v>MSI Laptop 1 - Shorts</v>
      </c>
      <c r="E401" s="220" t="str">
        <f>IFERROR(
    VLOOKUP(B400:B1001, Content_Creation!B:D, 3, FALSE),
    IFERROR(VLOOKUP(B400:B1001, Project_Management!B:D, 3, FALSE),"")
  )</f>
        <v>Upload</v>
      </c>
      <c r="F401" s="221" t="str">
        <f>IFERROR(VLOOKUP(B401, Content_Creation!B:F, 5, FALSE), IFERROR(VLOOKUP(B401, Project_Management!B:F, 5, FALSE), ""))</f>
        <v>Nasser</v>
      </c>
      <c r="G401" s="222" t="s">
        <v>179</v>
      </c>
      <c r="H401" s="223">
        <f>IFERROR(VLOOKUP(B401, Content_Creation!B:H, 7, FALSE), IFERROR(VLOOKUP(B401, Project_Management!B:H, 7, FALSE), ""))</f>
        <v>45242</v>
      </c>
      <c r="I401" s="224">
        <v>0.0</v>
      </c>
      <c r="J401" s="223">
        <f>IFERROR(VLOOKUP(C401, Content_Creation!B:H, 7, FALSE), IFERROR(VLOOKUP(C401, Project_Management!B:H, 7, FALSE), ""))</f>
        <v>45242</v>
      </c>
      <c r="K401" s="217"/>
      <c r="L401" s="225" t="str">
        <f>IFERROR(VLOOKUP(B401, Data_Validation!X:Y, 2, FALSE), "")</f>
        <v>Not Started</v>
      </c>
      <c r="M401" s="226" t="str">
        <f t="shared" si="1"/>
        <v>Nvidia | MSI Laptop 1 - Shorts | Upload</v>
      </c>
      <c r="N401" s="226"/>
      <c r="O401" s="226"/>
    </row>
    <row r="402" ht="24.0" customHeight="1">
      <c r="A402" s="216" t="str">
        <f>IFERROR(__xludf.DUMMYFUNCTION("ARRAYFORMULA(IFERROR(VLOOKUP(REGEXEXTRACT(B402, ""-(\w+)-""), {Data_Validation!$F$16:$F$29, Data_Validation!$E$16:$E$29}, 2, FALSE), """"))
"),"Nvidia")</f>
        <v>Nvidia</v>
      </c>
      <c r="B402" s="217" t="str">
        <f>IFERROR(__xludf.DUMMYFUNCTION("""COMPUTED_VALUE"""),"CC-NVI-14.07")</f>
        <v>CC-NVI-14.07</v>
      </c>
      <c r="C402" s="218" t="str">
        <f>IFERROR(__xludf.DUMMYFUNCTION("IFERROR(REGEXEXTRACT(B402, ""^[A-Z]+-[A-Z]+-"") &amp; TEXT(VALUE(REGEXEXTRACT(B402, ""-(\d+)\."")), ""00""), """")"),"CC-NVI-14")</f>
        <v>CC-NVI-14</v>
      </c>
      <c r="D402" s="219" t="str">
        <f>IFERROR(VLOOKUP(C402, Content_Creation!B:D, 2, FALSE), IFERROR(VLOOKUP(C402, Project_Management!B:D, 2, FALSE), ""))
&amp; " - "
&amp; IFERROR(VLOOKUP(C402, Content_Creation!B:E, 4, FALSE), IFERROR(VLOOKUP(C402, Project_Management!B:E, 4, FALSE), ""))</f>
        <v>MSI Laptop 2 - Shorts</v>
      </c>
      <c r="E402" s="220" t="str">
        <f>IFERROR(
    VLOOKUP(B401:B1001, Content_Creation!B:D, 3, FALSE),
    IFERROR(VLOOKUP(B401:B1001, Project_Management!B:D, 3, FALSE),"")
  )</f>
        <v>Upload</v>
      </c>
      <c r="F402" s="221" t="str">
        <f>IFERROR(VLOOKUP(B402, Content_Creation!B:F, 5, FALSE), IFERROR(VLOOKUP(B402, Project_Management!B:F, 5, FALSE), ""))</f>
        <v>Nasser</v>
      </c>
      <c r="G402" s="222" t="s">
        <v>179</v>
      </c>
      <c r="H402" s="223">
        <f>IFERROR(VLOOKUP(B402, Content_Creation!B:H, 7, FALSE), IFERROR(VLOOKUP(B402, Project_Management!B:H, 7, FALSE), ""))</f>
        <v>45242</v>
      </c>
      <c r="I402" s="224">
        <v>0.0</v>
      </c>
      <c r="J402" s="223">
        <f>IFERROR(VLOOKUP(C402, Content_Creation!B:H, 7, FALSE), IFERROR(VLOOKUP(C402, Project_Management!B:H, 7, FALSE), ""))</f>
        <v>45242</v>
      </c>
      <c r="K402" s="217"/>
      <c r="L402" s="225" t="str">
        <f>IFERROR(VLOOKUP(B402, Data_Validation!X:Y, 2, FALSE), "")</f>
        <v>Not Started</v>
      </c>
      <c r="M402" s="226" t="str">
        <f t="shared" si="1"/>
        <v>Nvidia | MSI Laptop 2 - Shorts | Upload</v>
      </c>
      <c r="N402" s="226"/>
      <c r="O402" s="226"/>
    </row>
    <row r="403" ht="24.0" customHeight="1">
      <c r="A403" s="216" t="str">
        <f>IFERROR(__xludf.DUMMYFUNCTION("ARRAYFORMULA(IFERROR(VLOOKUP(REGEXEXTRACT(B403, ""-(\w+)-""), {Data_Validation!$F$16:$F$29, Data_Validation!$E$16:$E$29}, 2, FALSE), """"))
"),"Colorful Tech")</f>
        <v>Colorful Tech</v>
      </c>
      <c r="B403" s="217" t="str">
        <f>IFERROR(__xludf.DUMMYFUNCTION("""COMPUTED_VALUE"""),"CC-CTH-16.04")</f>
        <v>CC-CTH-16.04</v>
      </c>
      <c r="C403" s="218" t="str">
        <f>IFERROR(__xludf.DUMMYFUNCTION("IFERROR(REGEXEXTRACT(B403, ""^[A-Z]+-[A-Z]+-"") &amp; TEXT(VALUE(REGEXEXTRACT(B403, ""-(\d+)\."")), ""00""), """")"),"CC-CTH-16")</f>
        <v>CC-CTH-16</v>
      </c>
      <c r="D403" s="219" t="str">
        <f>IFERROR(VLOOKUP(C403, Content_Creation!B:D, 2, FALSE), IFERROR(VLOOKUP(C403, Project_Management!B:D, 2, FALSE), ""))
&amp; " - "
&amp; IFERROR(VLOOKUP(C403, Content_Creation!B:E, 4, FALSE), IFERROR(VLOOKUP(C403, Project_Management!B:E, 4, FALSE), ""))</f>
        <v>Diwali Post - Insta</v>
      </c>
      <c r="E403" s="220" t="str">
        <f>IFERROR(
    VLOOKUP(B402:B1001, Content_Creation!B:D, 3, FALSE),
    IFERROR(VLOOKUP(B402:B1001, Project_Management!B:D, 3, FALSE),"")
  )</f>
        <v>Upload</v>
      </c>
      <c r="F403" s="221" t="str">
        <f>IFERROR(VLOOKUP(B403, Content_Creation!B:F, 5, FALSE), IFERROR(VLOOKUP(B403, Project_Management!B:F, 5, FALSE), ""))</f>
        <v>Talha</v>
      </c>
      <c r="G403" s="222" t="s">
        <v>307</v>
      </c>
      <c r="H403" s="223">
        <f>IFERROR(VLOOKUP(B403, Content_Creation!B:H, 7, FALSE), IFERROR(VLOOKUP(B403, Project_Management!B:H, 7, FALSE), ""))</f>
        <v>45242</v>
      </c>
      <c r="I403" s="224">
        <v>0.0</v>
      </c>
      <c r="J403" s="223">
        <f>IFERROR(VLOOKUP(C403, Content_Creation!B:H, 7, FALSE), IFERROR(VLOOKUP(C403, Project_Management!B:H, 7, FALSE), ""))</f>
        <v>45242</v>
      </c>
      <c r="K403" s="217"/>
      <c r="L403" s="225" t="str">
        <f>IFERROR(VLOOKUP(B403, Data_Validation!X:Y, 2, FALSE), "")</f>
        <v>Not Started</v>
      </c>
      <c r="M403" s="226" t="str">
        <f t="shared" si="1"/>
        <v>Colorful Tech | Diwali Post - Insta | Upload</v>
      </c>
      <c r="N403" s="226"/>
      <c r="O403" s="226"/>
    </row>
    <row r="404" ht="24.0" customHeight="1">
      <c r="A404" s="216" t="str">
        <f>IFERROR(__xludf.DUMMYFUNCTION("ARRAYFORMULA(IFERROR(VLOOKUP(REGEXEXTRACT(B404, ""-(\w+)-""), {Data_Validation!$F$16:$F$29, Data_Validation!$E$16:$E$29}, 2, FALSE), """"))
"),"Colorful Tech")</f>
        <v>Colorful Tech</v>
      </c>
      <c r="B404" s="217" t="str">
        <f>IFERROR(__xludf.DUMMYFUNCTION("""COMPUTED_VALUE"""),"CC-CTH-20.01")</f>
        <v>CC-CTH-20.01</v>
      </c>
      <c r="C404" s="218" t="str">
        <f>IFERROR(__xludf.DUMMYFUNCTION("IFERROR(REGEXEXTRACT(B404, ""^[A-Z]+-[A-Z]+-"") &amp; TEXT(VALUE(REGEXEXTRACT(B404, ""-(\d+)\."")), ""00""), """")"),"CC-CTH-20")</f>
        <v>CC-CTH-20</v>
      </c>
      <c r="D404" s="219" t="str">
        <f>IFERROR(VLOOKUP(C404, Content_Creation!B:D, 2, FALSE), IFERROR(VLOOKUP(C404, Project_Management!B:D, 2, FALSE), ""))
&amp; " - "
&amp; IFERROR(VLOOKUP(C404, Content_Creation!B:E, 4, FALSE), IFERROR(VLOOKUP(C404, Project_Management!B:E, 4, FALSE), ""))</f>
        <v>When can you upgrade your GPU - Shorts</v>
      </c>
      <c r="E404" s="220" t="str">
        <f>IFERROR(
    VLOOKUP(B403:B1001, Content_Creation!B:D, 3, FALSE),
    IFERROR(VLOOKUP(B403:B1001, Project_Management!B:D, 3, FALSE),"")
  )</f>
        <v>Script</v>
      </c>
      <c r="F404" s="221" t="str">
        <f>IFERROR(VLOOKUP(B404, Content_Creation!B:F, 5, FALSE), IFERROR(VLOOKUP(B404, Project_Management!B:F, 5, FALSE), ""))</f>
        <v>Naveen</v>
      </c>
      <c r="G404" s="222" t="s">
        <v>179</v>
      </c>
      <c r="H404" s="223">
        <f>IFERROR(VLOOKUP(B404, Content_Creation!B:H, 7, FALSE), IFERROR(VLOOKUP(B404, Project_Management!B:H, 7, FALSE), ""))</f>
        <v>45242</v>
      </c>
      <c r="I404" s="224">
        <v>0.0</v>
      </c>
      <c r="J404" s="223">
        <f>IFERROR(VLOOKUP(C404, Content_Creation!B:H, 7, FALSE), IFERROR(VLOOKUP(C404, Project_Management!B:H, 7, FALSE), ""))</f>
        <v>45248</v>
      </c>
      <c r="K404" s="217"/>
      <c r="L404" s="225" t="str">
        <f>IFERROR(VLOOKUP(B404, Data_Validation!X:Y, 2, FALSE), "")</f>
        <v>Not Started</v>
      </c>
      <c r="M404" s="226" t="str">
        <f t="shared" si="1"/>
        <v>Colorful Tech | When can you upgrade your GPU - Shorts | Script</v>
      </c>
      <c r="N404" s="226"/>
      <c r="O404" s="226"/>
    </row>
    <row r="405" ht="24.0" customHeight="1">
      <c r="A405" s="216" t="str">
        <f>IFERROR(__xludf.DUMMYFUNCTION("ARRAYFORMULA(IFERROR(VLOOKUP(REGEXEXTRACT(B405, ""-(\w+)-""), {Data_Validation!$F$16:$F$29, Data_Validation!$E$16:$E$29}, 2, FALSE), """"))
"),"Inno3D")</f>
        <v>Inno3D</v>
      </c>
      <c r="B405" s="217" t="str">
        <f>IFERROR(__xludf.DUMMYFUNCTION("""COMPUTED_VALUE"""),"CC-INN-27.05")</f>
        <v>CC-INN-27.05</v>
      </c>
      <c r="C405" s="218" t="str">
        <f>IFERROR(__xludf.DUMMYFUNCTION("IFERROR(REGEXEXTRACT(B405, ""^[A-Z]+-[A-Z]+-"") &amp; TEXT(VALUE(REGEXEXTRACT(B405, ""-(\d+)\."")), ""00""), """")"),"CC-INN-27")</f>
        <v>CC-INN-27</v>
      </c>
      <c r="D405" s="219" t="str">
        <f>IFERROR(VLOOKUP(C405, Content_Creation!B:D, 2, FALSE), IFERROR(VLOOKUP(C405, Project_Management!B:D, 2, FALSE), ""))
&amp; " - "
&amp; IFERROR(VLOOKUP(C405, Content_Creation!B:E, 4, FALSE), IFERROR(VLOOKUP(C405, Project_Management!B:E, 4, FALSE), ""))</f>
        <v>NVIDIA RTX Video Super Resolution - Shorts</v>
      </c>
      <c r="E405" s="220" t="str">
        <f>IFERROR(
    VLOOKUP(B404:B1001, Content_Creation!B:D, 3, FALSE),
    IFERROR(VLOOKUP(B404:B1001, Project_Management!B:D, 3, FALSE),"")
  )</f>
        <v>Edit</v>
      </c>
      <c r="F405" s="221" t="str">
        <f>IFERROR(VLOOKUP(B405, Content_Creation!B:F, 5, FALSE), IFERROR(VLOOKUP(B405, Project_Management!B:F, 5, FALSE), ""))</f>
        <v>Naveen</v>
      </c>
      <c r="G405" s="222" t="s">
        <v>179</v>
      </c>
      <c r="H405" s="223">
        <f>IFERROR(VLOOKUP(B405, Content_Creation!B:H, 7, FALSE), IFERROR(VLOOKUP(B405, Project_Management!B:H, 7, FALSE), ""))</f>
        <v>45242</v>
      </c>
      <c r="I405" s="224">
        <v>0.0</v>
      </c>
      <c r="J405" s="223">
        <f>IFERROR(VLOOKUP(C405, Content_Creation!B:H, 7, FALSE), IFERROR(VLOOKUP(C405, Project_Management!B:H, 7, FALSE), ""))</f>
        <v>45243</v>
      </c>
      <c r="K405" s="217"/>
      <c r="L405" s="225" t="str">
        <f>IFERROR(VLOOKUP(B405, Data_Validation!X:Y, 2, FALSE), "")</f>
        <v>On Hold</v>
      </c>
      <c r="M405" s="226" t="str">
        <f t="shared" si="1"/>
        <v>Inno3D | NVIDIA RTX Video Super Resolution - Shorts | Edit</v>
      </c>
      <c r="N405" s="226"/>
      <c r="O405" s="226"/>
    </row>
    <row r="406" ht="24.0" customHeight="1">
      <c r="A406" s="216" t="str">
        <f>IFERROR(__xludf.DUMMYFUNCTION("ARRAYFORMULA(IFERROR(VLOOKUP(REGEXEXTRACT(B406, ""-(\w+)-""), {Data_Validation!$F$16:$F$29, Data_Validation!$E$16:$E$29}, 2, FALSE), """"))
"),"TheMVP")</f>
        <v>TheMVP</v>
      </c>
      <c r="B406" s="217" t="str">
        <f>IFERROR(__xludf.DUMMYFUNCTION("""COMPUTED_VALUE"""),"CC-MVP-94.04")</f>
        <v>CC-MVP-94.04</v>
      </c>
      <c r="C406" s="218" t="str">
        <f>IFERROR(__xludf.DUMMYFUNCTION("IFERROR(REGEXEXTRACT(B406, ""^[A-Z]+-[A-Z]+-"") &amp; TEXT(VALUE(REGEXEXTRACT(B406, ""-(\d+)\."")), ""00""), """")"),"CC-MVP-94")</f>
        <v>CC-MVP-94</v>
      </c>
      <c r="D406" s="219" t="str">
        <f>IFERROR(VLOOKUP(C406, Content_Creation!B:D, 2, FALSE), IFERROR(VLOOKUP(C406, Project_Management!B:D, 2, FALSE), ""))
&amp; " - "
&amp; IFERROR(VLOOKUP(C406, Content_Creation!B:E, 4, FALSE), IFERROR(VLOOKUP(C406, Project_Management!B:E, 4, FALSE), ""))</f>
        <v>TrueNAS Setup Revamp - Blog</v>
      </c>
      <c r="E406" s="220" t="str">
        <f>IFERROR(
    VLOOKUP(B405:B1001, Content_Creation!B:D, 3, FALSE),
    IFERROR(VLOOKUP(B405:B1001, Project_Management!B:D, 3, FALSE),"")
  )</f>
        <v>Upload</v>
      </c>
      <c r="F406" s="221" t="str">
        <f>IFERROR(VLOOKUP(B406, Content_Creation!B:F, 5, FALSE), IFERROR(VLOOKUP(B406, Project_Management!B:F, 5, FALSE), ""))</f>
        <v>Nasser</v>
      </c>
      <c r="G406" s="222" t="s">
        <v>179</v>
      </c>
      <c r="H406" s="223">
        <f>IFERROR(VLOOKUP(B406, Content_Creation!B:H, 7, FALSE), IFERROR(VLOOKUP(B406, Project_Management!B:H, 7, FALSE), ""))</f>
        <v>45243</v>
      </c>
      <c r="I406" s="224">
        <v>0.0</v>
      </c>
      <c r="J406" s="223">
        <f>IFERROR(VLOOKUP(C406, Content_Creation!B:H, 7, FALSE), IFERROR(VLOOKUP(C406, Project_Management!B:H, 7, FALSE), ""))</f>
        <v>45243</v>
      </c>
      <c r="K406" s="217"/>
      <c r="L406" s="225" t="str">
        <f>IFERROR(VLOOKUP(B406, Data_Validation!X:Y, 2, FALSE), "")</f>
        <v>Not Started</v>
      </c>
      <c r="M406" s="226" t="str">
        <f t="shared" si="1"/>
        <v>TheMVP | TrueNAS Setup Revamp - Blog | Upload</v>
      </c>
      <c r="N406" s="226"/>
      <c r="O406" s="226"/>
    </row>
    <row r="407" ht="24.0" customHeight="1">
      <c r="A407" s="216" t="str">
        <f>IFERROR(__xludf.DUMMYFUNCTION("ARRAYFORMULA(IFERROR(VLOOKUP(REGEXEXTRACT(B407, ""-(\w+)-""), {Data_Validation!$F$16:$F$29, Data_Validation!$E$16:$E$29}, 2, FALSE), """"))
"),"TheMVP")</f>
        <v>TheMVP</v>
      </c>
      <c r="B407" s="217" t="str">
        <f>IFERROR(__xludf.DUMMYFUNCTION("""COMPUTED_VALUE"""),"CC-MVP-102.04")</f>
        <v>CC-MVP-102.04</v>
      </c>
      <c r="C407" s="218" t="str">
        <f>IFERROR(__xludf.DUMMYFUNCTION("IFERROR(REGEXEXTRACT(B407, ""^[A-Z]+-[A-Z]+-"") &amp; TEXT(VALUE(REGEXEXTRACT(B407, ""-(\d+)\."")), ""00""), """")"),"CC-MVP-102")</f>
        <v>CC-MVP-102</v>
      </c>
      <c r="D407" s="219" t="str">
        <f>IFERROR(VLOOKUP(C407, Content_Creation!B:D, 2, FALSE), IFERROR(VLOOKUP(C407, Project_Management!B:D, 2, FALSE), ""))
&amp; " - "
&amp; IFERROR(VLOOKUP(C407, Content_Creation!B:E, 4, FALSE), IFERROR(VLOOKUP(C407, Project_Management!B:E, 4, FALSE), ""))</f>
        <v>Custom PC for VFX Worflow - Linkedin</v>
      </c>
      <c r="E407" s="220" t="str">
        <f>IFERROR(
    VLOOKUP(B406:B1001, Content_Creation!B:D, 3, FALSE),
    IFERROR(VLOOKUP(B406:B1001, Project_Management!B:D, 3, FALSE),"")
  )</f>
        <v>Upload</v>
      </c>
      <c r="F407" s="221" t="str">
        <f>IFERROR(VLOOKUP(B407, Content_Creation!B:F, 5, FALSE), IFERROR(VLOOKUP(B407, Project_Management!B:F, 5, FALSE), ""))</f>
        <v>Nasser</v>
      </c>
      <c r="G407" s="222" t="s">
        <v>179</v>
      </c>
      <c r="H407" s="223">
        <f>IFERROR(VLOOKUP(B407, Content_Creation!B:H, 7, FALSE), IFERROR(VLOOKUP(B407, Project_Management!B:H, 7, FALSE), ""))</f>
        <v>45243</v>
      </c>
      <c r="I407" s="224">
        <v>0.0</v>
      </c>
      <c r="J407" s="223">
        <f>IFERROR(VLOOKUP(C407, Content_Creation!B:H, 7, FALSE), IFERROR(VLOOKUP(C407, Project_Management!B:H, 7, FALSE), ""))</f>
        <v>45243</v>
      </c>
      <c r="K407" s="217"/>
      <c r="L407" s="225" t="str">
        <f>IFERROR(VLOOKUP(B407, Data_Validation!X:Y, 2, FALSE), "")</f>
        <v>Not Started</v>
      </c>
      <c r="M407" s="226" t="str">
        <f t="shared" si="1"/>
        <v>TheMVP | Custom PC for VFX Worflow - Linkedin | Upload</v>
      </c>
      <c r="N407" s="226"/>
      <c r="O407" s="226"/>
    </row>
    <row r="408" ht="24.0" customHeight="1">
      <c r="A408" s="216" t="str">
        <f>IFERROR(__xludf.DUMMYFUNCTION("ARRAYFORMULA(IFERROR(VLOOKUP(REGEXEXTRACT(B408, ""-(\w+)-""), {Data_Validation!$F$16:$F$29, Data_Validation!$E$16:$E$29}, 2, FALSE), """"))
"),"TheMVP")</f>
        <v>TheMVP</v>
      </c>
      <c r="B408" s="217" t="str">
        <f>IFERROR(__xludf.DUMMYFUNCTION("""COMPUTED_VALUE"""),"CC-MVP-82.07")</f>
        <v>CC-MVP-82.07</v>
      </c>
      <c r="C408" s="218" t="str">
        <f>IFERROR(__xludf.DUMMYFUNCTION("IFERROR(REGEXEXTRACT(B408, ""^[A-Z]+-[A-Z]+-"") &amp; TEXT(VALUE(REGEXEXTRACT(B408, ""-(\d+)\."")), ""00""), """")"),"CC-MVP-82")</f>
        <v>CC-MVP-82</v>
      </c>
      <c r="D408" s="219" t="str">
        <f>IFERROR(VLOOKUP(C408, Content_Creation!B:D, 2, FALSE), IFERROR(VLOOKUP(C408, Project_Management!B:D, 2, FALSE), ""))
&amp; " - "
&amp; IFERROR(VLOOKUP(C408, Content_Creation!B:E, 4, FALSE), IFERROR(VLOOKUP(C408, Project_Management!B:E, 4, FALSE), ""))</f>
        <v>G613 Keyboard - Logi Offer - Shorts</v>
      </c>
      <c r="E408" s="220" t="str">
        <f>IFERROR(
    VLOOKUP(B407:B1001, Content_Creation!B:D, 3, FALSE),
    IFERROR(VLOOKUP(B407:B1001, Project_Management!B:D, 3, FALSE),"")
  )</f>
        <v>Upload</v>
      </c>
      <c r="F408" s="221" t="str">
        <f>IFERROR(VLOOKUP(B408, Content_Creation!B:F, 5, FALSE), IFERROR(VLOOKUP(B408, Project_Management!B:F, 5, FALSE), ""))</f>
        <v/>
      </c>
      <c r="G408" s="222" t="s">
        <v>179</v>
      </c>
      <c r="H408" s="223">
        <f>IFERROR(VLOOKUP(B408, Content_Creation!B:H, 7, FALSE), IFERROR(VLOOKUP(B408, Project_Management!B:H, 7, FALSE), ""))</f>
        <v>45243</v>
      </c>
      <c r="I408" s="224">
        <v>0.0</v>
      </c>
      <c r="J408" s="223">
        <f>IFERROR(VLOOKUP(C408, Content_Creation!B:H, 7, FALSE), IFERROR(VLOOKUP(C408, Project_Management!B:H, 7, FALSE), ""))</f>
        <v>45243</v>
      </c>
      <c r="K408" s="217"/>
      <c r="L408" s="225" t="str">
        <f>IFERROR(VLOOKUP(B408, Data_Validation!X:Y, 2, FALSE), "")</f>
        <v>Not Started</v>
      </c>
      <c r="M408" s="226" t="str">
        <f t="shared" si="1"/>
        <v>TheMVP | G613 Keyboard - Logi Offer - Shorts | Upload</v>
      </c>
      <c r="N408" s="226"/>
      <c r="O408" s="226"/>
    </row>
    <row r="409" ht="24.0" customHeight="1">
      <c r="A409" s="216" t="str">
        <f>IFERROR(__xludf.DUMMYFUNCTION("ARRAYFORMULA(IFERROR(VLOOKUP(REGEXEXTRACT(B409, ""-(\w+)-""), {Data_Validation!$F$16:$F$29, Data_Validation!$E$16:$E$29}, 2, FALSE), """"))
"),"TheMVP")</f>
        <v>TheMVP</v>
      </c>
      <c r="B409" s="217" t="str">
        <f>IFERROR(__xludf.DUMMYFUNCTION("""COMPUTED_VALUE"""),"CC-MVP-24.06")</f>
        <v>CC-MVP-24.06</v>
      </c>
      <c r="C409" s="218" t="str">
        <f>IFERROR(__xludf.DUMMYFUNCTION("IFERROR(REGEXEXTRACT(B409, ""^[A-Z]+-[A-Z]+-"") &amp; TEXT(VALUE(REGEXEXTRACT(B409, ""-(\d+)\."")), ""00""), """")"),"CC-MVP-24")</f>
        <v>CC-MVP-24</v>
      </c>
      <c r="D409" s="219" t="str">
        <f>IFERROR(VLOOKUP(C409, Content_Creation!B:D, 2, FALSE), IFERROR(VLOOKUP(C409, Project_Management!B:D, 2, FALSE), ""))
&amp; " - "
&amp; IFERROR(VLOOKUP(C409, Content_Creation!B:E, 4, FALSE), IFERROR(VLOOKUP(C409, Project_Management!B:E, 4, FALSE), ""))</f>
        <v>AMD vs Intel - with GPUs - YT Video</v>
      </c>
      <c r="E409" s="220" t="str">
        <f>IFERROR(
    VLOOKUP(B408:B1001, Content_Creation!B:D, 3, FALSE),
    IFERROR(VLOOKUP(B408:B1001, Project_Management!B:D, 3, FALSE),"")
  )</f>
        <v>Thumbnail</v>
      </c>
      <c r="F409" s="221" t="str">
        <f>IFERROR(VLOOKUP(B409, Content_Creation!B:F, 5, FALSE), IFERROR(VLOOKUP(B409, Project_Management!B:F, 5, FALSE), ""))</f>
        <v>Naveen</v>
      </c>
      <c r="G409" s="222" t="s">
        <v>179</v>
      </c>
      <c r="H409" s="223">
        <f>IFERROR(VLOOKUP(B409, Content_Creation!B:H, 7, FALSE), IFERROR(VLOOKUP(B409, Project_Management!B:H, 7, FALSE), ""))</f>
        <v>45243</v>
      </c>
      <c r="I409" s="224">
        <v>0.0</v>
      </c>
      <c r="J409" s="223">
        <f>IFERROR(VLOOKUP(C409, Content_Creation!B:H, 7, FALSE), IFERROR(VLOOKUP(C409, Project_Management!B:H, 7, FALSE), ""))</f>
        <v>45244</v>
      </c>
      <c r="K409" s="217"/>
      <c r="L409" s="225" t="str">
        <f>IFERROR(VLOOKUP(B409, Data_Validation!X:Y, 2, FALSE), "")</f>
        <v>Not Started</v>
      </c>
      <c r="M409" s="226" t="str">
        <f t="shared" si="1"/>
        <v>TheMVP | AMD vs Intel - with GPUs - YT Video | Thumbnail</v>
      </c>
      <c r="N409" s="226"/>
      <c r="O409" s="226"/>
    </row>
    <row r="410" ht="24.0" customHeight="1">
      <c r="A410" s="216" t="str">
        <f>IFERROR(__xludf.DUMMYFUNCTION("ARRAYFORMULA(IFERROR(VLOOKUP(REGEXEXTRACT(B410, ""-(\w+)-""), {Data_Validation!$F$16:$F$29, Data_Validation!$E$16:$E$29}, 2, FALSE), """"))
"),"TheMVP")</f>
        <v>TheMVP</v>
      </c>
      <c r="B410" s="217" t="str">
        <f>IFERROR(__xludf.DUMMYFUNCTION("""COMPUTED_VALUE"""),"CC-MVP-85.06")</f>
        <v>CC-MVP-85.06</v>
      </c>
      <c r="C410" s="218" t="str">
        <f>IFERROR(__xludf.DUMMYFUNCTION("IFERROR(REGEXEXTRACT(B410, ""^[A-Z]+-[A-Z]+-"") &amp; TEXT(VALUE(REGEXEXTRACT(B410, ""-(\d+)\."")), ""00""), """")"),"CC-MVP-85")</f>
        <v>CC-MVP-85</v>
      </c>
      <c r="D410" s="219" t="str">
        <f>IFERROR(VLOOKUP(C410, Content_Creation!B:D, 2, FALSE), IFERROR(VLOOKUP(C410, Project_Management!B:D, 2, FALSE), ""))
&amp; " - "
&amp; IFERROR(VLOOKUP(C410, Content_Creation!B:E, 4, FALSE), IFERROR(VLOOKUP(C410, Project_Management!B:E, 4, FALSE), ""))</f>
        <v>G335 Headset - Logi Offer - Shorts</v>
      </c>
      <c r="E410" s="220" t="str">
        <f>IFERROR(
    VLOOKUP(B409:B1001, Content_Creation!B:D, 3, FALSE),
    IFERROR(VLOOKUP(B409:B1001, Project_Management!B:D, 3, FALSE),"")
  )</f>
        <v>Thumbnail</v>
      </c>
      <c r="F410" s="221" t="str">
        <f>IFERROR(VLOOKUP(B410, Content_Creation!B:F, 5, FALSE), IFERROR(VLOOKUP(B410, Project_Management!B:F, 5, FALSE), ""))</f>
        <v>Naveen</v>
      </c>
      <c r="G410" s="222" t="s">
        <v>179</v>
      </c>
      <c r="H410" s="223">
        <f>IFERROR(VLOOKUP(B410, Content_Creation!B:H, 7, FALSE), IFERROR(VLOOKUP(B410, Project_Management!B:H, 7, FALSE), ""))</f>
        <v>45243</v>
      </c>
      <c r="I410" s="224">
        <v>0.0</v>
      </c>
      <c r="J410" s="223">
        <f>IFERROR(VLOOKUP(C410, Content_Creation!B:H, 7, FALSE), IFERROR(VLOOKUP(C410, Project_Management!B:H, 7, FALSE), ""))</f>
        <v>45244</v>
      </c>
      <c r="K410" s="217"/>
      <c r="L410" s="225" t="str">
        <f>IFERROR(VLOOKUP(B410, Data_Validation!X:Y, 2, FALSE), "")</f>
        <v>Not Started</v>
      </c>
      <c r="M410" s="226" t="str">
        <f t="shared" si="1"/>
        <v>TheMVP | G335 Headset - Logi Offer - Shorts | Thumbnail</v>
      </c>
      <c r="N410" s="226"/>
      <c r="O410" s="226"/>
    </row>
    <row r="411" ht="24.0" customHeight="1">
      <c r="A411" s="216" t="str">
        <f>IFERROR(__xludf.DUMMYFUNCTION("ARRAYFORMULA(IFERROR(VLOOKUP(REGEXEXTRACT(B411, ""-(\w+)-""), {Data_Validation!$F$16:$F$29, Data_Validation!$E$16:$E$29}, 2, FALSE), """"))
"),"TheMVP")</f>
        <v>TheMVP</v>
      </c>
      <c r="B411" s="217" t="str">
        <f>IFERROR(__xludf.DUMMYFUNCTION("""COMPUTED_VALUE"""),"CC-MVP-83.05")</f>
        <v>CC-MVP-83.05</v>
      </c>
      <c r="C411" s="218" t="str">
        <f>IFERROR(__xludf.DUMMYFUNCTION("IFERROR(REGEXEXTRACT(B411, ""^[A-Z]+-[A-Z]+-"") &amp; TEXT(VALUE(REGEXEXTRACT(B411, ""-(\d+)\."")), ""00""), """")"),"CC-MVP-83")</f>
        <v>CC-MVP-83</v>
      </c>
      <c r="D411" s="219" t="str">
        <f>IFERROR(VLOOKUP(C411, Content_Creation!B:D, 2, FALSE), IFERROR(VLOOKUP(C411, Project_Management!B:D, 2, FALSE), ""))
&amp; " - "
&amp; IFERROR(VLOOKUP(C411, Content_Creation!B:E, 4, FALSE), IFERROR(VLOOKUP(C411, Project_Management!B:E, 4, FALSE), ""))</f>
        <v>G Pro TKL - Logi Offer - Shorts</v>
      </c>
      <c r="E411" s="220" t="str">
        <f>IFERROR(
    VLOOKUP(B410:B1001, Content_Creation!B:D, 3, FALSE),
    IFERROR(VLOOKUP(B410:B1001, Project_Management!B:D, 3, FALSE),"")
  )</f>
        <v>Edit</v>
      </c>
      <c r="F411" s="221" t="str">
        <f>IFERROR(VLOOKUP(B411, Content_Creation!B:F, 5, FALSE), IFERROR(VLOOKUP(B411, Project_Management!B:F, 5, FALSE), ""))</f>
        <v/>
      </c>
      <c r="G411" s="222" t="s">
        <v>179</v>
      </c>
      <c r="H411" s="223">
        <f>IFERROR(VLOOKUP(B411, Content_Creation!B:H, 7, FALSE), IFERROR(VLOOKUP(B411, Project_Management!B:H, 7, FALSE), ""))</f>
        <v>45243</v>
      </c>
      <c r="I411" s="224">
        <v>0.0</v>
      </c>
      <c r="J411" s="223">
        <f>IFERROR(VLOOKUP(C411, Content_Creation!B:H, 7, FALSE), IFERROR(VLOOKUP(C411, Project_Management!B:H, 7, FALSE), ""))</f>
        <v>45245</v>
      </c>
      <c r="K411" s="217"/>
      <c r="L411" s="225" t="str">
        <f>IFERROR(VLOOKUP(B411, Data_Validation!X:Y, 2, FALSE), "")</f>
        <v>Not Started</v>
      </c>
      <c r="M411" s="226" t="str">
        <f t="shared" si="1"/>
        <v>TheMVP | G Pro TKL - Logi Offer - Shorts | Edit</v>
      </c>
      <c r="N411" s="226"/>
      <c r="O411" s="226"/>
    </row>
    <row r="412" ht="24.0" customHeight="1">
      <c r="A412" s="216" t="str">
        <f>IFERROR(__xludf.DUMMYFUNCTION("ARRAYFORMULA(IFERROR(VLOOKUP(REGEXEXTRACT(B412, ""-(\w+)-""), {Data_Validation!$F$16:$F$29, Data_Validation!$E$16:$E$29}, 2, FALSE), """"))
"),"Colorful Tech")</f>
        <v>Colorful Tech</v>
      </c>
      <c r="B412" s="217" t="str">
        <f>IFERROR(__xludf.DUMMYFUNCTION("""COMPUTED_VALUE"""),"CC-CTH-15.07")</f>
        <v>CC-CTH-15.07</v>
      </c>
      <c r="C412" s="218" t="str">
        <f>IFERROR(__xludf.DUMMYFUNCTION("IFERROR(REGEXEXTRACT(B412, ""^[A-Z]+-[A-Z]+-"") &amp; TEXT(VALUE(REGEXEXTRACT(B412, ""-(\d+)\."")), ""00""), """")"),"CC-CTH-15")</f>
        <v>CC-CTH-15</v>
      </c>
      <c r="D412" s="219" t="str">
        <f>IFERROR(VLOOKUP(C412, Content_Creation!B:D, 2, FALSE), IFERROR(VLOOKUP(C412, Project_Management!B:D, 2, FALSE), ""))
&amp; " - "
&amp; IFERROR(VLOOKUP(C412, Content_Creation!B:E, 4, FALSE), IFERROR(VLOOKUP(C412, Project_Management!B:E, 4, FALSE), ""))</f>
        <v>POV: you bought your first GPU - Shorts</v>
      </c>
      <c r="E412" s="220" t="str">
        <f>IFERROR(
    VLOOKUP(B411:B1001, Content_Creation!B:D, 3, FALSE),
    IFERROR(VLOOKUP(B411:B1001, Project_Management!B:D, 3, FALSE),"")
  )</f>
        <v>Upload</v>
      </c>
      <c r="F412" s="221" t="str">
        <f>IFERROR(VLOOKUP(B412, Content_Creation!B:F, 5, FALSE), IFERROR(VLOOKUP(B412, Project_Management!B:F, 5, FALSE), ""))</f>
        <v>Talha</v>
      </c>
      <c r="G412" s="222" t="s">
        <v>179</v>
      </c>
      <c r="H412" s="223">
        <f>IFERROR(VLOOKUP(B412, Content_Creation!B:H, 7, FALSE), IFERROR(VLOOKUP(B412, Project_Management!B:H, 7, FALSE), ""))</f>
        <v>45243</v>
      </c>
      <c r="I412" s="224">
        <v>0.0</v>
      </c>
      <c r="J412" s="223">
        <f>IFERROR(VLOOKUP(C412, Content_Creation!B:H, 7, FALSE), IFERROR(VLOOKUP(C412, Project_Management!B:H, 7, FALSE), ""))</f>
        <v>45243</v>
      </c>
      <c r="K412" s="217"/>
      <c r="L412" s="225" t="str">
        <f>IFERROR(VLOOKUP(B412, Data_Validation!X:Y, 2, FALSE), "")</f>
        <v>Not Started</v>
      </c>
      <c r="M412" s="226" t="str">
        <f t="shared" si="1"/>
        <v>Colorful Tech | POV: you bought your first GPU - Shorts | Upload</v>
      </c>
      <c r="N412" s="226"/>
      <c r="O412" s="226"/>
    </row>
    <row r="413" ht="24.0" customHeight="1">
      <c r="A413" s="216" t="str">
        <f>IFERROR(__xludf.DUMMYFUNCTION("ARRAYFORMULA(IFERROR(VLOOKUP(REGEXEXTRACT(B413, ""-(\w+)-""), {Data_Validation!$F$16:$F$29, Data_Validation!$E$16:$E$29}, 2, FALSE), """"))
"),"Colorful Tech")</f>
        <v>Colorful Tech</v>
      </c>
      <c r="B413" s="217" t="str">
        <f>IFERROR(__xludf.DUMMYFUNCTION("""COMPUTED_VALUE"""),"CC-CTH-18.04")</f>
        <v>CC-CTH-18.04</v>
      </c>
      <c r="C413" s="218" t="str">
        <f>IFERROR(__xludf.DUMMYFUNCTION("IFERROR(REGEXEXTRACT(B413, ""^[A-Z]+-[A-Z]+-"") &amp; TEXT(VALUE(REGEXEXTRACT(B413, ""-(\d+)\."")), ""00""), """")"),"CC-CTH-18")</f>
        <v>CC-CTH-18</v>
      </c>
      <c r="D413" s="219" t="str">
        <f>IFERROR(VLOOKUP(C413, Content_Creation!B:D, 2, FALSE), IFERROR(VLOOKUP(C413, Project_Management!B:D, 2, FALSE), ""))
&amp; " - "
&amp; IFERROR(VLOOKUP(C413, Content_Creation!B:E, 4, FALSE), IFERROR(VLOOKUP(C413, Project_Management!B:E, 4, FALSE), ""))</f>
        <v>How to Upgrade your GPU - Shorts</v>
      </c>
      <c r="E413" s="220" t="str">
        <f>IFERROR(
    VLOOKUP(B412:B1001, Content_Creation!B:D, 3, FALSE),
    IFERROR(VLOOKUP(B412:B1001, Project_Management!B:D, 3, FALSE),"")
  )</f>
        <v>Edit</v>
      </c>
      <c r="F413" s="221" t="str">
        <f>IFERROR(VLOOKUP(B413, Content_Creation!B:F, 5, FALSE), IFERROR(VLOOKUP(B413, Project_Management!B:F, 5, FALSE), ""))</f>
        <v>Talha</v>
      </c>
      <c r="G413" s="222" t="s">
        <v>179</v>
      </c>
      <c r="H413" s="223">
        <f>IFERROR(VLOOKUP(B413, Content_Creation!B:H, 7, FALSE), IFERROR(VLOOKUP(B413, Project_Management!B:H, 7, FALSE), ""))</f>
        <v>45243</v>
      </c>
      <c r="I413" s="224">
        <v>0.0</v>
      </c>
      <c r="J413" s="223">
        <f>IFERROR(VLOOKUP(C413, Content_Creation!B:H, 7, FALSE), IFERROR(VLOOKUP(C413, Project_Management!B:H, 7, FALSE), ""))</f>
        <v>45246</v>
      </c>
      <c r="K413" s="217"/>
      <c r="L413" s="225" t="str">
        <f>IFERROR(VLOOKUP(B413, Data_Validation!X:Y, 2, FALSE), "")</f>
        <v>Not Started</v>
      </c>
      <c r="M413" s="226" t="str">
        <f t="shared" si="1"/>
        <v>Colorful Tech | How to Upgrade your GPU - Shorts | Edit</v>
      </c>
      <c r="N413" s="226"/>
      <c r="O413" s="226"/>
    </row>
    <row r="414" ht="24.0" customHeight="1">
      <c r="A414" s="216" t="str">
        <f>IFERROR(__xludf.DUMMYFUNCTION("ARRAYFORMULA(IFERROR(VLOOKUP(REGEXEXTRACT(B414, ""-(\w+)-""), {Data_Validation!$F$16:$F$29, Data_Validation!$E$16:$E$29}, 2, FALSE), """"))
"),"Colorful Tech")</f>
        <v>Colorful Tech</v>
      </c>
      <c r="B414" s="217" t="str">
        <f>IFERROR(__xludf.DUMMYFUNCTION("""COMPUTED_VALUE"""),"CC-CTH-20.02")</f>
        <v>CC-CTH-20.02</v>
      </c>
      <c r="C414" s="218" t="str">
        <f>IFERROR(__xludf.DUMMYFUNCTION("IFERROR(REGEXEXTRACT(B414, ""^[A-Z]+-[A-Z]+-"") &amp; TEXT(VALUE(REGEXEXTRACT(B414, ""-(\d+)\."")), ""00""), """")"),"CC-CTH-20")</f>
        <v>CC-CTH-20</v>
      </c>
      <c r="D414" s="219" t="str">
        <f>IFERROR(VLOOKUP(C414, Content_Creation!B:D, 2, FALSE), IFERROR(VLOOKUP(C414, Project_Management!B:D, 2, FALSE), ""))
&amp; " - "
&amp; IFERROR(VLOOKUP(C414, Content_Creation!B:E, 4, FALSE), IFERROR(VLOOKUP(C414, Project_Management!B:E, 4, FALSE), ""))</f>
        <v>When can you upgrade your GPU - Shorts</v>
      </c>
      <c r="E414" s="220" t="str">
        <f>IFERROR(
    VLOOKUP(B413:B1001, Content_Creation!B:D, 3, FALSE),
    IFERROR(VLOOKUP(B413:B1001, Project_Management!B:D, 3, FALSE),"")
  )</f>
        <v>Voiceover</v>
      </c>
      <c r="F414" s="221" t="str">
        <f>IFERROR(VLOOKUP(B414, Content_Creation!B:F, 5, FALSE), IFERROR(VLOOKUP(B414, Project_Management!B:F, 5, FALSE), ""))</f>
        <v>Talha</v>
      </c>
      <c r="G414" s="222" t="s">
        <v>179</v>
      </c>
      <c r="H414" s="223">
        <f>IFERROR(VLOOKUP(B414, Content_Creation!B:H, 7, FALSE), IFERROR(VLOOKUP(B414, Project_Management!B:H, 7, FALSE), ""))</f>
        <v>45243</v>
      </c>
      <c r="I414" s="224">
        <v>0.0</v>
      </c>
      <c r="J414" s="223">
        <f>IFERROR(VLOOKUP(C414, Content_Creation!B:H, 7, FALSE), IFERROR(VLOOKUP(C414, Project_Management!B:H, 7, FALSE), ""))</f>
        <v>45248</v>
      </c>
      <c r="K414" s="217"/>
      <c r="L414" s="225" t="str">
        <f>IFERROR(VLOOKUP(B414, Data_Validation!X:Y, 2, FALSE), "")</f>
        <v>Not Started</v>
      </c>
      <c r="M414" s="226" t="str">
        <f t="shared" si="1"/>
        <v>Colorful Tech | When can you upgrade your GPU - Shorts | Voiceover</v>
      </c>
      <c r="N414" s="226"/>
      <c r="O414" s="226"/>
    </row>
    <row r="415" ht="24.0" customHeight="1">
      <c r="A415" s="216" t="str">
        <f>IFERROR(__xludf.DUMMYFUNCTION("ARRAYFORMULA(IFERROR(VLOOKUP(REGEXEXTRACT(B415, ""-(\w+)-""), {Data_Validation!$F$16:$F$29, Data_Validation!$E$16:$E$29}, 2, FALSE), """"))
"),"Inno3D")</f>
        <v>Inno3D</v>
      </c>
      <c r="B415" s="217" t="str">
        <f>IFERROR(__xludf.DUMMYFUNCTION("""COMPUTED_VALUE"""),"CC-INN-27.07")</f>
        <v>CC-INN-27.07</v>
      </c>
      <c r="C415" s="218" t="str">
        <f>IFERROR(__xludf.DUMMYFUNCTION("IFERROR(REGEXEXTRACT(B415, ""^[A-Z]+-[A-Z]+-"") &amp; TEXT(VALUE(REGEXEXTRACT(B415, ""-(\d+)\."")), ""00""), """")"),"CC-INN-27")</f>
        <v>CC-INN-27</v>
      </c>
      <c r="D415" s="219" t="str">
        <f>IFERROR(VLOOKUP(C415, Content_Creation!B:D, 2, FALSE), IFERROR(VLOOKUP(C415, Project_Management!B:D, 2, FALSE), ""))
&amp; " - "
&amp; IFERROR(VLOOKUP(C415, Content_Creation!B:E, 4, FALSE), IFERROR(VLOOKUP(C415, Project_Management!B:E, 4, FALSE), ""))</f>
        <v>NVIDIA RTX Video Super Resolution - Shorts</v>
      </c>
      <c r="E415" s="220" t="str">
        <f>IFERROR(
    VLOOKUP(B414:B1001, Content_Creation!B:D, 3, FALSE),
    IFERROR(VLOOKUP(B414:B1001, Project_Management!B:D, 3, FALSE),"")
  )</f>
        <v>Upload</v>
      </c>
      <c r="F415" s="221" t="str">
        <f>IFERROR(VLOOKUP(B415, Content_Creation!B:F, 5, FALSE), IFERROR(VLOOKUP(B415, Project_Management!B:F, 5, FALSE), ""))</f>
        <v>Naveen</v>
      </c>
      <c r="G415" s="222" t="s">
        <v>179</v>
      </c>
      <c r="H415" s="223">
        <f>IFERROR(VLOOKUP(B415, Content_Creation!B:H, 7, FALSE), IFERROR(VLOOKUP(B415, Project_Management!B:H, 7, FALSE), ""))</f>
        <v>45243</v>
      </c>
      <c r="I415" s="224">
        <v>0.0</v>
      </c>
      <c r="J415" s="223">
        <f>IFERROR(VLOOKUP(C415, Content_Creation!B:H, 7, FALSE), IFERROR(VLOOKUP(C415, Project_Management!B:H, 7, FALSE), ""))</f>
        <v>45243</v>
      </c>
      <c r="K415" s="217"/>
      <c r="L415" s="225" t="str">
        <f>IFERROR(VLOOKUP(B415, Data_Validation!X:Y, 2, FALSE), "")</f>
        <v>Not Started</v>
      </c>
      <c r="M415" s="226" t="str">
        <f t="shared" si="1"/>
        <v>Inno3D | NVIDIA RTX Video Super Resolution - Shorts | Upload</v>
      </c>
      <c r="N415" s="226"/>
      <c r="O415" s="226"/>
    </row>
    <row r="416" ht="24.0" customHeight="1">
      <c r="A416" s="216" t="str">
        <f>IFERROR(__xludf.DUMMYFUNCTION("ARRAYFORMULA(IFERROR(VLOOKUP(REGEXEXTRACT(B416, ""-(\w+)-""), {Data_Validation!$F$16:$F$29, Data_Validation!$E$16:$E$29}, 2, FALSE), """"))
"),"Inno3D")</f>
        <v>Inno3D</v>
      </c>
      <c r="B416" s="217" t="str">
        <f>IFERROR(__xludf.DUMMYFUNCTION("""COMPUTED_VALUE"""),"CC-INN-33.01")</f>
        <v>CC-INN-33.01</v>
      </c>
      <c r="C416" s="218" t="str">
        <f>IFERROR(__xludf.DUMMYFUNCTION("IFERROR(REGEXEXTRACT(B416, ""^[A-Z]+-[A-Z]+-"") &amp; TEXT(VALUE(REGEXEXTRACT(B416, ""-(\d+)\."")), ""00""), """")"),"CC-INN-33")</f>
        <v>CC-INN-33</v>
      </c>
      <c r="D416" s="219" t="str">
        <f>IFERROR(VLOOKUP(C416, Content_Creation!B:D, 2, FALSE), IFERROR(VLOOKUP(C416, Project_Management!B:D, 2, FALSE), ""))
&amp; " - "
&amp; IFERROR(VLOOKUP(C416, Content_Creation!B:E, 4, FALSE), IFERROR(VLOOKUP(C416, Project_Management!B:E, 4, FALSE), ""))</f>
        <v>INNO3D TuneIT OC - Shorts</v>
      </c>
      <c r="E416" s="220" t="str">
        <f>IFERROR(
    VLOOKUP(B415:B1001, Content_Creation!B:D, 3, FALSE),
    IFERROR(VLOOKUP(B415:B1001, Project_Management!B:D, 3, FALSE),"")
  )</f>
        <v>Script</v>
      </c>
      <c r="F416" s="221" t="str">
        <f>IFERROR(VLOOKUP(B416, Content_Creation!B:F, 5, FALSE), IFERROR(VLOOKUP(B416, Project_Management!B:F, 5, FALSE), ""))</f>
        <v>Naveen</v>
      </c>
      <c r="G416" s="222" t="s">
        <v>179</v>
      </c>
      <c r="H416" s="223">
        <f>IFERROR(VLOOKUP(B416, Content_Creation!B:H, 7, FALSE), IFERROR(VLOOKUP(B416, Project_Management!B:H, 7, FALSE), ""))</f>
        <v>45243</v>
      </c>
      <c r="I416" s="224">
        <v>0.0</v>
      </c>
      <c r="J416" s="223">
        <f>IFERROR(VLOOKUP(C416, Content_Creation!B:H, 7, FALSE), IFERROR(VLOOKUP(C416, Project_Management!B:H, 7, FALSE), ""))</f>
        <v>45247</v>
      </c>
      <c r="K416" s="217"/>
      <c r="L416" s="225" t="str">
        <f>IFERROR(VLOOKUP(B416, Data_Validation!X:Y, 2, FALSE), "")</f>
        <v>Not Started</v>
      </c>
      <c r="M416" s="226" t="str">
        <f t="shared" si="1"/>
        <v>Inno3D | INNO3D TuneIT OC - Shorts | Script</v>
      </c>
      <c r="N416" s="226"/>
      <c r="O416" s="226"/>
    </row>
    <row r="417" ht="24.0" customHeight="1">
      <c r="A417" s="216" t="str">
        <f>IFERROR(__xludf.DUMMYFUNCTION("ARRAYFORMULA(IFERROR(VLOOKUP(REGEXEXTRACT(B417, ""-(\w+)-""), {Data_Validation!$F$16:$F$29, Data_Validation!$E$16:$E$29}, 2, FALSE), """"))
"),"Picture This!")</f>
        <v>Picture This!</v>
      </c>
      <c r="B417" s="217" t="str">
        <f>IFERROR(__xludf.DUMMYFUNCTION("""COMPUTED_VALUE"""),"PM-PTS-09.03")</f>
        <v>PM-PTS-09.03</v>
      </c>
      <c r="C417" s="218" t="str">
        <f>IFERROR(__xludf.DUMMYFUNCTION("IFERROR(REGEXEXTRACT(B417, ""^[A-Z]+-[A-Z]+-"") &amp; TEXT(VALUE(REGEXEXTRACT(B417, ""-(\d+)\."")), ""00""), """")"),"PM-PTS-09")</f>
        <v>PM-PTS-09</v>
      </c>
      <c r="D417" s="219" t="str">
        <f>IFERROR(VLOOKUP(C417, Content_Creation!B:D, 2, FALSE), IFERROR(VLOOKUP(C417, Project_Management!B:D, 2, FALSE), ""))
&amp; " - "
&amp; IFERROR(VLOOKUP(C417, Content_Creation!B:E, 4, FALSE), IFERROR(VLOOKUP(C417, Project_Management!B:E, 4, FALSE), ""))</f>
        <v>Swipe Up Productions  - Video</v>
      </c>
      <c r="E417" s="220" t="str">
        <f>IFERROR(
    VLOOKUP(B416:B1001, Content_Creation!B:D, 3, FALSE),
    IFERROR(VLOOKUP(B416:B1001, Project_Management!B:D, 3, FALSE),"")
  )</f>
        <v>Timeline</v>
      </c>
      <c r="F417" s="221" t="str">
        <f>IFERROR(VLOOKUP(B417, Content_Creation!B:F, 5, FALSE), IFERROR(VLOOKUP(B417, Project_Management!B:F, 5, FALSE), ""))</f>
        <v/>
      </c>
      <c r="G417" s="222" t="s">
        <v>179</v>
      </c>
      <c r="H417" s="223">
        <f>IFERROR(VLOOKUP(B417, Content_Creation!B:H, 7, FALSE), IFERROR(VLOOKUP(B417, Project_Management!B:H, 7, FALSE), ""))</f>
        <v>45243.80562</v>
      </c>
      <c r="I417" s="224">
        <v>0.0</v>
      </c>
      <c r="J417" s="223">
        <f>IFERROR(VLOOKUP(C417, Content_Creation!B:H, 7, FALSE), IFERROR(VLOOKUP(C417, Project_Management!B:H, 7, FALSE), ""))</f>
        <v>45251.80562</v>
      </c>
      <c r="K417" s="217"/>
      <c r="L417" s="225" t="str">
        <f>IFERROR(VLOOKUP(B417, Data_Validation!X:Y, 2, FALSE), "")</f>
        <v>Not Started</v>
      </c>
      <c r="M417" s="226" t="str">
        <f t="shared" si="1"/>
        <v>Picture This! | Swipe Up Productions  - Video | Timeline</v>
      </c>
      <c r="N417" s="226"/>
      <c r="O417" s="226"/>
    </row>
    <row r="418" ht="24.0" customHeight="1">
      <c r="A418" s="216" t="str">
        <f>IFERROR(__xludf.DUMMYFUNCTION("ARRAYFORMULA(IFERROR(VLOOKUP(REGEXEXTRACT(B418, ""-(\w+)-""), {Data_Validation!$F$16:$F$29, Data_Validation!$E$16:$E$29}, 2, FALSE), """"))
"),"TheMVP")</f>
        <v>TheMVP</v>
      </c>
      <c r="B418" s="217" t="str">
        <f>IFERROR(__xludf.DUMMYFUNCTION("""COMPUTED_VALUE"""),"CC-MVP-24.07")</f>
        <v>CC-MVP-24.07</v>
      </c>
      <c r="C418" s="218" t="str">
        <f>IFERROR(__xludf.DUMMYFUNCTION("IFERROR(REGEXEXTRACT(B418, ""^[A-Z]+-[A-Z]+-"") &amp; TEXT(VALUE(REGEXEXTRACT(B418, ""-(\d+)\."")), ""00""), """")"),"CC-MVP-24")</f>
        <v>CC-MVP-24</v>
      </c>
      <c r="D418" s="219" t="str">
        <f>IFERROR(VLOOKUP(C418, Content_Creation!B:D, 2, FALSE), IFERROR(VLOOKUP(C418, Project_Management!B:D, 2, FALSE), ""))
&amp; " - "
&amp; IFERROR(VLOOKUP(C418, Content_Creation!B:E, 4, FALSE), IFERROR(VLOOKUP(C418, Project_Management!B:E, 4, FALSE), ""))</f>
        <v>AMD vs Intel - with GPUs - YT Video</v>
      </c>
      <c r="E418" s="220" t="str">
        <f>IFERROR(
    VLOOKUP(B417:B1001, Content_Creation!B:D, 3, FALSE),
    IFERROR(VLOOKUP(B417:B1001, Project_Management!B:D, 3, FALSE),"")
  )</f>
        <v>Upload</v>
      </c>
      <c r="F418" s="221" t="str">
        <f>IFERROR(VLOOKUP(B418, Content_Creation!B:F, 5, FALSE), IFERROR(VLOOKUP(B418, Project_Management!B:F, 5, FALSE), ""))</f>
        <v>Tazeen</v>
      </c>
      <c r="G418" s="222" t="s">
        <v>179</v>
      </c>
      <c r="H418" s="223">
        <f>IFERROR(VLOOKUP(B418, Content_Creation!B:H, 7, FALSE), IFERROR(VLOOKUP(B418, Project_Management!B:H, 7, FALSE), ""))</f>
        <v>45244</v>
      </c>
      <c r="I418" s="224">
        <v>0.0</v>
      </c>
      <c r="J418" s="223">
        <f>IFERROR(VLOOKUP(C418, Content_Creation!B:H, 7, FALSE), IFERROR(VLOOKUP(C418, Project_Management!B:H, 7, FALSE), ""))</f>
        <v>45244</v>
      </c>
      <c r="K418" s="217"/>
      <c r="L418" s="225" t="str">
        <f>IFERROR(VLOOKUP(B418, Data_Validation!X:Y, 2, FALSE), "")</f>
        <v>Not Started</v>
      </c>
      <c r="M418" s="226" t="str">
        <f t="shared" si="1"/>
        <v>TheMVP | AMD vs Intel - with GPUs - YT Video | Upload</v>
      </c>
      <c r="N418" s="226"/>
      <c r="O418" s="226"/>
    </row>
    <row r="419" ht="24.0" customHeight="1">
      <c r="A419" s="216" t="str">
        <f>IFERROR(__xludf.DUMMYFUNCTION("ARRAYFORMULA(IFERROR(VLOOKUP(REGEXEXTRACT(B419, ""-(\w+)-""), {Data_Validation!$F$16:$F$29, Data_Validation!$E$16:$E$29}, 2, FALSE), """"))
"),"TheMVP")</f>
        <v>TheMVP</v>
      </c>
      <c r="B419" s="217" t="str">
        <f>IFERROR(__xludf.DUMMYFUNCTION("""COMPUTED_VALUE"""),"CC-MVP-91.01")</f>
        <v>CC-MVP-91.01</v>
      </c>
      <c r="C419" s="218" t="str">
        <f>IFERROR(__xludf.DUMMYFUNCTION("IFERROR(REGEXEXTRACT(B419, ""^[A-Z]+-[A-Z]+-"") &amp; TEXT(VALUE(REGEXEXTRACT(B419, ""-(\d+)\."")), ""00""), """")"),"CC-MVP-91")</f>
        <v>CC-MVP-91</v>
      </c>
      <c r="D419" s="219" t="str">
        <f>IFERROR(VLOOKUP(C419, Content_Creation!B:D, 2, FALSE), IFERROR(VLOOKUP(C419, Project_Management!B:D, 2, FALSE), ""))
&amp; " - "
&amp; IFERROR(VLOOKUP(C419, Content_Creation!B:E, 4, FALSE), IFERROR(VLOOKUP(C419, Project_Management!B:E, 4, FALSE), ""))</f>
        <v>Build Photo - 2x 4090 - Insta</v>
      </c>
      <c r="E419" s="220" t="str">
        <f>IFERROR(
    VLOOKUP(B418:B1001, Content_Creation!B:D, 3, FALSE),
    IFERROR(VLOOKUP(B418:B1001, Project_Management!B:D, 3, FALSE),"")
  )</f>
        <v>Script</v>
      </c>
      <c r="F419" s="221" t="str">
        <f>IFERROR(VLOOKUP(B419, Content_Creation!B:F, 5, FALSE), IFERROR(VLOOKUP(B419, Project_Management!B:F, 5, FALSE), ""))</f>
        <v>Naveen</v>
      </c>
      <c r="G419" s="222" t="s">
        <v>179</v>
      </c>
      <c r="H419" s="223">
        <f>IFERROR(VLOOKUP(B419, Content_Creation!B:H, 7, FALSE), IFERROR(VLOOKUP(B419, Project_Management!B:H, 7, FALSE), ""))</f>
        <v>45244</v>
      </c>
      <c r="I419" s="224">
        <v>0.0</v>
      </c>
      <c r="J419" s="223">
        <f>IFERROR(VLOOKUP(C419, Content_Creation!B:H, 7, FALSE), IFERROR(VLOOKUP(C419, Project_Management!B:H, 7, FALSE), ""))</f>
        <v>45244</v>
      </c>
      <c r="K419" s="217"/>
      <c r="L419" s="225" t="str">
        <f>IFERROR(VLOOKUP(B419, Data_Validation!X:Y, 2, FALSE), "")</f>
        <v>Not Started</v>
      </c>
      <c r="M419" s="226" t="str">
        <f t="shared" si="1"/>
        <v>TheMVP | Build Photo - 2x 4090 - Insta | Script</v>
      </c>
      <c r="N419" s="226"/>
      <c r="O419" s="226"/>
    </row>
    <row r="420" ht="24.0" customHeight="1">
      <c r="A420" s="216" t="str">
        <f>IFERROR(__xludf.DUMMYFUNCTION("ARRAYFORMULA(IFERROR(VLOOKUP(REGEXEXTRACT(B420, ""-(\w+)-""), {Data_Validation!$F$16:$F$29, Data_Validation!$E$16:$E$29}, 2, FALSE), """"))
"),"TheMVP")</f>
        <v>TheMVP</v>
      </c>
      <c r="B420" s="217" t="str">
        <f>IFERROR(__xludf.DUMMYFUNCTION("""COMPUTED_VALUE"""),"CC-MVP-91.03")</f>
        <v>CC-MVP-91.03</v>
      </c>
      <c r="C420" s="218" t="str">
        <f>IFERROR(__xludf.DUMMYFUNCTION("IFERROR(REGEXEXTRACT(B420, ""^[A-Z]+-[A-Z]+-"") &amp; TEXT(VALUE(REGEXEXTRACT(B420, ""-(\d+)\."")), ""00""), """")"),"CC-MVP-91")</f>
        <v>CC-MVP-91</v>
      </c>
      <c r="D420" s="219" t="str">
        <f>IFERROR(VLOOKUP(C420, Content_Creation!B:D, 2, FALSE), IFERROR(VLOOKUP(C420, Project_Management!B:D, 2, FALSE), ""))
&amp; " - "
&amp; IFERROR(VLOOKUP(C420, Content_Creation!B:E, 4, FALSE), IFERROR(VLOOKUP(C420, Project_Management!B:E, 4, FALSE), ""))</f>
        <v>Build Photo - 2x 4090 - Insta</v>
      </c>
      <c r="E420" s="220" t="str">
        <f>IFERROR(
    VLOOKUP(B419:B1001, Content_Creation!B:D, 3, FALSE),
    IFERROR(VLOOKUP(B419:B1001, Project_Management!B:D, 3, FALSE),"")
  )</f>
        <v>Edit</v>
      </c>
      <c r="F420" s="221" t="str">
        <f>IFERROR(VLOOKUP(B420, Content_Creation!B:F, 5, FALSE), IFERROR(VLOOKUP(B420, Project_Management!B:F, 5, FALSE), ""))</f>
        <v>Naveen</v>
      </c>
      <c r="G420" s="222" t="s">
        <v>179</v>
      </c>
      <c r="H420" s="223">
        <f>IFERROR(VLOOKUP(B420, Content_Creation!B:H, 7, FALSE), IFERROR(VLOOKUP(B420, Project_Management!B:H, 7, FALSE), ""))</f>
        <v>45244</v>
      </c>
      <c r="I420" s="224">
        <v>0.0</v>
      </c>
      <c r="J420" s="223">
        <f>IFERROR(VLOOKUP(C420, Content_Creation!B:H, 7, FALSE), IFERROR(VLOOKUP(C420, Project_Management!B:H, 7, FALSE), ""))</f>
        <v>45244</v>
      </c>
      <c r="K420" s="217"/>
      <c r="L420" s="225" t="str">
        <f>IFERROR(VLOOKUP(B420, Data_Validation!X:Y, 2, FALSE), "")</f>
        <v>Not Started</v>
      </c>
      <c r="M420" s="226" t="str">
        <f t="shared" si="1"/>
        <v>TheMVP | Build Photo - 2x 4090 - Insta | Edit</v>
      </c>
      <c r="N420" s="226"/>
      <c r="O420" s="226"/>
    </row>
    <row r="421" ht="24.0" customHeight="1">
      <c r="A421" s="216" t="str">
        <f>IFERROR(__xludf.DUMMYFUNCTION("ARRAYFORMULA(IFERROR(VLOOKUP(REGEXEXTRACT(B421, ""-(\w+)-""), {Data_Validation!$F$16:$F$29, Data_Validation!$E$16:$E$29}, 2, FALSE), """"))
"),"TheMVP")</f>
        <v>TheMVP</v>
      </c>
      <c r="B421" s="217" t="str">
        <f>IFERROR(__xludf.DUMMYFUNCTION("""COMPUTED_VALUE"""),"CC-MVP-91.04")</f>
        <v>CC-MVP-91.04</v>
      </c>
      <c r="C421" s="218" t="str">
        <f>IFERROR(__xludf.DUMMYFUNCTION("IFERROR(REGEXEXTRACT(B421, ""^[A-Z]+-[A-Z]+-"") &amp; TEXT(VALUE(REGEXEXTRACT(B421, ""-(\d+)\."")), ""00""), """")"),"CC-MVP-91")</f>
        <v>CC-MVP-91</v>
      </c>
      <c r="D421" s="219" t="str">
        <f>IFERROR(VLOOKUP(C421, Content_Creation!B:D, 2, FALSE), IFERROR(VLOOKUP(C421, Project_Management!B:D, 2, FALSE), ""))
&amp; " - "
&amp; IFERROR(VLOOKUP(C421, Content_Creation!B:E, 4, FALSE), IFERROR(VLOOKUP(C421, Project_Management!B:E, 4, FALSE), ""))</f>
        <v>Build Photo - 2x 4090 - Insta</v>
      </c>
      <c r="E421" s="220" t="str">
        <f>IFERROR(
    VLOOKUP(B420:B1001, Content_Creation!B:D, 3, FALSE),
    IFERROR(VLOOKUP(B420:B1001, Project_Management!B:D, 3, FALSE),"")
  )</f>
        <v>Upload</v>
      </c>
      <c r="F421" s="221" t="str">
        <f>IFERROR(VLOOKUP(B421, Content_Creation!B:F, 5, FALSE), IFERROR(VLOOKUP(B421, Project_Management!B:F, 5, FALSE), ""))</f>
        <v>Talha</v>
      </c>
      <c r="G421" s="222" t="s">
        <v>179</v>
      </c>
      <c r="H421" s="223">
        <f>IFERROR(VLOOKUP(B421, Content_Creation!B:H, 7, FALSE), IFERROR(VLOOKUP(B421, Project_Management!B:H, 7, FALSE), ""))</f>
        <v>45244</v>
      </c>
      <c r="I421" s="224">
        <v>0.0</v>
      </c>
      <c r="J421" s="223">
        <f>IFERROR(VLOOKUP(C421, Content_Creation!B:H, 7, FALSE), IFERROR(VLOOKUP(C421, Project_Management!B:H, 7, FALSE), ""))</f>
        <v>45244</v>
      </c>
      <c r="K421" s="217"/>
      <c r="L421" s="225" t="str">
        <f>IFERROR(VLOOKUP(B421, Data_Validation!X:Y, 2, FALSE), "")</f>
        <v>Not Started</v>
      </c>
      <c r="M421" s="226" t="str">
        <f t="shared" si="1"/>
        <v>TheMVP | Build Photo - 2x 4090 - Insta | Upload</v>
      </c>
      <c r="N421" s="226"/>
      <c r="O421" s="226"/>
    </row>
    <row r="422" ht="24.0" customHeight="1">
      <c r="A422" s="216" t="str">
        <f>IFERROR(__xludf.DUMMYFUNCTION("ARRAYFORMULA(IFERROR(VLOOKUP(REGEXEXTRACT(B422, ""-(\w+)-""), {Data_Validation!$F$16:$F$29, Data_Validation!$E$16:$E$29}, 2, FALSE), """"))
"),"TheMVP")</f>
        <v>TheMVP</v>
      </c>
      <c r="B422" s="217" t="str">
        <f>IFERROR(__xludf.DUMMYFUNCTION("""COMPUTED_VALUE"""),"CC-MVP-85.07")</f>
        <v>CC-MVP-85.07</v>
      </c>
      <c r="C422" s="218" t="str">
        <f>IFERROR(__xludf.DUMMYFUNCTION("IFERROR(REGEXEXTRACT(B422, ""^[A-Z]+-[A-Z]+-"") &amp; TEXT(VALUE(REGEXEXTRACT(B422, ""-(\d+)\."")), ""00""), """")"),"CC-MVP-85")</f>
        <v>CC-MVP-85</v>
      </c>
      <c r="D422" s="219" t="str">
        <f>IFERROR(VLOOKUP(C422, Content_Creation!B:D, 2, FALSE), IFERROR(VLOOKUP(C422, Project_Management!B:D, 2, FALSE), ""))
&amp; " - "
&amp; IFERROR(VLOOKUP(C422, Content_Creation!B:E, 4, FALSE), IFERROR(VLOOKUP(C422, Project_Management!B:E, 4, FALSE), ""))</f>
        <v>G335 Headset - Logi Offer - Shorts</v>
      </c>
      <c r="E422" s="220" t="str">
        <f>IFERROR(
    VLOOKUP(B421:B1001, Content_Creation!B:D, 3, FALSE),
    IFERROR(VLOOKUP(B421:B1001, Project_Management!B:D, 3, FALSE),"")
  )</f>
        <v>Upload</v>
      </c>
      <c r="F422" s="221" t="str">
        <f>IFERROR(VLOOKUP(B422, Content_Creation!B:F, 5, FALSE), IFERROR(VLOOKUP(B422, Project_Management!B:F, 5, FALSE), ""))</f>
        <v>Nasser</v>
      </c>
      <c r="G422" s="222" t="s">
        <v>179</v>
      </c>
      <c r="H422" s="223">
        <f>IFERROR(VLOOKUP(B422, Content_Creation!B:H, 7, FALSE), IFERROR(VLOOKUP(B422, Project_Management!B:H, 7, FALSE), ""))</f>
        <v>45244</v>
      </c>
      <c r="I422" s="224">
        <v>0.0</v>
      </c>
      <c r="J422" s="223">
        <f>IFERROR(VLOOKUP(C422, Content_Creation!B:H, 7, FALSE), IFERROR(VLOOKUP(C422, Project_Management!B:H, 7, FALSE), ""))</f>
        <v>45244</v>
      </c>
      <c r="K422" s="217"/>
      <c r="L422" s="225" t="str">
        <f>IFERROR(VLOOKUP(B422, Data_Validation!X:Y, 2, FALSE), "")</f>
        <v>Not Started</v>
      </c>
      <c r="M422" s="226" t="str">
        <f t="shared" si="1"/>
        <v>TheMVP | G335 Headset - Logi Offer - Shorts | Upload</v>
      </c>
      <c r="N422" s="226"/>
      <c r="O422" s="226"/>
    </row>
    <row r="423" ht="24.0" customHeight="1">
      <c r="A423" s="216" t="str">
        <f>IFERROR(__xludf.DUMMYFUNCTION("ARRAYFORMULA(IFERROR(VLOOKUP(REGEXEXTRACT(B423, ""-(\w+)-""), {Data_Validation!$F$16:$F$29, Data_Validation!$E$16:$E$29}, 2, FALSE), """"))
"),"TheMVP")</f>
        <v>TheMVP</v>
      </c>
      <c r="B423" s="217" t="str">
        <f>IFERROR(__xludf.DUMMYFUNCTION("""COMPUTED_VALUE"""),"CC-MVP-107.04")</f>
        <v>CC-MVP-107.04</v>
      </c>
      <c r="C423" s="218" t="str">
        <f>IFERROR(__xludf.DUMMYFUNCTION("IFERROR(REGEXEXTRACT(B423, ""^[A-Z]+-[A-Z]+-"") &amp; TEXT(VALUE(REGEXEXTRACT(B423, ""-(\d+)\."")), ""00""), """")"),"CC-MVP-107")</f>
        <v>CC-MVP-107</v>
      </c>
      <c r="D423" s="219" t="str">
        <f>IFERROR(VLOOKUP(C423, Content_Creation!B:D, 2, FALSE), IFERROR(VLOOKUP(C423, Project_Management!B:D, 2, FALSE), ""))
&amp; " - "
&amp; IFERROR(VLOOKUP(C423, Content_Creation!B:E, 4, FALSE), IFERROR(VLOOKUP(C423, Project_Management!B:E, 4, FALSE), ""))</f>
        <v>Idea Pending - Tweet</v>
      </c>
      <c r="E423" s="220" t="str">
        <f>IFERROR(
    VLOOKUP(B422:B1001, Content_Creation!B:D, 3, FALSE),
    IFERROR(VLOOKUP(B422:B1001, Project_Management!B:D, 3, FALSE),"")
  )</f>
        <v>Upload</v>
      </c>
      <c r="F423" s="221" t="str">
        <f>IFERROR(VLOOKUP(B423, Content_Creation!B:F, 5, FALSE), IFERROR(VLOOKUP(B423, Project_Management!B:F, 5, FALSE), ""))</f>
        <v>Tazeen</v>
      </c>
      <c r="G423" s="222" t="s">
        <v>179</v>
      </c>
      <c r="H423" s="223">
        <f>IFERROR(VLOOKUP(B423, Content_Creation!B:H, 7, FALSE), IFERROR(VLOOKUP(B423, Project_Management!B:H, 7, FALSE), ""))</f>
        <v>45244</v>
      </c>
      <c r="I423" s="224">
        <v>0.0</v>
      </c>
      <c r="J423" s="223">
        <f>IFERROR(VLOOKUP(C423, Content_Creation!B:H, 7, FALSE), IFERROR(VLOOKUP(C423, Project_Management!B:H, 7, FALSE), ""))</f>
        <v>45244</v>
      </c>
      <c r="K423" s="217"/>
      <c r="L423" s="225" t="str">
        <f>IFERROR(VLOOKUP(B423, Data_Validation!X:Y, 2, FALSE), "")</f>
        <v>Not Started</v>
      </c>
      <c r="M423" s="226" t="str">
        <f t="shared" si="1"/>
        <v>TheMVP | Idea Pending - Tweet | Upload</v>
      </c>
      <c r="N423" s="226"/>
      <c r="O423" s="226"/>
    </row>
    <row r="424" ht="24.0" customHeight="1">
      <c r="A424" s="216" t="str">
        <f>IFERROR(__xludf.DUMMYFUNCTION("ARRAYFORMULA(IFERROR(VLOOKUP(REGEXEXTRACT(B424, ""-(\w+)-""), {Data_Validation!$F$16:$F$29, Data_Validation!$E$16:$E$29}, 2, FALSE), """"))
"),"TheMVP")</f>
        <v>TheMVP</v>
      </c>
      <c r="B424" s="217" t="str">
        <f>IFERROR(__xludf.DUMMYFUNCTION("""COMPUTED_VALUE"""),"CC-MVP-83.06")</f>
        <v>CC-MVP-83.06</v>
      </c>
      <c r="C424" s="218" t="str">
        <f>IFERROR(__xludf.DUMMYFUNCTION("IFERROR(REGEXEXTRACT(B424, ""^[A-Z]+-[A-Z]+-"") &amp; TEXT(VALUE(REGEXEXTRACT(B424, ""-(\d+)\."")), ""00""), """")"),"CC-MVP-83")</f>
        <v>CC-MVP-83</v>
      </c>
      <c r="D424" s="219" t="str">
        <f>IFERROR(VLOOKUP(C424, Content_Creation!B:D, 2, FALSE), IFERROR(VLOOKUP(C424, Project_Management!B:D, 2, FALSE), ""))
&amp; " - "
&amp; IFERROR(VLOOKUP(C424, Content_Creation!B:E, 4, FALSE), IFERROR(VLOOKUP(C424, Project_Management!B:E, 4, FALSE), ""))</f>
        <v>G Pro TKL - Logi Offer - Shorts</v>
      </c>
      <c r="E424" s="220" t="str">
        <f>IFERROR(
    VLOOKUP(B423:B1001, Content_Creation!B:D, 3, FALSE),
    IFERROR(VLOOKUP(B423:B1001, Project_Management!B:D, 3, FALSE),"")
  )</f>
        <v>Thumbnail</v>
      </c>
      <c r="F424" s="221" t="str">
        <f>IFERROR(VLOOKUP(B424, Content_Creation!B:F, 5, FALSE), IFERROR(VLOOKUP(B424, Project_Management!B:F, 5, FALSE), ""))</f>
        <v/>
      </c>
      <c r="G424" s="222" t="s">
        <v>179</v>
      </c>
      <c r="H424" s="223">
        <f>IFERROR(VLOOKUP(B424, Content_Creation!B:H, 7, FALSE), IFERROR(VLOOKUP(B424, Project_Management!B:H, 7, FALSE), ""))</f>
        <v>45244</v>
      </c>
      <c r="I424" s="224">
        <v>0.0</v>
      </c>
      <c r="J424" s="223">
        <f>IFERROR(VLOOKUP(C424, Content_Creation!B:H, 7, FALSE), IFERROR(VLOOKUP(C424, Project_Management!B:H, 7, FALSE), ""))</f>
        <v>45245</v>
      </c>
      <c r="K424" s="217"/>
      <c r="L424" s="225" t="str">
        <f>IFERROR(VLOOKUP(B424, Data_Validation!X:Y, 2, FALSE), "")</f>
        <v>Not Started</v>
      </c>
      <c r="M424" s="226" t="str">
        <f t="shared" si="1"/>
        <v>TheMVP | G Pro TKL - Logi Offer - Shorts | Thumbnail</v>
      </c>
      <c r="N424" s="226"/>
      <c r="O424" s="226"/>
    </row>
    <row r="425" ht="24.0" customHeight="1">
      <c r="A425" s="216" t="str">
        <f>IFERROR(__xludf.DUMMYFUNCTION("ARRAYFORMULA(IFERROR(VLOOKUP(REGEXEXTRACT(B425, ""-(\w+)-""), {Data_Validation!$F$16:$F$29, Data_Validation!$E$16:$E$29}, 2, FALSE), """"))
"),"TheMVP")</f>
        <v>TheMVP</v>
      </c>
      <c r="B425" s="217" t="str">
        <f>IFERROR(__xludf.DUMMYFUNCTION("""COMPUTED_VALUE"""),"CC-MVP-97.01")</f>
        <v>CC-MVP-97.01</v>
      </c>
      <c r="C425" s="218" t="str">
        <f>IFERROR(__xludf.DUMMYFUNCTION("IFERROR(REGEXEXTRACT(B425, ""^[A-Z]+-[A-Z]+-"") &amp; TEXT(VALUE(REGEXEXTRACT(B425, ""-(\d+)\."")), ""00""), """")"),"CC-MVP-97")</f>
        <v>CC-MVP-97</v>
      </c>
      <c r="D425" s="219" t="str">
        <f>IFERROR(VLOOKUP(C425, Content_Creation!B:D, 2, FALSE), IFERROR(VLOOKUP(C425, Project_Management!B:D, 2, FALSE), ""))
&amp; " - "
&amp; IFERROR(VLOOKUP(C425, Content_Creation!B:E, 4, FALSE), IFERROR(VLOOKUP(C425, Project_Management!B:E, 4, FALSE), ""))</f>
        <v>Build Photo - North + ProArt - Insta</v>
      </c>
      <c r="E425" s="220" t="str">
        <f>IFERROR(
    VLOOKUP(B424:B1001, Content_Creation!B:D, 3, FALSE),
    IFERROR(VLOOKUP(B424:B1001, Project_Management!B:D, 3, FALSE),"")
  )</f>
        <v>Script</v>
      </c>
      <c r="F425" s="221" t="str">
        <f>IFERROR(VLOOKUP(B425, Content_Creation!B:F, 5, FALSE), IFERROR(VLOOKUP(B425, Project_Management!B:F, 5, FALSE), ""))</f>
        <v>Naveen</v>
      </c>
      <c r="G425" s="222" t="s">
        <v>179</v>
      </c>
      <c r="H425" s="223">
        <f>IFERROR(VLOOKUP(B425, Content_Creation!B:H, 7, FALSE), IFERROR(VLOOKUP(B425, Project_Management!B:H, 7, FALSE), ""))</f>
        <v>45244</v>
      </c>
      <c r="I425" s="224">
        <v>0.0</v>
      </c>
      <c r="J425" s="223">
        <f>IFERROR(VLOOKUP(C425, Content_Creation!B:H, 7, FALSE), IFERROR(VLOOKUP(C425, Project_Management!B:H, 7, FALSE), ""))</f>
        <v>45245</v>
      </c>
      <c r="K425" s="217"/>
      <c r="L425" s="225" t="str">
        <f>IFERROR(VLOOKUP(B425, Data_Validation!X:Y, 2, FALSE), "")</f>
        <v>Not Started</v>
      </c>
      <c r="M425" s="226" t="str">
        <f t="shared" si="1"/>
        <v>TheMVP | Build Photo - North + ProArt - Insta | Script</v>
      </c>
      <c r="N425" s="226"/>
      <c r="O425" s="226"/>
    </row>
    <row r="426" ht="24.0" customHeight="1">
      <c r="A426" s="216" t="str">
        <f>IFERROR(__xludf.DUMMYFUNCTION("ARRAYFORMULA(IFERROR(VLOOKUP(REGEXEXTRACT(B426, ""-(\w+)-""), {Data_Validation!$F$16:$F$29, Data_Validation!$E$16:$E$29}, 2, FALSE), """"))
"),"TheMVP")</f>
        <v>TheMVP</v>
      </c>
      <c r="B426" s="217" t="str">
        <f>IFERROR(__xludf.DUMMYFUNCTION("""COMPUTED_VALUE"""),"CC-MVP-97.03")</f>
        <v>CC-MVP-97.03</v>
      </c>
      <c r="C426" s="218" t="str">
        <f>IFERROR(__xludf.DUMMYFUNCTION("IFERROR(REGEXEXTRACT(B426, ""^[A-Z]+-[A-Z]+-"") &amp; TEXT(VALUE(REGEXEXTRACT(B426, ""-(\d+)\."")), ""00""), """")"),"CC-MVP-97")</f>
        <v>CC-MVP-97</v>
      </c>
      <c r="D426" s="219" t="str">
        <f>IFERROR(VLOOKUP(C426, Content_Creation!B:D, 2, FALSE), IFERROR(VLOOKUP(C426, Project_Management!B:D, 2, FALSE), ""))
&amp; " - "
&amp; IFERROR(VLOOKUP(C426, Content_Creation!B:E, 4, FALSE), IFERROR(VLOOKUP(C426, Project_Management!B:E, 4, FALSE), ""))</f>
        <v>Build Photo - North + ProArt - Insta</v>
      </c>
      <c r="E426" s="220" t="str">
        <f>IFERROR(
    VLOOKUP(B425:B1001, Content_Creation!B:D, 3, FALSE),
    IFERROR(VLOOKUP(B425:B1001, Project_Management!B:D, 3, FALSE),"")
  )</f>
        <v>Edit</v>
      </c>
      <c r="F426" s="221" t="str">
        <f>IFERROR(VLOOKUP(B426, Content_Creation!B:F, 5, FALSE), IFERROR(VLOOKUP(B426, Project_Management!B:F, 5, FALSE), ""))</f>
        <v>Naveen</v>
      </c>
      <c r="G426" s="222" t="s">
        <v>179</v>
      </c>
      <c r="H426" s="223">
        <f>IFERROR(VLOOKUP(B426, Content_Creation!B:H, 7, FALSE), IFERROR(VLOOKUP(B426, Project_Management!B:H, 7, FALSE), ""))</f>
        <v>45244</v>
      </c>
      <c r="I426" s="224">
        <v>0.0</v>
      </c>
      <c r="J426" s="223">
        <f>IFERROR(VLOOKUP(C426, Content_Creation!B:H, 7, FALSE), IFERROR(VLOOKUP(C426, Project_Management!B:H, 7, FALSE), ""))</f>
        <v>45245</v>
      </c>
      <c r="K426" s="217"/>
      <c r="L426" s="225" t="str">
        <f>IFERROR(VLOOKUP(B426, Data_Validation!X:Y, 2, FALSE), "")</f>
        <v>Not Started</v>
      </c>
      <c r="M426" s="226" t="str">
        <f t="shared" si="1"/>
        <v>TheMVP | Build Photo - North + ProArt - Insta | Edit</v>
      </c>
      <c r="N426" s="226"/>
      <c r="O426" s="226"/>
    </row>
    <row r="427" ht="24.0" customHeight="1">
      <c r="A427" s="216" t="str">
        <f>IFERROR(__xludf.DUMMYFUNCTION("ARRAYFORMULA(IFERROR(VLOOKUP(REGEXEXTRACT(B427, ""-(\w+)-""), {Data_Validation!$F$16:$F$29, Data_Validation!$E$16:$E$29}, 2, FALSE), """"))
"),"TheMVP")</f>
        <v>TheMVP</v>
      </c>
      <c r="B427" s="217" t="str">
        <f>IFERROR(__xludf.DUMMYFUNCTION("""COMPUTED_VALUE"""),"CC-MVP-86.01")</f>
        <v>CC-MVP-86.01</v>
      </c>
      <c r="C427" s="218" t="str">
        <f>IFERROR(__xludf.DUMMYFUNCTION("IFERROR(REGEXEXTRACT(B427, ""^[A-Z]+-[A-Z]+-"") &amp; TEXT(VALUE(REGEXEXTRACT(B427, ""-(\d+)\."")), ""00""), """")"),"CC-MVP-86")</f>
        <v>CC-MVP-86</v>
      </c>
      <c r="D427" s="219" t="str">
        <f>IFERROR(VLOOKUP(C427, Content_Creation!B:D, 2, FALSE), IFERROR(VLOOKUP(C427, Project_Management!B:D, 2, FALSE), ""))
&amp; " - "
&amp; IFERROR(VLOOKUP(C427, Content_Creation!B:E, 4, FALSE), IFERROR(VLOOKUP(C427, Project_Management!B:E, 4, FALSE), ""))</f>
        <v>Sneaker PC - Shorts</v>
      </c>
      <c r="E427" s="220" t="str">
        <f>IFERROR(
    VLOOKUP(B426:B1001, Content_Creation!B:D, 3, FALSE),
    IFERROR(VLOOKUP(B426:B1001, Project_Management!B:D, 3, FALSE),"")
  )</f>
        <v>Follow Up</v>
      </c>
      <c r="F427" s="221" t="str">
        <f>IFERROR(VLOOKUP(B427, Content_Creation!B:F, 5, FALSE), IFERROR(VLOOKUP(B427, Project_Management!B:F, 5, FALSE), ""))</f>
        <v>Nasser</v>
      </c>
      <c r="G427" s="225" t="s">
        <v>179</v>
      </c>
      <c r="H427" s="223">
        <f>IFERROR(VLOOKUP(B427, Content_Creation!B:H, 7, FALSE), IFERROR(VLOOKUP(B427, Project_Management!B:H, 7, FALSE), ""))</f>
        <v>45244</v>
      </c>
      <c r="I427" s="224">
        <v>0.0</v>
      </c>
      <c r="J427" s="223">
        <f>IFERROR(VLOOKUP(C427, Content_Creation!B:H, 7, FALSE), IFERROR(VLOOKUP(C427, Project_Management!B:H, 7, FALSE), ""))</f>
        <v>45246</v>
      </c>
      <c r="K427" s="217"/>
      <c r="L427" s="225" t="str">
        <f>IFERROR(VLOOKUP(B427, Data_Validation!X:Y, 2, FALSE), "")</f>
        <v>Not Started</v>
      </c>
      <c r="M427" s="226" t="str">
        <f t="shared" si="1"/>
        <v>TheMVP | Sneaker PC - Shorts | Follow Up</v>
      </c>
      <c r="N427" s="226"/>
      <c r="O427" s="226"/>
    </row>
    <row r="428" ht="24.0" customHeight="1">
      <c r="A428" s="216" t="str">
        <f>IFERROR(__xludf.DUMMYFUNCTION("ARRAYFORMULA(IFERROR(VLOOKUP(REGEXEXTRACT(B428, ""-(\w+)-""), {Data_Validation!$F$16:$F$29, Data_Validation!$E$16:$E$29}, 2, FALSE), """"))
"),"TheMVP")</f>
        <v>TheMVP</v>
      </c>
      <c r="B428" s="217" t="str">
        <f>IFERROR(__xludf.DUMMYFUNCTION("""COMPUTED_VALUE"""),"CC-MVP-112.01")</f>
        <v>CC-MVP-112.01</v>
      </c>
      <c r="C428" s="218" t="str">
        <f>IFERROR(__xludf.DUMMYFUNCTION("IFERROR(REGEXEXTRACT(B428, ""^[A-Z]+-[A-Z]+-"") &amp; TEXT(VALUE(REGEXEXTRACT(B428, ""-(\d+)\."")), ""00""), """")"),"CC-MVP-112")</f>
        <v>CC-MVP-112</v>
      </c>
      <c r="D428" s="219" t="str">
        <f>IFERROR(VLOOKUP(C428, Content_Creation!B:D, 2, FALSE), IFERROR(VLOOKUP(C428, Project_Management!B:D, 2, FALSE), ""))
&amp; " - "
&amp; IFERROR(VLOOKUP(C428, Content_Creation!B:E, 4, FALSE), IFERROR(VLOOKUP(C428, Project_Management!B:E, 4, FALSE), ""))</f>
        <v>How CPU works in 60 seconds - Shorts</v>
      </c>
      <c r="E428" s="220" t="str">
        <f>IFERROR(
    VLOOKUP(B427:B1001, Content_Creation!B:D, 3, FALSE),
    IFERROR(VLOOKUP(B427:B1001, Project_Management!B:D, 3, FALSE),"")
  )</f>
        <v>Script</v>
      </c>
      <c r="F428" s="221" t="str">
        <f>IFERROR(VLOOKUP(B428, Content_Creation!B:F, 5, FALSE), IFERROR(VLOOKUP(B428, Project_Management!B:F, 5, FALSE), ""))</f>
        <v>Tazeen</v>
      </c>
      <c r="G428" s="222" t="s">
        <v>307</v>
      </c>
      <c r="H428" s="223">
        <f>IFERROR(VLOOKUP(B428, Content_Creation!B:H, 7, FALSE), IFERROR(VLOOKUP(B428, Project_Management!B:H, 7, FALSE), ""))</f>
        <v>45244</v>
      </c>
      <c r="I428" s="224">
        <v>0.0</v>
      </c>
      <c r="J428" s="223">
        <f>IFERROR(VLOOKUP(C428, Content_Creation!B:H, 7, FALSE), IFERROR(VLOOKUP(C428, Project_Management!B:H, 7, FALSE), ""))</f>
        <v>45250</v>
      </c>
      <c r="K428" s="217"/>
      <c r="L428" s="225" t="str">
        <f>IFERROR(VLOOKUP(B428, Data_Validation!X:Y, 2, FALSE), "")</f>
        <v>Not Started</v>
      </c>
      <c r="M428" s="226" t="str">
        <f t="shared" si="1"/>
        <v>TheMVP | How CPU works in 60 seconds - Shorts | Script</v>
      </c>
      <c r="N428" s="226"/>
      <c r="O428" s="226"/>
    </row>
    <row r="429" ht="24.0" customHeight="1">
      <c r="A429" s="216" t="str">
        <f>IFERROR(__xludf.DUMMYFUNCTION("ARRAYFORMULA(IFERROR(VLOOKUP(REGEXEXTRACT(B429, ""-(\w+)-""), {Data_Validation!$F$16:$F$29, Data_Validation!$E$16:$E$29}, 2, FALSE), """"))
"),"TheMVP")</f>
        <v>TheMVP</v>
      </c>
      <c r="B429" s="217" t="str">
        <f>IFERROR(__xludf.DUMMYFUNCTION("""COMPUTED_VALUE"""),"CC-MVP-117.03")</f>
        <v>CC-MVP-117.03</v>
      </c>
      <c r="C429" s="218" t="str">
        <f>IFERROR(__xludf.DUMMYFUNCTION("IFERROR(REGEXEXTRACT(B429, ""^[A-Z]+-[A-Z]+-"") &amp; TEXT(VALUE(REGEXEXTRACT(B429, ""-(\d+)\."")), ""00""), """")"),"CC-MVP-117")</f>
        <v>CC-MVP-117</v>
      </c>
      <c r="D429" s="219" t="str">
        <f>IFERROR(VLOOKUP(C429, Content_Creation!B:D, 2, FALSE), IFERROR(VLOOKUP(C429, Project_Management!B:D, 2, FALSE), ""))
&amp; " - "
&amp; IFERROR(VLOOKUP(C429, Content_Creation!B:E, 4, FALSE), IFERROR(VLOOKUP(C429, Project_Management!B:E, 4, FALSE), ""))</f>
        <v>Enthoo Case - Shorts</v>
      </c>
      <c r="E429" s="220" t="str">
        <f>IFERROR(
    VLOOKUP(B428:B1001, Content_Creation!B:D, 3, FALSE),
    IFERROR(VLOOKUP(B428:B1001, Project_Management!B:D, 3, FALSE),"")
  )</f>
        <v>Edit</v>
      </c>
      <c r="F429" s="221" t="str">
        <f>IFERROR(VLOOKUP(B429, Content_Creation!B:F, 5, FALSE), IFERROR(VLOOKUP(B429, Project_Management!B:F, 5, FALSE), ""))</f>
        <v>Freelancer</v>
      </c>
      <c r="G429" s="222" t="s">
        <v>179</v>
      </c>
      <c r="H429" s="223">
        <f>IFERROR(VLOOKUP(B429, Content_Creation!B:H, 7, FALSE), IFERROR(VLOOKUP(B429, Project_Management!B:H, 7, FALSE), ""))</f>
        <v>45244.45665</v>
      </c>
      <c r="I429" s="224">
        <v>0.0</v>
      </c>
      <c r="J429" s="223">
        <f>IFERROR(VLOOKUP(C429, Content_Creation!B:H, 7, FALSE), IFERROR(VLOOKUP(C429, Project_Management!B:H, 7, FALSE), ""))</f>
        <v>45246.45665</v>
      </c>
      <c r="K429" s="217"/>
      <c r="L429" s="225" t="str">
        <f>IFERROR(VLOOKUP(B429, Data_Validation!X:Y, 2, FALSE), "")</f>
        <v>Not Started</v>
      </c>
      <c r="M429" s="226" t="str">
        <f t="shared" si="1"/>
        <v>TheMVP | Enthoo Case - Shorts | Edit</v>
      </c>
      <c r="N429" s="226"/>
      <c r="O429" s="226"/>
    </row>
    <row r="430" ht="24.0" customHeight="1">
      <c r="A430" s="216" t="str">
        <f>IFERROR(__xludf.DUMMYFUNCTION("ARRAYFORMULA(IFERROR(VLOOKUP(REGEXEXTRACT(B430, ""-(\w+)-""), {Data_Validation!$F$16:$F$29, Data_Validation!$E$16:$E$29}, 2, FALSE), """"))
"),"TheMVP")</f>
        <v>TheMVP</v>
      </c>
      <c r="B430" s="217" t="str">
        <f>IFERROR(__xludf.DUMMYFUNCTION("""COMPUTED_VALUE"""),"CC-MVP-16.01")</f>
        <v>CC-MVP-16.01</v>
      </c>
      <c r="C430" s="218" t="str">
        <f>IFERROR(__xludf.DUMMYFUNCTION("IFERROR(REGEXEXTRACT(B430, ""^[A-Z]+-[A-Z]+-"") &amp; TEXT(VALUE(REGEXEXTRACT(B430, ""-(\d+)\."")), ""00""), """")"),"CC-MVP-16")</f>
        <v>CC-MVP-16</v>
      </c>
      <c r="D430" s="219" t="str">
        <f>IFERROR(VLOOKUP(C430, Content_Creation!B:D, 2, FALSE), IFERROR(VLOOKUP(C430, Project_Management!B:D, 2, FALSE), ""))
&amp; " - "
&amp; IFERROR(VLOOKUP(C430, Content_Creation!B:E, 4, FALSE), IFERROR(VLOOKUP(C430, Project_Management!B:E, 4, FALSE), ""))</f>
        <v>Logi Persona Reviews - YT Video</v>
      </c>
      <c r="E430" s="220" t="str">
        <f>IFERROR(
    VLOOKUP(B429:B1001, Content_Creation!B:D, 3, FALSE),
    IFERROR(VLOOKUP(B429:B1001, Project_Management!B:D, 3, FALSE),"")
  )</f>
        <v>Script</v>
      </c>
      <c r="F430" s="221" t="str">
        <f>IFERROR(VLOOKUP(B430, Content_Creation!B:F, 5, FALSE), IFERROR(VLOOKUP(B430, Project_Management!B:F, 5, FALSE), ""))</f>
        <v>Tazeen</v>
      </c>
      <c r="G430" s="222" t="s">
        <v>179</v>
      </c>
      <c r="H430" s="223">
        <f>IFERROR(VLOOKUP(B430, Content_Creation!B:H, 7, FALSE), IFERROR(VLOOKUP(B430, Project_Management!B:H, 7, FALSE), ""))</f>
        <v>45244</v>
      </c>
      <c r="I430" s="224">
        <v>0.0</v>
      </c>
      <c r="J430" s="223">
        <f>IFERROR(VLOOKUP(C430, Content_Creation!B:H, 7, FALSE), IFERROR(VLOOKUP(C430, Project_Management!B:H, 7, FALSE), ""))</f>
        <v>45255</v>
      </c>
      <c r="K430" s="217"/>
      <c r="L430" s="225" t="str">
        <f>IFERROR(VLOOKUP(B430, Data_Validation!X:Y, 2, FALSE), "")</f>
        <v>On Hold</v>
      </c>
      <c r="M430" s="226" t="str">
        <f t="shared" si="1"/>
        <v>TheMVP | Logi Persona Reviews - YT Video | Script</v>
      </c>
      <c r="N430" s="226"/>
      <c r="O430" s="226"/>
    </row>
    <row r="431" ht="24.0" customHeight="1">
      <c r="A431" s="216" t="str">
        <f>IFERROR(__xludf.DUMMYFUNCTION("ARRAYFORMULA(IFERROR(VLOOKUP(REGEXEXTRACT(B431, ""-(\w+)-""), {Data_Validation!$F$16:$F$29, Data_Validation!$E$16:$E$29}, 2, FALSE), """"))
"),"TheMVP")</f>
        <v>TheMVP</v>
      </c>
      <c r="B431" s="217" t="str">
        <f>IFERROR(__xludf.DUMMYFUNCTION("""COMPUTED_VALUE"""),"CC-MVP-118.03")</f>
        <v>CC-MVP-118.03</v>
      </c>
      <c r="C431" s="218" t="str">
        <f>IFERROR(__xludf.DUMMYFUNCTION("IFERROR(REGEXEXTRACT(B431, ""^[A-Z]+-[A-Z]+-"") &amp; TEXT(VALUE(REGEXEXTRACT(B431, ""-(\d+)\."")), ""00""), """")"),"CC-MVP-118")</f>
        <v>CC-MVP-118</v>
      </c>
      <c r="D431" s="219" t="str">
        <f>IFERROR(VLOOKUP(C431, Content_Creation!B:D, 2, FALSE), IFERROR(VLOOKUP(C431, Project_Management!B:D, 2, FALSE), ""))
&amp; " - "
&amp; IFERROR(VLOOKUP(C431, Content_Creation!B:E, 4, FALSE), IFERROR(VLOOKUP(C431, Project_Management!B:E, 4, FALSE), ""))</f>
        <v>Editing Category Downedit - Shorts</v>
      </c>
      <c r="E431" s="220" t="str">
        <f>IFERROR(
    VLOOKUP(B430:B1001, Content_Creation!B:D, 3, FALSE),
    IFERROR(VLOOKUP(B430:B1001, Project_Management!B:D, 3, FALSE),"")
  )</f>
        <v>Timeline</v>
      </c>
      <c r="F431" s="221" t="str">
        <f>IFERROR(VLOOKUP(B431, Content_Creation!B:F, 5, FALSE), IFERROR(VLOOKUP(B431, Project_Management!B:F, 5, FALSE), ""))</f>
        <v/>
      </c>
      <c r="G431" s="222" t="s">
        <v>179</v>
      </c>
      <c r="H431" s="223">
        <f>IFERROR(VLOOKUP(B431, Content_Creation!B:H, 7, FALSE), IFERROR(VLOOKUP(B431, Project_Management!B:H, 7, FALSE), ""))</f>
        <v>45244.99818</v>
      </c>
      <c r="I431" s="224">
        <v>0.0</v>
      </c>
      <c r="J431" s="223">
        <f>IFERROR(VLOOKUP(C431, Content_Creation!B:H, 7, FALSE), IFERROR(VLOOKUP(C431, Project_Management!B:H, 7, FALSE), ""))</f>
        <v>45252.99818</v>
      </c>
      <c r="K431" s="217"/>
      <c r="L431" s="225" t="str">
        <f>IFERROR(VLOOKUP(B431, Data_Validation!X:Y, 2, FALSE), "")</f>
        <v>Not Started</v>
      </c>
      <c r="M431" s="226" t="str">
        <f t="shared" si="1"/>
        <v>TheMVP | Editing Category Downedit - Shorts | Timeline</v>
      </c>
      <c r="N431" s="226"/>
      <c r="O431" s="226"/>
    </row>
    <row r="432" ht="24.0" customHeight="1">
      <c r="A432" s="216" t="str">
        <f>IFERROR(__xludf.DUMMYFUNCTION("ARRAYFORMULA(IFERROR(VLOOKUP(REGEXEXTRACT(B432, ""-(\w+)-""), {Data_Validation!$F$16:$F$29, Data_Validation!$E$16:$E$29}, 2, FALSE), """"))
"),"Colorful Tech")</f>
        <v>Colorful Tech</v>
      </c>
      <c r="B432" s="217" t="str">
        <f>IFERROR(__xludf.DUMMYFUNCTION("""COMPUTED_VALUE"""),"CC-CTH-13.05")</f>
        <v>CC-CTH-13.05</v>
      </c>
      <c r="C432" s="218" t="str">
        <f>IFERROR(__xludf.DUMMYFUNCTION("IFERROR(REGEXEXTRACT(B432, ""^[A-Z]+-[A-Z]+-"") &amp; TEXT(VALUE(REGEXEXTRACT(B432, ""-(\d+)\."")), ""00""), """")"),"CC-CTH-13")</f>
        <v>CC-CTH-13</v>
      </c>
      <c r="D432" s="219" t="str">
        <f>IFERROR(VLOOKUP(C432, Content_Creation!B:D, 2, FALSE), IFERROR(VLOOKUP(C432, Project_Management!B:D, 2, FALSE), ""))
&amp; " - "
&amp; IFERROR(VLOOKUP(C432, Content_Creation!B:E, 4, FALSE), IFERROR(VLOOKUP(C432, Project_Management!B:E, 4, FALSE), ""))</f>
        <v>PC for Generative AI - Shorts</v>
      </c>
      <c r="E432" s="220" t="str">
        <f>IFERROR(
    VLOOKUP(B431:B1001, Content_Creation!B:D, 3, FALSE),
    IFERROR(VLOOKUP(B431:B1001, Project_Management!B:D, 3, FALSE),"")
  )</f>
        <v>Upload</v>
      </c>
      <c r="F432" s="221" t="str">
        <f>IFERROR(VLOOKUP(B432, Content_Creation!B:F, 5, FALSE), IFERROR(VLOOKUP(B432, Project_Management!B:F, 5, FALSE), ""))</f>
        <v>Talha</v>
      </c>
      <c r="G432" s="222" t="s">
        <v>179</v>
      </c>
      <c r="H432" s="223">
        <f>IFERROR(VLOOKUP(B432, Content_Creation!B:H, 7, FALSE), IFERROR(VLOOKUP(B432, Project_Management!B:H, 7, FALSE), ""))</f>
        <v>45244</v>
      </c>
      <c r="I432" s="224">
        <v>0.0</v>
      </c>
      <c r="J432" s="223">
        <f>IFERROR(VLOOKUP(C432, Content_Creation!B:H, 7, FALSE), IFERROR(VLOOKUP(C432, Project_Management!B:H, 7, FALSE), ""))</f>
        <v>45244</v>
      </c>
      <c r="K432" s="217"/>
      <c r="L432" s="225" t="str">
        <f>IFERROR(VLOOKUP(B432, Data_Validation!X:Y, 2, FALSE), "")</f>
        <v>Not Started</v>
      </c>
      <c r="M432" s="226" t="str">
        <f t="shared" si="1"/>
        <v>Colorful Tech | PC for Generative AI - Shorts | Upload</v>
      </c>
      <c r="N432" s="226"/>
      <c r="O432" s="226"/>
    </row>
    <row r="433" ht="24.0" customHeight="1">
      <c r="A433" s="216" t="str">
        <f>IFERROR(__xludf.DUMMYFUNCTION("ARRAYFORMULA(IFERROR(VLOOKUP(REGEXEXTRACT(B433, ""-(\w+)-""), {Data_Validation!$F$16:$F$29, Data_Validation!$E$16:$E$29}, 2, FALSE), """"))
"),"Colorful Tech")</f>
        <v>Colorful Tech</v>
      </c>
      <c r="B433" s="217" t="str">
        <f>IFERROR(__xludf.DUMMYFUNCTION("""COMPUTED_VALUE"""),"CC-CTH-19.02")</f>
        <v>CC-CTH-19.02</v>
      </c>
      <c r="C433" s="218" t="str">
        <f>IFERROR(__xludf.DUMMYFUNCTION("IFERROR(REGEXEXTRACT(B433, ""^[A-Z]+-[A-Z]+-"") &amp; TEXT(VALUE(REGEXEXTRACT(B433, ""-(\d+)\."")), ""00""), """")"),"CC-CTH-19")</f>
        <v>CC-CTH-19</v>
      </c>
      <c r="D433" s="219" t="str">
        <f>IFERROR(VLOOKUP(C433, Content_Creation!B:D, 2, FALSE), IFERROR(VLOOKUP(C433, Project_Management!B:D, 2, FALSE), ""))
&amp; " - "
&amp; IFERROR(VLOOKUP(C433, Content_Creation!B:E, 4, FALSE), IFERROR(VLOOKUP(C433, Project_Management!B:E, 4, FALSE), ""))</f>
        <v>Deep Learning Anti-Aliasing - Shorts</v>
      </c>
      <c r="E433" s="220" t="str">
        <f>IFERROR(
    VLOOKUP(B432:B1001, Content_Creation!B:D, 3, FALSE),
    IFERROR(VLOOKUP(B432:B1001, Project_Management!B:D, 3, FALSE),"")
  )</f>
        <v>Voiceover</v>
      </c>
      <c r="F433" s="221" t="str">
        <f>IFERROR(VLOOKUP(B433, Content_Creation!B:F, 5, FALSE), IFERROR(VLOOKUP(B433, Project_Management!B:F, 5, FALSE), ""))</f>
        <v>Talha</v>
      </c>
      <c r="G433" s="222" t="s">
        <v>179</v>
      </c>
      <c r="H433" s="223">
        <f>IFERROR(VLOOKUP(B433, Content_Creation!B:H, 7, FALSE), IFERROR(VLOOKUP(B433, Project_Management!B:H, 7, FALSE), ""))</f>
        <v>45244</v>
      </c>
      <c r="I433" s="224">
        <v>0.0</v>
      </c>
      <c r="J433" s="223">
        <f>IFERROR(VLOOKUP(C433, Content_Creation!B:H, 7, FALSE), IFERROR(VLOOKUP(C433, Project_Management!B:H, 7, FALSE), ""))</f>
        <v>45247</v>
      </c>
      <c r="K433" s="217"/>
      <c r="L433" s="225" t="str">
        <f>IFERROR(VLOOKUP(B433, Data_Validation!X:Y, 2, FALSE), "")</f>
        <v>Not Started</v>
      </c>
      <c r="M433" s="226" t="str">
        <f t="shared" si="1"/>
        <v>Colorful Tech | Deep Learning Anti-Aliasing - Shorts | Voiceover</v>
      </c>
      <c r="N433" s="226"/>
      <c r="O433" s="226"/>
    </row>
    <row r="434" ht="24.0" customHeight="1">
      <c r="A434" s="216" t="str">
        <f>IFERROR(__xludf.DUMMYFUNCTION("ARRAYFORMULA(IFERROR(VLOOKUP(REGEXEXTRACT(B434, ""-(\w+)-""), {Data_Validation!$F$16:$F$29, Data_Validation!$E$16:$E$29}, 2, FALSE), """"))
"),"Colorful Tech")</f>
        <v>Colorful Tech</v>
      </c>
      <c r="B434" s="217" t="str">
        <f>IFERROR(__xludf.DUMMYFUNCTION("""COMPUTED_VALUE"""),"CC-CTH-19.03")</f>
        <v>CC-CTH-19.03</v>
      </c>
      <c r="C434" s="218" t="str">
        <f>IFERROR(__xludf.DUMMYFUNCTION("IFERROR(REGEXEXTRACT(B434, ""^[A-Z]+-[A-Z]+-"") &amp; TEXT(VALUE(REGEXEXTRACT(B434, ""-(\d+)\."")), ""00""), """")"),"CC-CTH-19")</f>
        <v>CC-CTH-19</v>
      </c>
      <c r="D434" s="219" t="str">
        <f>IFERROR(VLOOKUP(C434, Content_Creation!B:D, 2, FALSE), IFERROR(VLOOKUP(C434, Project_Management!B:D, 2, FALSE), ""))
&amp; " - "
&amp; IFERROR(VLOOKUP(C434, Content_Creation!B:E, 4, FALSE), IFERROR(VLOOKUP(C434, Project_Management!B:E, 4, FALSE), ""))</f>
        <v>Deep Learning Anti-Aliasing - Shorts</v>
      </c>
      <c r="E434" s="220" t="str">
        <f>IFERROR(
    VLOOKUP(B433:B1001, Content_Creation!B:D, 3, FALSE),
    IFERROR(VLOOKUP(B433:B1001, Project_Management!B:D, 3, FALSE),"")
  )</f>
        <v>Edit</v>
      </c>
      <c r="F434" s="221" t="str">
        <f>IFERROR(VLOOKUP(B434, Content_Creation!B:F, 5, FALSE), IFERROR(VLOOKUP(B434, Project_Management!B:F, 5, FALSE), ""))</f>
        <v>Talha</v>
      </c>
      <c r="G434" s="222" t="s">
        <v>179</v>
      </c>
      <c r="H434" s="223">
        <f>IFERROR(VLOOKUP(B434, Content_Creation!B:H, 7, FALSE), IFERROR(VLOOKUP(B434, Project_Management!B:H, 7, FALSE), ""))</f>
        <v>45244</v>
      </c>
      <c r="I434" s="224">
        <v>0.0</v>
      </c>
      <c r="J434" s="223">
        <f>IFERROR(VLOOKUP(C434, Content_Creation!B:H, 7, FALSE), IFERROR(VLOOKUP(C434, Project_Management!B:H, 7, FALSE), ""))</f>
        <v>45247</v>
      </c>
      <c r="K434" s="217"/>
      <c r="L434" s="225" t="str">
        <f>IFERROR(VLOOKUP(B434, Data_Validation!X:Y, 2, FALSE), "")</f>
        <v>Not Started</v>
      </c>
      <c r="M434" s="226" t="str">
        <f t="shared" si="1"/>
        <v>Colorful Tech | Deep Learning Anti-Aliasing - Shorts | Edit</v>
      </c>
      <c r="N434" s="226"/>
      <c r="O434" s="226"/>
    </row>
    <row r="435" ht="24.0" customHeight="1">
      <c r="A435" s="216" t="str">
        <f>IFERROR(__xludf.DUMMYFUNCTION("ARRAYFORMULA(IFERROR(VLOOKUP(REGEXEXTRACT(B435, ""-(\w+)-""), {Data_Validation!$F$16:$F$29, Data_Validation!$E$16:$E$29}, 2, FALSE), """"))
"),"Colorful Tech")</f>
        <v>Colorful Tech</v>
      </c>
      <c r="B435" s="217" t="str">
        <f>IFERROR(__xludf.DUMMYFUNCTION("""COMPUTED_VALUE"""),"CC-CTH-20.04")</f>
        <v>CC-CTH-20.04</v>
      </c>
      <c r="C435" s="218" t="str">
        <f>IFERROR(__xludf.DUMMYFUNCTION("IFERROR(REGEXEXTRACT(B435, ""^[A-Z]+-[A-Z]+-"") &amp; TEXT(VALUE(REGEXEXTRACT(B435, ""-(\d+)\."")), ""00""), """")"),"CC-CTH-20")</f>
        <v>CC-CTH-20</v>
      </c>
      <c r="D435" s="219" t="str">
        <f>IFERROR(VLOOKUP(C435, Content_Creation!B:D, 2, FALSE), IFERROR(VLOOKUP(C435, Project_Management!B:D, 2, FALSE), ""))
&amp; " - "
&amp; IFERROR(VLOOKUP(C435, Content_Creation!B:E, 4, FALSE), IFERROR(VLOOKUP(C435, Project_Management!B:E, 4, FALSE), ""))</f>
        <v>When can you upgrade your GPU - Shorts</v>
      </c>
      <c r="E435" s="220" t="str">
        <f>IFERROR(
    VLOOKUP(B434:B1001, Content_Creation!B:D, 3, FALSE),
    IFERROR(VLOOKUP(B434:B1001, Project_Management!B:D, 3, FALSE),"")
  )</f>
        <v>Shoot</v>
      </c>
      <c r="F435" s="221" t="str">
        <f>IFERROR(VLOOKUP(B435, Content_Creation!B:F, 5, FALSE), IFERROR(VLOOKUP(B435, Project_Management!B:F, 5, FALSE), ""))</f>
        <v>Akhil</v>
      </c>
      <c r="G435" s="222" t="s">
        <v>179</v>
      </c>
      <c r="H435" s="223">
        <f>IFERROR(VLOOKUP(B435, Content_Creation!B:H, 7, FALSE), IFERROR(VLOOKUP(B435, Project_Management!B:H, 7, FALSE), ""))</f>
        <v>45244</v>
      </c>
      <c r="I435" s="224">
        <v>0.0</v>
      </c>
      <c r="J435" s="223">
        <f>IFERROR(VLOOKUP(C435, Content_Creation!B:H, 7, FALSE), IFERROR(VLOOKUP(C435, Project_Management!B:H, 7, FALSE), ""))</f>
        <v>45248</v>
      </c>
      <c r="K435" s="217"/>
      <c r="L435" s="225" t="str">
        <f>IFERROR(VLOOKUP(B435, Data_Validation!X:Y, 2, FALSE), "")</f>
        <v>Not Started</v>
      </c>
      <c r="M435" s="226" t="str">
        <f t="shared" si="1"/>
        <v>Colorful Tech | When can you upgrade your GPU - Shorts | Shoot</v>
      </c>
      <c r="N435" s="226"/>
      <c r="O435" s="226"/>
    </row>
    <row r="436" ht="24.0" customHeight="1">
      <c r="A436" s="216" t="str">
        <f>IFERROR(__xludf.DUMMYFUNCTION("ARRAYFORMULA(IFERROR(VLOOKUP(REGEXEXTRACT(B436, ""-(\w+)-""), {Data_Validation!$F$16:$F$29, Data_Validation!$E$16:$E$29}, 2, FALSE), """"))
"),"Colorful Tech")</f>
        <v>Colorful Tech</v>
      </c>
      <c r="B436" s="217" t="str">
        <f>IFERROR(__xludf.DUMMYFUNCTION("""COMPUTED_VALUE"""),"CC-CTH-21.01")</f>
        <v>CC-CTH-21.01</v>
      </c>
      <c r="C436" s="218" t="str">
        <f>IFERROR(__xludf.DUMMYFUNCTION("IFERROR(REGEXEXTRACT(B436, ""^[A-Z]+-[A-Z]+-"") &amp; TEXT(VALUE(REGEXEXTRACT(B436, ""-(\d+)\."")), ""00""), """")"),"CC-CTH-21")</f>
        <v>CC-CTH-21</v>
      </c>
      <c r="D436" s="219" t="str">
        <f>IFERROR(VLOOKUP(C436, Content_Creation!B:D, 2, FALSE), IFERROR(VLOOKUP(C436, Project_Management!B:D, 2, FALSE), ""))
&amp; " - "
&amp; IFERROR(VLOOKUP(C436, Content_Creation!B:E, 4, FALSE), IFERROR(VLOOKUP(C436, Project_Management!B:E, 4, FALSE), ""))</f>
        <v>Product Showcase - Insta</v>
      </c>
      <c r="E436" s="220" t="str">
        <f>IFERROR(
    VLOOKUP(B435:B1001, Content_Creation!B:D, 3, FALSE),
    IFERROR(VLOOKUP(B435:B1001, Project_Management!B:D, 3, FALSE),"")
  )</f>
        <v>Script</v>
      </c>
      <c r="F436" s="221" t="str">
        <f>IFERROR(VLOOKUP(B436, Content_Creation!B:F, 5, FALSE), IFERROR(VLOOKUP(B436, Project_Management!B:F, 5, FALSE), ""))</f>
        <v>Naveen</v>
      </c>
      <c r="G436" s="222" t="s">
        <v>179</v>
      </c>
      <c r="H436" s="223">
        <f>IFERROR(VLOOKUP(B436, Content_Creation!B:H, 7, FALSE), IFERROR(VLOOKUP(B436, Project_Management!B:H, 7, FALSE), ""))</f>
        <v>45244</v>
      </c>
      <c r="I436" s="224">
        <v>0.0</v>
      </c>
      <c r="J436" s="223">
        <f>IFERROR(VLOOKUP(C436, Content_Creation!B:H, 7, FALSE), IFERROR(VLOOKUP(C436, Project_Management!B:H, 7, FALSE), ""))</f>
        <v>45249</v>
      </c>
      <c r="K436" s="217"/>
      <c r="L436" s="225" t="str">
        <f>IFERROR(VLOOKUP(B436, Data_Validation!X:Y, 2, FALSE), "")</f>
        <v>Not Started</v>
      </c>
      <c r="M436" s="226" t="str">
        <f t="shared" si="1"/>
        <v>Colorful Tech | Product Showcase - Insta | Script</v>
      </c>
      <c r="N436" s="226"/>
      <c r="O436" s="226"/>
    </row>
    <row r="437" ht="24.0" customHeight="1">
      <c r="A437" s="216" t="str">
        <f>IFERROR(__xludf.DUMMYFUNCTION("ARRAYFORMULA(IFERROR(VLOOKUP(REGEXEXTRACT(B437, ""-(\w+)-""), {Data_Validation!$F$16:$F$29, Data_Validation!$E$16:$E$29}, 2, FALSE), """"))
"),"Inno3D")</f>
        <v>Inno3D</v>
      </c>
      <c r="B437" s="217" t="str">
        <f>IFERROR(__xludf.DUMMYFUNCTION("""COMPUTED_VALUE"""),"CC-INN-33.02")</f>
        <v>CC-INN-33.02</v>
      </c>
      <c r="C437" s="218" t="str">
        <f>IFERROR(__xludf.DUMMYFUNCTION("IFERROR(REGEXEXTRACT(B437, ""^[A-Z]+-[A-Z]+-"") &amp; TEXT(VALUE(REGEXEXTRACT(B437, ""-(\d+)\."")), ""00""), """")"),"CC-INN-33")</f>
        <v>CC-INN-33</v>
      </c>
      <c r="D437" s="219" t="str">
        <f>IFERROR(VLOOKUP(C437, Content_Creation!B:D, 2, FALSE), IFERROR(VLOOKUP(C437, Project_Management!B:D, 2, FALSE), ""))
&amp; " - "
&amp; IFERROR(VLOOKUP(C437, Content_Creation!B:E, 4, FALSE), IFERROR(VLOOKUP(C437, Project_Management!B:E, 4, FALSE), ""))</f>
        <v>INNO3D TuneIT OC - Shorts</v>
      </c>
      <c r="E437" s="220" t="str">
        <f>IFERROR(
    VLOOKUP(B436:B1001, Content_Creation!B:D, 3, FALSE),
    IFERROR(VLOOKUP(B436:B1001, Project_Management!B:D, 3, FALSE),"")
  )</f>
        <v>Shoot</v>
      </c>
      <c r="F437" s="221" t="str">
        <f>IFERROR(VLOOKUP(B437, Content_Creation!B:F, 5, FALSE), IFERROR(VLOOKUP(B437, Project_Management!B:F, 5, FALSE), ""))</f>
        <v>Naveen</v>
      </c>
      <c r="G437" s="222" t="s">
        <v>307</v>
      </c>
      <c r="H437" s="223">
        <f>IFERROR(VLOOKUP(B437, Content_Creation!B:H, 7, FALSE), IFERROR(VLOOKUP(B437, Project_Management!B:H, 7, FALSE), ""))</f>
        <v>45244</v>
      </c>
      <c r="I437" s="224">
        <v>0.0</v>
      </c>
      <c r="J437" s="223">
        <f>IFERROR(VLOOKUP(C437, Content_Creation!B:H, 7, FALSE), IFERROR(VLOOKUP(C437, Project_Management!B:H, 7, FALSE), ""))</f>
        <v>45247</v>
      </c>
      <c r="K437" s="217"/>
      <c r="L437" s="225" t="str">
        <f>IFERROR(VLOOKUP(B437, Data_Validation!X:Y, 2, FALSE), "")</f>
        <v>Not Started</v>
      </c>
      <c r="M437" s="226" t="str">
        <f t="shared" si="1"/>
        <v>Inno3D | INNO3D TuneIT OC - Shorts | Shoot</v>
      </c>
      <c r="N437" s="226"/>
      <c r="O437" s="226"/>
    </row>
    <row r="438" ht="24.0" customHeight="1">
      <c r="A438" s="216" t="str">
        <f>IFERROR(__xludf.DUMMYFUNCTION("ARRAYFORMULA(IFERROR(VLOOKUP(REGEXEXTRACT(B438, ""-(\w+)-""), {Data_Validation!$F$16:$F$29, Data_Validation!$E$16:$E$29}, 2, FALSE), """"))
"),"Picture This!")</f>
        <v>Picture This!</v>
      </c>
      <c r="B438" s="217" t="str">
        <f>IFERROR(__xludf.DUMMYFUNCTION("""COMPUTED_VALUE"""),"PM-PTS-06.05")</f>
        <v>PM-PTS-06.05</v>
      </c>
      <c r="C438" s="218" t="str">
        <f>IFERROR(__xludf.DUMMYFUNCTION("IFERROR(REGEXEXTRACT(B438, ""^[A-Z]+-[A-Z]+-"") &amp; TEXT(VALUE(REGEXEXTRACT(B438, ""-(\d+)\."")), ""00""), """")"),"PM-PTS-06")</f>
        <v>PM-PTS-06</v>
      </c>
      <c r="D438" s="219" t="str">
        <f>IFERROR(VLOOKUP(C438, Content_Creation!B:D, 2, FALSE), IFERROR(VLOOKUP(C438, Project_Management!B:D, 2, FALSE), ""))
&amp; " - "
&amp; IFERROR(VLOOKUP(C438, Content_Creation!B:E, 4, FALSE), IFERROR(VLOOKUP(C438, Project_Management!B:E, 4, FALSE), ""))</f>
        <v>Bhukka Nawab - Video</v>
      </c>
      <c r="E438" s="220" t="str">
        <f>IFERROR(
    VLOOKUP(B437:B1001, Content_Creation!B:D, 3, FALSE),
    IFERROR(VLOOKUP(B437:B1001, Project_Management!B:D, 3, FALSE),"")
  )</f>
        <v>Edit</v>
      </c>
      <c r="F438" s="221" t="str">
        <f>IFERROR(VLOOKUP(B438, Content_Creation!B:F, 5, FALSE), IFERROR(VLOOKUP(B438, Project_Management!B:F, 5, FALSE), ""))</f>
        <v>Tazeen</v>
      </c>
      <c r="G438" s="222" t="s">
        <v>388</v>
      </c>
      <c r="H438" s="223">
        <f>IFERROR(VLOOKUP(B438, Content_Creation!B:H, 7, FALSE), IFERROR(VLOOKUP(B438, Project_Management!B:H, 7, FALSE), ""))</f>
        <v>45244</v>
      </c>
      <c r="I438" s="224">
        <v>0.0</v>
      </c>
      <c r="J438" s="223">
        <f>IFERROR(VLOOKUP(C438, Content_Creation!B:H, 7, FALSE), IFERROR(VLOOKUP(C438, Project_Management!B:H, 7, FALSE), ""))</f>
        <v>45244</v>
      </c>
      <c r="K438" s="217"/>
      <c r="L438" s="225" t="str">
        <f>IFERROR(VLOOKUP(B438, Data_Validation!X:Y, 2, FALSE), "")</f>
        <v>Not Started</v>
      </c>
      <c r="M438" s="226" t="str">
        <f t="shared" si="1"/>
        <v>Picture This! | Bhukka Nawab - Video | Edit</v>
      </c>
      <c r="N438" s="226"/>
      <c r="O438" s="226"/>
    </row>
    <row r="439" ht="24.0" customHeight="1">
      <c r="A439" s="216" t="str">
        <f>IFERROR(__xludf.DUMMYFUNCTION("ARRAYFORMULA(IFERROR(VLOOKUP(REGEXEXTRACT(B439, ""-(\w+)-""), {Data_Validation!$F$16:$F$29, Data_Validation!$E$16:$E$29}, 2, FALSE), """"))
"),"Picture This!")</f>
        <v>Picture This!</v>
      </c>
      <c r="B439" s="217" t="str">
        <f>IFERROR(__xludf.DUMMYFUNCTION("""COMPUTED_VALUE"""),"PM-PTS-06.06")</f>
        <v>PM-PTS-06.06</v>
      </c>
      <c r="C439" s="218" t="str">
        <f>IFERROR(__xludf.DUMMYFUNCTION("IFERROR(REGEXEXTRACT(B439, ""^[A-Z]+-[A-Z]+-"") &amp; TEXT(VALUE(REGEXEXTRACT(B439, ""-(\d+)\."")), ""00""), """")"),"PM-PTS-06")</f>
        <v>PM-PTS-06</v>
      </c>
      <c r="D439" s="219" t="str">
        <f>IFERROR(VLOOKUP(C439, Content_Creation!B:D, 2, FALSE), IFERROR(VLOOKUP(C439, Project_Management!B:D, 2, FALSE), ""))
&amp; " - "
&amp; IFERROR(VLOOKUP(C439, Content_Creation!B:E, 4, FALSE), IFERROR(VLOOKUP(C439, Project_Management!B:E, 4, FALSE), ""))</f>
        <v>Bhukka Nawab - Video</v>
      </c>
      <c r="E439" s="220" t="str">
        <f>IFERROR(
    VLOOKUP(B438:B1001, Content_Creation!B:D, 3, FALSE),
    IFERROR(VLOOKUP(B438:B1001, Project_Management!B:D, 3, FALSE),"")
  )</f>
        <v>Finalise</v>
      </c>
      <c r="F439" s="221" t="str">
        <f>IFERROR(VLOOKUP(B439, Content_Creation!B:F, 5, FALSE), IFERROR(VLOOKUP(B439, Project_Management!B:F, 5, FALSE), ""))</f>
        <v>Nasser</v>
      </c>
      <c r="G439" s="221" t="s">
        <v>388</v>
      </c>
      <c r="H439" s="223">
        <f>IFERROR(VLOOKUP(B439, Content_Creation!B:H, 7, FALSE), IFERROR(VLOOKUP(B439, Project_Management!B:H, 7, FALSE), ""))</f>
        <v>45244</v>
      </c>
      <c r="I439" s="224">
        <v>0.0</v>
      </c>
      <c r="J439" s="223">
        <f>IFERROR(VLOOKUP(C439, Content_Creation!B:H, 7, FALSE), IFERROR(VLOOKUP(C439, Project_Management!B:H, 7, FALSE), ""))</f>
        <v>45244</v>
      </c>
      <c r="K439" s="217"/>
      <c r="L439" s="225" t="str">
        <f>IFERROR(VLOOKUP(B439, Data_Validation!X:Y, 2, FALSE), "")</f>
        <v>Not Started</v>
      </c>
      <c r="M439" s="226" t="str">
        <f t="shared" si="1"/>
        <v>Picture This! | Bhukka Nawab - Video | Finalise</v>
      </c>
      <c r="N439" s="226"/>
      <c r="O439" s="226"/>
    </row>
    <row r="440" ht="24.0" customHeight="1">
      <c r="A440" s="216" t="str">
        <f>IFERROR(__xludf.DUMMYFUNCTION("ARRAYFORMULA(IFERROR(VLOOKUP(REGEXEXTRACT(B440, ""-(\w+)-""), {Data_Validation!$F$16:$F$29, Data_Validation!$E$16:$E$29}, 2, FALSE), """"))
"),"Picture This!")</f>
        <v>Picture This!</v>
      </c>
      <c r="B440" s="217" t="str">
        <f>IFERROR(__xludf.DUMMYFUNCTION("""COMPUTED_VALUE"""),"PM-PTS-06.07")</f>
        <v>PM-PTS-06.07</v>
      </c>
      <c r="C440" s="218" t="str">
        <f>IFERROR(__xludf.DUMMYFUNCTION("IFERROR(REGEXEXTRACT(B440, ""^[A-Z]+-[A-Z]+-"") &amp; TEXT(VALUE(REGEXEXTRACT(B440, ""-(\d+)\."")), ""00""), """")"),"PM-PTS-06")</f>
        <v>PM-PTS-06</v>
      </c>
      <c r="D440" s="219" t="str">
        <f>IFERROR(VLOOKUP(C440, Content_Creation!B:D, 2, FALSE), IFERROR(VLOOKUP(C440, Project_Management!B:D, 2, FALSE), ""))
&amp; " - "
&amp; IFERROR(VLOOKUP(C440, Content_Creation!B:E, 4, FALSE), IFERROR(VLOOKUP(C440, Project_Management!B:E, 4, FALSE), ""))</f>
        <v>Bhukka Nawab - Video</v>
      </c>
      <c r="E440" s="220" t="str">
        <f>IFERROR(
    VLOOKUP(B439:B1001, Content_Creation!B:D, 3, FALSE),
    IFERROR(VLOOKUP(B439:B1001, Project_Management!B:D, 3, FALSE),"")
  )</f>
        <v>Deliver</v>
      </c>
      <c r="F440" s="221" t="str">
        <f>IFERROR(VLOOKUP(B440, Content_Creation!B:F, 5, FALSE), IFERROR(VLOOKUP(B440, Project_Management!B:F, 5, FALSE), ""))</f>
        <v>Talha</v>
      </c>
      <c r="G440" s="222" t="s">
        <v>179</v>
      </c>
      <c r="H440" s="223">
        <f>IFERROR(VLOOKUP(B440, Content_Creation!B:H, 7, FALSE), IFERROR(VLOOKUP(B440, Project_Management!B:H, 7, FALSE), ""))</f>
        <v>45244</v>
      </c>
      <c r="I440" s="224">
        <v>0.0</v>
      </c>
      <c r="J440" s="223">
        <f>IFERROR(VLOOKUP(C440, Content_Creation!B:H, 7, FALSE), IFERROR(VLOOKUP(C440, Project_Management!B:H, 7, FALSE), ""))</f>
        <v>45244</v>
      </c>
      <c r="K440" s="217"/>
      <c r="L440" s="225" t="str">
        <f>IFERROR(VLOOKUP(B440, Data_Validation!X:Y, 2, FALSE), "")</f>
        <v>On Hold</v>
      </c>
      <c r="M440" s="226" t="str">
        <f t="shared" si="1"/>
        <v>Picture This! | Bhukka Nawab - Video | Deliver</v>
      </c>
      <c r="N440" s="226"/>
      <c r="O440" s="226"/>
    </row>
    <row r="441" ht="24.0" customHeight="1">
      <c r="A441" s="216" t="str">
        <f>IFERROR(__xludf.DUMMYFUNCTION("ARRAYFORMULA(IFERROR(VLOOKUP(REGEXEXTRACT(B441, ""-(\w+)-""), {Data_Validation!$F$16:$F$29, Data_Validation!$E$16:$E$29}, 2, FALSE), """"))
"),"TheMVP")</f>
        <v>TheMVP</v>
      </c>
      <c r="B441" s="217" t="str">
        <f>IFERROR(__xludf.DUMMYFUNCTION("""COMPUTED_VALUE"""),"PM-MVP-04.01")</f>
        <v>PM-MVP-04.01</v>
      </c>
      <c r="C441" s="218" t="str">
        <f>IFERROR(__xludf.DUMMYFUNCTION("IFERROR(REGEXEXTRACT(B441, ""^[A-Z]+-[A-Z]+-"") &amp; TEXT(VALUE(REGEXEXTRACT(B441, ""-(\d+)\."")), ""00""), """")"),"PM-MVP-04")</f>
        <v>PM-MVP-04</v>
      </c>
      <c r="D441" s="219" t="str">
        <f>IFERROR(VLOOKUP(C441, Content_Creation!B:D, 2, FALSE), IFERROR(VLOOKUP(C441, Project_Management!B:D, 2, FALSE), ""))
&amp; " - "
&amp; IFERROR(VLOOKUP(C441, Content_Creation!B:E, 4, FALSE), IFERROR(VLOOKUP(C441, Project_Management!B:E, 4, FALSE), ""))</f>
        <v>Product Catalog - Docs</v>
      </c>
      <c r="E441" s="220" t="str">
        <f>IFERROR(
    VLOOKUP(B440:B1001, Content_Creation!B:D, 3, FALSE),
    IFERROR(VLOOKUP(B440:B1001, Project_Management!B:D, 3, FALSE),"")
  )</f>
        <v>GPU Cluster</v>
      </c>
      <c r="F441" s="221" t="str">
        <f>IFERROR(VLOOKUP(B441, Content_Creation!B:F, 5, FALSE), IFERROR(VLOOKUP(B441, Project_Management!B:F, 5, FALSE), ""))</f>
        <v>Naveen</v>
      </c>
      <c r="G441" s="222" t="s">
        <v>388</v>
      </c>
      <c r="H441" s="223">
        <f>IFERROR(VLOOKUP(B441, Content_Creation!B:H, 7, FALSE), IFERROR(VLOOKUP(B441, Project_Management!B:H, 7, FALSE), ""))</f>
        <v>45244</v>
      </c>
      <c r="I441" s="224">
        <v>0.0</v>
      </c>
      <c r="J441" s="223">
        <f>IFERROR(VLOOKUP(C441, Content_Creation!B:H, 7, FALSE), IFERROR(VLOOKUP(C441, Project_Management!B:H, 7, FALSE), ""))</f>
        <v>45244</v>
      </c>
      <c r="K441" s="217"/>
      <c r="L441" s="225" t="str">
        <f>IFERROR(VLOOKUP(B441, Data_Validation!X:Y, 2, FALSE), "")</f>
        <v>In Review</v>
      </c>
      <c r="M441" s="226" t="str">
        <f t="shared" si="1"/>
        <v>TheMVP | Product Catalog - Docs | GPU Cluster</v>
      </c>
      <c r="N441" s="226"/>
      <c r="O441" s="226"/>
    </row>
    <row r="442" ht="24.0" customHeight="1">
      <c r="A442" s="216" t="str">
        <f>IFERROR(__xludf.DUMMYFUNCTION("ARRAYFORMULA(IFERROR(VLOOKUP(REGEXEXTRACT(B442, ""-(\w+)-""), {Data_Validation!$F$16:$F$29, Data_Validation!$E$16:$E$29}, 2, FALSE), """"))
"),"TheMVP")</f>
        <v>TheMVP</v>
      </c>
      <c r="B442" s="217" t="str">
        <f>IFERROR(__xludf.DUMMYFUNCTION("""COMPUTED_VALUE"""),"PM-MVP-04.02")</f>
        <v>PM-MVP-04.02</v>
      </c>
      <c r="C442" s="218" t="str">
        <f>IFERROR(__xludf.DUMMYFUNCTION("IFERROR(REGEXEXTRACT(B442, ""^[A-Z]+-[A-Z]+-"") &amp; TEXT(VALUE(REGEXEXTRACT(B442, ""-(\d+)\."")), ""00""), """")"),"PM-MVP-04")</f>
        <v>PM-MVP-04</v>
      </c>
      <c r="D442" s="219" t="str">
        <f>IFERROR(VLOOKUP(C442, Content_Creation!B:D, 2, FALSE), IFERROR(VLOOKUP(C442, Project_Management!B:D, 2, FALSE), ""))
&amp; " - "
&amp; IFERROR(VLOOKUP(C442, Content_Creation!B:E, 4, FALSE), IFERROR(VLOOKUP(C442, Project_Management!B:E, 4, FALSE), ""))</f>
        <v>Product Catalog - Docs</v>
      </c>
      <c r="E442" s="220" t="str">
        <f>IFERROR(
    VLOOKUP(B441:B1001, Content_Creation!B:D, 3, FALSE),
    IFERROR(VLOOKUP(B441:B1001, Project_Management!B:D, 3, FALSE),"")
  )</f>
        <v>Storage Server</v>
      </c>
      <c r="F442" s="221" t="str">
        <f>IFERROR(VLOOKUP(B442, Content_Creation!B:F, 5, FALSE), IFERROR(VLOOKUP(B442, Project_Management!B:F, 5, FALSE), ""))</f>
        <v>Naveen</v>
      </c>
      <c r="G442" s="222" t="s">
        <v>388</v>
      </c>
      <c r="H442" s="223">
        <f>IFERROR(VLOOKUP(B442, Content_Creation!B:H, 7, FALSE), IFERROR(VLOOKUP(B442, Project_Management!B:H, 7, FALSE), ""))</f>
        <v>45244</v>
      </c>
      <c r="I442" s="224">
        <v>0.0</v>
      </c>
      <c r="J442" s="223">
        <f>IFERROR(VLOOKUP(C442, Content_Creation!B:H, 7, FALSE), IFERROR(VLOOKUP(C442, Project_Management!B:H, 7, FALSE), ""))</f>
        <v>45244</v>
      </c>
      <c r="K442" s="217"/>
      <c r="L442" s="225" t="str">
        <f>IFERROR(VLOOKUP(B442, Data_Validation!X:Y, 2, FALSE), "")</f>
        <v>In Review</v>
      </c>
      <c r="M442" s="226" t="str">
        <f t="shared" si="1"/>
        <v>TheMVP | Product Catalog - Docs | Storage Server</v>
      </c>
      <c r="N442" s="226"/>
      <c r="O442" s="226"/>
    </row>
    <row r="443" ht="24.0" customHeight="1">
      <c r="A443" s="216" t="str">
        <f>IFERROR(__xludf.DUMMYFUNCTION("ARRAYFORMULA(IFERROR(VLOOKUP(REGEXEXTRACT(B443, ""-(\w+)-""), {Data_Validation!$F$16:$F$29, Data_Validation!$E$16:$E$29}, 2, FALSE), """"))
"),"TheMVP")</f>
        <v>TheMVP</v>
      </c>
      <c r="B443" s="217" t="str">
        <f>IFERROR(__xludf.DUMMYFUNCTION("""COMPUTED_VALUE"""),"PM-MVP-04.03")</f>
        <v>PM-MVP-04.03</v>
      </c>
      <c r="C443" s="218" t="str">
        <f>IFERROR(__xludf.DUMMYFUNCTION("IFERROR(REGEXEXTRACT(B443, ""^[A-Z]+-[A-Z]+-"") &amp; TEXT(VALUE(REGEXEXTRACT(B443, ""-(\d+)\."")), ""00""), """")"),"PM-MVP-04")</f>
        <v>PM-MVP-04</v>
      </c>
      <c r="D443" s="219" t="str">
        <f>IFERROR(VLOOKUP(C443, Content_Creation!B:D, 2, FALSE), IFERROR(VLOOKUP(C443, Project_Management!B:D, 2, FALSE), ""))
&amp; " - "
&amp; IFERROR(VLOOKUP(C443, Content_Creation!B:E, 4, FALSE), IFERROR(VLOOKUP(C443, Project_Management!B:E, 4, FALSE), ""))</f>
        <v>Product Catalog - Docs</v>
      </c>
      <c r="E443" s="220" t="str">
        <f>IFERROR(
    VLOOKUP(B442:B1001, Content_Creation!B:D, 3, FALSE),
    IFERROR(VLOOKUP(B442:B1001, Project_Management!B:D, 3, FALSE),"")
  )</f>
        <v>Virtual Machines</v>
      </c>
      <c r="F443" s="221" t="str">
        <f>IFERROR(VLOOKUP(B443, Content_Creation!B:F, 5, FALSE), IFERROR(VLOOKUP(B443, Project_Management!B:F, 5, FALSE), ""))</f>
        <v>Naveen</v>
      </c>
      <c r="G443" s="222" t="s">
        <v>179</v>
      </c>
      <c r="H443" s="223">
        <f>IFERROR(VLOOKUP(B443, Content_Creation!B:H, 7, FALSE), IFERROR(VLOOKUP(B443, Project_Management!B:H, 7, FALSE), ""))</f>
        <v>45244</v>
      </c>
      <c r="I443" s="224">
        <v>0.0</v>
      </c>
      <c r="J443" s="223">
        <f>IFERROR(VLOOKUP(C443, Content_Creation!B:H, 7, FALSE), IFERROR(VLOOKUP(C443, Project_Management!B:H, 7, FALSE), ""))</f>
        <v>45244</v>
      </c>
      <c r="K443" s="217"/>
      <c r="L443" s="225" t="str">
        <f>IFERROR(VLOOKUP(B443, Data_Validation!X:Y, 2, FALSE), "")</f>
        <v>Not Started</v>
      </c>
      <c r="M443" s="226" t="str">
        <f t="shared" si="1"/>
        <v>TheMVP | Product Catalog - Docs | Virtual Machines</v>
      </c>
      <c r="N443" s="226"/>
      <c r="O443" s="226"/>
    </row>
    <row r="444" ht="24.0" customHeight="1">
      <c r="A444" s="216" t="str">
        <f>IFERROR(__xludf.DUMMYFUNCTION("ARRAYFORMULA(IFERROR(VLOOKUP(REGEXEXTRACT(B444, ""-(\w+)-""), {Data_Validation!$F$16:$F$29, Data_Validation!$E$16:$E$29}, 2, FALSE), """"))
"),"TheMVP")</f>
        <v>TheMVP</v>
      </c>
      <c r="B444" s="217" t="str">
        <f>IFERROR(__xludf.DUMMYFUNCTION("""COMPUTED_VALUE"""),"PM-MVP-04.04")</f>
        <v>PM-MVP-04.04</v>
      </c>
      <c r="C444" s="218" t="str">
        <f>IFERROR(__xludf.DUMMYFUNCTION("IFERROR(REGEXEXTRACT(B444, ""^[A-Z]+-[A-Z]+-"") &amp; TEXT(VALUE(REGEXEXTRACT(B444, ""-(\d+)\."")), ""00""), """")"),"PM-MVP-04")</f>
        <v>PM-MVP-04</v>
      </c>
      <c r="D444" s="219" t="str">
        <f>IFERROR(VLOOKUP(C444, Content_Creation!B:D, 2, FALSE), IFERROR(VLOOKUP(C444, Project_Management!B:D, 2, FALSE), ""))
&amp; " - "
&amp; IFERROR(VLOOKUP(C444, Content_Creation!B:E, 4, FALSE), IFERROR(VLOOKUP(C444, Project_Management!B:E, 4, FALSE), ""))</f>
        <v>Product Catalog - Docs</v>
      </c>
      <c r="E444" s="220" t="str">
        <f>IFERROR(
    VLOOKUP(B443:B1001, Content_Creation!B:D, 3, FALSE),
    IFERROR(VLOOKUP(B443:B1001, Project_Management!B:D, 3, FALSE),"")
  )</f>
        <v>Workstations</v>
      </c>
      <c r="F444" s="221" t="str">
        <f>IFERROR(VLOOKUP(B444, Content_Creation!B:F, 5, FALSE), IFERROR(VLOOKUP(B444, Project_Management!B:F, 5, FALSE), ""))</f>
        <v>Naveen</v>
      </c>
      <c r="G444" s="222" t="s">
        <v>179</v>
      </c>
      <c r="H444" s="223">
        <f>IFERROR(VLOOKUP(B444, Content_Creation!B:H, 7, FALSE), IFERROR(VLOOKUP(B444, Project_Management!B:H, 7, FALSE), ""))</f>
        <v>45244</v>
      </c>
      <c r="I444" s="224">
        <v>0.0</v>
      </c>
      <c r="J444" s="223">
        <f>IFERROR(VLOOKUP(C444, Content_Creation!B:H, 7, FALSE), IFERROR(VLOOKUP(C444, Project_Management!B:H, 7, FALSE), ""))</f>
        <v>45244</v>
      </c>
      <c r="K444" s="217"/>
      <c r="L444" s="225" t="str">
        <f>IFERROR(VLOOKUP(B444, Data_Validation!X:Y, 2, FALSE), "")</f>
        <v>In Review</v>
      </c>
      <c r="M444" s="226" t="str">
        <f t="shared" si="1"/>
        <v>TheMVP | Product Catalog - Docs | Workstations</v>
      </c>
      <c r="N444" s="226"/>
      <c r="O444" s="226"/>
    </row>
    <row r="445" ht="24.0" customHeight="1">
      <c r="A445" s="216" t="str">
        <f>IFERROR(__xludf.DUMMYFUNCTION("ARRAYFORMULA(IFERROR(VLOOKUP(REGEXEXTRACT(B445, ""-(\w+)-""), {Data_Validation!$F$16:$F$29, Data_Validation!$E$16:$E$29}, 2, FALSE), """"))
"),"TheMVP")</f>
        <v>TheMVP</v>
      </c>
      <c r="B445" s="217" t="str">
        <f>IFERROR(__xludf.DUMMYFUNCTION("""COMPUTED_VALUE"""),"PM-MVP-04.05")</f>
        <v>PM-MVP-04.05</v>
      </c>
      <c r="C445" s="218" t="str">
        <f>IFERROR(__xludf.DUMMYFUNCTION("IFERROR(REGEXEXTRACT(B445, ""^[A-Z]+-[A-Z]+-"") &amp; TEXT(VALUE(REGEXEXTRACT(B445, ""-(\d+)\."")), ""00""), """")"),"PM-MVP-04")</f>
        <v>PM-MVP-04</v>
      </c>
      <c r="D445" s="219" t="str">
        <f>IFERROR(VLOOKUP(C445, Content_Creation!B:D, 2, FALSE), IFERROR(VLOOKUP(C445, Project_Management!B:D, 2, FALSE), ""))
&amp; " - "
&amp; IFERROR(VLOOKUP(C445, Content_Creation!B:E, 4, FALSE), IFERROR(VLOOKUP(C445, Project_Management!B:E, 4, FALSE), ""))</f>
        <v>Product Catalog - Docs</v>
      </c>
      <c r="E445" s="220" t="str">
        <f>IFERROR(
    VLOOKUP(B444:B1001, Content_Creation!B:D, 3, FALSE),
    IFERROR(VLOOKUP(B444:B1001, Project_Management!B:D, 3, FALSE),"")
  )</f>
        <v>Redesign</v>
      </c>
      <c r="F445" s="221" t="str">
        <f>IFERROR(VLOOKUP(B445, Content_Creation!B:F, 5, FALSE), IFERROR(VLOOKUP(B445, Project_Management!B:F, 5, FALSE), ""))</f>
        <v>Naveen</v>
      </c>
      <c r="G445" s="222" t="s">
        <v>179</v>
      </c>
      <c r="H445" s="223">
        <f>IFERROR(VLOOKUP(B445, Content_Creation!B:H, 7, FALSE), IFERROR(VLOOKUP(B445, Project_Management!B:H, 7, FALSE), ""))</f>
        <v>45244</v>
      </c>
      <c r="I445" s="224">
        <v>0.0</v>
      </c>
      <c r="J445" s="223">
        <f>IFERROR(VLOOKUP(C445, Content_Creation!B:H, 7, FALSE), IFERROR(VLOOKUP(C445, Project_Management!B:H, 7, FALSE), ""))</f>
        <v>45244</v>
      </c>
      <c r="K445" s="217"/>
      <c r="L445" s="225" t="str">
        <f>IFERROR(VLOOKUP(B445, Data_Validation!X:Y, 2, FALSE), "")</f>
        <v>In Review</v>
      </c>
      <c r="M445" s="226" t="str">
        <f t="shared" si="1"/>
        <v>TheMVP | Product Catalog - Docs | Redesign</v>
      </c>
      <c r="N445" s="226"/>
      <c r="O445" s="226"/>
    </row>
    <row r="446" ht="24.0" customHeight="1">
      <c r="A446" s="216" t="str">
        <f>IFERROR(__xludf.DUMMYFUNCTION("ARRAYFORMULA(IFERROR(VLOOKUP(REGEXEXTRACT(B446, ""-(\w+)-""), {Data_Validation!$F$16:$F$29, Data_Validation!$E$16:$E$29}, 2, FALSE), """"))
"),"TheMVP")</f>
        <v>TheMVP</v>
      </c>
      <c r="B446" s="217" t="str">
        <f>IFERROR(__xludf.DUMMYFUNCTION("""COMPUTED_VALUE"""),"CC-MVP-83.07")</f>
        <v>CC-MVP-83.07</v>
      </c>
      <c r="C446" s="218" t="str">
        <f>IFERROR(__xludf.DUMMYFUNCTION("IFERROR(REGEXEXTRACT(B446, ""^[A-Z]+-[A-Z]+-"") &amp; TEXT(VALUE(REGEXEXTRACT(B446, ""-(\d+)\."")), ""00""), """")"),"CC-MVP-83")</f>
        <v>CC-MVP-83</v>
      </c>
      <c r="D446" s="219" t="str">
        <f>IFERROR(VLOOKUP(C446, Content_Creation!B:D, 2, FALSE), IFERROR(VLOOKUP(C446, Project_Management!B:D, 2, FALSE), ""))
&amp; " - "
&amp; IFERROR(VLOOKUP(C446, Content_Creation!B:E, 4, FALSE), IFERROR(VLOOKUP(C446, Project_Management!B:E, 4, FALSE), ""))</f>
        <v>G Pro TKL - Logi Offer - Shorts</v>
      </c>
      <c r="E446" s="220" t="str">
        <f>IFERROR(
    VLOOKUP(B445:B1001, Content_Creation!B:D, 3, FALSE),
    IFERROR(VLOOKUP(B445:B1001, Project_Management!B:D, 3, FALSE),"")
  )</f>
        <v>Upload</v>
      </c>
      <c r="F446" s="221" t="str">
        <f>IFERROR(VLOOKUP(B446, Content_Creation!B:F, 5, FALSE), IFERROR(VLOOKUP(B446, Project_Management!B:F, 5, FALSE), ""))</f>
        <v/>
      </c>
      <c r="G446" s="222" t="s">
        <v>179</v>
      </c>
      <c r="H446" s="223">
        <f>IFERROR(VLOOKUP(B446, Content_Creation!B:H, 7, FALSE), IFERROR(VLOOKUP(B446, Project_Management!B:H, 7, FALSE), ""))</f>
        <v>45245</v>
      </c>
      <c r="I446" s="224">
        <v>0.0</v>
      </c>
      <c r="J446" s="223">
        <f>IFERROR(VLOOKUP(C446, Content_Creation!B:H, 7, FALSE), IFERROR(VLOOKUP(C446, Project_Management!B:H, 7, FALSE), ""))</f>
        <v>45245</v>
      </c>
      <c r="K446" s="217"/>
      <c r="L446" s="225" t="str">
        <f>IFERROR(VLOOKUP(B446, Data_Validation!X:Y, 2, FALSE), "")</f>
        <v>Not Started</v>
      </c>
      <c r="M446" s="226" t="str">
        <f t="shared" si="1"/>
        <v>TheMVP | G Pro TKL - Logi Offer - Shorts | Upload</v>
      </c>
      <c r="N446" s="226"/>
      <c r="O446" s="226"/>
    </row>
    <row r="447" ht="24.0" customHeight="1">
      <c r="A447" s="216" t="str">
        <f>IFERROR(__xludf.DUMMYFUNCTION("ARRAYFORMULA(IFERROR(VLOOKUP(REGEXEXTRACT(B447, ""-(\w+)-""), {Data_Validation!$F$16:$F$29, Data_Validation!$E$16:$E$29}, 2, FALSE), """"))
"),"TheMVP")</f>
        <v>TheMVP</v>
      </c>
      <c r="B447" s="217" t="str">
        <f>IFERROR(__xludf.DUMMYFUNCTION("""COMPUTED_VALUE"""),"CC-MVP-97.04")</f>
        <v>CC-MVP-97.04</v>
      </c>
      <c r="C447" s="218" t="str">
        <f>IFERROR(__xludf.DUMMYFUNCTION("IFERROR(REGEXEXTRACT(B447, ""^[A-Z]+-[A-Z]+-"") &amp; TEXT(VALUE(REGEXEXTRACT(B447, ""-(\d+)\."")), ""00""), """")"),"CC-MVP-97")</f>
        <v>CC-MVP-97</v>
      </c>
      <c r="D447" s="219" t="str">
        <f>IFERROR(VLOOKUP(C447, Content_Creation!B:D, 2, FALSE), IFERROR(VLOOKUP(C447, Project_Management!B:D, 2, FALSE), ""))
&amp; " - "
&amp; IFERROR(VLOOKUP(C447, Content_Creation!B:E, 4, FALSE), IFERROR(VLOOKUP(C447, Project_Management!B:E, 4, FALSE), ""))</f>
        <v>Build Photo - North + ProArt - Insta</v>
      </c>
      <c r="E447" s="220" t="str">
        <f>IFERROR(
    VLOOKUP(B446:B1001, Content_Creation!B:D, 3, FALSE),
    IFERROR(VLOOKUP(B446:B1001, Project_Management!B:D, 3, FALSE),"")
  )</f>
        <v>Upload</v>
      </c>
      <c r="F447" s="221" t="str">
        <f>IFERROR(VLOOKUP(B447, Content_Creation!B:F, 5, FALSE), IFERROR(VLOOKUP(B447, Project_Management!B:F, 5, FALSE), ""))</f>
        <v>Talha</v>
      </c>
      <c r="G447" s="222" t="s">
        <v>179</v>
      </c>
      <c r="H447" s="223">
        <f>IFERROR(VLOOKUP(B447, Content_Creation!B:H, 7, FALSE), IFERROR(VLOOKUP(B447, Project_Management!B:H, 7, FALSE), ""))</f>
        <v>45245</v>
      </c>
      <c r="I447" s="224">
        <v>0.0</v>
      </c>
      <c r="J447" s="223">
        <f>IFERROR(VLOOKUP(C447, Content_Creation!B:H, 7, FALSE), IFERROR(VLOOKUP(C447, Project_Management!B:H, 7, FALSE), ""))</f>
        <v>45245</v>
      </c>
      <c r="K447" s="217"/>
      <c r="L447" s="225" t="str">
        <f>IFERROR(VLOOKUP(B447, Data_Validation!X:Y, 2, FALSE), "")</f>
        <v>Not Started</v>
      </c>
      <c r="M447" s="226" t="str">
        <f t="shared" si="1"/>
        <v>TheMVP | Build Photo - North + ProArt - Insta | Upload</v>
      </c>
      <c r="N447" s="226"/>
      <c r="O447" s="226"/>
    </row>
    <row r="448" ht="24.0" customHeight="1">
      <c r="A448" s="216" t="str">
        <f>IFERROR(__xludf.DUMMYFUNCTION("ARRAYFORMULA(IFERROR(VLOOKUP(REGEXEXTRACT(B448, ""-(\w+)-""), {Data_Validation!$F$16:$F$29, Data_Validation!$E$16:$E$29}, 2, FALSE), """"))
"),"TheMVP")</f>
        <v>TheMVP</v>
      </c>
      <c r="B448" s="217" t="str">
        <f>IFERROR(__xludf.DUMMYFUNCTION("""COMPUTED_VALUE"""),"CC-MVP-110.04")</f>
        <v>CC-MVP-110.04</v>
      </c>
      <c r="C448" s="218" t="str">
        <f>IFERROR(__xludf.DUMMYFUNCTION("IFERROR(REGEXEXTRACT(B448, ""^[A-Z]+-[A-Z]+-"") &amp; TEXT(VALUE(REGEXEXTRACT(B448, ""-(\d+)\."")), ""00""), """")"),"CC-MVP-110")</f>
        <v>CC-MVP-110</v>
      </c>
      <c r="D448" s="219" t="str">
        <f>IFERROR(VLOOKUP(C448, Content_Creation!B:D, 2, FALSE), IFERROR(VLOOKUP(C448, Project_Management!B:D, 2, FALSE), ""))
&amp; " - "
&amp; IFERROR(VLOOKUP(C448, Content_Creation!B:E, 4, FALSE), IFERROR(VLOOKUP(C448, Project_Management!B:E, 4, FALSE), ""))</f>
        <v>Idea Pending - Tweet</v>
      </c>
      <c r="E448" s="220" t="str">
        <f>IFERROR(
    VLOOKUP(B447:B1001, Content_Creation!B:D, 3, FALSE),
    IFERROR(VLOOKUP(B447:B1001, Project_Management!B:D, 3, FALSE),"")
  )</f>
        <v>Upload</v>
      </c>
      <c r="F448" s="221" t="str">
        <f>IFERROR(VLOOKUP(B448, Content_Creation!B:F, 5, FALSE), IFERROR(VLOOKUP(B448, Project_Management!B:F, 5, FALSE), ""))</f>
        <v>Tazeen</v>
      </c>
      <c r="G448" s="222" t="s">
        <v>179</v>
      </c>
      <c r="H448" s="223">
        <f>IFERROR(VLOOKUP(B448, Content_Creation!B:H, 7, FALSE), IFERROR(VLOOKUP(B448, Project_Management!B:H, 7, FALSE), ""))</f>
        <v>45245</v>
      </c>
      <c r="I448" s="224">
        <v>0.0</v>
      </c>
      <c r="J448" s="223">
        <f>IFERROR(VLOOKUP(C448, Content_Creation!B:H, 7, FALSE), IFERROR(VLOOKUP(C448, Project_Management!B:H, 7, FALSE), ""))</f>
        <v>45245</v>
      </c>
      <c r="K448" s="217"/>
      <c r="L448" s="225" t="str">
        <f>IFERROR(VLOOKUP(B448, Data_Validation!X:Y, 2, FALSE), "")</f>
        <v>Not Started</v>
      </c>
      <c r="M448" s="226" t="str">
        <f t="shared" si="1"/>
        <v>TheMVP | Idea Pending - Tweet | Upload</v>
      </c>
      <c r="N448" s="226"/>
      <c r="O448" s="226"/>
    </row>
    <row r="449" ht="24.0" customHeight="1">
      <c r="A449" s="216" t="str">
        <f>IFERROR(__xludf.DUMMYFUNCTION("ARRAYFORMULA(IFERROR(VLOOKUP(REGEXEXTRACT(B449, ""-(\w+)-""), {Data_Validation!$F$16:$F$29, Data_Validation!$E$16:$E$29}, 2, FALSE), """"))
"),"TheMVP")</f>
        <v>TheMVP</v>
      </c>
      <c r="B449" s="217" t="str">
        <f>IFERROR(__xludf.DUMMYFUNCTION("""COMPUTED_VALUE"""),"CC-MVP-89.05")</f>
        <v>CC-MVP-89.05</v>
      </c>
      <c r="C449" s="218" t="str">
        <f>IFERROR(__xludf.DUMMYFUNCTION("IFERROR(REGEXEXTRACT(B449, ""^[A-Z]+-[A-Z]+-"") &amp; TEXT(VALUE(REGEXEXTRACT(B449, ""-(\d+)\."")), ""00""), """")"),"CC-MVP-89")</f>
        <v>CC-MVP-89</v>
      </c>
      <c r="D449" s="219" t="str">
        <f>IFERROR(VLOOKUP(C449, Content_Creation!B:D, 2, FALSE), IFERROR(VLOOKUP(C449, Project_Management!B:D, 2, FALSE), ""))
&amp; " - "
&amp; IFERROR(VLOOKUP(C449, Content_Creation!B:E, 4, FALSE), IFERROR(VLOOKUP(C449, Project_Management!B:E, 4, FALSE), ""))</f>
        <v>Client Reviews - MasterCut - YT Video</v>
      </c>
      <c r="E449" s="220" t="str">
        <f>IFERROR(
    VLOOKUP(B448:B1001, Content_Creation!B:D, 3, FALSE),
    IFERROR(VLOOKUP(B448:B1001, Project_Management!B:D, 3, FALSE),"")
  )</f>
        <v>Thumbnail</v>
      </c>
      <c r="F449" s="221" t="str">
        <f>IFERROR(VLOOKUP(B449, Content_Creation!B:F, 5, FALSE), IFERROR(VLOOKUP(B449, Project_Management!B:F, 5, FALSE), ""))</f>
        <v>Naveen</v>
      </c>
      <c r="G449" s="222" t="s">
        <v>179</v>
      </c>
      <c r="H449" s="223">
        <f>IFERROR(VLOOKUP(B449, Content_Creation!B:H, 7, FALSE), IFERROR(VLOOKUP(B449, Project_Management!B:H, 7, FALSE), ""))</f>
        <v>45245</v>
      </c>
      <c r="I449" s="224">
        <v>0.0</v>
      </c>
      <c r="J449" s="223">
        <f>IFERROR(VLOOKUP(C449, Content_Creation!B:H, 7, FALSE), IFERROR(VLOOKUP(C449, Project_Management!B:H, 7, FALSE), ""))</f>
        <v>45246</v>
      </c>
      <c r="K449" s="217"/>
      <c r="L449" s="225" t="str">
        <f>IFERROR(VLOOKUP(B449, Data_Validation!X:Y, 2, FALSE), "")</f>
        <v>Not Started</v>
      </c>
      <c r="M449" s="226" t="str">
        <f t="shared" si="1"/>
        <v>TheMVP | Client Reviews - MasterCut - YT Video | Thumbnail</v>
      </c>
      <c r="N449" s="226"/>
      <c r="O449" s="226"/>
    </row>
    <row r="450" ht="24.0" customHeight="1">
      <c r="A450" s="216" t="str">
        <f>IFERROR(__xludf.DUMMYFUNCTION("ARRAYFORMULA(IFERROR(VLOOKUP(REGEXEXTRACT(B450, ""-(\w+)-""), {Data_Validation!$F$16:$F$29, Data_Validation!$E$16:$E$29}, 2, FALSE), """"))
"),"TheMVP")</f>
        <v>TheMVP</v>
      </c>
      <c r="B450" s="217" t="str">
        <f>IFERROR(__xludf.DUMMYFUNCTION("""COMPUTED_VALUE"""),"CC-MVP-86.06")</f>
        <v>CC-MVP-86.06</v>
      </c>
      <c r="C450" s="218" t="str">
        <f>IFERROR(__xludf.DUMMYFUNCTION("IFERROR(REGEXEXTRACT(B450, ""^[A-Z]+-[A-Z]+-"") &amp; TEXT(VALUE(REGEXEXTRACT(B450, ""-(\d+)\."")), ""00""), """")"),"CC-MVP-86")</f>
        <v>CC-MVP-86</v>
      </c>
      <c r="D450" s="219" t="str">
        <f>IFERROR(VLOOKUP(C450, Content_Creation!B:D, 2, FALSE), IFERROR(VLOOKUP(C450, Project_Management!B:D, 2, FALSE), ""))
&amp; " - "
&amp; IFERROR(VLOOKUP(C450, Content_Creation!B:E, 4, FALSE), IFERROR(VLOOKUP(C450, Project_Management!B:E, 4, FALSE), ""))</f>
        <v>Sneaker PC - Shorts</v>
      </c>
      <c r="E450" s="220" t="str">
        <f>IFERROR(
    VLOOKUP(B449:B1001, Content_Creation!B:D, 3, FALSE),
    IFERROR(VLOOKUP(B449:B1001, Project_Management!B:D, 3, FALSE),"")
  )</f>
        <v>Thumbnail</v>
      </c>
      <c r="F450" s="221" t="str">
        <f>IFERROR(VLOOKUP(B450, Content_Creation!B:F, 5, FALSE), IFERROR(VLOOKUP(B450, Project_Management!B:F, 5, FALSE), ""))</f>
        <v>Naveen</v>
      </c>
      <c r="G450" s="222" t="s">
        <v>179</v>
      </c>
      <c r="H450" s="223">
        <f>IFERROR(VLOOKUP(B450, Content_Creation!B:H, 7, FALSE), IFERROR(VLOOKUP(B450, Project_Management!B:H, 7, FALSE), ""))</f>
        <v>45245</v>
      </c>
      <c r="I450" s="224">
        <v>0.0</v>
      </c>
      <c r="J450" s="223">
        <f>IFERROR(VLOOKUP(C450, Content_Creation!B:H, 7, FALSE), IFERROR(VLOOKUP(C450, Project_Management!B:H, 7, FALSE), ""))</f>
        <v>45246</v>
      </c>
      <c r="K450" s="217"/>
      <c r="L450" s="225" t="str">
        <f>IFERROR(VLOOKUP(B450, Data_Validation!X:Y, 2, FALSE), "")</f>
        <v>Not Started</v>
      </c>
      <c r="M450" s="226" t="str">
        <f t="shared" si="1"/>
        <v>TheMVP | Sneaker PC - Shorts | Thumbnail</v>
      </c>
      <c r="N450" s="226"/>
      <c r="O450" s="226"/>
    </row>
    <row r="451" ht="24.0" customHeight="1">
      <c r="A451" s="216" t="str">
        <f>IFERROR(__xludf.DUMMYFUNCTION("ARRAYFORMULA(IFERROR(VLOOKUP(REGEXEXTRACT(B451, ""-(\w+)-""), {Data_Validation!$F$16:$F$29, Data_Validation!$E$16:$E$29}, 2, FALSE), """"))
"),"TheMVP")</f>
        <v>TheMVP</v>
      </c>
      <c r="B451" s="217" t="str">
        <f>IFERROR(__xludf.DUMMYFUNCTION("""COMPUTED_VALUE"""),"CC-MVP-103.02")</f>
        <v>CC-MVP-103.02</v>
      </c>
      <c r="C451" s="218" t="str">
        <f>IFERROR(__xludf.DUMMYFUNCTION("IFERROR(REGEXEXTRACT(B451, ""^[A-Z]+-[A-Z]+-"") &amp; TEXT(VALUE(REGEXEXTRACT(B451, ""-(\d+)\."")), ""00""), """")"),"CC-MVP-103")</f>
        <v>CC-MVP-103</v>
      </c>
      <c r="D451" s="219" t="str">
        <f>IFERROR(VLOOKUP(C451, Content_Creation!B:D, 2, FALSE), IFERROR(VLOOKUP(C451, Project_Management!B:D, 2, FALSE), ""))
&amp; " - "
&amp; IFERROR(VLOOKUP(C451, Content_Creation!B:E, 4, FALSE), IFERROR(VLOOKUP(C451, Project_Management!B:E, 4, FALSE), ""))</f>
        <v>L40s GPU Server - Linkedin</v>
      </c>
      <c r="E451" s="220" t="str">
        <f>IFERROR(
    VLOOKUP(B450:B1001, Content_Creation!B:D, 3, FALSE),
    IFERROR(VLOOKUP(B450:B1001, Project_Management!B:D, 3, FALSE),"")
  )</f>
        <v>Edit</v>
      </c>
      <c r="F451" s="221" t="str">
        <f>IFERROR(VLOOKUP(B451, Content_Creation!B:F, 5, FALSE), IFERROR(VLOOKUP(B451, Project_Management!B:F, 5, FALSE), ""))</f>
        <v>Nasser</v>
      </c>
      <c r="G451" s="225" t="s">
        <v>179</v>
      </c>
      <c r="H451" s="223">
        <f>IFERROR(VLOOKUP(B451, Content_Creation!B:H, 7, FALSE), IFERROR(VLOOKUP(B451, Project_Management!B:H, 7, FALSE), ""))</f>
        <v>45245</v>
      </c>
      <c r="I451" s="224">
        <v>0.0</v>
      </c>
      <c r="J451" s="223">
        <f>IFERROR(VLOOKUP(C451, Content_Creation!B:H, 7, FALSE), IFERROR(VLOOKUP(C451, Project_Management!B:H, 7, FALSE), ""))</f>
        <v>45247</v>
      </c>
      <c r="K451" s="217"/>
      <c r="L451" s="225" t="str">
        <f>IFERROR(VLOOKUP(B451, Data_Validation!X:Y, 2, FALSE), "")</f>
        <v>Not Started</v>
      </c>
      <c r="M451" s="226" t="str">
        <f t="shared" si="1"/>
        <v>TheMVP | L40s GPU Server - Linkedin | Edit</v>
      </c>
      <c r="N451" s="226"/>
      <c r="O451" s="226"/>
    </row>
    <row r="452" ht="24.0" customHeight="1">
      <c r="A452" s="216" t="str">
        <f>IFERROR(__xludf.DUMMYFUNCTION("ARRAYFORMULA(IFERROR(VLOOKUP(REGEXEXTRACT(B452, ""-(\w+)-""), {Data_Validation!$F$16:$F$29, Data_Validation!$E$16:$E$29}, 2, FALSE), """"))
"),"TheMVP")</f>
        <v>TheMVP</v>
      </c>
      <c r="B452" s="217" t="str">
        <f>IFERROR(__xludf.DUMMYFUNCTION("""COMPUTED_VALUE"""),"CC-MVP-114.05")</f>
        <v>CC-MVP-114.05</v>
      </c>
      <c r="C452" s="218" t="str">
        <f>IFERROR(__xludf.DUMMYFUNCTION("IFERROR(REGEXEXTRACT(B452, ""^[A-Z]+-[A-Z]+-"") &amp; TEXT(VALUE(REGEXEXTRACT(B452, ""-(\d+)\."")), ""00""), """")"),"CC-MVP-114")</f>
        <v>CC-MVP-114</v>
      </c>
      <c r="D452" s="219" t="str">
        <f>IFERROR(VLOOKUP(C452, Content_Creation!B:D, 2, FALSE), IFERROR(VLOOKUP(C452, Project_Management!B:D, 2, FALSE), ""))
&amp; " - "
&amp; IFERROR(VLOOKUP(C452, Content_Creation!B:E, 4, FALSE), IFERROR(VLOOKUP(C452, Project_Management!B:E, 4, FALSE), ""))</f>
        <v>Build a PC for Ansys - Shorts</v>
      </c>
      <c r="E452" s="220" t="str">
        <f>IFERROR(
    VLOOKUP(B451:B1001, Content_Creation!B:D, 3, FALSE),
    IFERROR(VLOOKUP(B451:B1001, Project_Management!B:D, 3, FALSE),"")
  )</f>
        <v>Edit</v>
      </c>
      <c r="F452" s="221" t="str">
        <f>IFERROR(VLOOKUP(B452, Content_Creation!B:F, 5, FALSE), IFERROR(VLOOKUP(B452, Project_Management!B:F, 5, FALSE), ""))</f>
        <v>Jayanth</v>
      </c>
      <c r="G452" s="222" t="s">
        <v>179</v>
      </c>
      <c r="H452" s="223">
        <f>IFERROR(VLOOKUP(B452, Content_Creation!B:H, 7, FALSE), IFERROR(VLOOKUP(B452, Project_Management!B:H, 7, FALSE), ""))</f>
        <v>45245</v>
      </c>
      <c r="I452" s="224">
        <v>0.0</v>
      </c>
      <c r="J452" s="223">
        <f>IFERROR(VLOOKUP(C452, Content_Creation!B:H, 7, FALSE), IFERROR(VLOOKUP(C452, Project_Management!B:H, 7, FALSE), ""))</f>
        <v>45247.62168</v>
      </c>
      <c r="K452" s="217"/>
      <c r="L452" s="225" t="str">
        <f>IFERROR(VLOOKUP(B452, Data_Validation!X:Y, 2, FALSE), "")</f>
        <v>Not Started</v>
      </c>
      <c r="M452" s="226" t="str">
        <f t="shared" si="1"/>
        <v>TheMVP | Build a PC for Ansys - Shorts | Edit</v>
      </c>
      <c r="N452" s="226"/>
      <c r="O452" s="226"/>
    </row>
    <row r="453" ht="24.0" customHeight="1">
      <c r="A453" s="216" t="str">
        <f>IFERROR(__xludf.DUMMYFUNCTION("ARRAYFORMULA(IFERROR(VLOOKUP(REGEXEXTRACT(B453, ""-(\w+)-""), {Data_Validation!$F$16:$F$29, Data_Validation!$E$16:$E$29}, 2, FALSE), """"))
"),"TheMVP")</f>
        <v>TheMVP</v>
      </c>
      <c r="B453" s="217" t="str">
        <f>IFERROR(__xludf.DUMMYFUNCTION("""COMPUTED_VALUE"""),"CC-MVP-108.01")</f>
        <v>CC-MVP-108.01</v>
      </c>
      <c r="C453" s="218" t="str">
        <f>IFERROR(__xludf.DUMMYFUNCTION("IFERROR(REGEXEXTRACT(B453, ""^[A-Z]+-[A-Z]+-"") &amp; TEXT(VALUE(REGEXEXTRACT(B453, ""-(\d+)\."")), ""00""), """")"),"CC-MVP-108")</f>
        <v>CC-MVP-108</v>
      </c>
      <c r="D453" s="219" t="str">
        <f>IFERROR(VLOOKUP(C453, Content_Creation!B:D, 2, FALSE), IFERROR(VLOOKUP(C453, Project_Management!B:D, 2, FALSE), ""))
&amp; " - "
&amp; IFERROR(VLOOKUP(C453, Content_Creation!B:E, 4, FALSE), IFERROR(VLOOKUP(C453, Project_Management!B:E, 4, FALSE), ""))</f>
        <v>Idea Pending - Tweet</v>
      </c>
      <c r="E453" s="220" t="str">
        <f>IFERROR(
    VLOOKUP(B452:B1001, Content_Creation!B:D, 3, FALSE),
    IFERROR(VLOOKUP(B452:B1001, Project_Management!B:D, 3, FALSE),"")
  )</f>
        <v>Script</v>
      </c>
      <c r="F453" s="221" t="str">
        <f>IFERROR(VLOOKUP(B453, Content_Creation!B:F, 5, FALSE), IFERROR(VLOOKUP(B453, Project_Management!B:F, 5, FALSE), ""))</f>
        <v>Tazeen</v>
      </c>
      <c r="G453" s="222" t="s">
        <v>179</v>
      </c>
      <c r="H453" s="223">
        <f>IFERROR(VLOOKUP(B453, Content_Creation!B:H, 7, FALSE), IFERROR(VLOOKUP(B453, Project_Management!B:H, 7, FALSE), ""))</f>
        <v>45245</v>
      </c>
      <c r="I453" s="224">
        <v>0.0</v>
      </c>
      <c r="J453" s="223">
        <f>IFERROR(VLOOKUP(C453, Content_Creation!B:H, 7, FALSE), IFERROR(VLOOKUP(C453, Project_Management!B:H, 7, FALSE), ""))</f>
        <v>45248</v>
      </c>
      <c r="K453" s="217"/>
      <c r="L453" s="225" t="str">
        <f>IFERROR(VLOOKUP(B453, Data_Validation!X:Y, 2, FALSE), "")</f>
        <v>Not Started</v>
      </c>
      <c r="M453" s="226" t="str">
        <f t="shared" si="1"/>
        <v>TheMVP | Idea Pending - Tweet | Script</v>
      </c>
      <c r="N453" s="226"/>
      <c r="O453" s="226"/>
    </row>
    <row r="454" ht="24.0" customHeight="1">
      <c r="A454" s="216" t="str">
        <f>IFERROR(__xludf.DUMMYFUNCTION("ARRAYFORMULA(IFERROR(VLOOKUP(REGEXEXTRACT(B454, ""-(\w+)-""), {Data_Validation!$F$16:$F$29, Data_Validation!$E$16:$E$29}, 2, FALSE), """"))
"),"TheMVP")</f>
        <v>TheMVP</v>
      </c>
      <c r="B454" s="217" t="str">
        <f>IFERROR(__xludf.DUMMYFUNCTION("""COMPUTED_VALUE"""),"CC-MVP-111.01")</f>
        <v>CC-MVP-111.01</v>
      </c>
      <c r="C454" s="218" t="str">
        <f>IFERROR(__xludf.DUMMYFUNCTION("IFERROR(REGEXEXTRACT(B454, ""^[A-Z]+-[A-Z]+-"") &amp; TEXT(VALUE(REGEXEXTRACT(B454, ""-(\d+)\."")), ""00""), """")"),"CC-MVP-111")</f>
        <v>CC-MVP-111</v>
      </c>
      <c r="D454" s="219" t="str">
        <f>IFERROR(VLOOKUP(C454, Content_Creation!B:D, 2, FALSE), IFERROR(VLOOKUP(C454, Project_Management!B:D, 2, FALSE), ""))
&amp; " - "
&amp; IFERROR(VLOOKUP(C454, Content_Creation!B:E, 4, FALSE), IFERROR(VLOOKUP(C454, Project_Management!B:E, 4, FALSE), ""))</f>
        <v>Workstation for AR Dev. - Linkedin</v>
      </c>
      <c r="E454" s="220" t="str">
        <f>IFERROR(
    VLOOKUP(B453:B1001, Content_Creation!B:D, 3, FALSE),
    IFERROR(VLOOKUP(B453:B1001, Project_Management!B:D, 3, FALSE),"")
  )</f>
        <v>Script</v>
      </c>
      <c r="F454" s="221" t="str">
        <f>IFERROR(VLOOKUP(B454, Content_Creation!B:F, 5, FALSE), IFERROR(VLOOKUP(B454, Project_Management!B:F, 5, FALSE), ""))</f>
        <v>Nasser</v>
      </c>
      <c r="G454" s="222" t="s">
        <v>179</v>
      </c>
      <c r="H454" s="223">
        <f>IFERROR(VLOOKUP(B454, Content_Creation!B:H, 7, FALSE), IFERROR(VLOOKUP(B454, Project_Management!B:H, 7, FALSE), ""))</f>
        <v>45245</v>
      </c>
      <c r="I454" s="224">
        <v>0.0</v>
      </c>
      <c r="J454" s="223">
        <f>IFERROR(VLOOKUP(C454, Content_Creation!B:H, 7, FALSE), IFERROR(VLOOKUP(C454, Project_Management!B:H, 7, FALSE), ""))</f>
        <v>45248</v>
      </c>
      <c r="K454" s="217"/>
      <c r="L454" s="225" t="str">
        <f>IFERROR(VLOOKUP(B454, Data_Validation!X:Y, 2, FALSE), "")</f>
        <v>Not Started</v>
      </c>
      <c r="M454" s="226" t="str">
        <f t="shared" si="1"/>
        <v>TheMVP | Workstation for AR Dev. - Linkedin | Script</v>
      </c>
      <c r="N454" s="226"/>
      <c r="O454" s="226"/>
    </row>
    <row r="455" ht="24.0" customHeight="1">
      <c r="A455" s="216" t="str">
        <f>IFERROR(__xludf.DUMMYFUNCTION("ARRAYFORMULA(IFERROR(VLOOKUP(REGEXEXTRACT(B455, ""-(\w+)-""), {Data_Validation!$F$16:$F$29, Data_Validation!$E$16:$E$29}, 2, FALSE), """"))
"),"TheMVP")</f>
        <v>TheMVP</v>
      </c>
      <c r="B455" s="217" t="str">
        <f>IFERROR(__xludf.DUMMYFUNCTION("""COMPUTED_VALUE"""),"CC-MVP-112.02")</f>
        <v>CC-MVP-112.02</v>
      </c>
      <c r="C455" s="218" t="str">
        <f>IFERROR(__xludf.DUMMYFUNCTION("IFERROR(REGEXEXTRACT(B455, ""^[A-Z]+-[A-Z]+-"") &amp; TEXT(VALUE(REGEXEXTRACT(B455, ""-(\d+)\."")), ""00""), """")"),"CC-MVP-112")</f>
        <v>CC-MVP-112</v>
      </c>
      <c r="D455" s="219" t="str">
        <f>IFERROR(VLOOKUP(C455, Content_Creation!B:D, 2, FALSE), IFERROR(VLOOKUP(C455, Project_Management!B:D, 2, FALSE), ""))
&amp; " - "
&amp; IFERROR(VLOOKUP(C455, Content_Creation!B:E, 4, FALSE), IFERROR(VLOOKUP(C455, Project_Management!B:E, 4, FALSE), ""))</f>
        <v>How CPU works in 60 seconds - Shorts</v>
      </c>
      <c r="E455" s="220" t="str">
        <f>IFERROR(
    VLOOKUP(B454:B1001, Content_Creation!B:D, 3, FALSE),
    IFERROR(VLOOKUP(B454:B1001, Project_Management!B:D, 3, FALSE),"")
  )</f>
        <v>Shoot</v>
      </c>
      <c r="F455" s="221" t="str">
        <f>IFERROR(VLOOKUP(B455, Content_Creation!B:F, 5, FALSE), IFERROR(VLOOKUP(B455, Project_Management!B:F, 5, FALSE), ""))</f>
        <v>Akhil</v>
      </c>
      <c r="G455" s="222" t="s">
        <v>179</v>
      </c>
      <c r="H455" s="223">
        <f>IFERROR(VLOOKUP(B455, Content_Creation!B:H, 7, FALSE), IFERROR(VLOOKUP(B455, Project_Management!B:H, 7, FALSE), ""))</f>
        <v>45245</v>
      </c>
      <c r="I455" s="224">
        <v>0.0</v>
      </c>
      <c r="J455" s="223">
        <f>IFERROR(VLOOKUP(C455, Content_Creation!B:H, 7, FALSE), IFERROR(VLOOKUP(C455, Project_Management!B:H, 7, FALSE), ""))</f>
        <v>45250</v>
      </c>
      <c r="K455" s="217"/>
      <c r="L455" s="225" t="str">
        <f>IFERROR(VLOOKUP(B455, Data_Validation!X:Y, 2, FALSE), "")</f>
        <v>Not Started</v>
      </c>
      <c r="M455" s="226" t="str">
        <f t="shared" si="1"/>
        <v>TheMVP | How CPU works in 60 seconds - Shorts | Shoot</v>
      </c>
      <c r="N455" s="226"/>
      <c r="O455" s="226"/>
    </row>
    <row r="456" ht="24.0" customHeight="1">
      <c r="A456" s="216" t="str">
        <f>IFERROR(__xludf.DUMMYFUNCTION("ARRAYFORMULA(IFERROR(VLOOKUP(REGEXEXTRACT(B456, ""-(\w+)-""), {Data_Validation!$F$16:$F$29, Data_Validation!$E$16:$E$29}, 2, FALSE), """"))
"),"Colorful Tech")</f>
        <v>Colorful Tech</v>
      </c>
      <c r="B456" s="217" t="str">
        <f>IFERROR(__xludf.DUMMYFUNCTION("""COMPUTED_VALUE"""),"CC-CTH-17.07")</f>
        <v>CC-CTH-17.07</v>
      </c>
      <c r="C456" s="218" t="str">
        <f>IFERROR(__xludf.DUMMYFUNCTION("IFERROR(REGEXEXTRACT(B456, ""^[A-Z]+-[A-Z]+-"") &amp; TEXT(VALUE(REGEXEXTRACT(B456, ""-(\d+)\."")), ""00""), """")"),"CC-CTH-17")</f>
        <v>CC-CTH-17</v>
      </c>
      <c r="D456" s="219" t="str">
        <f>IFERROR(VLOOKUP(C456, Content_Creation!B:D, 2, FALSE), IFERROR(VLOOKUP(C456, Project_Management!B:D, 2, FALSE), ""))
&amp; " - "
&amp; IFERROR(VLOOKUP(C456, Content_Creation!B:E, 4, FALSE), IFERROR(VLOOKUP(C456, Project_Management!B:E, 4, FALSE), ""))</f>
        <v>Ada Lovelace - Power Efficiency - Shorts</v>
      </c>
      <c r="E456" s="220" t="str">
        <f>IFERROR(
    VLOOKUP(B455:B1001, Content_Creation!B:D, 3, FALSE),
    IFERROR(VLOOKUP(B455:B1001, Project_Management!B:D, 3, FALSE),"")
  )</f>
        <v>Upload</v>
      </c>
      <c r="F456" s="221" t="str">
        <f>IFERROR(VLOOKUP(B456, Content_Creation!B:F, 5, FALSE), IFERROR(VLOOKUP(B456, Project_Management!B:F, 5, FALSE), ""))</f>
        <v/>
      </c>
      <c r="G456" s="222" t="s">
        <v>179</v>
      </c>
      <c r="H456" s="223">
        <f>IFERROR(VLOOKUP(B456, Content_Creation!B:H, 7, FALSE), IFERROR(VLOOKUP(B456, Project_Management!B:H, 7, FALSE), ""))</f>
        <v>45245</v>
      </c>
      <c r="I456" s="224">
        <v>0.0</v>
      </c>
      <c r="J456" s="223">
        <f>IFERROR(VLOOKUP(C456, Content_Creation!B:H, 7, FALSE), IFERROR(VLOOKUP(C456, Project_Management!B:H, 7, FALSE), ""))</f>
        <v>45245</v>
      </c>
      <c r="K456" s="217"/>
      <c r="L456" s="225" t="str">
        <f>IFERROR(VLOOKUP(B456, Data_Validation!X:Y, 2, FALSE), "")</f>
        <v>Not Started</v>
      </c>
      <c r="M456" s="226" t="str">
        <f t="shared" si="1"/>
        <v>Colorful Tech | Ada Lovelace - Power Efficiency - Shorts | Upload</v>
      </c>
      <c r="N456" s="226"/>
      <c r="O456" s="226"/>
    </row>
    <row r="457" ht="24.0" customHeight="1">
      <c r="A457" s="216" t="str">
        <f>IFERROR(__xludf.DUMMYFUNCTION("ARRAYFORMULA(IFERROR(VLOOKUP(REGEXEXTRACT(B457, ""-(\w+)-""), {Data_Validation!$F$16:$F$29, Data_Validation!$E$16:$E$29}, 2, FALSE), """"))
"),"Colorful Tech")</f>
        <v>Colorful Tech</v>
      </c>
      <c r="B457" s="217" t="str">
        <f>IFERROR(__xludf.DUMMYFUNCTION("""COMPUTED_VALUE"""),"CC-CTH-20.05")</f>
        <v>CC-CTH-20.05</v>
      </c>
      <c r="C457" s="218" t="str">
        <f>IFERROR(__xludf.DUMMYFUNCTION("IFERROR(REGEXEXTRACT(B457, ""^[A-Z]+-[A-Z]+-"") &amp; TEXT(VALUE(REGEXEXTRACT(B457, ""-(\d+)\."")), ""00""), """")"),"CC-CTH-20")</f>
        <v>CC-CTH-20</v>
      </c>
      <c r="D457" s="219" t="str">
        <f>IFERROR(VLOOKUP(C457, Content_Creation!B:D, 2, FALSE), IFERROR(VLOOKUP(C457, Project_Management!B:D, 2, FALSE), ""))
&amp; " - "
&amp; IFERROR(VLOOKUP(C457, Content_Creation!B:E, 4, FALSE), IFERROR(VLOOKUP(C457, Project_Management!B:E, 4, FALSE), ""))</f>
        <v>When can you upgrade your GPU - Shorts</v>
      </c>
      <c r="E457" s="220" t="str">
        <f>IFERROR(
    VLOOKUP(B456:B1001, Content_Creation!B:D, 3, FALSE),
    IFERROR(VLOOKUP(B456:B1001, Project_Management!B:D, 3, FALSE),"")
  )</f>
        <v>Edit</v>
      </c>
      <c r="F457" s="221" t="str">
        <f>IFERROR(VLOOKUP(B457, Content_Creation!B:F, 5, FALSE), IFERROR(VLOOKUP(B457, Project_Management!B:F, 5, FALSE), ""))</f>
        <v>Talha</v>
      </c>
      <c r="G457" s="222" t="s">
        <v>179</v>
      </c>
      <c r="H457" s="223">
        <f>IFERROR(VLOOKUP(B457, Content_Creation!B:H, 7, FALSE), IFERROR(VLOOKUP(B457, Project_Management!B:H, 7, FALSE), ""))</f>
        <v>45245</v>
      </c>
      <c r="I457" s="224">
        <v>0.0</v>
      </c>
      <c r="J457" s="223">
        <f>IFERROR(VLOOKUP(C457, Content_Creation!B:H, 7, FALSE), IFERROR(VLOOKUP(C457, Project_Management!B:H, 7, FALSE), ""))</f>
        <v>45248</v>
      </c>
      <c r="K457" s="217"/>
      <c r="L457" s="225" t="str">
        <f>IFERROR(VLOOKUP(B457, Data_Validation!X:Y, 2, FALSE), "")</f>
        <v>Not Started</v>
      </c>
      <c r="M457" s="226" t="str">
        <f t="shared" si="1"/>
        <v>Colorful Tech | When can you upgrade your GPU - Shorts | Edit</v>
      </c>
      <c r="N457" s="226"/>
      <c r="O457" s="226"/>
    </row>
    <row r="458" ht="24.0" customHeight="1">
      <c r="A458" s="216" t="str">
        <f>IFERROR(__xludf.DUMMYFUNCTION("ARRAYFORMULA(IFERROR(VLOOKUP(REGEXEXTRACT(B458, ""-(\w+)-""), {Data_Validation!$F$16:$F$29, Data_Validation!$E$16:$E$29}, 2, FALSE), """"))
"),"Inno3D")</f>
        <v>Inno3D</v>
      </c>
      <c r="B458" s="217" t="str">
        <f>IFERROR(__xludf.DUMMYFUNCTION("""COMPUTED_VALUE"""),"CC-INN-33.05")</f>
        <v>CC-INN-33.05</v>
      </c>
      <c r="C458" s="218" t="str">
        <f>IFERROR(__xludf.DUMMYFUNCTION("IFERROR(REGEXEXTRACT(B458, ""^[A-Z]+-[A-Z]+-"") &amp; TEXT(VALUE(REGEXEXTRACT(B458, ""-(\d+)\."")), ""00""), """")"),"CC-INN-33")</f>
        <v>CC-INN-33</v>
      </c>
      <c r="D458" s="219" t="str">
        <f>IFERROR(VLOOKUP(C458, Content_Creation!B:D, 2, FALSE), IFERROR(VLOOKUP(C458, Project_Management!B:D, 2, FALSE), ""))
&amp; " - "
&amp; IFERROR(VLOOKUP(C458, Content_Creation!B:E, 4, FALSE), IFERROR(VLOOKUP(C458, Project_Management!B:E, 4, FALSE), ""))</f>
        <v>INNO3D TuneIT OC - Shorts</v>
      </c>
      <c r="E458" s="220" t="str">
        <f>IFERROR(
    VLOOKUP(B457:B1001, Content_Creation!B:D, 3, FALSE),
    IFERROR(VLOOKUP(B457:B1001, Project_Management!B:D, 3, FALSE),"")
  )</f>
        <v>Edit</v>
      </c>
      <c r="F458" s="221" t="str">
        <f>IFERROR(VLOOKUP(B458, Content_Creation!B:F, 5, FALSE), IFERROR(VLOOKUP(B458, Project_Management!B:F, 5, FALSE), ""))</f>
        <v>Naveen</v>
      </c>
      <c r="G458" s="222" t="s">
        <v>179</v>
      </c>
      <c r="H458" s="223">
        <f>IFERROR(VLOOKUP(B458, Content_Creation!B:H, 7, FALSE), IFERROR(VLOOKUP(B458, Project_Management!B:H, 7, FALSE), ""))</f>
        <v>45245</v>
      </c>
      <c r="I458" s="224">
        <v>0.0</v>
      </c>
      <c r="J458" s="223">
        <f>IFERROR(VLOOKUP(C458, Content_Creation!B:H, 7, FALSE), IFERROR(VLOOKUP(C458, Project_Management!B:H, 7, FALSE), ""))</f>
        <v>45247</v>
      </c>
      <c r="K458" s="217"/>
      <c r="L458" s="225" t="str">
        <f>IFERROR(VLOOKUP(B458, Data_Validation!X:Y, 2, FALSE), "")</f>
        <v>Not Started</v>
      </c>
      <c r="M458" s="226" t="str">
        <f t="shared" si="1"/>
        <v>Inno3D | INNO3D TuneIT OC - Shorts | Edit</v>
      </c>
      <c r="N458" s="226"/>
      <c r="O458" s="226"/>
    </row>
    <row r="459" ht="24.0" customHeight="1">
      <c r="A459" s="216" t="str">
        <f>IFERROR(__xludf.DUMMYFUNCTION("ARRAYFORMULA(IFERROR(VLOOKUP(REGEXEXTRACT(B459, ""-(\w+)-""), {Data_Validation!$F$16:$F$29, Data_Validation!$E$16:$E$29}, 2, FALSE), """"))
"),"Picture This!")</f>
        <v>Picture This!</v>
      </c>
      <c r="B459" s="217" t="str">
        <f>IFERROR(__xludf.DUMMYFUNCTION("""COMPUTED_VALUE"""),"PM-PTS-09.04")</f>
        <v>PM-PTS-09.04</v>
      </c>
      <c r="C459" s="218" t="str">
        <f>IFERROR(__xludf.DUMMYFUNCTION("IFERROR(REGEXEXTRACT(B459, ""^[A-Z]+-[A-Z]+-"") &amp; TEXT(VALUE(REGEXEXTRACT(B459, ""-(\d+)\."")), ""00""), """")"),"PM-PTS-09")</f>
        <v>PM-PTS-09</v>
      </c>
      <c r="D459" s="219" t="str">
        <f>IFERROR(VLOOKUP(C459, Content_Creation!B:D, 2, FALSE), IFERROR(VLOOKUP(C459, Project_Management!B:D, 2, FALSE), ""))
&amp; " - "
&amp; IFERROR(VLOOKUP(C459, Content_Creation!B:E, 4, FALSE), IFERROR(VLOOKUP(C459, Project_Management!B:E, 4, FALSE), ""))</f>
        <v>Swipe Up Productions  - Video</v>
      </c>
      <c r="E459" s="220" t="str">
        <f>IFERROR(
    VLOOKUP(B458:B1001, Content_Creation!B:D, 3, FALSE),
    IFERROR(VLOOKUP(B458:B1001, Project_Management!B:D, 3, FALSE),"")
  )</f>
        <v>Editor Notes</v>
      </c>
      <c r="F459" s="221" t="str">
        <f>IFERROR(VLOOKUP(B459, Content_Creation!B:F, 5, FALSE), IFERROR(VLOOKUP(B459, Project_Management!B:F, 5, FALSE), ""))</f>
        <v/>
      </c>
      <c r="G459" s="222" t="s">
        <v>179</v>
      </c>
      <c r="H459" s="223">
        <f>IFERROR(VLOOKUP(B459, Content_Creation!B:H, 7, FALSE), IFERROR(VLOOKUP(B459, Project_Management!B:H, 7, FALSE), ""))</f>
        <v>45245.80562</v>
      </c>
      <c r="I459" s="224">
        <v>0.0</v>
      </c>
      <c r="J459" s="223">
        <f>IFERROR(VLOOKUP(C459, Content_Creation!B:H, 7, FALSE), IFERROR(VLOOKUP(C459, Project_Management!B:H, 7, FALSE), ""))</f>
        <v>45251.80562</v>
      </c>
      <c r="K459" s="217"/>
      <c r="L459" s="225" t="str">
        <f>IFERROR(VLOOKUP(B459, Data_Validation!X:Y, 2, FALSE), "")</f>
        <v>Not Started</v>
      </c>
      <c r="M459" s="226" t="str">
        <f t="shared" si="1"/>
        <v>Picture This! | Swipe Up Productions  - Video | Editor Notes</v>
      </c>
      <c r="N459" s="226"/>
      <c r="O459" s="226"/>
    </row>
    <row r="460" ht="24.0" customHeight="1">
      <c r="A460" s="216" t="str">
        <f>IFERROR(__xludf.DUMMYFUNCTION("ARRAYFORMULA(IFERROR(VLOOKUP(REGEXEXTRACT(B460, ""-(\w+)-""), {Data_Validation!$F$16:$F$29, Data_Validation!$E$16:$E$29}, 2, FALSE), """"))
"),"TheMVP")</f>
        <v>TheMVP</v>
      </c>
      <c r="B460" s="217" t="str">
        <f>IFERROR(__xludf.DUMMYFUNCTION("""COMPUTED_VALUE"""),"CC-MVP-89.06")</f>
        <v>CC-MVP-89.06</v>
      </c>
      <c r="C460" s="218" t="str">
        <f>IFERROR(__xludf.DUMMYFUNCTION("IFERROR(REGEXEXTRACT(B460, ""^[A-Z]+-[A-Z]+-"") &amp; TEXT(VALUE(REGEXEXTRACT(B460, ""-(\d+)\."")), ""00""), """")"),"CC-MVP-89")</f>
        <v>CC-MVP-89</v>
      </c>
      <c r="D460" s="219" t="str">
        <f>IFERROR(VLOOKUP(C460, Content_Creation!B:D, 2, FALSE), IFERROR(VLOOKUP(C460, Project_Management!B:D, 2, FALSE), ""))
&amp; " - "
&amp; IFERROR(VLOOKUP(C460, Content_Creation!B:E, 4, FALSE), IFERROR(VLOOKUP(C460, Project_Management!B:E, 4, FALSE), ""))</f>
        <v>Client Reviews - MasterCut - YT Video</v>
      </c>
      <c r="E460" s="220" t="str">
        <f>IFERROR(
    VLOOKUP(B459:B1001, Content_Creation!B:D, 3, FALSE),
    IFERROR(VLOOKUP(B459:B1001, Project_Management!B:D, 3, FALSE),"")
  )</f>
        <v>Upload</v>
      </c>
      <c r="F460" s="221" t="str">
        <f>IFERROR(VLOOKUP(B460, Content_Creation!B:F, 5, FALSE), IFERROR(VLOOKUP(B460, Project_Management!B:F, 5, FALSE), ""))</f>
        <v>Tazeen</v>
      </c>
      <c r="G460" s="222" t="s">
        <v>179</v>
      </c>
      <c r="H460" s="223">
        <f>IFERROR(VLOOKUP(B460, Content_Creation!B:H, 7, FALSE), IFERROR(VLOOKUP(B460, Project_Management!B:H, 7, FALSE), ""))</f>
        <v>45246</v>
      </c>
      <c r="I460" s="224">
        <v>0.0</v>
      </c>
      <c r="J460" s="223">
        <f>IFERROR(VLOOKUP(C460, Content_Creation!B:H, 7, FALSE), IFERROR(VLOOKUP(C460, Project_Management!B:H, 7, FALSE), ""))</f>
        <v>45246</v>
      </c>
      <c r="K460" s="217"/>
      <c r="L460" s="225" t="str">
        <f>IFERROR(VLOOKUP(B460, Data_Validation!X:Y, 2, FALSE), "")</f>
        <v>Not Started</v>
      </c>
      <c r="M460" s="226" t="str">
        <f t="shared" si="1"/>
        <v>TheMVP | Client Reviews - MasterCut - YT Video | Upload</v>
      </c>
      <c r="N460" s="226"/>
      <c r="O460" s="226"/>
    </row>
    <row r="461" ht="24.0" customHeight="1">
      <c r="A461" s="216" t="str">
        <f>IFERROR(__xludf.DUMMYFUNCTION("ARRAYFORMULA(IFERROR(VLOOKUP(REGEXEXTRACT(B461, ""-(\w+)-""), {Data_Validation!$F$16:$F$29, Data_Validation!$E$16:$E$29}, 2, FALSE), """"))
"),"TheMVP")</f>
        <v>TheMVP</v>
      </c>
      <c r="B461" s="217" t="str">
        <f>IFERROR(__xludf.DUMMYFUNCTION("""COMPUTED_VALUE"""),"CC-MVP-86.07")</f>
        <v>CC-MVP-86.07</v>
      </c>
      <c r="C461" s="218" t="str">
        <f>IFERROR(__xludf.DUMMYFUNCTION("IFERROR(REGEXEXTRACT(B461, ""^[A-Z]+-[A-Z]+-"") &amp; TEXT(VALUE(REGEXEXTRACT(B461, ""-(\d+)\."")), ""00""), """")"),"CC-MVP-86")</f>
        <v>CC-MVP-86</v>
      </c>
      <c r="D461" s="219" t="str">
        <f>IFERROR(VLOOKUP(C461, Content_Creation!B:D, 2, FALSE), IFERROR(VLOOKUP(C461, Project_Management!B:D, 2, FALSE), ""))
&amp; " - "
&amp; IFERROR(VLOOKUP(C461, Content_Creation!B:E, 4, FALSE), IFERROR(VLOOKUP(C461, Project_Management!B:E, 4, FALSE), ""))</f>
        <v>Sneaker PC - Shorts</v>
      </c>
      <c r="E461" s="220" t="str">
        <f>IFERROR(
    VLOOKUP(B460:B1001, Content_Creation!B:D, 3, FALSE),
    IFERROR(VLOOKUP(B460:B1001, Project_Management!B:D, 3, FALSE),"")
  )</f>
        <v>Upload</v>
      </c>
      <c r="F461" s="221" t="str">
        <f>IFERROR(VLOOKUP(B461, Content_Creation!B:F, 5, FALSE), IFERROR(VLOOKUP(B461, Project_Management!B:F, 5, FALSE), ""))</f>
        <v>Talha</v>
      </c>
      <c r="G461" s="222" t="s">
        <v>179</v>
      </c>
      <c r="H461" s="223">
        <f>IFERROR(VLOOKUP(B461, Content_Creation!B:H, 7, FALSE), IFERROR(VLOOKUP(B461, Project_Management!B:H, 7, FALSE), ""))</f>
        <v>45246</v>
      </c>
      <c r="I461" s="224">
        <v>0.0</v>
      </c>
      <c r="J461" s="223">
        <f>IFERROR(VLOOKUP(C461, Content_Creation!B:H, 7, FALSE), IFERROR(VLOOKUP(C461, Project_Management!B:H, 7, FALSE), ""))</f>
        <v>45246</v>
      </c>
      <c r="K461" s="217"/>
      <c r="L461" s="225" t="str">
        <f>IFERROR(VLOOKUP(B461, Data_Validation!X:Y, 2, FALSE), "")</f>
        <v>Not Started</v>
      </c>
      <c r="M461" s="226" t="str">
        <f t="shared" si="1"/>
        <v>TheMVP | Sneaker PC - Shorts | Upload</v>
      </c>
      <c r="N461" s="226"/>
      <c r="O461" s="226"/>
    </row>
    <row r="462" ht="24.0" customHeight="1">
      <c r="A462" s="216" t="str">
        <f>IFERROR(__xludf.DUMMYFUNCTION("ARRAYFORMULA(IFERROR(VLOOKUP(REGEXEXTRACT(B462, ""-(\w+)-""), {Data_Validation!$F$16:$F$29, Data_Validation!$E$16:$E$29}, 2, FALSE), """"))
"),"TheMVP")</f>
        <v>TheMVP</v>
      </c>
      <c r="B462" s="217" t="str">
        <f>IFERROR(__xludf.DUMMYFUNCTION("""COMPUTED_VALUE"""),"CC-MVP-103.03")</f>
        <v>CC-MVP-103.03</v>
      </c>
      <c r="C462" s="218" t="str">
        <f>IFERROR(__xludf.DUMMYFUNCTION("IFERROR(REGEXEXTRACT(B462, ""^[A-Z]+-[A-Z]+-"") &amp; TEXT(VALUE(REGEXEXTRACT(B462, ""-(\d+)\."")), ""00""), """")"),"CC-MVP-103")</f>
        <v>CC-MVP-103</v>
      </c>
      <c r="D462" s="219" t="str">
        <f>IFERROR(VLOOKUP(C462, Content_Creation!B:D, 2, FALSE), IFERROR(VLOOKUP(C462, Project_Management!B:D, 2, FALSE), ""))
&amp; " - "
&amp; IFERROR(VLOOKUP(C462, Content_Creation!B:E, 4, FALSE), IFERROR(VLOOKUP(C462, Project_Management!B:E, 4, FALSE), ""))</f>
        <v>L40s GPU Server - Linkedin</v>
      </c>
      <c r="E462" s="220" t="str">
        <f>IFERROR(
    VLOOKUP(B461:B1001, Content_Creation!B:D, 3, FALSE),
    IFERROR(VLOOKUP(B461:B1001, Project_Management!B:D, 3, FALSE),"")
  )</f>
        <v>Finalise</v>
      </c>
      <c r="F462" s="221" t="str">
        <f>IFERROR(VLOOKUP(B462, Content_Creation!B:F, 5, FALSE), IFERROR(VLOOKUP(B462, Project_Management!B:F, 5, FALSE), ""))</f>
        <v>Nasser</v>
      </c>
      <c r="G462" s="222" t="s">
        <v>179</v>
      </c>
      <c r="H462" s="223">
        <f>IFERROR(VLOOKUP(B462, Content_Creation!B:H, 7, FALSE), IFERROR(VLOOKUP(B462, Project_Management!B:H, 7, FALSE), ""))</f>
        <v>45246</v>
      </c>
      <c r="I462" s="224">
        <v>0.0</v>
      </c>
      <c r="J462" s="223">
        <f>IFERROR(VLOOKUP(C462, Content_Creation!B:H, 7, FALSE), IFERROR(VLOOKUP(C462, Project_Management!B:H, 7, FALSE), ""))</f>
        <v>45247</v>
      </c>
      <c r="K462" s="217"/>
      <c r="L462" s="225" t="str">
        <f>IFERROR(VLOOKUP(B462, Data_Validation!X:Y, 2, FALSE), "")</f>
        <v>Not Started</v>
      </c>
      <c r="M462" s="226" t="str">
        <f t="shared" si="1"/>
        <v>TheMVP | L40s GPU Server - Linkedin | Finalise</v>
      </c>
      <c r="N462" s="226"/>
      <c r="O462" s="226"/>
    </row>
    <row r="463" ht="24.0" customHeight="1">
      <c r="A463" s="216" t="str">
        <f>IFERROR(__xludf.DUMMYFUNCTION("ARRAYFORMULA(IFERROR(VLOOKUP(REGEXEXTRACT(B463, ""-(\w+)-""), {Data_Validation!$F$16:$F$29, Data_Validation!$E$16:$E$29}, 2, FALSE), """"))
"),"TheMVP")</f>
        <v>TheMVP</v>
      </c>
      <c r="B463" s="217" t="str">
        <f>IFERROR(__xludf.DUMMYFUNCTION("""COMPUTED_VALUE"""),"CC-MVP-114.06")</f>
        <v>CC-MVP-114.06</v>
      </c>
      <c r="C463" s="218" t="str">
        <f>IFERROR(__xludf.DUMMYFUNCTION("IFERROR(REGEXEXTRACT(B463, ""^[A-Z]+-[A-Z]+-"") &amp; TEXT(VALUE(REGEXEXTRACT(B463, ""-(\d+)\."")), ""00""), """")"),"CC-MVP-114")</f>
        <v>CC-MVP-114</v>
      </c>
      <c r="D463" s="219" t="str">
        <f>IFERROR(VLOOKUP(C463, Content_Creation!B:D, 2, FALSE), IFERROR(VLOOKUP(C463, Project_Management!B:D, 2, FALSE), ""))
&amp; " - "
&amp; IFERROR(VLOOKUP(C463, Content_Creation!B:E, 4, FALSE), IFERROR(VLOOKUP(C463, Project_Management!B:E, 4, FALSE), ""))</f>
        <v>Build a PC for Ansys - Shorts</v>
      </c>
      <c r="E463" s="220" t="str">
        <f>IFERROR(
    VLOOKUP(B462:B1001, Content_Creation!B:D, 3, FALSE),
    IFERROR(VLOOKUP(B462:B1001, Project_Management!B:D, 3, FALSE),"")
  )</f>
        <v>Thumbnail</v>
      </c>
      <c r="F463" s="221" t="str">
        <f>IFERROR(VLOOKUP(B463, Content_Creation!B:F, 5, FALSE), IFERROR(VLOOKUP(B463, Project_Management!B:F, 5, FALSE), ""))</f>
        <v>Naveen</v>
      </c>
      <c r="G463" s="222" t="s">
        <v>179</v>
      </c>
      <c r="H463" s="223">
        <f>IFERROR(VLOOKUP(B463, Content_Creation!B:H, 7, FALSE), IFERROR(VLOOKUP(B463, Project_Management!B:H, 7, FALSE), ""))</f>
        <v>45246</v>
      </c>
      <c r="I463" s="224">
        <v>0.0</v>
      </c>
      <c r="J463" s="223">
        <f>IFERROR(VLOOKUP(C463, Content_Creation!B:H, 7, FALSE), IFERROR(VLOOKUP(C463, Project_Management!B:H, 7, FALSE), ""))</f>
        <v>45247.62168</v>
      </c>
      <c r="K463" s="217"/>
      <c r="L463" s="225" t="str">
        <f>IFERROR(VLOOKUP(B463, Data_Validation!X:Y, 2, FALSE), "")</f>
        <v>Not Started</v>
      </c>
      <c r="M463" s="226" t="str">
        <f t="shared" si="1"/>
        <v>TheMVP | Build a PC for Ansys - Shorts | Thumbnail</v>
      </c>
      <c r="N463" s="226"/>
      <c r="O463" s="226"/>
    </row>
    <row r="464" ht="24.0" customHeight="1">
      <c r="A464" s="216" t="str">
        <f>IFERROR(__xludf.DUMMYFUNCTION("ARRAYFORMULA(IFERROR(VLOOKUP(REGEXEXTRACT(B464, ""-(\w+)-""), {Data_Validation!$F$16:$F$29, Data_Validation!$E$16:$E$29}, 2, FALSE), """"))
"),"TheMVP")</f>
        <v>TheMVP</v>
      </c>
      <c r="B464" s="217" t="str">
        <f>IFERROR(__xludf.DUMMYFUNCTION("""COMPUTED_VALUE"""),"CC-MVP-111.02")</f>
        <v>CC-MVP-111.02</v>
      </c>
      <c r="C464" s="218" t="str">
        <f>IFERROR(__xludf.DUMMYFUNCTION("IFERROR(REGEXEXTRACT(B464, ""^[A-Z]+-[A-Z]+-"") &amp; TEXT(VALUE(REGEXEXTRACT(B464, ""-(\d+)\."")), ""00""), """")"),"CC-MVP-111")</f>
        <v>CC-MVP-111</v>
      </c>
      <c r="D464" s="219" t="str">
        <f>IFERROR(VLOOKUP(C464, Content_Creation!B:D, 2, FALSE), IFERROR(VLOOKUP(C464, Project_Management!B:D, 2, FALSE), ""))
&amp; " - "
&amp; IFERROR(VLOOKUP(C464, Content_Creation!B:E, 4, FALSE), IFERROR(VLOOKUP(C464, Project_Management!B:E, 4, FALSE), ""))</f>
        <v>Workstation for AR Dev. - Linkedin</v>
      </c>
      <c r="E464" s="220" t="str">
        <f>IFERROR(
    VLOOKUP(B463:B1001, Content_Creation!B:D, 3, FALSE),
    IFERROR(VLOOKUP(B463:B1001, Project_Management!B:D, 3, FALSE),"")
  )</f>
        <v>Edit</v>
      </c>
      <c r="F464" s="221" t="str">
        <f>IFERROR(VLOOKUP(B464, Content_Creation!B:F, 5, FALSE), IFERROR(VLOOKUP(B464, Project_Management!B:F, 5, FALSE), ""))</f>
        <v>Nasser</v>
      </c>
      <c r="G464" s="222" t="s">
        <v>179</v>
      </c>
      <c r="H464" s="223">
        <f>IFERROR(VLOOKUP(B464, Content_Creation!B:H, 7, FALSE), IFERROR(VLOOKUP(B464, Project_Management!B:H, 7, FALSE), ""))</f>
        <v>45246</v>
      </c>
      <c r="I464" s="224">
        <v>0.0</v>
      </c>
      <c r="J464" s="223">
        <f>IFERROR(VLOOKUP(C464, Content_Creation!B:H, 7, FALSE), IFERROR(VLOOKUP(C464, Project_Management!B:H, 7, FALSE), ""))</f>
        <v>45248</v>
      </c>
      <c r="K464" s="217"/>
      <c r="L464" s="225" t="str">
        <f>IFERROR(VLOOKUP(B464, Data_Validation!X:Y, 2, FALSE), "")</f>
        <v>Not Started</v>
      </c>
      <c r="M464" s="226" t="str">
        <f t="shared" si="1"/>
        <v>TheMVP | Workstation for AR Dev. - Linkedin | Edit</v>
      </c>
      <c r="N464" s="226"/>
      <c r="O464" s="226"/>
    </row>
    <row r="465" ht="24.0" customHeight="1">
      <c r="A465" s="216" t="str">
        <f>IFERROR(__xludf.DUMMYFUNCTION("ARRAYFORMULA(IFERROR(VLOOKUP(REGEXEXTRACT(B465, ""-(\w+)-""), {Data_Validation!$F$16:$F$29, Data_Validation!$E$16:$E$29}, 2, FALSE), """"))
"),"TheMVP")</f>
        <v>TheMVP</v>
      </c>
      <c r="B465" s="217" t="str">
        <f>IFERROR(__xludf.DUMMYFUNCTION("""COMPUTED_VALUE"""),"CC-MVP-113.01")</f>
        <v>CC-MVP-113.01</v>
      </c>
      <c r="C465" s="218" t="str">
        <f>IFERROR(__xludf.DUMMYFUNCTION("IFERROR(REGEXEXTRACT(B465, ""^[A-Z]+-[A-Z]+-"") &amp; TEXT(VALUE(REGEXEXTRACT(B465, ""-(\d+)\."")), ""00""), """")"),"CC-MVP-113")</f>
        <v>CC-MVP-113</v>
      </c>
      <c r="D465" s="219" t="str">
        <f>IFERROR(VLOOKUP(C465, Content_Creation!B:D, 2, FALSE), IFERROR(VLOOKUP(C465, Project_Management!B:D, 2, FALSE), ""))
&amp; " - "
&amp; IFERROR(VLOOKUP(C465, Content_Creation!B:E, 4, FALSE), IFERROR(VLOOKUP(C465, Project_Management!B:E, 4, FALSE), ""))</f>
        <v>Build Photo - Enthoo Case - Insta</v>
      </c>
      <c r="E465" s="220" t="str">
        <f>IFERROR(
    VLOOKUP(B464:B1001, Content_Creation!B:D, 3, FALSE),
    IFERROR(VLOOKUP(B464:B1001, Project_Management!B:D, 3, FALSE),"")
  )</f>
        <v>Script</v>
      </c>
      <c r="F465" s="221" t="str">
        <f>IFERROR(VLOOKUP(B465, Content_Creation!B:F, 5, FALSE), IFERROR(VLOOKUP(B465, Project_Management!B:F, 5, FALSE), ""))</f>
        <v>Naveen</v>
      </c>
      <c r="G465" s="222" t="s">
        <v>179</v>
      </c>
      <c r="H465" s="223">
        <f>IFERROR(VLOOKUP(B465, Content_Creation!B:H, 7, FALSE), IFERROR(VLOOKUP(B465, Project_Management!B:H, 7, FALSE), ""))</f>
        <v>45246</v>
      </c>
      <c r="I465" s="224">
        <v>0.0</v>
      </c>
      <c r="J465" s="223">
        <f>IFERROR(VLOOKUP(C465, Content_Creation!B:H, 7, FALSE), IFERROR(VLOOKUP(C465, Project_Management!B:H, 7, FALSE), ""))</f>
        <v>45249</v>
      </c>
      <c r="K465" s="217"/>
      <c r="L465" s="225" t="str">
        <f>IFERROR(VLOOKUP(B465, Data_Validation!X:Y, 2, FALSE), "")</f>
        <v>Not Started</v>
      </c>
      <c r="M465" s="226" t="str">
        <f t="shared" si="1"/>
        <v>TheMVP | Build Photo - Enthoo Case - Insta | Script</v>
      </c>
      <c r="N465" s="226"/>
      <c r="O465" s="226"/>
    </row>
    <row r="466" ht="24.0" customHeight="1">
      <c r="A466" s="216" t="str">
        <f>IFERROR(__xludf.DUMMYFUNCTION("ARRAYFORMULA(IFERROR(VLOOKUP(REGEXEXTRACT(B466, ""-(\w+)-""), {Data_Validation!$F$16:$F$29, Data_Validation!$E$16:$E$29}, 2, FALSE), """"))
"),"TheMVP")</f>
        <v>TheMVP</v>
      </c>
      <c r="B466" s="217" t="str">
        <f>IFERROR(__xludf.DUMMYFUNCTION("""COMPUTED_VALUE"""),"CC-MVP-117.04")</f>
        <v>CC-MVP-117.04</v>
      </c>
      <c r="C466" s="218" t="str">
        <f>IFERROR(__xludf.DUMMYFUNCTION("IFERROR(REGEXEXTRACT(B466, ""^[A-Z]+-[A-Z]+-"") &amp; TEXT(VALUE(REGEXEXTRACT(B466, ""-(\d+)\."")), ""00""), """")"),"CC-MVP-117")</f>
        <v>CC-MVP-117</v>
      </c>
      <c r="D466" s="219" t="str">
        <f>IFERROR(VLOOKUP(C466, Content_Creation!B:D, 2, FALSE), IFERROR(VLOOKUP(C466, Project_Management!B:D, 2, FALSE), ""))
&amp; " - "
&amp; IFERROR(VLOOKUP(C466, Content_Creation!B:E, 4, FALSE), IFERROR(VLOOKUP(C466, Project_Management!B:E, 4, FALSE), ""))</f>
        <v>Enthoo Case - Shorts</v>
      </c>
      <c r="E466" s="220" t="str">
        <f>IFERROR(
    VLOOKUP(B465:B1001, Content_Creation!B:D, 3, FALSE),
    IFERROR(VLOOKUP(B465:B1001, Project_Management!B:D, 3, FALSE),"")
  )</f>
        <v>Upload</v>
      </c>
      <c r="F466" s="221" t="str">
        <f>IFERROR(VLOOKUP(B466, Content_Creation!B:F, 5, FALSE), IFERROR(VLOOKUP(B466, Project_Management!B:F, 5, FALSE), ""))</f>
        <v>Tazeen</v>
      </c>
      <c r="G466" s="221" t="s">
        <v>179</v>
      </c>
      <c r="H466" s="223">
        <f>IFERROR(VLOOKUP(B466, Content_Creation!B:H, 7, FALSE), IFERROR(VLOOKUP(B466, Project_Management!B:H, 7, FALSE), ""))</f>
        <v>45246.45665</v>
      </c>
      <c r="I466" s="224">
        <v>0.0</v>
      </c>
      <c r="J466" s="223">
        <f>IFERROR(VLOOKUP(C466, Content_Creation!B:H, 7, FALSE), IFERROR(VLOOKUP(C466, Project_Management!B:H, 7, FALSE), ""))</f>
        <v>45246.45665</v>
      </c>
      <c r="K466" s="217"/>
      <c r="L466" s="225" t="str">
        <f>IFERROR(VLOOKUP(B466, Data_Validation!X:Y, 2, FALSE), "")</f>
        <v>Not Started</v>
      </c>
      <c r="M466" s="226" t="str">
        <f t="shared" si="1"/>
        <v>TheMVP | Enthoo Case - Shorts | Upload</v>
      </c>
      <c r="N466" s="226"/>
      <c r="O466" s="226"/>
    </row>
    <row r="467" ht="24.0" customHeight="1">
      <c r="A467" s="216" t="str">
        <f>IFERROR(__xludf.DUMMYFUNCTION("ARRAYFORMULA(IFERROR(VLOOKUP(REGEXEXTRACT(B467, ""-(\w+)-""), {Data_Validation!$F$16:$F$29, Data_Validation!$E$16:$E$29}, 2, FALSE), """"))
"),"TheMVP")</f>
        <v>TheMVP</v>
      </c>
      <c r="B467" s="217" t="str">
        <f>IFERROR(__xludf.DUMMYFUNCTION("""COMPUTED_VALUE"""),"CC-MVP-118.04")</f>
        <v>CC-MVP-118.04</v>
      </c>
      <c r="C467" s="218" t="str">
        <f>IFERROR(__xludf.DUMMYFUNCTION("IFERROR(REGEXEXTRACT(B467, ""^[A-Z]+-[A-Z]+-"") &amp; TEXT(VALUE(REGEXEXTRACT(B467, ""-(\d+)\."")), ""00""), """")"),"CC-MVP-118")</f>
        <v>CC-MVP-118</v>
      </c>
      <c r="D467" s="219" t="str">
        <f>IFERROR(VLOOKUP(C467, Content_Creation!B:D, 2, FALSE), IFERROR(VLOOKUP(C467, Project_Management!B:D, 2, FALSE), ""))
&amp; " - "
&amp; IFERROR(VLOOKUP(C467, Content_Creation!B:E, 4, FALSE), IFERROR(VLOOKUP(C467, Project_Management!B:E, 4, FALSE), ""))</f>
        <v>Editing Category Downedit - Shorts</v>
      </c>
      <c r="E467" s="220" t="str">
        <f>IFERROR(
    VLOOKUP(B466:B1001, Content_Creation!B:D, 3, FALSE),
    IFERROR(VLOOKUP(B466:B1001, Project_Management!B:D, 3, FALSE),"")
  )</f>
        <v>Editor Notes</v>
      </c>
      <c r="F467" s="221" t="str">
        <f>IFERROR(VLOOKUP(B467, Content_Creation!B:F, 5, FALSE), IFERROR(VLOOKUP(B467, Project_Management!B:F, 5, FALSE), ""))</f>
        <v/>
      </c>
      <c r="G467" s="222" t="s">
        <v>179</v>
      </c>
      <c r="H467" s="223">
        <f>IFERROR(VLOOKUP(B467, Content_Creation!B:H, 7, FALSE), IFERROR(VLOOKUP(B467, Project_Management!B:H, 7, FALSE), ""))</f>
        <v>45246.99818</v>
      </c>
      <c r="I467" s="224">
        <v>0.0</v>
      </c>
      <c r="J467" s="223">
        <f>IFERROR(VLOOKUP(C467, Content_Creation!B:H, 7, FALSE), IFERROR(VLOOKUP(C467, Project_Management!B:H, 7, FALSE), ""))</f>
        <v>45252.99818</v>
      </c>
      <c r="K467" s="217"/>
      <c r="L467" s="225" t="str">
        <f>IFERROR(VLOOKUP(B467, Data_Validation!X:Y, 2, FALSE), "")</f>
        <v>Not Started</v>
      </c>
      <c r="M467" s="226" t="str">
        <f t="shared" si="1"/>
        <v>TheMVP | Editing Category Downedit - Shorts | Editor Notes</v>
      </c>
      <c r="N467" s="226"/>
      <c r="O467" s="226"/>
    </row>
    <row r="468" ht="24.0" customHeight="1">
      <c r="A468" s="216" t="str">
        <f>IFERROR(__xludf.DUMMYFUNCTION("ARRAYFORMULA(IFERROR(VLOOKUP(REGEXEXTRACT(B468, ""-(\w+)-""), {Data_Validation!$F$16:$F$29, Data_Validation!$E$16:$E$29}, 2, FALSE), """"))
"),"Colorful Tech")</f>
        <v>Colorful Tech</v>
      </c>
      <c r="B468" s="217" t="str">
        <f>IFERROR(__xludf.DUMMYFUNCTION("""COMPUTED_VALUE"""),"CC-CTH-18.05")</f>
        <v>CC-CTH-18.05</v>
      </c>
      <c r="C468" s="218" t="str">
        <f>IFERROR(__xludf.DUMMYFUNCTION("IFERROR(REGEXEXTRACT(B468, ""^[A-Z]+-[A-Z]+-"") &amp; TEXT(VALUE(REGEXEXTRACT(B468, ""-(\d+)\."")), ""00""), """")"),"CC-CTH-18")</f>
        <v>CC-CTH-18</v>
      </c>
      <c r="D468" s="219" t="str">
        <f>IFERROR(VLOOKUP(C468, Content_Creation!B:D, 2, FALSE), IFERROR(VLOOKUP(C468, Project_Management!B:D, 2, FALSE), ""))
&amp; " - "
&amp; IFERROR(VLOOKUP(C468, Content_Creation!B:E, 4, FALSE), IFERROR(VLOOKUP(C468, Project_Management!B:E, 4, FALSE), ""))</f>
        <v>How to Upgrade your GPU - Shorts</v>
      </c>
      <c r="E468" s="220" t="str">
        <f>IFERROR(
    VLOOKUP(B467:B1001, Content_Creation!B:D, 3, FALSE),
    IFERROR(VLOOKUP(B467:B1001, Project_Management!B:D, 3, FALSE),"")
  )</f>
        <v>Upload</v>
      </c>
      <c r="F468" s="221" t="str">
        <f>IFERROR(VLOOKUP(B468, Content_Creation!B:F, 5, FALSE), IFERROR(VLOOKUP(B468, Project_Management!B:F, 5, FALSE), ""))</f>
        <v>Talha</v>
      </c>
      <c r="G468" s="222" t="s">
        <v>179</v>
      </c>
      <c r="H468" s="223">
        <f>IFERROR(VLOOKUP(B468, Content_Creation!B:H, 7, FALSE), IFERROR(VLOOKUP(B468, Project_Management!B:H, 7, FALSE), ""))</f>
        <v>45246</v>
      </c>
      <c r="I468" s="224">
        <v>0.0</v>
      </c>
      <c r="J468" s="223">
        <f>IFERROR(VLOOKUP(C468, Content_Creation!B:H, 7, FALSE), IFERROR(VLOOKUP(C468, Project_Management!B:H, 7, FALSE), ""))</f>
        <v>45246</v>
      </c>
      <c r="K468" s="217"/>
      <c r="L468" s="225" t="str">
        <f>IFERROR(VLOOKUP(B468, Data_Validation!X:Y, 2, FALSE), "")</f>
        <v>Not Started</v>
      </c>
      <c r="M468" s="226" t="str">
        <f t="shared" si="1"/>
        <v>Colorful Tech | How to Upgrade your GPU - Shorts | Upload</v>
      </c>
      <c r="N468" s="226"/>
      <c r="O468" s="226"/>
    </row>
    <row r="469" ht="24.0" customHeight="1">
      <c r="A469" s="216" t="str">
        <f>IFERROR(__xludf.DUMMYFUNCTION("ARRAYFORMULA(IFERROR(VLOOKUP(REGEXEXTRACT(B469, ""-(\w+)-""), {Data_Validation!$F$16:$F$29, Data_Validation!$E$16:$E$29}, 2, FALSE), """"))
"),"Colorful Tech")</f>
        <v>Colorful Tech</v>
      </c>
      <c r="B469" s="217" t="str">
        <f>IFERROR(__xludf.DUMMYFUNCTION("""COMPUTED_VALUE"""),"CC-CTH-21.03")</f>
        <v>CC-CTH-21.03</v>
      </c>
      <c r="C469" s="218" t="str">
        <f>IFERROR(__xludf.DUMMYFUNCTION("IFERROR(REGEXEXTRACT(B469, ""^[A-Z]+-[A-Z]+-"") &amp; TEXT(VALUE(REGEXEXTRACT(B469, ""-(\d+)\."")), ""00""), """")"),"CC-CTH-21")</f>
        <v>CC-CTH-21</v>
      </c>
      <c r="D469" s="219" t="str">
        <f>IFERROR(VLOOKUP(C469, Content_Creation!B:D, 2, FALSE), IFERROR(VLOOKUP(C469, Project_Management!B:D, 2, FALSE), ""))
&amp; " - "
&amp; IFERROR(VLOOKUP(C469, Content_Creation!B:E, 4, FALSE), IFERROR(VLOOKUP(C469, Project_Management!B:E, 4, FALSE), ""))</f>
        <v>Product Showcase - Insta</v>
      </c>
      <c r="E469" s="220" t="str">
        <f>IFERROR(
    VLOOKUP(B468:B1001, Content_Creation!B:D, 3, FALSE),
    IFERROR(VLOOKUP(B468:B1001, Project_Management!B:D, 3, FALSE),"")
  )</f>
        <v>Edit</v>
      </c>
      <c r="F469" s="221" t="str">
        <f>IFERROR(VLOOKUP(B469, Content_Creation!B:F, 5, FALSE), IFERROR(VLOOKUP(B469, Project_Management!B:F, 5, FALSE), ""))</f>
        <v>Akhil</v>
      </c>
      <c r="G469" s="222" t="s">
        <v>179</v>
      </c>
      <c r="H469" s="223">
        <f>IFERROR(VLOOKUP(B469, Content_Creation!B:H, 7, FALSE), IFERROR(VLOOKUP(B469, Project_Management!B:H, 7, FALSE), ""))</f>
        <v>45246</v>
      </c>
      <c r="I469" s="224">
        <v>0.0</v>
      </c>
      <c r="J469" s="223">
        <f>IFERROR(VLOOKUP(C469, Content_Creation!B:H, 7, FALSE), IFERROR(VLOOKUP(C469, Project_Management!B:H, 7, FALSE), ""))</f>
        <v>45249</v>
      </c>
      <c r="K469" s="217"/>
      <c r="L469" s="225" t="str">
        <f>IFERROR(VLOOKUP(B469, Data_Validation!X:Y, 2, FALSE), "")</f>
        <v>Not Started</v>
      </c>
      <c r="M469" s="226" t="str">
        <f t="shared" si="1"/>
        <v>Colorful Tech | Product Showcase - Insta | Edit</v>
      </c>
      <c r="N469" s="226"/>
      <c r="O469" s="226"/>
    </row>
    <row r="470" ht="24.0" customHeight="1">
      <c r="A470" s="216" t="str">
        <f>IFERROR(__xludf.DUMMYFUNCTION("ARRAYFORMULA(IFERROR(VLOOKUP(REGEXEXTRACT(B470, ""-(\w+)-""), {Data_Validation!$F$16:$F$29, Data_Validation!$E$16:$E$29}, 2, FALSE), """"))
"),"Inno3D")</f>
        <v>Inno3D</v>
      </c>
      <c r="B470" s="217" t="str">
        <f>IFERROR(__xludf.DUMMYFUNCTION("""COMPUTED_VALUE"""),"CC-INN-33.06")</f>
        <v>CC-INN-33.06</v>
      </c>
      <c r="C470" s="218" t="str">
        <f>IFERROR(__xludf.DUMMYFUNCTION("IFERROR(REGEXEXTRACT(B470, ""^[A-Z]+-[A-Z]+-"") &amp; TEXT(VALUE(REGEXEXTRACT(B470, ""-(\d+)\."")), ""00""), """")"),"CC-INN-33")</f>
        <v>CC-INN-33</v>
      </c>
      <c r="D470" s="219" t="str">
        <f>IFERROR(VLOOKUP(C470, Content_Creation!B:D, 2, FALSE), IFERROR(VLOOKUP(C470, Project_Management!B:D, 2, FALSE), ""))
&amp; " - "
&amp; IFERROR(VLOOKUP(C470, Content_Creation!B:E, 4, FALSE), IFERROR(VLOOKUP(C470, Project_Management!B:E, 4, FALSE), ""))</f>
        <v>INNO3D TuneIT OC - Shorts</v>
      </c>
      <c r="E470" s="220" t="str">
        <f>IFERROR(
    VLOOKUP(B469:B1001, Content_Creation!B:D, 3, FALSE),
    IFERROR(VLOOKUP(B469:B1001, Project_Management!B:D, 3, FALSE),"")
  )</f>
        <v>Thumbnail</v>
      </c>
      <c r="F470" s="221" t="str">
        <f>IFERROR(VLOOKUP(B470, Content_Creation!B:F, 5, FALSE), IFERROR(VLOOKUP(B470, Project_Management!B:F, 5, FALSE), ""))</f>
        <v>Naveen</v>
      </c>
      <c r="G470" s="222" t="s">
        <v>179</v>
      </c>
      <c r="H470" s="223">
        <f>IFERROR(VLOOKUP(B470, Content_Creation!B:H, 7, FALSE), IFERROR(VLOOKUP(B470, Project_Management!B:H, 7, FALSE), ""))</f>
        <v>45246</v>
      </c>
      <c r="I470" s="224">
        <v>0.0</v>
      </c>
      <c r="J470" s="223">
        <f>IFERROR(VLOOKUP(C470, Content_Creation!B:H, 7, FALSE), IFERROR(VLOOKUP(C470, Project_Management!B:H, 7, FALSE), ""))</f>
        <v>45247</v>
      </c>
      <c r="K470" s="217"/>
      <c r="L470" s="225" t="str">
        <f>IFERROR(VLOOKUP(B470, Data_Validation!X:Y, 2, FALSE), "")</f>
        <v>Not Started</v>
      </c>
      <c r="M470" s="226" t="str">
        <f t="shared" si="1"/>
        <v>Inno3D | INNO3D TuneIT OC - Shorts | Thumbnail</v>
      </c>
      <c r="N470" s="226"/>
      <c r="O470" s="226"/>
    </row>
    <row r="471" ht="24.0" customHeight="1">
      <c r="A471" s="216" t="str">
        <f>IFERROR(__xludf.DUMMYFUNCTION("ARRAYFORMULA(IFERROR(VLOOKUP(REGEXEXTRACT(B471, ""-(\w+)-""), {Data_Validation!$F$16:$F$29, Data_Validation!$E$16:$E$29}, 2, FALSE), """"))
"),"TheMVP")</f>
        <v>TheMVP</v>
      </c>
      <c r="B471" s="217" t="str">
        <f>IFERROR(__xludf.DUMMYFUNCTION("""COMPUTED_VALUE"""),"CC-MVP-103.04")</f>
        <v>CC-MVP-103.04</v>
      </c>
      <c r="C471" s="218" t="str">
        <f>IFERROR(__xludf.DUMMYFUNCTION("IFERROR(REGEXEXTRACT(B471, ""^[A-Z]+-[A-Z]+-"") &amp; TEXT(VALUE(REGEXEXTRACT(B471, ""-(\d+)\."")), ""00""), """")"),"CC-MVP-103")</f>
        <v>CC-MVP-103</v>
      </c>
      <c r="D471" s="219" t="str">
        <f>IFERROR(VLOOKUP(C471, Content_Creation!B:D, 2, FALSE), IFERROR(VLOOKUP(C471, Project_Management!B:D, 2, FALSE), ""))
&amp; " - "
&amp; IFERROR(VLOOKUP(C471, Content_Creation!B:E, 4, FALSE), IFERROR(VLOOKUP(C471, Project_Management!B:E, 4, FALSE), ""))</f>
        <v>L40s GPU Server - Linkedin</v>
      </c>
      <c r="E471" s="220" t="str">
        <f>IFERROR(
    VLOOKUP(B470:B1001, Content_Creation!B:D, 3, FALSE),
    IFERROR(VLOOKUP(B470:B1001, Project_Management!B:D, 3, FALSE),"")
  )</f>
        <v>Upload</v>
      </c>
      <c r="F471" s="221" t="str">
        <f>IFERROR(VLOOKUP(B471, Content_Creation!B:F, 5, FALSE), IFERROR(VLOOKUP(B471, Project_Management!B:F, 5, FALSE), ""))</f>
        <v>Nasser</v>
      </c>
      <c r="G471" s="222" t="s">
        <v>179</v>
      </c>
      <c r="H471" s="223">
        <f>IFERROR(VLOOKUP(B471, Content_Creation!B:H, 7, FALSE), IFERROR(VLOOKUP(B471, Project_Management!B:H, 7, FALSE), ""))</f>
        <v>45247</v>
      </c>
      <c r="I471" s="224">
        <v>0.0</v>
      </c>
      <c r="J471" s="223">
        <f>IFERROR(VLOOKUP(C471, Content_Creation!B:H, 7, FALSE), IFERROR(VLOOKUP(C471, Project_Management!B:H, 7, FALSE), ""))</f>
        <v>45247</v>
      </c>
      <c r="K471" s="217"/>
      <c r="L471" s="225" t="str">
        <f>IFERROR(VLOOKUP(B471, Data_Validation!X:Y, 2, FALSE), "")</f>
        <v>Not Started</v>
      </c>
      <c r="M471" s="226" t="str">
        <f t="shared" si="1"/>
        <v>TheMVP | L40s GPU Server - Linkedin | Upload</v>
      </c>
      <c r="N471" s="226"/>
      <c r="O471" s="226"/>
    </row>
    <row r="472" ht="24.0" customHeight="1">
      <c r="A472" s="216" t="str">
        <f>IFERROR(__xludf.DUMMYFUNCTION("ARRAYFORMULA(IFERROR(VLOOKUP(REGEXEXTRACT(B472, ""-(\w+)-""), {Data_Validation!$F$16:$F$29, Data_Validation!$E$16:$E$29}, 2, FALSE), """"))
"),"TheMVP")</f>
        <v>TheMVP</v>
      </c>
      <c r="B472" s="217" t="str">
        <f>IFERROR(__xludf.DUMMYFUNCTION("""COMPUTED_VALUE"""),"CC-MVP-114.07")</f>
        <v>CC-MVP-114.07</v>
      </c>
      <c r="C472" s="218" t="str">
        <f>IFERROR(__xludf.DUMMYFUNCTION("IFERROR(REGEXEXTRACT(B472, ""^[A-Z]+-[A-Z]+-"") &amp; TEXT(VALUE(REGEXEXTRACT(B472, ""-(\d+)\."")), ""00""), """")"),"CC-MVP-114")</f>
        <v>CC-MVP-114</v>
      </c>
      <c r="D472" s="219" t="str">
        <f>IFERROR(VLOOKUP(C472, Content_Creation!B:D, 2, FALSE), IFERROR(VLOOKUP(C472, Project_Management!B:D, 2, FALSE), ""))
&amp; " - "
&amp; IFERROR(VLOOKUP(C472, Content_Creation!B:E, 4, FALSE), IFERROR(VLOOKUP(C472, Project_Management!B:E, 4, FALSE), ""))</f>
        <v>Build a PC for Ansys - Shorts</v>
      </c>
      <c r="E472" s="220" t="str">
        <f>IFERROR(
    VLOOKUP(B471:B1001, Content_Creation!B:D, 3, FALSE),
    IFERROR(VLOOKUP(B471:B1001, Project_Management!B:D, 3, FALSE),"")
  )</f>
        <v>Upload</v>
      </c>
      <c r="F472" s="221" t="str">
        <f>IFERROR(VLOOKUP(B472, Content_Creation!B:F, 5, FALSE), IFERROR(VLOOKUP(B472, Project_Management!B:F, 5, FALSE), ""))</f>
        <v>Tazeen</v>
      </c>
      <c r="G472" s="222" t="s">
        <v>179</v>
      </c>
      <c r="H472" s="223">
        <f>IFERROR(VLOOKUP(B472, Content_Creation!B:H, 7, FALSE), IFERROR(VLOOKUP(B472, Project_Management!B:H, 7, FALSE), ""))</f>
        <v>45247.62168</v>
      </c>
      <c r="I472" s="224">
        <v>0.0</v>
      </c>
      <c r="J472" s="223">
        <f>IFERROR(VLOOKUP(C472, Content_Creation!B:H, 7, FALSE), IFERROR(VLOOKUP(C472, Project_Management!B:H, 7, FALSE), ""))</f>
        <v>45247.62168</v>
      </c>
      <c r="K472" s="217"/>
      <c r="L472" s="225" t="str">
        <f>IFERROR(VLOOKUP(B472, Data_Validation!X:Y, 2, FALSE), "")</f>
        <v>Not Started</v>
      </c>
      <c r="M472" s="226" t="str">
        <f t="shared" si="1"/>
        <v>TheMVP | Build a PC for Ansys - Shorts | Upload</v>
      </c>
      <c r="N472" s="226"/>
      <c r="O472" s="226"/>
    </row>
    <row r="473" ht="24.0" customHeight="1">
      <c r="A473" s="216" t="str">
        <f>IFERROR(__xludf.DUMMYFUNCTION("ARRAYFORMULA(IFERROR(VLOOKUP(REGEXEXTRACT(B473, ""-(\w+)-""), {Data_Validation!$F$16:$F$29, Data_Validation!$E$16:$E$29}, 2, FALSE), """"))
"),"TheMVP")</f>
        <v>TheMVP</v>
      </c>
      <c r="B473" s="217" t="str">
        <f>IFERROR(__xludf.DUMMYFUNCTION("""COMPUTED_VALUE"""),"CC-MVP-111.03")</f>
        <v>CC-MVP-111.03</v>
      </c>
      <c r="C473" s="218" t="str">
        <f>IFERROR(__xludf.DUMMYFUNCTION("IFERROR(REGEXEXTRACT(B473, ""^[A-Z]+-[A-Z]+-"") &amp; TEXT(VALUE(REGEXEXTRACT(B473, ""-(\d+)\."")), ""00""), """")"),"CC-MVP-111")</f>
        <v>CC-MVP-111</v>
      </c>
      <c r="D473" s="219" t="str">
        <f>IFERROR(VLOOKUP(C473, Content_Creation!B:D, 2, FALSE), IFERROR(VLOOKUP(C473, Project_Management!B:D, 2, FALSE), ""))
&amp; " - "
&amp; IFERROR(VLOOKUP(C473, Content_Creation!B:E, 4, FALSE), IFERROR(VLOOKUP(C473, Project_Management!B:E, 4, FALSE), ""))</f>
        <v>Workstation for AR Dev. - Linkedin</v>
      </c>
      <c r="E473" s="220" t="str">
        <f>IFERROR(
    VLOOKUP(B472:B1001, Content_Creation!B:D, 3, FALSE),
    IFERROR(VLOOKUP(B472:B1001, Project_Management!B:D, 3, FALSE),"")
  )</f>
        <v>Finalise</v>
      </c>
      <c r="F473" s="221" t="str">
        <f>IFERROR(VLOOKUP(B473, Content_Creation!B:F, 5, FALSE), IFERROR(VLOOKUP(B473, Project_Management!B:F, 5, FALSE), ""))</f>
        <v>Nasser</v>
      </c>
      <c r="G473" s="222" t="s">
        <v>179</v>
      </c>
      <c r="H473" s="223">
        <f>IFERROR(VLOOKUP(B473, Content_Creation!B:H, 7, FALSE), IFERROR(VLOOKUP(B473, Project_Management!B:H, 7, FALSE), ""))</f>
        <v>45247</v>
      </c>
      <c r="I473" s="224">
        <v>0.0</v>
      </c>
      <c r="J473" s="223">
        <f>IFERROR(VLOOKUP(C473, Content_Creation!B:H, 7, FALSE), IFERROR(VLOOKUP(C473, Project_Management!B:H, 7, FALSE), ""))</f>
        <v>45248</v>
      </c>
      <c r="K473" s="217"/>
      <c r="L473" s="225" t="str">
        <f>IFERROR(VLOOKUP(B473, Data_Validation!X:Y, 2, FALSE), "")</f>
        <v>Not Started</v>
      </c>
      <c r="M473" s="226" t="str">
        <f t="shared" si="1"/>
        <v>TheMVP | Workstation for AR Dev. - Linkedin | Finalise</v>
      </c>
      <c r="N473" s="226"/>
      <c r="O473" s="226"/>
    </row>
    <row r="474" ht="24.0" customHeight="1">
      <c r="A474" s="216" t="str">
        <f>IFERROR(__xludf.DUMMYFUNCTION("ARRAYFORMULA(IFERROR(VLOOKUP(REGEXEXTRACT(B474, ""-(\w+)-""), {Data_Validation!$F$16:$F$29, Data_Validation!$E$16:$E$29}, 2, FALSE), """"))
"),"TheMVP")</f>
        <v>TheMVP</v>
      </c>
      <c r="B474" s="217" t="str">
        <f>IFERROR(__xludf.DUMMYFUNCTION("""COMPUTED_VALUE"""),"CC-MVP-112.04")</f>
        <v>CC-MVP-112.04</v>
      </c>
      <c r="C474" s="218" t="str">
        <f>IFERROR(__xludf.DUMMYFUNCTION("IFERROR(REGEXEXTRACT(B474, ""^[A-Z]+-[A-Z]+-"") &amp; TEXT(VALUE(REGEXEXTRACT(B474, ""-(\d+)\."")), ""00""), """")"),"CC-MVP-112")</f>
        <v>CC-MVP-112</v>
      </c>
      <c r="D474" s="219" t="str">
        <f>IFERROR(VLOOKUP(C474, Content_Creation!B:D, 2, FALSE), IFERROR(VLOOKUP(C474, Project_Management!B:D, 2, FALSE), ""))
&amp; " - "
&amp; IFERROR(VLOOKUP(C474, Content_Creation!B:E, 4, FALSE), IFERROR(VLOOKUP(C474, Project_Management!B:E, 4, FALSE), ""))</f>
        <v>How CPU works in 60 seconds - Shorts</v>
      </c>
      <c r="E474" s="220" t="str">
        <f>IFERROR(
    VLOOKUP(B473:B1001, Content_Creation!B:D, 3, FALSE),
    IFERROR(VLOOKUP(B473:B1001, Project_Management!B:D, 3, FALSE),"")
  )</f>
        <v>Editor Notes</v>
      </c>
      <c r="F474" s="221" t="str">
        <f>IFERROR(VLOOKUP(B474, Content_Creation!B:F, 5, FALSE), IFERROR(VLOOKUP(B474, Project_Management!B:F, 5, FALSE), ""))</f>
        <v>Tazeen</v>
      </c>
      <c r="G474" s="222" t="s">
        <v>179</v>
      </c>
      <c r="H474" s="223">
        <f>IFERROR(VLOOKUP(B474, Content_Creation!B:H, 7, FALSE), IFERROR(VLOOKUP(B474, Project_Management!B:H, 7, FALSE), ""))</f>
        <v>45247</v>
      </c>
      <c r="I474" s="224">
        <v>0.0</v>
      </c>
      <c r="J474" s="223">
        <f>IFERROR(VLOOKUP(C474, Content_Creation!B:H, 7, FALSE), IFERROR(VLOOKUP(C474, Project_Management!B:H, 7, FALSE), ""))</f>
        <v>45250</v>
      </c>
      <c r="K474" s="217"/>
      <c r="L474" s="225" t="str">
        <f>IFERROR(VLOOKUP(B474, Data_Validation!X:Y, 2, FALSE), "")</f>
        <v>Not Started</v>
      </c>
      <c r="M474" s="226" t="str">
        <f t="shared" si="1"/>
        <v>TheMVP | How CPU works in 60 seconds - Shorts | Editor Notes</v>
      </c>
      <c r="N474" s="226"/>
      <c r="O474" s="226"/>
    </row>
    <row r="475" ht="24.0" customHeight="1">
      <c r="A475" s="216" t="str">
        <f>IFERROR(__xludf.DUMMYFUNCTION("ARRAYFORMULA(IFERROR(VLOOKUP(REGEXEXTRACT(B475, ""-(\w+)-""), {Data_Validation!$F$16:$F$29, Data_Validation!$E$16:$E$29}, 2, FALSE), """"))
"),"TheMVP")</f>
        <v>TheMVP</v>
      </c>
      <c r="B475" s="217" t="str">
        <f>IFERROR(__xludf.DUMMYFUNCTION("""COMPUTED_VALUE"""),"CC-MVP-93.01")</f>
        <v>CC-MVP-93.01</v>
      </c>
      <c r="C475" s="218" t="str">
        <f>IFERROR(__xludf.DUMMYFUNCTION("IFERROR(REGEXEXTRACT(B475, ""^[A-Z]+-[A-Z]+-"") &amp; TEXT(VALUE(REGEXEXTRACT(B475, ""-(\d+)\."")), ""00""), """")"),"CC-MVP-93")</f>
        <v>CC-MVP-93</v>
      </c>
      <c r="D475" s="219" t="str">
        <f>IFERROR(VLOOKUP(C475, Content_Creation!B:D, 2, FALSE), IFERROR(VLOOKUP(C475, Project_Management!B:D, 2, FALSE), ""))
&amp; " - "
&amp; IFERROR(VLOOKUP(C475, Content_Creation!B:E, 4, FALSE), IFERROR(VLOOKUP(C475, Project_Management!B:E, 4, FALSE), ""))</f>
        <v>Video Editing Category Review - YT Video</v>
      </c>
      <c r="E475" s="220" t="str">
        <f>IFERROR(
    VLOOKUP(B474:B1001, Content_Creation!B:D, 3, FALSE),
    IFERROR(VLOOKUP(B474:B1001, Project_Management!B:D, 3, FALSE),"")
  )</f>
        <v>Script</v>
      </c>
      <c r="F475" s="221" t="str">
        <f>IFERROR(VLOOKUP(B475, Content_Creation!B:F, 5, FALSE), IFERROR(VLOOKUP(B475, Project_Management!B:F, 5, FALSE), ""))</f>
        <v>Nasser</v>
      </c>
      <c r="G475" s="222" t="s">
        <v>179</v>
      </c>
      <c r="H475" s="223">
        <f>IFERROR(VLOOKUP(B475, Content_Creation!B:H, 7, FALSE), IFERROR(VLOOKUP(B475, Project_Management!B:H, 7, FALSE), ""))</f>
        <v>45247</v>
      </c>
      <c r="I475" s="224">
        <v>0.0</v>
      </c>
      <c r="J475" s="223">
        <f>IFERROR(VLOOKUP(C475, Content_Creation!B:H, 7, FALSE), IFERROR(VLOOKUP(C475, Project_Management!B:H, 7, FALSE), ""))</f>
        <v>45251</v>
      </c>
      <c r="K475" s="217"/>
      <c r="L475" s="225" t="str">
        <f>IFERROR(VLOOKUP(B475, Data_Validation!X:Y, 2, FALSE), "")</f>
        <v>Not Started</v>
      </c>
      <c r="M475" s="226" t="str">
        <f t="shared" si="1"/>
        <v>TheMVP | Video Editing Category Review - YT Video | Script</v>
      </c>
      <c r="N475" s="226"/>
      <c r="O475" s="226"/>
    </row>
    <row r="476" ht="24.0" customHeight="1">
      <c r="A476" s="216" t="str">
        <f>IFERROR(__xludf.DUMMYFUNCTION("ARRAYFORMULA(IFERROR(VLOOKUP(REGEXEXTRACT(B476, ""-(\w+)-""), {Data_Validation!$F$16:$F$29, Data_Validation!$E$16:$E$29}, 2, FALSE), """"))
"),"TheMVP")</f>
        <v>TheMVP</v>
      </c>
      <c r="B476" s="217" t="str">
        <f>IFERROR(__xludf.DUMMYFUNCTION("""COMPUTED_VALUE"""),"CC-MVP-109.02")</f>
        <v>CC-MVP-109.02</v>
      </c>
      <c r="C476" s="218" t="str">
        <f>IFERROR(__xludf.DUMMYFUNCTION("IFERROR(REGEXEXTRACT(B476, ""^[A-Z]+-[A-Z]+-"") &amp; TEXT(VALUE(REGEXEXTRACT(B476, ""-(\d+)\."")), ""00""), """")"),"CC-MVP-109")</f>
        <v>CC-MVP-109</v>
      </c>
      <c r="D476" s="219" t="str">
        <f>IFERROR(VLOOKUP(C476, Content_Creation!B:D, 2, FALSE), IFERROR(VLOOKUP(C476, Project_Management!B:D, 2, FALSE), ""))
&amp; " - "
&amp; IFERROR(VLOOKUP(C476, Content_Creation!B:E, 4, FALSE), IFERROR(VLOOKUP(C476, Project_Management!B:E, 4, FALSE), ""))</f>
        <v>Idea Pending - Tweet</v>
      </c>
      <c r="E476" s="220" t="str">
        <f>IFERROR(
    VLOOKUP(B475:B1001, Content_Creation!B:D, 3, FALSE),
    IFERROR(VLOOKUP(B475:B1001, Project_Management!B:D, 3, FALSE),"")
  )</f>
        <v>Transcript</v>
      </c>
      <c r="F476" s="221" t="str">
        <f>IFERROR(VLOOKUP(B476, Content_Creation!B:F, 5, FALSE), IFERROR(VLOOKUP(B476, Project_Management!B:F, 5, FALSE), ""))</f>
        <v>Tazeen</v>
      </c>
      <c r="G476" s="222" t="s">
        <v>179</v>
      </c>
      <c r="H476" s="223">
        <f>IFERROR(VLOOKUP(B476, Content_Creation!B:H, 7, FALSE), IFERROR(VLOOKUP(B476, Project_Management!B:H, 7, FALSE), ""))</f>
        <v>45247</v>
      </c>
      <c r="I476" s="224">
        <v>0.0</v>
      </c>
      <c r="J476" s="223">
        <f>IFERROR(VLOOKUP(C476, Content_Creation!B:H, 7, FALSE), IFERROR(VLOOKUP(C476, Project_Management!B:H, 7, FALSE), ""))</f>
        <v>45251</v>
      </c>
      <c r="K476" s="217"/>
      <c r="L476" s="225" t="str">
        <f>IFERROR(VLOOKUP(B476, Data_Validation!X:Y, 2, FALSE), "")</f>
        <v>Not Started</v>
      </c>
      <c r="M476" s="226" t="str">
        <f t="shared" si="1"/>
        <v>TheMVP | Idea Pending - Tweet | Transcript</v>
      </c>
      <c r="N476" s="226"/>
      <c r="O476" s="226"/>
    </row>
    <row r="477" ht="24.0" customHeight="1">
      <c r="A477" s="216" t="str">
        <f>IFERROR(__xludf.DUMMYFUNCTION("ARRAYFORMULA(IFERROR(VLOOKUP(REGEXEXTRACT(B477, ""-(\w+)-""), {Data_Validation!$F$16:$F$29, Data_Validation!$E$16:$E$29}, 2, FALSE), """"))
"),"Colorful Tech")</f>
        <v>Colorful Tech</v>
      </c>
      <c r="B477" s="217" t="str">
        <f>IFERROR(__xludf.DUMMYFUNCTION("""COMPUTED_VALUE"""),"CC-CTH-19.04")</f>
        <v>CC-CTH-19.04</v>
      </c>
      <c r="C477" s="218" t="str">
        <f>IFERROR(__xludf.DUMMYFUNCTION("IFERROR(REGEXEXTRACT(B477, ""^[A-Z]+-[A-Z]+-"") &amp; TEXT(VALUE(REGEXEXTRACT(B477, ""-(\d+)\."")), ""00""), """")"),"CC-CTH-19")</f>
        <v>CC-CTH-19</v>
      </c>
      <c r="D477" s="219" t="str">
        <f>IFERROR(VLOOKUP(C477, Content_Creation!B:D, 2, FALSE), IFERROR(VLOOKUP(C477, Project_Management!B:D, 2, FALSE), ""))
&amp; " - "
&amp; IFERROR(VLOOKUP(C477, Content_Creation!B:E, 4, FALSE), IFERROR(VLOOKUP(C477, Project_Management!B:E, 4, FALSE), ""))</f>
        <v>Deep Learning Anti-Aliasing - Shorts</v>
      </c>
      <c r="E477" s="220" t="str">
        <f>IFERROR(
    VLOOKUP(B476:B1001, Content_Creation!B:D, 3, FALSE),
    IFERROR(VLOOKUP(B476:B1001, Project_Management!B:D, 3, FALSE),"")
  )</f>
        <v>Upload</v>
      </c>
      <c r="F477" s="221" t="str">
        <f>IFERROR(VLOOKUP(B477, Content_Creation!B:F, 5, FALSE), IFERROR(VLOOKUP(B477, Project_Management!B:F, 5, FALSE), ""))</f>
        <v>Talha</v>
      </c>
      <c r="G477" s="222" t="s">
        <v>179</v>
      </c>
      <c r="H477" s="223">
        <f>IFERROR(VLOOKUP(B477, Content_Creation!B:H, 7, FALSE), IFERROR(VLOOKUP(B477, Project_Management!B:H, 7, FALSE), ""))</f>
        <v>45247</v>
      </c>
      <c r="I477" s="224">
        <v>0.0</v>
      </c>
      <c r="J477" s="223">
        <f>IFERROR(VLOOKUP(C477, Content_Creation!B:H, 7, FALSE), IFERROR(VLOOKUP(C477, Project_Management!B:H, 7, FALSE), ""))</f>
        <v>45247</v>
      </c>
      <c r="K477" s="217"/>
      <c r="L477" s="225" t="str">
        <f>IFERROR(VLOOKUP(B477, Data_Validation!X:Y, 2, FALSE), "")</f>
        <v>Not Started</v>
      </c>
      <c r="M477" s="226" t="str">
        <f t="shared" si="1"/>
        <v>Colorful Tech | Deep Learning Anti-Aliasing - Shorts | Upload</v>
      </c>
      <c r="N477" s="226"/>
      <c r="O477" s="226"/>
    </row>
    <row r="478" ht="24.0" customHeight="1">
      <c r="A478" s="216" t="str">
        <f>IFERROR(__xludf.DUMMYFUNCTION("ARRAYFORMULA(IFERROR(VLOOKUP(REGEXEXTRACT(B478, ""-(\w+)-""), {Data_Validation!$F$16:$F$29, Data_Validation!$E$16:$E$29}, 2, FALSE), """"))
"),"Inno3D")</f>
        <v>Inno3D</v>
      </c>
      <c r="B478" s="217" t="str">
        <f>IFERROR(__xludf.DUMMYFUNCTION("""COMPUTED_VALUE"""),"CC-INN-33.07")</f>
        <v>CC-INN-33.07</v>
      </c>
      <c r="C478" s="218" t="str">
        <f>IFERROR(__xludf.DUMMYFUNCTION("IFERROR(REGEXEXTRACT(B478, ""^[A-Z]+-[A-Z]+-"") &amp; TEXT(VALUE(REGEXEXTRACT(B478, ""-(\d+)\."")), ""00""), """")"),"CC-INN-33")</f>
        <v>CC-INN-33</v>
      </c>
      <c r="D478" s="219" t="str">
        <f>IFERROR(VLOOKUP(C478, Content_Creation!B:D, 2, FALSE), IFERROR(VLOOKUP(C478, Project_Management!B:D, 2, FALSE), ""))
&amp; " - "
&amp; IFERROR(VLOOKUP(C478, Content_Creation!B:E, 4, FALSE), IFERROR(VLOOKUP(C478, Project_Management!B:E, 4, FALSE), ""))</f>
        <v>INNO3D TuneIT OC - Shorts</v>
      </c>
      <c r="E478" s="220" t="str">
        <f>IFERROR(
    VLOOKUP(B477:B1001, Content_Creation!B:D, 3, FALSE),
    IFERROR(VLOOKUP(B477:B1001, Project_Management!B:D, 3, FALSE),"")
  )</f>
        <v>Upload</v>
      </c>
      <c r="F478" s="221" t="str">
        <f>IFERROR(VLOOKUP(B478, Content_Creation!B:F, 5, FALSE), IFERROR(VLOOKUP(B478, Project_Management!B:F, 5, FALSE), ""))</f>
        <v>Naveen</v>
      </c>
      <c r="G478" s="222" t="s">
        <v>179</v>
      </c>
      <c r="H478" s="223">
        <f>IFERROR(VLOOKUP(B478, Content_Creation!B:H, 7, FALSE), IFERROR(VLOOKUP(B478, Project_Management!B:H, 7, FALSE), ""))</f>
        <v>45247</v>
      </c>
      <c r="I478" s="224">
        <v>0.0</v>
      </c>
      <c r="J478" s="223">
        <f>IFERROR(VLOOKUP(C478, Content_Creation!B:H, 7, FALSE), IFERROR(VLOOKUP(C478, Project_Management!B:H, 7, FALSE), ""))</f>
        <v>45247</v>
      </c>
      <c r="K478" s="217"/>
      <c r="L478" s="225" t="str">
        <f>IFERROR(VLOOKUP(B478, Data_Validation!X:Y, 2, FALSE), "")</f>
        <v>Not Started</v>
      </c>
      <c r="M478" s="226" t="str">
        <f t="shared" si="1"/>
        <v>Inno3D | INNO3D TuneIT OC - Shorts | Upload</v>
      </c>
      <c r="N478" s="226"/>
      <c r="O478" s="226"/>
    </row>
    <row r="479" ht="24.0" customHeight="1">
      <c r="A479" s="216" t="str">
        <f>IFERROR(__xludf.DUMMYFUNCTION("ARRAYFORMULA(IFERROR(VLOOKUP(REGEXEXTRACT(B479, ""-(\w+)-""), {Data_Validation!$F$16:$F$29, Data_Validation!$E$16:$E$29}, 2, FALSE), """"))
"),"Picture This!")</f>
        <v>Picture This!</v>
      </c>
      <c r="B479" s="217" t="str">
        <f>IFERROR(__xludf.DUMMYFUNCTION("""COMPUTED_VALUE"""),"PM-PTS-09.05")</f>
        <v>PM-PTS-09.05</v>
      </c>
      <c r="C479" s="218" t="str">
        <f>IFERROR(__xludf.DUMMYFUNCTION("IFERROR(REGEXEXTRACT(B479, ""^[A-Z]+-[A-Z]+-"") &amp; TEXT(VALUE(REGEXEXTRACT(B479, ""-(\d+)\."")), ""00""), """")"),"PM-PTS-09")</f>
        <v>PM-PTS-09</v>
      </c>
      <c r="D479" s="219" t="str">
        <f>IFERROR(VLOOKUP(C479, Content_Creation!B:D, 2, FALSE), IFERROR(VLOOKUP(C479, Project_Management!B:D, 2, FALSE), ""))
&amp; " - "
&amp; IFERROR(VLOOKUP(C479, Content_Creation!B:E, 4, FALSE), IFERROR(VLOOKUP(C479, Project_Management!B:E, 4, FALSE), ""))</f>
        <v>Swipe Up Productions  - Video</v>
      </c>
      <c r="E479" s="220" t="str">
        <f>IFERROR(
    VLOOKUP(B478:B1001, Content_Creation!B:D, 3, FALSE),
    IFERROR(VLOOKUP(B478:B1001, Project_Management!B:D, 3, FALSE),"")
  )</f>
        <v>Edit</v>
      </c>
      <c r="F479" s="221" t="str">
        <f>IFERROR(VLOOKUP(B479, Content_Creation!B:F, 5, FALSE), IFERROR(VLOOKUP(B479, Project_Management!B:F, 5, FALSE), ""))</f>
        <v/>
      </c>
      <c r="G479" s="222" t="s">
        <v>179</v>
      </c>
      <c r="H479" s="223">
        <f>IFERROR(VLOOKUP(B479, Content_Creation!B:H, 7, FALSE), IFERROR(VLOOKUP(B479, Project_Management!B:H, 7, FALSE), ""))</f>
        <v>45247.80562</v>
      </c>
      <c r="I479" s="224">
        <v>0.0</v>
      </c>
      <c r="J479" s="223">
        <f>IFERROR(VLOOKUP(C479, Content_Creation!B:H, 7, FALSE), IFERROR(VLOOKUP(C479, Project_Management!B:H, 7, FALSE), ""))</f>
        <v>45251.80562</v>
      </c>
      <c r="K479" s="217"/>
      <c r="L479" s="225" t="str">
        <f>IFERROR(VLOOKUP(B479, Data_Validation!X:Y, 2, FALSE), "")</f>
        <v>Not Started</v>
      </c>
      <c r="M479" s="226" t="str">
        <f t="shared" si="1"/>
        <v>Picture This! | Swipe Up Productions  - Video | Edit</v>
      </c>
      <c r="N479" s="226"/>
      <c r="O479" s="226"/>
    </row>
    <row r="480" ht="24.0" customHeight="1">
      <c r="A480" s="216" t="str">
        <f>IFERROR(__xludf.DUMMYFUNCTION("ARRAYFORMULA(IFERROR(VLOOKUP(REGEXEXTRACT(B480, ""-(\w+)-""), {Data_Validation!$F$16:$F$29, Data_Validation!$E$16:$E$29}, 2, FALSE), """"))
"),"TheMVP")</f>
        <v>TheMVP</v>
      </c>
      <c r="B480" s="217" t="str">
        <f>IFERROR(__xludf.DUMMYFUNCTION("""COMPUTED_VALUE"""),"CC-MVP-108.04")</f>
        <v>CC-MVP-108.04</v>
      </c>
      <c r="C480" s="218" t="str">
        <f>IFERROR(__xludf.DUMMYFUNCTION("IFERROR(REGEXEXTRACT(B480, ""^[A-Z]+-[A-Z]+-"") &amp; TEXT(VALUE(REGEXEXTRACT(B480, ""-(\d+)\."")), ""00""), """")"),"CC-MVP-108")</f>
        <v>CC-MVP-108</v>
      </c>
      <c r="D480" s="219" t="str">
        <f>IFERROR(VLOOKUP(C480, Content_Creation!B:D, 2, FALSE), IFERROR(VLOOKUP(C480, Project_Management!B:D, 2, FALSE), ""))
&amp; " - "
&amp; IFERROR(VLOOKUP(C480, Content_Creation!B:E, 4, FALSE), IFERROR(VLOOKUP(C480, Project_Management!B:E, 4, FALSE), ""))</f>
        <v>Idea Pending - Tweet</v>
      </c>
      <c r="E480" s="220" t="str">
        <f>IFERROR(
    VLOOKUP(B479:B1001, Content_Creation!B:D, 3, FALSE),
    IFERROR(VLOOKUP(B479:B1001, Project_Management!B:D, 3, FALSE),"")
  )</f>
        <v>Upload</v>
      </c>
      <c r="F480" s="221" t="str">
        <f>IFERROR(VLOOKUP(B480, Content_Creation!B:F, 5, FALSE), IFERROR(VLOOKUP(B480, Project_Management!B:F, 5, FALSE), ""))</f>
        <v>Tazeen</v>
      </c>
      <c r="G480" s="222" t="s">
        <v>179</v>
      </c>
      <c r="H480" s="223">
        <f>IFERROR(VLOOKUP(B480, Content_Creation!B:H, 7, FALSE), IFERROR(VLOOKUP(B480, Project_Management!B:H, 7, FALSE), ""))</f>
        <v>45248</v>
      </c>
      <c r="I480" s="224">
        <v>0.0</v>
      </c>
      <c r="J480" s="223">
        <f>IFERROR(VLOOKUP(C480, Content_Creation!B:H, 7, FALSE), IFERROR(VLOOKUP(C480, Project_Management!B:H, 7, FALSE), ""))</f>
        <v>45248</v>
      </c>
      <c r="K480" s="217"/>
      <c r="L480" s="225" t="str">
        <f>IFERROR(VLOOKUP(B480, Data_Validation!X:Y, 2, FALSE), "")</f>
        <v>Not Started</v>
      </c>
      <c r="M480" s="226" t="str">
        <f t="shared" si="1"/>
        <v>TheMVP | Idea Pending - Tweet | Upload</v>
      </c>
      <c r="N480" s="226"/>
      <c r="O480" s="226"/>
    </row>
    <row r="481" ht="24.0" customHeight="1">
      <c r="A481" s="216" t="str">
        <f>IFERROR(__xludf.DUMMYFUNCTION("ARRAYFORMULA(IFERROR(VLOOKUP(REGEXEXTRACT(B481, ""-(\w+)-""), {Data_Validation!$F$16:$F$29, Data_Validation!$E$16:$E$29}, 2, FALSE), """"))
"),"TheMVP")</f>
        <v>TheMVP</v>
      </c>
      <c r="B481" s="217" t="str">
        <f>IFERROR(__xludf.DUMMYFUNCTION("""COMPUTED_VALUE"""),"CC-MVP-111.04")</f>
        <v>CC-MVP-111.04</v>
      </c>
      <c r="C481" s="218" t="str">
        <f>IFERROR(__xludf.DUMMYFUNCTION("IFERROR(REGEXEXTRACT(B481, ""^[A-Z]+-[A-Z]+-"") &amp; TEXT(VALUE(REGEXEXTRACT(B481, ""-(\d+)\."")), ""00""), """")"),"CC-MVP-111")</f>
        <v>CC-MVP-111</v>
      </c>
      <c r="D481" s="219" t="str">
        <f>IFERROR(VLOOKUP(C481, Content_Creation!B:D, 2, FALSE), IFERROR(VLOOKUP(C481, Project_Management!B:D, 2, FALSE), ""))
&amp; " - "
&amp; IFERROR(VLOOKUP(C481, Content_Creation!B:E, 4, FALSE), IFERROR(VLOOKUP(C481, Project_Management!B:E, 4, FALSE), ""))</f>
        <v>Workstation for AR Dev. - Linkedin</v>
      </c>
      <c r="E481" s="220" t="str">
        <f>IFERROR(
    VLOOKUP(B480:B1001, Content_Creation!B:D, 3, FALSE),
    IFERROR(VLOOKUP(B480:B1001, Project_Management!B:D, 3, FALSE),"")
  )</f>
        <v>Upload</v>
      </c>
      <c r="F481" s="221" t="str">
        <f>IFERROR(VLOOKUP(B481, Content_Creation!B:F, 5, FALSE), IFERROR(VLOOKUP(B481, Project_Management!B:F, 5, FALSE), ""))</f>
        <v>Nasser</v>
      </c>
      <c r="G481" s="222" t="s">
        <v>179</v>
      </c>
      <c r="H481" s="223">
        <f>IFERROR(VLOOKUP(B481, Content_Creation!B:H, 7, FALSE), IFERROR(VLOOKUP(B481, Project_Management!B:H, 7, FALSE), ""))</f>
        <v>45248</v>
      </c>
      <c r="I481" s="224">
        <v>0.0</v>
      </c>
      <c r="J481" s="223">
        <f>IFERROR(VLOOKUP(C481, Content_Creation!B:H, 7, FALSE), IFERROR(VLOOKUP(C481, Project_Management!B:H, 7, FALSE), ""))</f>
        <v>45248</v>
      </c>
      <c r="K481" s="217"/>
      <c r="L481" s="225" t="str">
        <f>IFERROR(VLOOKUP(B481, Data_Validation!X:Y, 2, FALSE), "")</f>
        <v>Not Started</v>
      </c>
      <c r="M481" s="226" t="str">
        <f t="shared" si="1"/>
        <v>TheMVP | Workstation for AR Dev. - Linkedin | Upload</v>
      </c>
      <c r="N481" s="226"/>
      <c r="O481" s="226"/>
    </row>
    <row r="482" ht="24.0" customHeight="1">
      <c r="A482" s="216" t="str">
        <f>IFERROR(__xludf.DUMMYFUNCTION("ARRAYFORMULA(IFERROR(VLOOKUP(REGEXEXTRACT(B482, ""-(\w+)-""), {Data_Validation!$F$16:$F$29, Data_Validation!$E$16:$E$29}, 2, FALSE), """"))
"),"TheMVP")</f>
        <v>TheMVP</v>
      </c>
      <c r="B482" s="217" t="str">
        <f>IFERROR(__xludf.DUMMYFUNCTION("""COMPUTED_VALUE"""),"CC-MVP-113.03")</f>
        <v>CC-MVP-113.03</v>
      </c>
      <c r="C482" s="218" t="str">
        <f>IFERROR(__xludf.DUMMYFUNCTION("IFERROR(REGEXEXTRACT(B482, ""^[A-Z]+-[A-Z]+-"") &amp; TEXT(VALUE(REGEXEXTRACT(B482, ""-(\d+)\."")), ""00""), """")"),"CC-MVP-113")</f>
        <v>CC-MVP-113</v>
      </c>
      <c r="D482" s="219" t="str">
        <f>IFERROR(VLOOKUP(C482, Content_Creation!B:D, 2, FALSE), IFERROR(VLOOKUP(C482, Project_Management!B:D, 2, FALSE), ""))
&amp; " - "
&amp; IFERROR(VLOOKUP(C482, Content_Creation!B:E, 4, FALSE), IFERROR(VLOOKUP(C482, Project_Management!B:E, 4, FALSE), ""))</f>
        <v>Build Photo - Enthoo Case - Insta</v>
      </c>
      <c r="E482" s="220" t="str">
        <f>IFERROR(
    VLOOKUP(B481:B1001, Content_Creation!B:D, 3, FALSE),
    IFERROR(VLOOKUP(B481:B1001, Project_Management!B:D, 3, FALSE),"")
  )</f>
        <v>Edit</v>
      </c>
      <c r="F482" s="221" t="str">
        <f>IFERROR(VLOOKUP(B482, Content_Creation!B:F, 5, FALSE), IFERROR(VLOOKUP(B482, Project_Management!B:F, 5, FALSE), ""))</f>
        <v>Naveen</v>
      </c>
      <c r="G482" s="222" t="s">
        <v>26</v>
      </c>
      <c r="H482" s="223">
        <f>IFERROR(VLOOKUP(B482, Content_Creation!B:H, 7, FALSE), IFERROR(VLOOKUP(B482, Project_Management!B:H, 7, FALSE), ""))</f>
        <v>45248</v>
      </c>
      <c r="I482" s="224">
        <v>0.0</v>
      </c>
      <c r="J482" s="223">
        <f>IFERROR(VLOOKUP(C482, Content_Creation!B:H, 7, FALSE), IFERROR(VLOOKUP(C482, Project_Management!B:H, 7, FALSE), ""))</f>
        <v>45249</v>
      </c>
      <c r="K482" s="217"/>
      <c r="L482" s="225" t="str">
        <f>IFERROR(VLOOKUP(B482, Data_Validation!X:Y, 2, FALSE), "")</f>
        <v>Not Started</v>
      </c>
      <c r="M482" s="226" t="str">
        <f t="shared" si="1"/>
        <v>TheMVP | Build Photo - Enthoo Case - Insta | Edit</v>
      </c>
      <c r="N482" s="226"/>
      <c r="O482" s="226"/>
    </row>
    <row r="483" ht="24.0" customHeight="1">
      <c r="A483" s="216" t="str">
        <f>IFERROR(__xludf.DUMMYFUNCTION("ARRAYFORMULA(IFERROR(VLOOKUP(REGEXEXTRACT(B483, ""-(\w+)-""), {Data_Validation!$F$16:$F$29, Data_Validation!$E$16:$E$29}, 2, FALSE), """"))
"),"TheMVP")</f>
        <v>TheMVP</v>
      </c>
      <c r="B483" s="217" t="str">
        <f>IFERROR(__xludf.DUMMYFUNCTION("""COMPUTED_VALUE"""),"CC-MVP-112.05")</f>
        <v>CC-MVP-112.05</v>
      </c>
      <c r="C483" s="218" t="str">
        <f>IFERROR(__xludf.DUMMYFUNCTION("IFERROR(REGEXEXTRACT(B483, ""^[A-Z]+-[A-Z]+-"") &amp; TEXT(VALUE(REGEXEXTRACT(B483, ""-(\d+)\."")), ""00""), """")"),"CC-MVP-112")</f>
        <v>CC-MVP-112</v>
      </c>
      <c r="D483" s="219" t="str">
        <f>IFERROR(VLOOKUP(C483, Content_Creation!B:D, 2, FALSE), IFERROR(VLOOKUP(C483, Project_Management!B:D, 2, FALSE), ""))
&amp; " - "
&amp; IFERROR(VLOOKUP(C483, Content_Creation!B:E, 4, FALSE), IFERROR(VLOOKUP(C483, Project_Management!B:E, 4, FALSE), ""))</f>
        <v>How CPU works in 60 seconds - Shorts</v>
      </c>
      <c r="E483" s="220" t="str">
        <f>IFERROR(
    VLOOKUP(B482:B1001, Content_Creation!B:D, 3, FALSE),
    IFERROR(VLOOKUP(B482:B1001, Project_Management!B:D, 3, FALSE),"")
  )</f>
        <v>Edit</v>
      </c>
      <c r="F483" s="221" t="str">
        <f>IFERROR(VLOOKUP(B483, Content_Creation!B:F, 5, FALSE), IFERROR(VLOOKUP(B483, Project_Management!B:F, 5, FALSE), ""))</f>
        <v>Akhil</v>
      </c>
      <c r="G483" s="222" t="s">
        <v>179</v>
      </c>
      <c r="H483" s="223">
        <f>IFERROR(VLOOKUP(B483, Content_Creation!B:H, 7, FALSE), IFERROR(VLOOKUP(B483, Project_Management!B:H, 7, FALSE), ""))</f>
        <v>45248</v>
      </c>
      <c r="I483" s="224">
        <v>0.0</v>
      </c>
      <c r="J483" s="223">
        <f>IFERROR(VLOOKUP(C483, Content_Creation!B:H, 7, FALSE), IFERROR(VLOOKUP(C483, Project_Management!B:H, 7, FALSE), ""))</f>
        <v>45250</v>
      </c>
      <c r="K483" s="217"/>
      <c r="L483" s="225" t="str">
        <f>IFERROR(VLOOKUP(B483, Data_Validation!X:Y, 2, FALSE), "")</f>
        <v>Not Started</v>
      </c>
      <c r="M483" s="226" t="str">
        <f t="shared" si="1"/>
        <v>TheMVP | How CPU works in 60 seconds - Shorts | Edit</v>
      </c>
      <c r="N483" s="226"/>
      <c r="O483" s="226"/>
    </row>
    <row r="484" ht="24.0" customHeight="1">
      <c r="A484" s="216" t="str">
        <f>IFERROR(__xludf.DUMMYFUNCTION("ARRAYFORMULA(IFERROR(VLOOKUP(REGEXEXTRACT(B484, ""-(\w+)-""), {Data_Validation!$F$16:$F$29, Data_Validation!$E$16:$E$29}, 2, FALSE), """"))
"),"TheMVP")</f>
        <v>TheMVP</v>
      </c>
      <c r="B484" s="217" t="str">
        <f>IFERROR(__xludf.DUMMYFUNCTION("""COMPUTED_VALUE"""),"CC-MVP-104.02")</f>
        <v>CC-MVP-104.02</v>
      </c>
      <c r="C484" s="218" t="str">
        <f>IFERROR(__xludf.DUMMYFUNCTION("IFERROR(REGEXEXTRACT(B484, ""^[A-Z]+-[A-Z]+-"") &amp; TEXT(VALUE(REGEXEXTRACT(B484, ""-(\d+)\."")), ""00""), """")"),"CC-MVP-104")</f>
        <v>CC-MVP-104</v>
      </c>
      <c r="D484" s="219" t="str">
        <f>IFERROR(VLOOKUP(C484, Content_Creation!B:D, 2, FALSE), IFERROR(VLOOKUP(C484, Project_Management!B:D, 2, FALSE), ""))
&amp; " - "
&amp; IFERROR(VLOOKUP(C484, Content_Creation!B:E, 4, FALSE), IFERROR(VLOOKUP(C484, Project_Management!B:E, 4, FALSE), ""))</f>
        <v>TrueNAS Setup - Linkedin</v>
      </c>
      <c r="E484" s="220" t="str">
        <f>IFERROR(
    VLOOKUP(B483:B1001, Content_Creation!B:D, 3, FALSE),
    IFERROR(VLOOKUP(B483:B1001, Project_Management!B:D, 3, FALSE),"")
  )</f>
        <v>Script</v>
      </c>
      <c r="F484" s="221" t="str">
        <f>IFERROR(VLOOKUP(B484, Content_Creation!B:F, 5, FALSE), IFERROR(VLOOKUP(B484, Project_Management!B:F, 5, FALSE), ""))</f>
        <v>Ahmer</v>
      </c>
      <c r="G484" s="222" t="s">
        <v>179</v>
      </c>
      <c r="H484" s="223">
        <f>IFERROR(VLOOKUP(B484, Content_Creation!B:H, 7, FALSE), IFERROR(VLOOKUP(B484, Project_Management!B:H, 7, FALSE), ""))</f>
        <v>45248</v>
      </c>
      <c r="I484" s="224">
        <v>0.0</v>
      </c>
      <c r="J484" s="223">
        <f>IFERROR(VLOOKUP(C484, Content_Creation!B:H, 7, FALSE), IFERROR(VLOOKUP(C484, Project_Management!B:H, 7, FALSE), ""))</f>
        <v>45250</v>
      </c>
      <c r="K484" s="217"/>
      <c r="L484" s="225" t="str">
        <f>IFERROR(VLOOKUP(B484, Data_Validation!X:Y, 2, FALSE), "")</f>
        <v>Not Started</v>
      </c>
      <c r="M484" s="226" t="str">
        <f t="shared" si="1"/>
        <v>TheMVP | TrueNAS Setup - Linkedin | Script</v>
      </c>
      <c r="N484" s="226"/>
      <c r="O484" s="226"/>
    </row>
    <row r="485" ht="24.0" customHeight="1">
      <c r="A485" s="216" t="str">
        <f>IFERROR(__xludf.DUMMYFUNCTION("ARRAYFORMULA(IFERROR(VLOOKUP(REGEXEXTRACT(B485, ""-(\w+)-""), {Data_Validation!$F$16:$F$29, Data_Validation!$E$16:$E$29}, 2, FALSE), """"))
"),"TheMVP")</f>
        <v>TheMVP</v>
      </c>
      <c r="B485" s="217" t="str">
        <f>IFERROR(__xludf.DUMMYFUNCTION("""COMPUTED_VALUE"""),"CC-MVP-93.02")</f>
        <v>CC-MVP-93.02</v>
      </c>
      <c r="C485" s="218" t="str">
        <f>IFERROR(__xludf.DUMMYFUNCTION("IFERROR(REGEXEXTRACT(B485, ""^[A-Z]+-[A-Z]+-"") &amp; TEXT(VALUE(REGEXEXTRACT(B485, ""-(\d+)\."")), ""00""), """")"),"CC-MVP-93")</f>
        <v>CC-MVP-93</v>
      </c>
      <c r="D485" s="219" t="str">
        <f>IFERROR(VLOOKUP(C485, Content_Creation!B:D, 2, FALSE), IFERROR(VLOOKUP(C485, Project_Management!B:D, 2, FALSE), ""))
&amp; " - "
&amp; IFERROR(VLOOKUP(C485, Content_Creation!B:E, 4, FALSE), IFERROR(VLOOKUP(C485, Project_Management!B:E, 4, FALSE), ""))</f>
        <v>Video Editing Category Review - YT Video</v>
      </c>
      <c r="E485" s="220" t="str">
        <f>IFERROR(
    VLOOKUP(B484:B1001, Content_Creation!B:D, 3, FALSE),
    IFERROR(VLOOKUP(B484:B1001, Project_Management!B:D, 3, FALSE),"")
  )</f>
        <v>Shoot</v>
      </c>
      <c r="F485" s="221" t="str">
        <f>IFERROR(VLOOKUP(B485, Content_Creation!B:F, 5, FALSE), IFERROR(VLOOKUP(B485, Project_Management!B:F, 5, FALSE), ""))</f>
        <v>Naveen</v>
      </c>
      <c r="G485" s="265" t="s">
        <v>388</v>
      </c>
      <c r="H485" s="223">
        <f>IFERROR(VLOOKUP(B485, Content_Creation!B:H, 7, FALSE), IFERROR(VLOOKUP(B485, Project_Management!B:H, 7, FALSE), ""))</f>
        <v>45248</v>
      </c>
      <c r="I485" s="224">
        <v>0.0</v>
      </c>
      <c r="J485" s="223">
        <f>IFERROR(VLOOKUP(C485, Content_Creation!B:H, 7, FALSE), IFERROR(VLOOKUP(C485, Project_Management!B:H, 7, FALSE), ""))</f>
        <v>45251</v>
      </c>
      <c r="K485" s="217"/>
      <c r="L485" s="225" t="str">
        <f>IFERROR(VLOOKUP(B485, Data_Validation!X:Y, 2, FALSE), "")</f>
        <v>Not Started</v>
      </c>
      <c r="M485" s="226" t="str">
        <f t="shared" si="1"/>
        <v>TheMVP | Video Editing Category Review - YT Video | Shoot</v>
      </c>
      <c r="N485" s="226"/>
      <c r="O485" s="226"/>
    </row>
    <row r="486" ht="24.0" customHeight="1">
      <c r="A486" s="216" t="str">
        <f>IFERROR(__xludf.DUMMYFUNCTION("ARRAYFORMULA(IFERROR(VLOOKUP(REGEXEXTRACT(B486, ""-(\w+)-""), {Data_Validation!$F$16:$F$29, Data_Validation!$E$16:$E$29}, 2, FALSE), """"))
"),"TheMVP")</f>
        <v>TheMVP</v>
      </c>
      <c r="B486" s="217" t="str">
        <f>IFERROR(__xludf.DUMMYFUNCTION("""COMPUTED_VALUE"""),"CC-MVP-109.01")</f>
        <v>CC-MVP-109.01</v>
      </c>
      <c r="C486" s="218" t="str">
        <f>IFERROR(__xludf.DUMMYFUNCTION("IFERROR(REGEXEXTRACT(B486, ""^[A-Z]+-[A-Z]+-"") &amp; TEXT(VALUE(REGEXEXTRACT(B486, ""-(\d+)\."")), ""00""), """")"),"CC-MVP-109")</f>
        <v>CC-MVP-109</v>
      </c>
      <c r="D486" s="219" t="str">
        <f>IFERROR(VLOOKUP(C486, Content_Creation!B:D, 2, FALSE), IFERROR(VLOOKUP(C486, Project_Management!B:D, 2, FALSE), ""))
&amp; " - "
&amp; IFERROR(VLOOKUP(C486, Content_Creation!B:E, 4, FALSE), IFERROR(VLOOKUP(C486, Project_Management!B:E, 4, FALSE), ""))</f>
        <v>Idea Pending - Tweet</v>
      </c>
      <c r="E486" s="220" t="str">
        <f>IFERROR(
    VLOOKUP(B485:B1001, Content_Creation!B:D, 3, FALSE),
    IFERROR(VLOOKUP(B485:B1001, Project_Management!B:D, 3, FALSE),"")
  )</f>
        <v>Script</v>
      </c>
      <c r="F486" s="221" t="str">
        <f>IFERROR(VLOOKUP(B486, Content_Creation!B:F, 5, FALSE), IFERROR(VLOOKUP(B486, Project_Management!B:F, 5, FALSE), ""))</f>
        <v>Tazeen</v>
      </c>
      <c r="G486" s="265" t="s">
        <v>388</v>
      </c>
      <c r="H486" s="223">
        <f>IFERROR(VLOOKUP(B486, Content_Creation!B:H, 7, FALSE), IFERROR(VLOOKUP(B486, Project_Management!B:H, 7, FALSE), ""))</f>
        <v>45248</v>
      </c>
      <c r="I486" s="224">
        <v>0.0</v>
      </c>
      <c r="J486" s="223">
        <f>IFERROR(VLOOKUP(C486, Content_Creation!B:H, 7, FALSE), IFERROR(VLOOKUP(C486, Project_Management!B:H, 7, FALSE), ""))</f>
        <v>45251</v>
      </c>
      <c r="K486" s="217"/>
      <c r="L486" s="225" t="str">
        <f>IFERROR(VLOOKUP(B486, Data_Validation!X:Y, 2, FALSE), "")</f>
        <v>Done</v>
      </c>
      <c r="M486" s="226" t="str">
        <f t="shared" si="1"/>
        <v>TheMVP | Idea Pending - Tweet | Script</v>
      </c>
      <c r="N486" s="226"/>
      <c r="O486" s="226"/>
    </row>
    <row r="487" ht="24.0" customHeight="1">
      <c r="A487" s="216" t="str">
        <f>IFERROR(__xludf.DUMMYFUNCTION("ARRAYFORMULA(IFERROR(VLOOKUP(REGEXEXTRACT(B487, ""-(\w+)-""), {Data_Validation!$F$16:$F$29, Data_Validation!$E$16:$E$29}, 2, FALSE), """"))
"),"TheMVP")</f>
        <v>TheMVP</v>
      </c>
      <c r="B487" s="217" t="str">
        <f>IFERROR(__xludf.DUMMYFUNCTION("""COMPUTED_VALUE"""),"CC-MVP-116.05")</f>
        <v>CC-MVP-116.05</v>
      </c>
      <c r="C487" s="218" t="str">
        <f>IFERROR(__xludf.DUMMYFUNCTION("IFERROR(REGEXEXTRACT(B487, ""^[A-Z]+-[A-Z]+-"") &amp; TEXT(VALUE(REGEXEXTRACT(B487, ""-(\d+)\."")), ""00""), """")"),"CC-MVP-116")</f>
        <v>CC-MVP-116</v>
      </c>
      <c r="D487" s="219" t="str">
        <f>IFERROR(VLOOKUP(C487, Content_Creation!B:D, 2, FALSE), IFERROR(VLOOKUP(C487, Project_Management!B:D, 2, FALSE), ""))
&amp; " - "
&amp; IFERROR(VLOOKUP(C487, Content_Creation!B:E, 4, FALSE), IFERROR(VLOOKUP(C487, Project_Management!B:E, 4, FALSE), ""))</f>
        <v>Enthoo Case Review - YT Video</v>
      </c>
      <c r="E487" s="220" t="str">
        <f>IFERROR(
    VLOOKUP(B486:B1001, Content_Creation!B:D, 3, FALSE),
    IFERROR(VLOOKUP(B486:B1001, Project_Management!B:D, 3, FALSE),"")
  )</f>
        <v>Edit</v>
      </c>
      <c r="F487" s="221" t="str">
        <f>IFERROR(VLOOKUP(B487, Content_Creation!B:F, 5, FALSE), IFERROR(VLOOKUP(B487, Project_Management!B:F, 5, FALSE), ""))</f>
        <v>Jayanth</v>
      </c>
      <c r="G487" s="222" t="s">
        <v>388</v>
      </c>
      <c r="H487" s="223">
        <f>IFERROR(VLOOKUP(B487, Content_Creation!B:H, 7, FALSE), IFERROR(VLOOKUP(B487, Project_Management!B:H, 7, FALSE), ""))</f>
        <v>45248.44312</v>
      </c>
      <c r="I487" s="224">
        <v>0.0</v>
      </c>
      <c r="J487" s="223">
        <f>IFERROR(VLOOKUP(C487, Content_Creation!B:H, 7, FALSE), IFERROR(VLOOKUP(C487, Project_Management!B:H, 7, FALSE), ""))</f>
        <v>45252.44312</v>
      </c>
      <c r="K487" s="217"/>
      <c r="L487" s="225" t="str">
        <f>IFERROR(VLOOKUP(B487, Data_Validation!X:Y, 2, FALSE), "")</f>
        <v>Not Started</v>
      </c>
      <c r="M487" s="226" t="str">
        <f t="shared" si="1"/>
        <v>TheMVP | Enthoo Case Review - YT Video | Edit</v>
      </c>
      <c r="N487" s="226"/>
      <c r="O487" s="226"/>
    </row>
    <row r="488" ht="24.0" customHeight="1">
      <c r="A488" s="216" t="str">
        <f>IFERROR(__xludf.DUMMYFUNCTION("ARRAYFORMULA(IFERROR(VLOOKUP(REGEXEXTRACT(B488, ""-(\w+)-""), {Data_Validation!$F$16:$F$29, Data_Validation!$E$16:$E$29}, 2, FALSE), """"))
"),"TheMVP")</f>
        <v>TheMVP</v>
      </c>
      <c r="B488" s="217" t="str">
        <f>IFERROR(__xludf.DUMMYFUNCTION("""COMPUTED_VALUE"""),"CC-MVP-118.05")</f>
        <v>CC-MVP-118.05</v>
      </c>
      <c r="C488" s="218" t="str">
        <f>IFERROR(__xludf.DUMMYFUNCTION("IFERROR(REGEXEXTRACT(B488, ""^[A-Z]+-[A-Z]+-"") &amp; TEXT(VALUE(REGEXEXTRACT(B488, ""-(\d+)\."")), ""00""), """")"),"CC-MVP-118")</f>
        <v>CC-MVP-118</v>
      </c>
      <c r="D488" s="219" t="str">
        <f>IFERROR(VLOOKUP(C488, Content_Creation!B:D, 2, FALSE), IFERROR(VLOOKUP(C488, Project_Management!B:D, 2, FALSE), ""))
&amp; " - "
&amp; IFERROR(VLOOKUP(C488, Content_Creation!B:E, 4, FALSE), IFERROR(VLOOKUP(C488, Project_Management!B:E, 4, FALSE), ""))</f>
        <v>Editing Category Downedit - Shorts</v>
      </c>
      <c r="E488" s="220" t="str">
        <f>IFERROR(
    VLOOKUP(B487:B1001, Content_Creation!B:D, 3, FALSE),
    IFERROR(VLOOKUP(B487:B1001, Project_Management!B:D, 3, FALSE),"")
  )</f>
        <v>Edit</v>
      </c>
      <c r="F488" s="221" t="str">
        <f>IFERROR(VLOOKUP(B488, Content_Creation!B:F, 5, FALSE), IFERROR(VLOOKUP(B488, Project_Management!B:F, 5, FALSE), ""))</f>
        <v/>
      </c>
      <c r="G488" s="222" t="s">
        <v>179</v>
      </c>
      <c r="H488" s="223">
        <f>IFERROR(VLOOKUP(B488, Content_Creation!B:H, 7, FALSE), IFERROR(VLOOKUP(B488, Project_Management!B:H, 7, FALSE), ""))</f>
        <v>45248.99818</v>
      </c>
      <c r="I488" s="224">
        <v>0.0</v>
      </c>
      <c r="J488" s="223">
        <f>IFERROR(VLOOKUP(C488, Content_Creation!B:H, 7, FALSE), IFERROR(VLOOKUP(C488, Project_Management!B:H, 7, FALSE), ""))</f>
        <v>45252.99818</v>
      </c>
      <c r="K488" s="217"/>
      <c r="L488" s="225" t="str">
        <f>IFERROR(VLOOKUP(B488, Data_Validation!X:Y, 2, FALSE), "")</f>
        <v>Not Started</v>
      </c>
      <c r="M488" s="226" t="str">
        <f t="shared" si="1"/>
        <v>TheMVP | Editing Category Downedit - Shorts | Edit</v>
      </c>
      <c r="N488" s="226"/>
      <c r="O488" s="226"/>
    </row>
    <row r="489" ht="24.0" customHeight="1">
      <c r="A489" s="216" t="str">
        <f>IFERROR(__xludf.DUMMYFUNCTION("ARRAYFORMULA(IFERROR(VLOOKUP(REGEXEXTRACT(B489, ""-(\w+)-""), {Data_Validation!$F$16:$F$29, Data_Validation!$E$16:$E$29}, 2, FALSE), """"))
"),"Colorful Tech")</f>
        <v>Colorful Tech</v>
      </c>
      <c r="B489" s="217" t="str">
        <f>IFERROR(__xludf.DUMMYFUNCTION("""COMPUTED_VALUE"""),"CC-CTH-20.07")</f>
        <v>CC-CTH-20.07</v>
      </c>
      <c r="C489" s="218" t="str">
        <f>IFERROR(__xludf.DUMMYFUNCTION("IFERROR(REGEXEXTRACT(B489, ""^[A-Z]+-[A-Z]+-"") &amp; TEXT(VALUE(REGEXEXTRACT(B489, ""-(\d+)\."")), ""00""), """")"),"CC-CTH-20")</f>
        <v>CC-CTH-20</v>
      </c>
      <c r="D489" s="219" t="str">
        <f>IFERROR(VLOOKUP(C489, Content_Creation!B:D, 2, FALSE), IFERROR(VLOOKUP(C489, Project_Management!B:D, 2, FALSE), ""))
&amp; " - "
&amp; IFERROR(VLOOKUP(C489, Content_Creation!B:E, 4, FALSE), IFERROR(VLOOKUP(C489, Project_Management!B:E, 4, FALSE), ""))</f>
        <v>When can you upgrade your GPU - Shorts</v>
      </c>
      <c r="E489" s="220" t="str">
        <f>IFERROR(
    VLOOKUP(B488:B1001, Content_Creation!B:D, 3, FALSE),
    IFERROR(VLOOKUP(B488:B1001, Project_Management!B:D, 3, FALSE),"")
  )</f>
        <v>Upload</v>
      </c>
      <c r="F489" s="221" t="str">
        <f>IFERROR(VLOOKUP(B489, Content_Creation!B:F, 5, FALSE), IFERROR(VLOOKUP(B489, Project_Management!B:F, 5, FALSE), ""))</f>
        <v>Talha</v>
      </c>
      <c r="G489" s="222" t="s">
        <v>388</v>
      </c>
      <c r="H489" s="223">
        <f>IFERROR(VLOOKUP(B489, Content_Creation!B:H, 7, FALSE), IFERROR(VLOOKUP(B489, Project_Management!B:H, 7, FALSE), ""))</f>
        <v>45248</v>
      </c>
      <c r="I489" s="224">
        <v>0.0</v>
      </c>
      <c r="J489" s="223">
        <f>IFERROR(VLOOKUP(C489, Content_Creation!B:H, 7, FALSE), IFERROR(VLOOKUP(C489, Project_Management!B:H, 7, FALSE), ""))</f>
        <v>45248</v>
      </c>
      <c r="K489" s="217"/>
      <c r="L489" s="225" t="str">
        <f>IFERROR(VLOOKUP(B489, Data_Validation!X:Y, 2, FALSE), "")</f>
        <v>Not Started</v>
      </c>
      <c r="M489" s="226" t="str">
        <f t="shared" si="1"/>
        <v>Colorful Tech | When can you upgrade your GPU - Shorts | Upload</v>
      </c>
      <c r="N489" s="226"/>
      <c r="O489" s="226"/>
    </row>
    <row r="490" ht="24.0" customHeight="1">
      <c r="A490" s="216" t="str">
        <f>IFERROR(__xludf.DUMMYFUNCTION("ARRAYFORMULA(IFERROR(VLOOKUP(REGEXEXTRACT(B490, ""-(\w+)-""), {Data_Validation!$F$16:$F$29, Data_Validation!$E$16:$E$29}, 2, FALSE), """"))
"),"MaCaw")</f>
        <v>MaCaw</v>
      </c>
      <c r="B490" s="217" t="str">
        <f>IFERROR(__xludf.DUMMYFUNCTION("""COMPUTED_VALUE"""),"PM-MAC-01.08")</f>
        <v>PM-MAC-01.08</v>
      </c>
      <c r="C490" s="218" t="str">
        <f>IFERROR(__xludf.DUMMYFUNCTION("IFERROR(REGEXEXTRACT(B490, ""^[A-Z]+-[A-Z]+-"") &amp; TEXT(VALUE(REGEXEXTRACT(B490, ""-(\d+)\."")), ""00""), """")"),"PM-MAC-01")</f>
        <v>PM-MAC-01</v>
      </c>
      <c r="D490" s="219" t="str">
        <f>IFERROR(VLOOKUP(C490, Content_Creation!B:D, 2, FALSE), IFERROR(VLOOKUP(C490, Project_Management!B:D, 2, FALSE), ""))
&amp; " - "
&amp; IFERROR(VLOOKUP(C490, Content_Creation!B:E, 4, FALSE), IFERROR(VLOOKUP(C490, Project_Management!B:E, 4, FALSE), ""))</f>
        <v>Web Dev + AdHoc - Website</v>
      </c>
      <c r="E490" s="220" t="str">
        <f>IFERROR(
    VLOOKUP(B489:B1001, Content_Creation!B:D, 3, FALSE),
    IFERROR(VLOOKUP(B489:B1001, Project_Management!B:D, 3, FALSE),"")
  )</f>
        <v>Home</v>
      </c>
      <c r="F490" s="221" t="str">
        <f>IFERROR(VLOOKUP(B490, Content_Creation!B:F, 5, FALSE), IFERROR(VLOOKUP(B490, Project_Management!B:F, 5, FALSE), ""))</f>
        <v>Talha</v>
      </c>
      <c r="G490" s="222" t="s">
        <v>179</v>
      </c>
      <c r="H490" s="223">
        <f>IFERROR(VLOOKUP(B490, Content_Creation!B:H, 7, FALSE), IFERROR(VLOOKUP(B490, Project_Management!B:H, 7, FALSE), ""))</f>
        <v>45248</v>
      </c>
      <c r="I490" s="224">
        <v>0.0</v>
      </c>
      <c r="J490" s="223">
        <f>IFERROR(VLOOKUP(C490, Content_Creation!B:H, 7, FALSE), IFERROR(VLOOKUP(C490, Project_Management!B:H, 7, FALSE), ""))</f>
        <v>45248</v>
      </c>
      <c r="K490" s="217"/>
      <c r="L490" s="225" t="str">
        <f>IFERROR(VLOOKUP(B490, Data_Validation!X:Y, 2, FALSE), "")</f>
        <v>In Review</v>
      </c>
      <c r="M490" s="226" t="str">
        <f t="shared" si="1"/>
        <v>MaCaw | Web Dev + AdHoc - Website | Home</v>
      </c>
      <c r="N490" s="226"/>
      <c r="O490" s="226"/>
    </row>
    <row r="491" ht="24.0" customHeight="1">
      <c r="A491" s="216" t="str">
        <f>IFERROR(__xludf.DUMMYFUNCTION("ARRAYFORMULA(IFERROR(VLOOKUP(REGEXEXTRACT(B491, ""-(\w+)-""), {Data_Validation!$F$16:$F$29, Data_Validation!$E$16:$E$29}, 2, FALSE), """"))
"),"MaCaw")</f>
        <v>MaCaw</v>
      </c>
      <c r="B491" s="217" t="str">
        <f>IFERROR(__xludf.DUMMYFUNCTION("""COMPUTED_VALUE"""),"PM-MAC-01.09")</f>
        <v>PM-MAC-01.09</v>
      </c>
      <c r="C491" s="218" t="str">
        <f>IFERROR(__xludf.DUMMYFUNCTION("IFERROR(REGEXEXTRACT(B491, ""^[A-Z]+-[A-Z]+-"") &amp; TEXT(VALUE(REGEXEXTRACT(B491, ""-(\d+)\."")), ""00""), """")"),"PM-MAC-01")</f>
        <v>PM-MAC-01</v>
      </c>
      <c r="D491" s="219" t="str">
        <f>IFERROR(VLOOKUP(C491, Content_Creation!B:D, 2, FALSE), IFERROR(VLOOKUP(C491, Project_Management!B:D, 2, FALSE), ""))
&amp; " - "
&amp; IFERROR(VLOOKUP(C491, Content_Creation!B:E, 4, FALSE), IFERROR(VLOOKUP(C491, Project_Management!B:E, 4, FALSE), ""))</f>
        <v>Web Dev + AdHoc - Website</v>
      </c>
      <c r="E491" s="220" t="str">
        <f>IFERROR(
    VLOOKUP(B490:B1001, Content_Creation!B:D, 3, FALSE),
    IFERROR(VLOOKUP(B490:B1001, Project_Management!B:D, 3, FALSE),"")
  )</f>
        <v>About-Us</v>
      </c>
      <c r="F491" s="221" t="str">
        <f>IFERROR(VLOOKUP(B491, Content_Creation!B:F, 5, FALSE), IFERROR(VLOOKUP(B491, Project_Management!B:F, 5, FALSE), ""))</f>
        <v>Talha</v>
      </c>
      <c r="G491" s="222" t="s">
        <v>179</v>
      </c>
      <c r="H491" s="223">
        <f>IFERROR(VLOOKUP(B491, Content_Creation!B:H, 7, FALSE), IFERROR(VLOOKUP(B491, Project_Management!B:H, 7, FALSE), ""))</f>
        <v>45248</v>
      </c>
      <c r="I491" s="224">
        <v>0.0</v>
      </c>
      <c r="J491" s="223">
        <f>IFERROR(VLOOKUP(C491, Content_Creation!B:H, 7, FALSE), IFERROR(VLOOKUP(C491, Project_Management!B:H, 7, FALSE), ""))</f>
        <v>45248</v>
      </c>
      <c r="K491" s="217"/>
      <c r="L491" s="225" t="str">
        <f>IFERROR(VLOOKUP(B491, Data_Validation!X:Y, 2, FALSE), "")</f>
        <v>In Review</v>
      </c>
      <c r="M491" s="226" t="str">
        <f t="shared" si="1"/>
        <v>MaCaw | Web Dev + AdHoc - Website | About-Us</v>
      </c>
      <c r="N491" s="226"/>
      <c r="O491" s="226"/>
    </row>
    <row r="492" ht="24.0" customHeight="1">
      <c r="A492" s="216" t="str">
        <f>IFERROR(__xludf.DUMMYFUNCTION("ARRAYFORMULA(IFERROR(VLOOKUP(REGEXEXTRACT(B492, ""-(\w+)-""), {Data_Validation!$F$16:$F$29, Data_Validation!$E$16:$E$29}, 2, FALSE), """"))
"),"MaCaw")</f>
        <v>MaCaw</v>
      </c>
      <c r="B492" s="217" t="str">
        <f>IFERROR(__xludf.DUMMYFUNCTION("""COMPUTED_VALUE"""),"PM-MAC-01.10")</f>
        <v>PM-MAC-01.10</v>
      </c>
      <c r="C492" s="218" t="str">
        <f>IFERROR(__xludf.DUMMYFUNCTION("IFERROR(REGEXEXTRACT(B492, ""^[A-Z]+-[A-Z]+-"") &amp; TEXT(VALUE(REGEXEXTRACT(B492, ""-(\d+)\."")), ""00""), """")"),"PM-MAC-01")</f>
        <v>PM-MAC-01</v>
      </c>
      <c r="D492" s="219" t="str">
        <f>IFERROR(VLOOKUP(C492, Content_Creation!B:D, 2, FALSE), IFERROR(VLOOKUP(C492, Project_Management!B:D, 2, FALSE), ""))
&amp; " - "
&amp; IFERROR(VLOOKUP(C492, Content_Creation!B:E, 4, FALSE), IFERROR(VLOOKUP(C492, Project_Management!B:E, 4, FALSE), ""))</f>
        <v>Web Dev + AdHoc - Website</v>
      </c>
      <c r="E492" s="220" t="str">
        <f>IFERROR(
    VLOOKUP(B491:B1001, Content_Creation!B:D, 3, FALSE),
    IFERROR(VLOOKUP(B491:B1001, Project_Management!B:D, 3, FALSE),"")
  )</f>
        <v>Contact</v>
      </c>
      <c r="F492" s="221" t="str">
        <f>IFERROR(VLOOKUP(B492, Content_Creation!B:F, 5, FALSE), IFERROR(VLOOKUP(B492, Project_Management!B:F, 5, FALSE), ""))</f>
        <v>Talha</v>
      </c>
      <c r="G492" s="222" t="s">
        <v>179</v>
      </c>
      <c r="H492" s="223">
        <f>IFERROR(VLOOKUP(B492, Content_Creation!B:H, 7, FALSE), IFERROR(VLOOKUP(B492, Project_Management!B:H, 7, FALSE), ""))</f>
        <v>45248</v>
      </c>
      <c r="I492" s="224">
        <v>0.0</v>
      </c>
      <c r="J492" s="223">
        <f>IFERROR(VLOOKUP(C492, Content_Creation!B:H, 7, FALSE), IFERROR(VLOOKUP(C492, Project_Management!B:H, 7, FALSE), ""))</f>
        <v>45248</v>
      </c>
      <c r="K492" s="217"/>
      <c r="L492" s="225" t="str">
        <f>IFERROR(VLOOKUP(B492, Data_Validation!X:Y, 2, FALSE), "")</f>
        <v>In Review</v>
      </c>
      <c r="M492" s="226" t="str">
        <f t="shared" si="1"/>
        <v>MaCaw | Web Dev + AdHoc - Website | Contact</v>
      </c>
      <c r="N492" s="226"/>
      <c r="O492" s="226"/>
    </row>
    <row r="493" ht="24.0" customHeight="1">
      <c r="A493" s="216" t="str">
        <f>IFERROR(__xludf.DUMMYFUNCTION("ARRAYFORMULA(IFERROR(VLOOKUP(REGEXEXTRACT(B493, ""-(\w+)-""), {Data_Validation!$F$16:$F$29, Data_Validation!$E$16:$E$29}, 2, FALSE), """"))
"),"MaCaw")</f>
        <v>MaCaw</v>
      </c>
      <c r="B493" s="217" t="str">
        <f>IFERROR(__xludf.DUMMYFUNCTION("""COMPUTED_VALUE"""),"PM-MAC-01.11")</f>
        <v>PM-MAC-01.11</v>
      </c>
      <c r="C493" s="218" t="str">
        <f>IFERROR(__xludf.DUMMYFUNCTION("IFERROR(REGEXEXTRACT(B493, ""^[A-Z]+-[A-Z]+-"") &amp; TEXT(VALUE(REGEXEXTRACT(B493, ""-(\d+)\."")), ""00""), """")"),"PM-MAC-01")</f>
        <v>PM-MAC-01</v>
      </c>
      <c r="D493" s="219" t="str">
        <f>IFERROR(VLOOKUP(C493, Content_Creation!B:D, 2, FALSE), IFERROR(VLOOKUP(C493, Project_Management!B:D, 2, FALSE), ""))
&amp; " - "
&amp; IFERROR(VLOOKUP(C493, Content_Creation!B:E, 4, FALSE), IFERROR(VLOOKUP(C493, Project_Management!B:E, 4, FALSE), ""))</f>
        <v>Web Dev + AdHoc - Website</v>
      </c>
      <c r="E493" s="220" t="str">
        <f>IFERROR(
    VLOOKUP(B492:B1001, Content_Creation!B:D, 3, FALSE),
    IFERROR(VLOOKUP(B492:B1001, Project_Management!B:D, 3, FALSE),"")
  )</f>
        <v>Courses</v>
      </c>
      <c r="F493" s="221" t="str">
        <f>IFERROR(VLOOKUP(B493, Content_Creation!B:F, 5, FALSE), IFERROR(VLOOKUP(B493, Project_Management!B:F, 5, FALSE), ""))</f>
        <v>Talha</v>
      </c>
      <c r="G493" s="222" t="s">
        <v>179</v>
      </c>
      <c r="H493" s="223">
        <f>IFERROR(VLOOKUP(B493, Content_Creation!B:H, 7, FALSE), IFERROR(VLOOKUP(B493, Project_Management!B:H, 7, FALSE), ""))</f>
        <v>45248</v>
      </c>
      <c r="I493" s="224">
        <v>0.0</v>
      </c>
      <c r="J493" s="223">
        <f>IFERROR(VLOOKUP(C493, Content_Creation!B:H, 7, FALSE), IFERROR(VLOOKUP(C493, Project_Management!B:H, 7, FALSE), ""))</f>
        <v>45248</v>
      </c>
      <c r="K493" s="217"/>
      <c r="L493" s="225" t="str">
        <f>IFERROR(VLOOKUP(B493, Data_Validation!X:Y, 2, FALSE), "")</f>
        <v>In Review</v>
      </c>
      <c r="M493" s="226" t="str">
        <f t="shared" si="1"/>
        <v>MaCaw | Web Dev + AdHoc - Website | Courses</v>
      </c>
      <c r="N493" s="226"/>
      <c r="O493" s="226"/>
    </row>
    <row r="494" ht="24.0" customHeight="1">
      <c r="A494" s="216" t="str">
        <f>IFERROR(__xludf.DUMMYFUNCTION("ARRAYFORMULA(IFERROR(VLOOKUP(REGEXEXTRACT(B494, ""-(\w+)-""), {Data_Validation!$F$16:$F$29, Data_Validation!$E$16:$E$29}, 2, FALSE), """"))
"),"MaCaw")</f>
        <v>MaCaw</v>
      </c>
      <c r="B494" s="217" t="str">
        <f>IFERROR(__xludf.DUMMYFUNCTION("""COMPUTED_VALUE"""),"PM-MAC-01.12")</f>
        <v>PM-MAC-01.12</v>
      </c>
      <c r="C494" s="218" t="str">
        <f>IFERROR(__xludf.DUMMYFUNCTION("IFERROR(REGEXEXTRACT(B494, ""^[A-Z]+-[A-Z]+-"") &amp; TEXT(VALUE(REGEXEXTRACT(B494, ""-(\d+)\."")), ""00""), """")"),"PM-MAC-01")</f>
        <v>PM-MAC-01</v>
      </c>
      <c r="D494" s="219" t="str">
        <f>IFERROR(VLOOKUP(C494, Content_Creation!B:D, 2, FALSE), IFERROR(VLOOKUP(C494, Project_Management!B:D, 2, FALSE), ""))
&amp; " - "
&amp; IFERROR(VLOOKUP(C494, Content_Creation!B:E, 4, FALSE), IFERROR(VLOOKUP(C494, Project_Management!B:E, 4, FALSE), ""))</f>
        <v>Web Dev + AdHoc - Website</v>
      </c>
      <c r="E494" s="220" t="str">
        <f>IFERROR(
    VLOOKUP(B493:B1001, Content_Creation!B:D, 3, FALSE),
    IFERROR(VLOOKUP(B493:B1001, Project_Management!B:D, 3, FALSE),"")
  )</f>
        <v>Blogs</v>
      </c>
      <c r="F494" s="221" t="str">
        <f>IFERROR(VLOOKUP(B494, Content_Creation!B:F, 5, FALSE), IFERROR(VLOOKUP(B494, Project_Management!B:F, 5, FALSE), ""))</f>
        <v>Talha</v>
      </c>
      <c r="G494" s="222" t="s">
        <v>179</v>
      </c>
      <c r="H494" s="223">
        <f>IFERROR(VLOOKUP(B494, Content_Creation!B:H, 7, FALSE), IFERROR(VLOOKUP(B494, Project_Management!B:H, 7, FALSE), ""))</f>
        <v>45248</v>
      </c>
      <c r="I494" s="224">
        <v>0.0</v>
      </c>
      <c r="J494" s="223">
        <f>IFERROR(VLOOKUP(C494, Content_Creation!B:H, 7, FALSE), IFERROR(VLOOKUP(C494, Project_Management!B:H, 7, FALSE), ""))</f>
        <v>45248</v>
      </c>
      <c r="K494" s="217"/>
      <c r="L494" s="225" t="str">
        <f>IFERROR(VLOOKUP(B494, Data_Validation!X:Y, 2, FALSE), "")</f>
        <v>In Review</v>
      </c>
      <c r="M494" s="226" t="str">
        <f t="shared" si="1"/>
        <v>MaCaw | Web Dev + AdHoc - Website | Blogs</v>
      </c>
      <c r="N494" s="226"/>
      <c r="O494" s="226"/>
    </row>
    <row r="495" ht="24.0" customHeight="1">
      <c r="A495" s="216" t="str">
        <f>IFERROR(__xludf.DUMMYFUNCTION("ARRAYFORMULA(IFERROR(VLOOKUP(REGEXEXTRACT(B495, ""-(\w+)-""), {Data_Validation!$F$16:$F$29, Data_Validation!$E$16:$E$29}, 2, FALSE), """"))
"),"MotoYard")</f>
        <v>MotoYard</v>
      </c>
      <c r="B495" s="217" t="str">
        <f>IFERROR(__xludf.DUMMYFUNCTION("""COMPUTED_VALUE"""),"PM-MYD-01.05")</f>
        <v>PM-MYD-01.05</v>
      </c>
      <c r="C495" s="218" t="str">
        <f>IFERROR(__xludf.DUMMYFUNCTION("IFERROR(REGEXEXTRACT(B495, ""^[A-Z]+-[A-Z]+-"") &amp; TEXT(VALUE(REGEXEXTRACT(B495, ""-(\d+)\."")), ""00""), """")"),"PM-MYD-01")</f>
        <v>PM-MYD-01</v>
      </c>
      <c r="D495" s="219" t="str">
        <f>IFERROR(VLOOKUP(C495, Content_Creation!B:D, 2, FALSE), IFERROR(VLOOKUP(C495, Project_Management!B:D, 2, FALSE), ""))
&amp; " - "
&amp; IFERROR(VLOOKUP(C495, Content_Creation!B:E, 4, FALSE), IFERROR(VLOOKUP(C495, Project_Management!B:E, 4, FALSE), ""))</f>
        <v>Logo &amp; Branding - Graphics</v>
      </c>
      <c r="E495" s="220" t="str">
        <f>IFERROR(
    VLOOKUP(B494:B1001, Content_Creation!B:D, 3, FALSE),
    IFERROR(VLOOKUP(B494:B1001, Project_Management!B:D, 3, FALSE),"")
  )</f>
        <v>Branding &amp; Delivery</v>
      </c>
      <c r="F495" s="221" t="str">
        <f>IFERROR(VLOOKUP(B495, Content_Creation!B:F, 5, FALSE), IFERROR(VLOOKUP(B495, Project_Management!B:F, 5, FALSE), ""))</f>
        <v>Nasser</v>
      </c>
      <c r="G495" s="222" t="s">
        <v>179</v>
      </c>
      <c r="H495" s="223">
        <f>IFERROR(VLOOKUP(B495, Content_Creation!B:H, 7, FALSE), IFERROR(VLOOKUP(B495, Project_Management!B:H, 7, FALSE), ""))</f>
        <v>45248</v>
      </c>
      <c r="I495" s="224">
        <v>0.0</v>
      </c>
      <c r="J495" s="223">
        <f>IFERROR(VLOOKUP(C495, Content_Creation!B:H, 7, FALSE), IFERROR(VLOOKUP(C495, Project_Management!B:H, 7, FALSE), ""))</f>
        <v>45248</v>
      </c>
      <c r="K495" s="217"/>
      <c r="L495" s="225" t="str">
        <f>IFERROR(VLOOKUP(B495, Data_Validation!X:Y, 2, FALSE), "")</f>
        <v>Not Started</v>
      </c>
      <c r="M495" s="226" t="str">
        <f t="shared" si="1"/>
        <v>MotoYard | Logo &amp; Branding - Graphics | Branding &amp; Delivery</v>
      </c>
      <c r="N495" s="226"/>
      <c r="O495" s="226"/>
    </row>
    <row r="496" ht="24.0" customHeight="1">
      <c r="A496" s="216" t="str">
        <f>IFERROR(__xludf.DUMMYFUNCTION("ARRAYFORMULA(IFERROR(VLOOKUP(REGEXEXTRACT(B496, ""-(\w+)-""), {Data_Validation!$F$16:$F$29, Data_Validation!$E$16:$E$29}, 2, FALSE), """"))
"),"TheMVP")</f>
        <v>TheMVP</v>
      </c>
      <c r="B496" s="217" t="str">
        <f>IFERROR(__xludf.DUMMYFUNCTION("""COMPUTED_VALUE"""),"CC-MVP-113.04")</f>
        <v>CC-MVP-113.04</v>
      </c>
      <c r="C496" s="218" t="str">
        <f>IFERROR(__xludf.DUMMYFUNCTION("IFERROR(REGEXEXTRACT(B496, ""^[A-Z]+-[A-Z]+-"") &amp; TEXT(VALUE(REGEXEXTRACT(B496, ""-(\d+)\."")), ""00""), """")"),"CC-MVP-113")</f>
        <v>CC-MVP-113</v>
      </c>
      <c r="D496" s="219" t="str">
        <f>IFERROR(VLOOKUP(C496, Content_Creation!B:D, 2, FALSE), IFERROR(VLOOKUP(C496, Project_Management!B:D, 2, FALSE), ""))
&amp; " - "
&amp; IFERROR(VLOOKUP(C496, Content_Creation!B:E, 4, FALSE), IFERROR(VLOOKUP(C496, Project_Management!B:E, 4, FALSE), ""))</f>
        <v>Build Photo - Enthoo Case - Insta</v>
      </c>
      <c r="E496" s="220" t="str">
        <f>IFERROR(
    VLOOKUP(B495:B1001, Content_Creation!B:D, 3, FALSE),
    IFERROR(VLOOKUP(B495:B1001, Project_Management!B:D, 3, FALSE),"")
  )</f>
        <v>Upload</v>
      </c>
      <c r="F496" s="221" t="str">
        <f>IFERROR(VLOOKUP(B496, Content_Creation!B:F, 5, FALSE), IFERROR(VLOOKUP(B496, Project_Management!B:F, 5, FALSE), ""))</f>
        <v>Naveen</v>
      </c>
      <c r="G496" s="222" t="s">
        <v>179</v>
      </c>
      <c r="H496" s="223">
        <f>IFERROR(VLOOKUP(B496, Content_Creation!B:H, 7, FALSE), IFERROR(VLOOKUP(B496, Project_Management!B:H, 7, FALSE), ""))</f>
        <v>45249</v>
      </c>
      <c r="I496" s="224">
        <v>0.0</v>
      </c>
      <c r="J496" s="223">
        <f>IFERROR(VLOOKUP(C496, Content_Creation!B:H, 7, FALSE), IFERROR(VLOOKUP(C496, Project_Management!B:H, 7, FALSE), ""))</f>
        <v>45249</v>
      </c>
      <c r="K496" s="217"/>
      <c r="L496" s="225" t="str">
        <f>IFERROR(VLOOKUP(B496, Data_Validation!X:Y, 2, FALSE), "")</f>
        <v>Not Started</v>
      </c>
      <c r="M496" s="226" t="str">
        <f t="shared" si="1"/>
        <v>TheMVP | Build Photo - Enthoo Case - Insta | Upload</v>
      </c>
      <c r="N496" s="226"/>
      <c r="O496" s="226"/>
    </row>
    <row r="497" ht="24.0" customHeight="1">
      <c r="A497" s="216" t="str">
        <f>IFERROR(__xludf.DUMMYFUNCTION("ARRAYFORMULA(IFERROR(VLOOKUP(REGEXEXTRACT(B497, ""-(\w+)-""), {Data_Validation!$F$16:$F$29, Data_Validation!$E$16:$E$29}, 2, FALSE), """"))
"),"TheMVP")</f>
        <v>TheMVP</v>
      </c>
      <c r="B497" s="217" t="str">
        <f>IFERROR(__xludf.DUMMYFUNCTION("""COMPUTED_VALUE"""),"CC-MVP-112.06")</f>
        <v>CC-MVP-112.06</v>
      </c>
      <c r="C497" s="218" t="str">
        <f>IFERROR(__xludf.DUMMYFUNCTION("IFERROR(REGEXEXTRACT(B497, ""^[A-Z]+-[A-Z]+-"") &amp; TEXT(VALUE(REGEXEXTRACT(B497, ""-(\d+)\."")), ""00""), """")"),"CC-MVP-112")</f>
        <v>CC-MVP-112</v>
      </c>
      <c r="D497" s="219" t="str">
        <f>IFERROR(VLOOKUP(C497, Content_Creation!B:D, 2, FALSE), IFERROR(VLOOKUP(C497, Project_Management!B:D, 2, FALSE), ""))
&amp; " - "
&amp; IFERROR(VLOOKUP(C497, Content_Creation!B:E, 4, FALSE), IFERROR(VLOOKUP(C497, Project_Management!B:E, 4, FALSE), ""))</f>
        <v>How CPU works in 60 seconds - Shorts</v>
      </c>
      <c r="E497" s="220" t="str">
        <f>IFERROR(
    VLOOKUP(B496:B1001, Content_Creation!B:D, 3, FALSE),
    IFERROR(VLOOKUP(B496:B1001, Project_Management!B:D, 3, FALSE),"")
  )</f>
        <v>Thumbnail</v>
      </c>
      <c r="F497" s="221" t="str">
        <f>IFERROR(VLOOKUP(B497, Content_Creation!B:F, 5, FALSE), IFERROR(VLOOKUP(B497, Project_Management!B:F, 5, FALSE), ""))</f>
        <v>Naveen</v>
      </c>
      <c r="G497" s="222" t="s">
        <v>179</v>
      </c>
      <c r="H497" s="223">
        <f>IFERROR(VLOOKUP(B497, Content_Creation!B:H, 7, FALSE), IFERROR(VLOOKUP(B497, Project_Management!B:H, 7, FALSE), ""))</f>
        <v>45249</v>
      </c>
      <c r="I497" s="224">
        <v>0.0</v>
      </c>
      <c r="J497" s="223">
        <f>IFERROR(VLOOKUP(C497, Content_Creation!B:H, 7, FALSE), IFERROR(VLOOKUP(C497, Project_Management!B:H, 7, FALSE), ""))</f>
        <v>45250</v>
      </c>
      <c r="K497" s="217"/>
      <c r="L497" s="225" t="str">
        <f>IFERROR(VLOOKUP(B497, Data_Validation!X:Y, 2, FALSE), "")</f>
        <v>Not Started</v>
      </c>
      <c r="M497" s="226" t="str">
        <f t="shared" si="1"/>
        <v>TheMVP | How CPU works in 60 seconds - Shorts | Thumbnail</v>
      </c>
      <c r="N497" s="226"/>
      <c r="O497" s="226"/>
    </row>
    <row r="498" ht="24.0" customHeight="1">
      <c r="A498" s="216" t="str">
        <f>IFERROR(__xludf.DUMMYFUNCTION("ARRAYFORMULA(IFERROR(VLOOKUP(REGEXEXTRACT(B498, ""-(\w+)-""), {Data_Validation!$F$16:$F$29, Data_Validation!$E$16:$E$29}, 2, FALSE), """"))
"),"TheMVP")</f>
        <v>TheMVP</v>
      </c>
      <c r="B498" s="217" t="str">
        <f>IFERROR(__xludf.DUMMYFUNCTION("""COMPUTED_VALUE"""),"CC-MVP-93.03")</f>
        <v>CC-MVP-93.03</v>
      </c>
      <c r="C498" s="218" t="str">
        <f>IFERROR(__xludf.DUMMYFUNCTION("IFERROR(REGEXEXTRACT(B498, ""^[A-Z]+-[A-Z]+-"") &amp; TEXT(VALUE(REGEXEXTRACT(B498, ""-(\d+)\."")), ""00""), """")"),"CC-MVP-93")</f>
        <v>CC-MVP-93</v>
      </c>
      <c r="D498" s="219" t="str">
        <f>IFERROR(VLOOKUP(C498, Content_Creation!B:D, 2, FALSE), IFERROR(VLOOKUP(C498, Project_Management!B:D, 2, FALSE), ""))
&amp; " - "
&amp; IFERROR(VLOOKUP(C498, Content_Creation!B:E, 4, FALSE), IFERROR(VLOOKUP(C498, Project_Management!B:E, 4, FALSE), ""))</f>
        <v>Video Editing Category Review - YT Video</v>
      </c>
      <c r="E498" s="220" t="str">
        <f>IFERROR(
    VLOOKUP(B497:B1001, Content_Creation!B:D, 3, FALSE),
    IFERROR(VLOOKUP(B497:B1001, Project_Management!B:D, 3, FALSE),"")
  )</f>
        <v>Editor Notes</v>
      </c>
      <c r="F498" s="221" t="str">
        <f>IFERROR(VLOOKUP(B498, Content_Creation!B:F, 5, FALSE), IFERROR(VLOOKUP(B498, Project_Management!B:F, 5, FALSE), ""))</f>
        <v>Tazeen</v>
      </c>
      <c r="G498" s="222" t="s">
        <v>179</v>
      </c>
      <c r="H498" s="223">
        <f>IFERROR(VLOOKUP(B498, Content_Creation!B:H, 7, FALSE), IFERROR(VLOOKUP(B498, Project_Management!B:H, 7, FALSE), ""))</f>
        <v>45249</v>
      </c>
      <c r="I498" s="224">
        <v>0.0</v>
      </c>
      <c r="J498" s="223">
        <f>IFERROR(VLOOKUP(C498, Content_Creation!B:H, 7, FALSE), IFERROR(VLOOKUP(C498, Project_Management!B:H, 7, FALSE), ""))</f>
        <v>45251</v>
      </c>
      <c r="K498" s="217"/>
      <c r="L498" s="225" t="str">
        <f>IFERROR(VLOOKUP(B498, Data_Validation!X:Y, 2, FALSE), "")</f>
        <v>Not Started</v>
      </c>
      <c r="M498" s="226" t="str">
        <f t="shared" si="1"/>
        <v>TheMVP | Video Editing Category Review - YT Video | Editor Notes</v>
      </c>
      <c r="N498" s="226"/>
      <c r="O498" s="226"/>
    </row>
    <row r="499" ht="24.0" customHeight="1">
      <c r="A499" s="216" t="str">
        <f>IFERROR(__xludf.DUMMYFUNCTION("ARRAYFORMULA(IFERROR(VLOOKUP(REGEXEXTRACT(B499, ""-(\w+)-""), {Data_Validation!$F$16:$F$29, Data_Validation!$E$16:$E$29}, 2, FALSE), """"))
"),"TheMVP")</f>
        <v>TheMVP</v>
      </c>
      <c r="B499" s="217" t="str">
        <f>IFERROR(__xludf.DUMMYFUNCTION("""COMPUTED_VALUE"""),"CC-MVP-109.03")</f>
        <v>CC-MVP-109.03</v>
      </c>
      <c r="C499" s="218" t="str">
        <f>IFERROR(__xludf.DUMMYFUNCTION("IFERROR(REGEXEXTRACT(B499, ""^[A-Z]+-[A-Z]+-"") &amp; TEXT(VALUE(REGEXEXTRACT(B499, ""-(\d+)\."")), ""00""), """")"),"CC-MVP-109")</f>
        <v>CC-MVP-109</v>
      </c>
      <c r="D499" s="219" t="str">
        <f>IFERROR(VLOOKUP(C499, Content_Creation!B:D, 2, FALSE), IFERROR(VLOOKUP(C499, Project_Management!B:D, 2, FALSE), ""))
&amp; " - "
&amp; IFERROR(VLOOKUP(C499, Content_Creation!B:E, 4, FALSE), IFERROR(VLOOKUP(C499, Project_Management!B:E, 4, FALSE), ""))</f>
        <v>Idea Pending - Tweet</v>
      </c>
      <c r="E499" s="220" t="str">
        <f>IFERROR(
    VLOOKUP(B498:B1001, Content_Creation!B:D, 3, FALSE),
    IFERROR(VLOOKUP(B498:B1001, Project_Management!B:D, 3, FALSE),"")
  )</f>
        <v>Editor Notes</v>
      </c>
      <c r="F499" s="221" t="str">
        <f>IFERROR(VLOOKUP(B499, Content_Creation!B:F, 5, FALSE), IFERROR(VLOOKUP(B499, Project_Management!B:F, 5, FALSE), ""))</f>
        <v>Tazeen</v>
      </c>
      <c r="G499" s="222" t="s">
        <v>179</v>
      </c>
      <c r="H499" s="223">
        <f>IFERROR(VLOOKUP(B499, Content_Creation!B:H, 7, FALSE), IFERROR(VLOOKUP(B499, Project_Management!B:H, 7, FALSE), ""))</f>
        <v>45249</v>
      </c>
      <c r="I499" s="224">
        <v>0.0</v>
      </c>
      <c r="J499" s="223">
        <f>IFERROR(VLOOKUP(C499, Content_Creation!B:H, 7, FALSE), IFERROR(VLOOKUP(C499, Project_Management!B:H, 7, FALSE), ""))</f>
        <v>45251</v>
      </c>
      <c r="K499" s="217"/>
      <c r="L499" s="225" t="str">
        <f>IFERROR(VLOOKUP(B499, Data_Validation!X:Y, 2, FALSE), "")</f>
        <v>Not Started</v>
      </c>
      <c r="M499" s="226" t="str">
        <f t="shared" si="1"/>
        <v>TheMVP | Idea Pending - Tweet | Editor Notes</v>
      </c>
      <c r="N499" s="226"/>
      <c r="O499" s="226"/>
    </row>
    <row r="500" ht="24.0" customHeight="1">
      <c r="A500" s="216" t="str">
        <f>IFERROR(__xludf.DUMMYFUNCTION("ARRAYFORMULA(IFERROR(VLOOKUP(REGEXEXTRACT(B500, ""-(\w+)-""), {Data_Validation!$F$16:$F$29, Data_Validation!$E$16:$E$29}, 2, FALSE), """"))
"),"Colorful Tech")</f>
        <v>Colorful Tech</v>
      </c>
      <c r="B500" s="217" t="str">
        <f>IFERROR(__xludf.DUMMYFUNCTION("""COMPUTED_VALUE"""),"CC-CTH-21.04")</f>
        <v>CC-CTH-21.04</v>
      </c>
      <c r="C500" s="218" t="str">
        <f>IFERROR(__xludf.DUMMYFUNCTION("IFERROR(REGEXEXTRACT(B500, ""^[A-Z]+-[A-Z]+-"") &amp; TEXT(VALUE(REGEXEXTRACT(B500, ""-(\d+)\."")), ""00""), """")"),"CC-CTH-21")</f>
        <v>CC-CTH-21</v>
      </c>
      <c r="D500" s="219" t="str">
        <f>IFERROR(VLOOKUP(C500, Content_Creation!B:D, 2, FALSE), IFERROR(VLOOKUP(C500, Project_Management!B:D, 2, FALSE), ""))
&amp; " - "
&amp; IFERROR(VLOOKUP(C500, Content_Creation!B:E, 4, FALSE), IFERROR(VLOOKUP(C500, Project_Management!B:E, 4, FALSE), ""))</f>
        <v>Product Showcase - Insta</v>
      </c>
      <c r="E500" s="220" t="str">
        <f>IFERROR(
    VLOOKUP(B499:B1001, Content_Creation!B:D, 3, FALSE),
    IFERROR(VLOOKUP(B499:B1001, Project_Management!B:D, 3, FALSE),"")
  )</f>
        <v>Upload</v>
      </c>
      <c r="F500" s="221" t="str">
        <f>IFERROR(VLOOKUP(B500, Content_Creation!B:F, 5, FALSE), IFERROR(VLOOKUP(B500, Project_Management!B:F, 5, FALSE), ""))</f>
        <v>Talha</v>
      </c>
      <c r="G500" s="222" t="s">
        <v>179</v>
      </c>
      <c r="H500" s="223">
        <f>IFERROR(VLOOKUP(B500, Content_Creation!B:H, 7, FALSE), IFERROR(VLOOKUP(B500, Project_Management!B:H, 7, FALSE), ""))</f>
        <v>45249</v>
      </c>
      <c r="I500" s="224">
        <v>0.0</v>
      </c>
      <c r="J500" s="223">
        <f>IFERROR(VLOOKUP(C500, Content_Creation!B:H, 7, FALSE), IFERROR(VLOOKUP(C500, Project_Management!B:H, 7, FALSE), ""))</f>
        <v>45249</v>
      </c>
      <c r="K500" s="217"/>
      <c r="L500" s="225" t="str">
        <f>IFERROR(VLOOKUP(B500, Data_Validation!X:Y, 2, FALSE), "")</f>
        <v>Not Started</v>
      </c>
      <c r="M500" s="226" t="str">
        <f t="shared" si="1"/>
        <v>Colorful Tech | Product Showcase - Insta | Upload</v>
      </c>
      <c r="N500" s="226"/>
      <c r="O500" s="226"/>
    </row>
    <row r="501" ht="24.0" customHeight="1">
      <c r="A501" s="216" t="str">
        <f>IFERROR(__xludf.DUMMYFUNCTION("ARRAYFORMULA(IFERROR(VLOOKUP(REGEXEXTRACT(B501, ""-(\w+)-""), {Data_Validation!$F$16:$F$29, Data_Validation!$E$16:$E$29}, 2, FALSE), """"))
"),"Picture This!")</f>
        <v>Picture This!</v>
      </c>
      <c r="B501" s="217" t="str">
        <f>IFERROR(__xludf.DUMMYFUNCTION("""COMPUTED_VALUE"""),"PM-PTS-09.06")</f>
        <v>PM-PTS-09.06</v>
      </c>
      <c r="C501" s="218" t="str">
        <f>IFERROR(__xludf.DUMMYFUNCTION("IFERROR(REGEXEXTRACT(B501, ""^[A-Z]+-[A-Z]+-"") &amp; TEXT(VALUE(REGEXEXTRACT(B501, ""-(\d+)\."")), ""00""), """")"),"PM-PTS-09")</f>
        <v>PM-PTS-09</v>
      </c>
      <c r="D501" s="219" t="str">
        <f>IFERROR(VLOOKUP(C501, Content_Creation!B:D, 2, FALSE), IFERROR(VLOOKUP(C501, Project_Management!B:D, 2, FALSE), ""))
&amp; " - "
&amp; IFERROR(VLOOKUP(C501, Content_Creation!B:E, 4, FALSE), IFERROR(VLOOKUP(C501, Project_Management!B:E, 4, FALSE), ""))</f>
        <v>Swipe Up Productions  - Video</v>
      </c>
      <c r="E501" s="220" t="str">
        <f>IFERROR(
    VLOOKUP(B500:B1001, Content_Creation!B:D, 3, FALSE),
    IFERROR(VLOOKUP(B500:B1001, Project_Management!B:D, 3, FALSE),"")
  )</f>
        <v>Finalise</v>
      </c>
      <c r="F501" s="221" t="str">
        <f>IFERROR(VLOOKUP(B501, Content_Creation!B:F, 5, FALSE), IFERROR(VLOOKUP(B501, Project_Management!B:F, 5, FALSE), ""))</f>
        <v/>
      </c>
      <c r="G501" s="222" t="s">
        <v>179</v>
      </c>
      <c r="H501" s="223">
        <f>IFERROR(VLOOKUP(B501, Content_Creation!B:H, 7, FALSE), IFERROR(VLOOKUP(B501, Project_Management!B:H, 7, FALSE), ""))</f>
        <v>45249.80562</v>
      </c>
      <c r="I501" s="224">
        <v>0.0</v>
      </c>
      <c r="J501" s="223">
        <f>IFERROR(VLOOKUP(C501, Content_Creation!B:H, 7, FALSE), IFERROR(VLOOKUP(C501, Project_Management!B:H, 7, FALSE), ""))</f>
        <v>45251.80562</v>
      </c>
      <c r="K501" s="217"/>
      <c r="L501" s="225" t="str">
        <f>IFERROR(VLOOKUP(B501, Data_Validation!X:Y, 2, FALSE), "")</f>
        <v>Not Started</v>
      </c>
      <c r="M501" s="226" t="str">
        <f t="shared" si="1"/>
        <v>Picture This! | Swipe Up Productions  - Video | Finalise</v>
      </c>
      <c r="N501" s="226"/>
      <c r="O501" s="226"/>
    </row>
    <row r="502" ht="24.0" customHeight="1">
      <c r="A502" s="216" t="str">
        <f>IFERROR(__xludf.DUMMYFUNCTION("ARRAYFORMULA(IFERROR(VLOOKUP(REGEXEXTRACT(B502, ""-(\w+)-""), {Data_Validation!$F$16:$F$29, Data_Validation!$E$16:$E$29}, 2, FALSE), """"))
"),"TheMVP")</f>
        <v>TheMVP</v>
      </c>
      <c r="B502" s="217" t="str">
        <f>IFERROR(__xludf.DUMMYFUNCTION("""COMPUTED_VALUE"""),"CC-MVP-112.07")</f>
        <v>CC-MVP-112.07</v>
      </c>
      <c r="C502" s="218" t="str">
        <f>IFERROR(__xludf.DUMMYFUNCTION("IFERROR(REGEXEXTRACT(B502, ""^[A-Z]+-[A-Z]+-"") &amp; TEXT(VALUE(REGEXEXTRACT(B502, ""-(\d+)\."")), ""00""), """")"),"CC-MVP-112")</f>
        <v>CC-MVP-112</v>
      </c>
      <c r="D502" s="219" t="str">
        <f>IFERROR(VLOOKUP(C502, Content_Creation!B:D, 2, FALSE), IFERROR(VLOOKUP(C502, Project_Management!B:D, 2, FALSE), ""))
&amp; " - "
&amp; IFERROR(VLOOKUP(C502, Content_Creation!B:E, 4, FALSE), IFERROR(VLOOKUP(C502, Project_Management!B:E, 4, FALSE), ""))</f>
        <v>How CPU works in 60 seconds - Shorts</v>
      </c>
      <c r="E502" s="220" t="str">
        <f>IFERROR(
    VLOOKUP(B501:B1001, Content_Creation!B:D, 3, FALSE),
    IFERROR(VLOOKUP(B501:B1001, Project_Management!B:D, 3, FALSE),"")
  )</f>
        <v>Upload</v>
      </c>
      <c r="F502" s="221" t="str">
        <f>IFERROR(VLOOKUP(B502, Content_Creation!B:F, 5, FALSE), IFERROR(VLOOKUP(B502, Project_Management!B:F, 5, FALSE), ""))</f>
        <v>Tazeen</v>
      </c>
      <c r="G502" s="222" t="s">
        <v>179</v>
      </c>
      <c r="H502" s="223">
        <f>IFERROR(VLOOKUP(B502, Content_Creation!B:H, 7, FALSE), IFERROR(VLOOKUP(B502, Project_Management!B:H, 7, FALSE), ""))</f>
        <v>45250</v>
      </c>
      <c r="I502" s="224">
        <v>0.0</v>
      </c>
      <c r="J502" s="223">
        <f>IFERROR(VLOOKUP(C502, Content_Creation!B:H, 7, FALSE), IFERROR(VLOOKUP(C502, Project_Management!B:H, 7, FALSE), ""))</f>
        <v>45250</v>
      </c>
      <c r="K502" s="217"/>
      <c r="L502" s="225" t="str">
        <f>IFERROR(VLOOKUP(B502, Data_Validation!X:Y, 2, FALSE), "")</f>
        <v>Not Started</v>
      </c>
      <c r="M502" s="226" t="str">
        <f t="shared" si="1"/>
        <v>TheMVP | How CPU works in 60 seconds - Shorts | Upload</v>
      </c>
      <c r="N502" s="226"/>
      <c r="O502" s="226"/>
    </row>
    <row r="503" ht="24.0" customHeight="1">
      <c r="A503" s="216" t="str">
        <f>IFERROR(__xludf.DUMMYFUNCTION("ARRAYFORMULA(IFERROR(VLOOKUP(REGEXEXTRACT(B503, ""-(\w+)-""), {Data_Validation!$F$16:$F$29, Data_Validation!$E$16:$E$29}, 2, FALSE), """"))
"),"TheMVP")</f>
        <v>TheMVP</v>
      </c>
      <c r="B503" s="217" t="str">
        <f>IFERROR(__xludf.DUMMYFUNCTION("""COMPUTED_VALUE"""),"CC-MVP-104.04")</f>
        <v>CC-MVP-104.04</v>
      </c>
      <c r="C503" s="218" t="str">
        <f>IFERROR(__xludf.DUMMYFUNCTION("IFERROR(REGEXEXTRACT(B503, ""^[A-Z]+-[A-Z]+-"") &amp; TEXT(VALUE(REGEXEXTRACT(B503, ""-(\d+)\."")), ""00""), """")"),"CC-MVP-104")</f>
        <v>CC-MVP-104</v>
      </c>
      <c r="D503" s="219" t="str">
        <f>IFERROR(VLOOKUP(C503, Content_Creation!B:D, 2, FALSE), IFERROR(VLOOKUP(C503, Project_Management!B:D, 2, FALSE), ""))
&amp; " - "
&amp; IFERROR(VLOOKUP(C503, Content_Creation!B:E, 4, FALSE), IFERROR(VLOOKUP(C503, Project_Management!B:E, 4, FALSE), ""))</f>
        <v>TrueNAS Setup - Linkedin</v>
      </c>
      <c r="E503" s="220" t="str">
        <f>IFERROR(
    VLOOKUP(B502:B1001, Content_Creation!B:D, 3, FALSE),
    IFERROR(VLOOKUP(B502:B1001, Project_Management!B:D, 3, FALSE),"")
  )</f>
        <v>Upload</v>
      </c>
      <c r="F503" s="221" t="str">
        <f>IFERROR(VLOOKUP(B503, Content_Creation!B:F, 5, FALSE), IFERROR(VLOOKUP(B503, Project_Management!B:F, 5, FALSE), ""))</f>
        <v>Nasser</v>
      </c>
      <c r="G503" s="222" t="s">
        <v>179</v>
      </c>
      <c r="H503" s="223">
        <f>IFERROR(VLOOKUP(B503, Content_Creation!B:H, 7, FALSE), IFERROR(VLOOKUP(B503, Project_Management!B:H, 7, FALSE), ""))</f>
        <v>45250</v>
      </c>
      <c r="I503" s="224">
        <v>0.0</v>
      </c>
      <c r="J503" s="223">
        <f>IFERROR(VLOOKUP(C503, Content_Creation!B:H, 7, FALSE), IFERROR(VLOOKUP(C503, Project_Management!B:H, 7, FALSE), ""))</f>
        <v>45250</v>
      </c>
      <c r="K503" s="217"/>
      <c r="L503" s="225" t="str">
        <f>IFERROR(VLOOKUP(B503, Data_Validation!X:Y, 2, FALSE), "")</f>
        <v>Not Started</v>
      </c>
      <c r="M503" s="226" t="str">
        <f t="shared" si="1"/>
        <v>TheMVP | TrueNAS Setup - Linkedin | Upload</v>
      </c>
      <c r="N503" s="226"/>
      <c r="O503" s="226"/>
    </row>
    <row r="504" ht="24.0" customHeight="1">
      <c r="A504" s="216" t="str">
        <f>IFERROR(__xludf.DUMMYFUNCTION("ARRAYFORMULA(IFERROR(VLOOKUP(REGEXEXTRACT(B504, ""-(\w+)-""), {Data_Validation!$F$16:$F$29, Data_Validation!$E$16:$E$29}, 2, FALSE), """"))
"),"TheMVP")</f>
        <v>TheMVP</v>
      </c>
      <c r="B504" s="217" t="str">
        <f>IFERROR(__xludf.DUMMYFUNCTION("""COMPUTED_VALUE"""),"CC-MVP-93.04")</f>
        <v>CC-MVP-93.04</v>
      </c>
      <c r="C504" s="218" t="str">
        <f>IFERROR(__xludf.DUMMYFUNCTION("IFERROR(REGEXEXTRACT(B504, ""^[A-Z]+-[A-Z]+-"") &amp; TEXT(VALUE(REGEXEXTRACT(B504, ""-(\d+)\."")), ""00""), """")"),"CC-MVP-93")</f>
        <v>CC-MVP-93</v>
      </c>
      <c r="D504" s="219" t="str">
        <f>IFERROR(VLOOKUP(C504, Content_Creation!B:D, 2, FALSE), IFERROR(VLOOKUP(C504, Project_Management!B:D, 2, FALSE), ""))
&amp; " - "
&amp; IFERROR(VLOOKUP(C504, Content_Creation!B:E, 4, FALSE), IFERROR(VLOOKUP(C504, Project_Management!B:E, 4, FALSE), ""))</f>
        <v>Video Editing Category Review - YT Video</v>
      </c>
      <c r="E504" s="220" t="str">
        <f>IFERROR(
    VLOOKUP(B503:B1001, Content_Creation!B:D, 3, FALSE),
    IFERROR(VLOOKUP(B503:B1001, Project_Management!B:D, 3, FALSE),"")
  )</f>
        <v>Edit</v>
      </c>
      <c r="F504" s="221" t="str">
        <f>IFERROR(VLOOKUP(B504, Content_Creation!B:F, 5, FALSE), IFERROR(VLOOKUP(B504, Project_Management!B:F, 5, FALSE), ""))</f>
        <v>Freelancer</v>
      </c>
      <c r="G504" s="222" t="s">
        <v>179</v>
      </c>
      <c r="H504" s="223">
        <f>IFERROR(VLOOKUP(B504, Content_Creation!B:H, 7, FALSE), IFERROR(VLOOKUP(B504, Project_Management!B:H, 7, FALSE), ""))</f>
        <v>45250</v>
      </c>
      <c r="I504" s="224">
        <v>0.0</v>
      </c>
      <c r="J504" s="223">
        <f>IFERROR(VLOOKUP(C504, Content_Creation!B:H, 7, FALSE), IFERROR(VLOOKUP(C504, Project_Management!B:H, 7, FALSE), ""))</f>
        <v>45251</v>
      </c>
      <c r="K504" s="217"/>
      <c r="L504" s="225" t="str">
        <f>IFERROR(VLOOKUP(B504, Data_Validation!X:Y, 2, FALSE), "")</f>
        <v>Not Started</v>
      </c>
      <c r="M504" s="226" t="str">
        <f t="shared" si="1"/>
        <v>TheMVP | Video Editing Category Review - YT Video | Edit</v>
      </c>
      <c r="N504" s="226"/>
      <c r="O504" s="226"/>
    </row>
    <row r="505" ht="24.0" customHeight="1">
      <c r="A505" s="216" t="str">
        <f>IFERROR(__xludf.DUMMYFUNCTION("ARRAYFORMULA(IFERROR(VLOOKUP(REGEXEXTRACT(B505, ""-(\w+)-""), {Data_Validation!$F$16:$F$29, Data_Validation!$E$16:$E$29}, 2, FALSE), """"))
"),"TheMVP")</f>
        <v>TheMVP</v>
      </c>
      <c r="B505" s="217" t="str">
        <f>IFERROR(__xludf.DUMMYFUNCTION("""COMPUTED_VALUE"""),"CC-MVP-116.06")</f>
        <v>CC-MVP-116.06</v>
      </c>
      <c r="C505" s="218" t="str">
        <f>IFERROR(__xludf.DUMMYFUNCTION("IFERROR(REGEXEXTRACT(B505, ""^[A-Z]+-[A-Z]+-"") &amp; TEXT(VALUE(REGEXEXTRACT(B505, ""-(\d+)\."")), ""00""), """")"),"CC-MVP-116")</f>
        <v>CC-MVP-116</v>
      </c>
      <c r="D505" s="219" t="str">
        <f>IFERROR(VLOOKUP(C505, Content_Creation!B:D, 2, FALSE), IFERROR(VLOOKUP(C505, Project_Management!B:D, 2, FALSE), ""))
&amp; " - "
&amp; IFERROR(VLOOKUP(C505, Content_Creation!B:E, 4, FALSE), IFERROR(VLOOKUP(C505, Project_Management!B:E, 4, FALSE), ""))</f>
        <v>Enthoo Case Review - YT Video</v>
      </c>
      <c r="E505" s="220" t="str">
        <f>IFERROR(
    VLOOKUP(B504:B1001, Content_Creation!B:D, 3, FALSE),
    IFERROR(VLOOKUP(B504:B1001, Project_Management!B:D, 3, FALSE),"")
  )</f>
        <v>Thumbnail</v>
      </c>
      <c r="F505" s="221" t="str">
        <f>IFERROR(VLOOKUP(B505, Content_Creation!B:F, 5, FALSE), IFERROR(VLOOKUP(B505, Project_Management!B:F, 5, FALSE), ""))</f>
        <v>Akhil</v>
      </c>
      <c r="G505" s="222" t="s">
        <v>179</v>
      </c>
      <c r="H505" s="223">
        <f>IFERROR(VLOOKUP(B505, Content_Creation!B:H, 7, FALSE), IFERROR(VLOOKUP(B505, Project_Management!B:H, 7, FALSE), ""))</f>
        <v>45250.44312</v>
      </c>
      <c r="I505" s="224">
        <v>0.0</v>
      </c>
      <c r="J505" s="223">
        <f>IFERROR(VLOOKUP(C505, Content_Creation!B:H, 7, FALSE), IFERROR(VLOOKUP(C505, Project_Management!B:H, 7, FALSE), ""))</f>
        <v>45252.44312</v>
      </c>
      <c r="K505" s="217"/>
      <c r="L505" s="225" t="str">
        <f>IFERROR(VLOOKUP(B505, Data_Validation!X:Y, 2, FALSE), "")</f>
        <v>Not Started</v>
      </c>
      <c r="M505" s="226" t="str">
        <f t="shared" si="1"/>
        <v>TheMVP | Enthoo Case Review - YT Video | Thumbnail</v>
      </c>
      <c r="N505" s="226"/>
      <c r="O505" s="226"/>
    </row>
    <row r="506" ht="24.0" customHeight="1">
      <c r="A506" s="216" t="str">
        <f>IFERROR(__xludf.DUMMYFUNCTION("ARRAYFORMULA(IFERROR(VLOOKUP(REGEXEXTRACT(B506, ""-(\w+)-""), {Data_Validation!$F$16:$F$29, Data_Validation!$E$16:$E$29}, 2, FALSE), """"))
"),"TheMVP")</f>
        <v>TheMVP</v>
      </c>
      <c r="B506" s="217" t="str">
        <f>IFERROR(__xludf.DUMMYFUNCTION("""COMPUTED_VALUE"""),"CC-MVP-109.04")</f>
        <v>CC-MVP-109.04</v>
      </c>
      <c r="C506" s="218" t="str">
        <f>IFERROR(__xludf.DUMMYFUNCTION("IFERROR(REGEXEXTRACT(B506, ""^[A-Z]+-[A-Z]+-"") &amp; TEXT(VALUE(REGEXEXTRACT(B506, ""-(\d+)\."")), ""00""), """")"),"CC-MVP-109")</f>
        <v>CC-MVP-109</v>
      </c>
      <c r="D506" s="219" t="str">
        <f>IFERROR(VLOOKUP(C506, Content_Creation!B:D, 2, FALSE), IFERROR(VLOOKUP(C506, Project_Management!B:D, 2, FALSE), ""))
&amp; " - "
&amp; IFERROR(VLOOKUP(C506, Content_Creation!B:E, 4, FALSE), IFERROR(VLOOKUP(C506, Project_Management!B:E, 4, FALSE), ""))</f>
        <v>Idea Pending - Tweet</v>
      </c>
      <c r="E506" s="220" t="str">
        <f>IFERROR(
    VLOOKUP(B505:B1001, Content_Creation!B:D, 3, FALSE),
    IFERROR(VLOOKUP(B505:B1001, Project_Management!B:D, 3, FALSE),"")
  )</f>
        <v>Upload</v>
      </c>
      <c r="F506" s="221" t="str">
        <f>IFERROR(VLOOKUP(B506, Content_Creation!B:F, 5, FALSE), IFERROR(VLOOKUP(B506, Project_Management!B:F, 5, FALSE), ""))</f>
        <v>Tazeen</v>
      </c>
      <c r="G506" s="222" t="s">
        <v>179</v>
      </c>
      <c r="H506" s="223">
        <f>IFERROR(VLOOKUP(B506, Content_Creation!B:H, 7, FALSE), IFERROR(VLOOKUP(B506, Project_Management!B:H, 7, FALSE), ""))</f>
        <v>45251</v>
      </c>
      <c r="I506" s="224">
        <v>0.0</v>
      </c>
      <c r="J506" s="223">
        <f>IFERROR(VLOOKUP(C506, Content_Creation!B:H, 7, FALSE), IFERROR(VLOOKUP(C506, Project_Management!B:H, 7, FALSE), ""))</f>
        <v>45251</v>
      </c>
      <c r="K506" s="217"/>
      <c r="L506" s="225" t="str">
        <f>IFERROR(VLOOKUP(B506, Data_Validation!X:Y, 2, FALSE), "")</f>
        <v>Not Started</v>
      </c>
      <c r="M506" s="226" t="str">
        <f t="shared" si="1"/>
        <v>TheMVP | Idea Pending - Tweet | Upload</v>
      </c>
      <c r="N506" s="226"/>
      <c r="O506" s="226"/>
    </row>
    <row r="507" ht="24.0" customHeight="1">
      <c r="A507" s="216" t="str">
        <f>IFERROR(__xludf.DUMMYFUNCTION("ARRAYFORMULA(IFERROR(VLOOKUP(REGEXEXTRACT(B507, ""-(\w+)-""), {Data_Validation!$F$16:$F$29, Data_Validation!$E$16:$E$29}, 2, FALSE), """"))
"),"TheMVP")</f>
        <v>TheMVP</v>
      </c>
      <c r="B507" s="217" t="str">
        <f>IFERROR(__xludf.DUMMYFUNCTION("""COMPUTED_VALUE"""),"CC-MVP-16.02")</f>
        <v>CC-MVP-16.02</v>
      </c>
      <c r="C507" s="218" t="str">
        <f>IFERROR(__xludf.DUMMYFUNCTION("IFERROR(REGEXEXTRACT(B507, ""^[A-Z]+-[A-Z]+-"") &amp; TEXT(VALUE(REGEXEXTRACT(B507, ""-(\d+)\."")), ""00""), """")"),"CC-MVP-16")</f>
        <v>CC-MVP-16</v>
      </c>
      <c r="D507" s="219" t="str">
        <f>IFERROR(VLOOKUP(C507, Content_Creation!B:D, 2, FALSE), IFERROR(VLOOKUP(C507, Project_Management!B:D, 2, FALSE), ""))
&amp; " - "
&amp; IFERROR(VLOOKUP(C507, Content_Creation!B:E, 4, FALSE), IFERROR(VLOOKUP(C507, Project_Management!B:E, 4, FALSE), ""))</f>
        <v>Logi Persona Reviews - YT Video</v>
      </c>
      <c r="E507" s="220" t="str">
        <f>IFERROR(
    VLOOKUP(B506:B1001, Content_Creation!B:D, 3, FALSE),
    IFERROR(VLOOKUP(B506:B1001, Project_Management!B:D, 3, FALSE),"")
  )</f>
        <v>Shoot</v>
      </c>
      <c r="F507" s="221" t="str">
        <f>IFERROR(VLOOKUP(B507, Content_Creation!B:F, 5, FALSE), IFERROR(VLOOKUP(B507, Project_Management!B:F, 5, FALSE), ""))</f>
        <v>Naveen</v>
      </c>
      <c r="G507" s="222" t="s">
        <v>179</v>
      </c>
      <c r="H507" s="223">
        <f>IFERROR(VLOOKUP(B507, Content_Creation!B:H, 7, FALSE), IFERROR(VLOOKUP(B507, Project_Management!B:H, 7, FALSE), ""))</f>
        <v>45250</v>
      </c>
      <c r="I507" s="224">
        <v>0.0</v>
      </c>
      <c r="J507" s="223">
        <f>IFERROR(VLOOKUP(C507, Content_Creation!B:H, 7, FALSE), IFERROR(VLOOKUP(C507, Project_Management!B:H, 7, FALSE), ""))</f>
        <v>45255</v>
      </c>
      <c r="K507" s="217"/>
      <c r="L507" s="225" t="str">
        <f>IFERROR(VLOOKUP(B507, Data_Validation!X:Y, 2, FALSE), "")</f>
        <v>Not Started</v>
      </c>
      <c r="M507" s="226" t="str">
        <f t="shared" si="1"/>
        <v>TheMVP | Logi Persona Reviews - YT Video | Shoot</v>
      </c>
      <c r="N507" s="226"/>
      <c r="O507" s="226"/>
    </row>
    <row r="508" ht="24.0" customHeight="1">
      <c r="A508" s="216" t="str">
        <f>IFERROR(__xludf.DUMMYFUNCTION("ARRAYFORMULA(IFERROR(VLOOKUP(REGEXEXTRACT(B508, ""-(\w+)-""), {Data_Validation!$F$16:$F$29, Data_Validation!$E$16:$E$29}, 2, FALSE), """"))
"),"TheMVP")</f>
        <v>TheMVP</v>
      </c>
      <c r="B508" s="217" t="str">
        <f>IFERROR(__xludf.DUMMYFUNCTION("""COMPUTED_VALUE"""),"CC-MVP-118.06")</f>
        <v>CC-MVP-118.06</v>
      </c>
      <c r="C508" s="218" t="str">
        <f>IFERROR(__xludf.DUMMYFUNCTION("IFERROR(REGEXEXTRACT(B508, ""^[A-Z]+-[A-Z]+-"") &amp; TEXT(VALUE(REGEXEXTRACT(B508, ""-(\d+)\."")), ""00""), """")"),"CC-MVP-118")</f>
        <v>CC-MVP-118</v>
      </c>
      <c r="D508" s="219" t="str">
        <f>IFERROR(VLOOKUP(C508, Content_Creation!B:D, 2, FALSE), IFERROR(VLOOKUP(C508, Project_Management!B:D, 2, FALSE), ""))
&amp; " - "
&amp; IFERROR(VLOOKUP(C508, Content_Creation!B:E, 4, FALSE), IFERROR(VLOOKUP(C508, Project_Management!B:E, 4, FALSE), ""))</f>
        <v>Editing Category Downedit - Shorts</v>
      </c>
      <c r="E508" s="220" t="str">
        <f>IFERROR(
    VLOOKUP(B507:B1001, Content_Creation!B:D, 3, FALSE),
    IFERROR(VLOOKUP(B507:B1001, Project_Management!B:D, 3, FALSE),"")
  )</f>
        <v>Thumbnail</v>
      </c>
      <c r="F508" s="221" t="str">
        <f>IFERROR(VLOOKUP(B508, Content_Creation!B:F, 5, FALSE), IFERROR(VLOOKUP(B508, Project_Management!B:F, 5, FALSE), ""))</f>
        <v/>
      </c>
      <c r="G508" s="222" t="s">
        <v>179</v>
      </c>
      <c r="H508" s="223">
        <f>IFERROR(VLOOKUP(B508, Content_Creation!B:H, 7, FALSE), IFERROR(VLOOKUP(B508, Project_Management!B:H, 7, FALSE), ""))</f>
        <v>45250.99818</v>
      </c>
      <c r="I508" s="224">
        <v>0.0</v>
      </c>
      <c r="J508" s="223">
        <f>IFERROR(VLOOKUP(C508, Content_Creation!B:H, 7, FALSE), IFERROR(VLOOKUP(C508, Project_Management!B:H, 7, FALSE), ""))</f>
        <v>45252.99818</v>
      </c>
      <c r="K508" s="217"/>
      <c r="L508" s="225" t="str">
        <f>IFERROR(VLOOKUP(B508, Data_Validation!X:Y, 2, FALSE), "")</f>
        <v>Not Started</v>
      </c>
      <c r="M508" s="226" t="str">
        <f t="shared" si="1"/>
        <v>TheMVP | Editing Category Downedit - Shorts | Thumbnail</v>
      </c>
      <c r="N508" s="226"/>
      <c r="O508" s="226"/>
    </row>
    <row r="509" ht="24.0" customHeight="1">
      <c r="A509" s="216" t="str">
        <f>IFERROR(__xludf.DUMMYFUNCTION("ARRAYFORMULA(IFERROR(VLOOKUP(REGEXEXTRACT(B509, ""-(\w+)-""), {Data_Validation!$F$16:$F$29, Data_Validation!$E$16:$E$29}, 2, FALSE), """"))
"),"TheMVP")</f>
        <v>TheMVP</v>
      </c>
      <c r="B509" s="217" t="str">
        <f>IFERROR(__xludf.DUMMYFUNCTION("""COMPUTED_VALUE"""),"CC-MVP-93.05")</f>
        <v>CC-MVP-93.05</v>
      </c>
      <c r="C509" s="218" t="str">
        <f>IFERROR(__xludf.DUMMYFUNCTION("IFERROR(REGEXEXTRACT(B509, ""^[A-Z]+-[A-Z]+-"") &amp; TEXT(VALUE(REGEXEXTRACT(B509, ""-(\d+)\."")), ""00""), """")"),"CC-MVP-93")</f>
        <v>CC-MVP-93</v>
      </c>
      <c r="D509" s="219" t="str">
        <f>IFERROR(VLOOKUP(C509, Content_Creation!B:D, 2, FALSE), IFERROR(VLOOKUP(C509, Project_Management!B:D, 2, FALSE), ""))
&amp; " - "
&amp; IFERROR(VLOOKUP(C509, Content_Creation!B:E, 4, FALSE), IFERROR(VLOOKUP(C509, Project_Management!B:E, 4, FALSE), ""))</f>
        <v>Video Editing Category Review - YT Video</v>
      </c>
      <c r="E509" s="220" t="str">
        <f>IFERROR(
    VLOOKUP(B508:B1001, Content_Creation!B:D, 3, FALSE),
    IFERROR(VLOOKUP(B508:B1001, Project_Management!B:D, 3, FALSE),"")
  )</f>
        <v>Thumbnail</v>
      </c>
      <c r="F509" s="221" t="str">
        <f>IFERROR(VLOOKUP(B509, Content_Creation!B:F, 5, FALSE), IFERROR(VLOOKUP(B509, Project_Management!B:F, 5, FALSE), ""))</f>
        <v>Naveen</v>
      </c>
      <c r="G509" s="265" t="s">
        <v>179</v>
      </c>
      <c r="H509" s="223">
        <f>IFERROR(VLOOKUP(B509, Content_Creation!B:H, 7, FALSE), IFERROR(VLOOKUP(B509, Project_Management!B:H, 7, FALSE), ""))</f>
        <v>45251</v>
      </c>
      <c r="I509" s="224">
        <v>0.0</v>
      </c>
      <c r="J509" s="223">
        <f>IFERROR(VLOOKUP(C509, Content_Creation!B:H, 7, FALSE), IFERROR(VLOOKUP(C509, Project_Management!B:H, 7, FALSE), ""))</f>
        <v>45251</v>
      </c>
      <c r="K509" s="217"/>
      <c r="L509" s="225" t="str">
        <f>IFERROR(VLOOKUP(B509, Data_Validation!X:Y, 2, FALSE), "")</f>
        <v>Not Started</v>
      </c>
      <c r="M509" s="226" t="str">
        <f t="shared" si="1"/>
        <v>TheMVP | Video Editing Category Review - YT Video | Thumbnail</v>
      </c>
      <c r="N509" s="226"/>
      <c r="O509" s="226"/>
    </row>
    <row r="510" ht="24.0" customHeight="1">
      <c r="A510" s="216" t="str">
        <f>IFERROR(__xludf.DUMMYFUNCTION("ARRAYFORMULA(IFERROR(VLOOKUP(REGEXEXTRACT(B510, ""-(\w+)-""), {Data_Validation!$F$16:$F$29, Data_Validation!$E$16:$E$29}, 2, FALSE), """"))
"),"TheMVP")</f>
        <v>TheMVP</v>
      </c>
      <c r="B510" s="217" t="str">
        <f>IFERROR(__xludf.DUMMYFUNCTION("""COMPUTED_VALUE"""),"CC-MVP-93.06")</f>
        <v>CC-MVP-93.06</v>
      </c>
      <c r="C510" s="218" t="str">
        <f>IFERROR(__xludf.DUMMYFUNCTION("IFERROR(REGEXEXTRACT(B510, ""^[A-Z]+-[A-Z]+-"") &amp; TEXT(VALUE(REGEXEXTRACT(B510, ""-(\d+)\."")), ""00""), """")"),"CC-MVP-93")</f>
        <v>CC-MVP-93</v>
      </c>
      <c r="D510" s="219" t="str">
        <f>IFERROR(VLOOKUP(C510, Content_Creation!B:D, 2, FALSE), IFERROR(VLOOKUP(C510, Project_Management!B:D, 2, FALSE), ""))
&amp; " - "
&amp; IFERROR(VLOOKUP(C510, Content_Creation!B:E, 4, FALSE), IFERROR(VLOOKUP(C510, Project_Management!B:E, 4, FALSE), ""))</f>
        <v>Video Editing Category Review - YT Video</v>
      </c>
      <c r="E510" s="220" t="str">
        <f>IFERROR(
    VLOOKUP(B509:B1001, Content_Creation!B:D, 3, FALSE),
    IFERROR(VLOOKUP(B509:B1001, Project_Management!B:D, 3, FALSE),"")
  )</f>
        <v>Upload</v>
      </c>
      <c r="F510" s="221" t="str">
        <f>IFERROR(VLOOKUP(B510, Content_Creation!B:F, 5, FALSE), IFERROR(VLOOKUP(B510, Project_Management!B:F, 5, FALSE), ""))</f>
        <v>Tazeen</v>
      </c>
      <c r="G510" s="265" t="s">
        <v>179</v>
      </c>
      <c r="H510" s="223">
        <f>IFERROR(VLOOKUP(B510, Content_Creation!B:H, 7, FALSE), IFERROR(VLOOKUP(B510, Project_Management!B:H, 7, FALSE), ""))</f>
        <v>45251</v>
      </c>
      <c r="I510" s="224">
        <v>0.0</v>
      </c>
      <c r="J510" s="223">
        <f>IFERROR(VLOOKUP(C510, Content_Creation!B:H, 7, FALSE), IFERROR(VLOOKUP(C510, Project_Management!B:H, 7, FALSE), ""))</f>
        <v>45251</v>
      </c>
      <c r="K510" s="217"/>
      <c r="L510" s="225" t="str">
        <f>IFERROR(VLOOKUP(B510, Data_Validation!X:Y, 2, FALSE), "")</f>
        <v>Not Started</v>
      </c>
      <c r="M510" s="226" t="str">
        <f t="shared" si="1"/>
        <v>TheMVP | Video Editing Category Review - YT Video | Upload</v>
      </c>
      <c r="N510" s="226"/>
      <c r="O510" s="226"/>
    </row>
    <row r="511" ht="24.0" customHeight="1">
      <c r="A511" s="216" t="str">
        <f>IFERROR(__xludf.DUMMYFUNCTION("ARRAYFORMULA(IFERROR(VLOOKUP(REGEXEXTRACT(B511, ""-(\w+)-""), {Data_Validation!$F$16:$F$29, Data_Validation!$E$16:$E$29}, 2, FALSE), """"))
"),"TheMVP")</f>
        <v>TheMVP</v>
      </c>
      <c r="B511" s="217" t="str">
        <f>IFERROR(__xludf.DUMMYFUNCTION("""COMPUTED_VALUE"""),"CC-MVP-109.04")</f>
        <v>CC-MVP-109.04</v>
      </c>
      <c r="C511" s="218" t="str">
        <f>IFERROR(__xludf.DUMMYFUNCTION("IFERROR(REGEXEXTRACT(B511, ""^[A-Z]+-[A-Z]+-"") &amp; TEXT(VALUE(REGEXEXTRACT(B511, ""-(\d+)\."")), ""00""), """")"),"CC-MVP-109")</f>
        <v>CC-MVP-109</v>
      </c>
      <c r="D511" s="219" t="str">
        <f>IFERROR(VLOOKUP(C511, Content_Creation!B:D, 2, FALSE), IFERROR(VLOOKUP(C511, Project_Management!B:D, 2, FALSE), ""))
&amp; " - "
&amp; IFERROR(VLOOKUP(C511, Content_Creation!B:E, 4, FALSE), IFERROR(VLOOKUP(C511, Project_Management!B:E, 4, FALSE), ""))</f>
        <v>Idea Pending - Tweet</v>
      </c>
      <c r="E511" s="220" t="str">
        <f>IFERROR(
    VLOOKUP(B510:B1001, Content_Creation!B:D, 3, FALSE),
    IFERROR(VLOOKUP(B510:B1001, Project_Management!B:D, 3, FALSE),"")
  )</f>
        <v>Upload</v>
      </c>
      <c r="F511" s="221" t="str">
        <f>IFERROR(VLOOKUP(B511, Content_Creation!B:F, 5, FALSE), IFERROR(VLOOKUP(B511, Project_Management!B:F, 5, FALSE), ""))</f>
        <v>Tazeen</v>
      </c>
      <c r="G511" s="222" t="s">
        <v>179</v>
      </c>
      <c r="H511" s="223">
        <f>IFERROR(VLOOKUP(B511, Content_Creation!B:H, 7, FALSE), IFERROR(VLOOKUP(B511, Project_Management!B:H, 7, FALSE), ""))</f>
        <v>45251</v>
      </c>
      <c r="I511" s="224">
        <v>0.0</v>
      </c>
      <c r="J511" s="223">
        <f>IFERROR(VLOOKUP(C511, Content_Creation!B:H, 7, FALSE), IFERROR(VLOOKUP(C511, Project_Management!B:H, 7, FALSE), ""))</f>
        <v>45251</v>
      </c>
      <c r="K511" s="217"/>
      <c r="L511" s="225" t="str">
        <f>IFERROR(VLOOKUP(B511, Data_Validation!X:Y, 2, FALSE), "")</f>
        <v>Not Started</v>
      </c>
      <c r="M511" s="226" t="str">
        <f t="shared" si="1"/>
        <v>TheMVP | Idea Pending - Tweet | Upload</v>
      </c>
      <c r="N511" s="226"/>
      <c r="O511" s="226"/>
    </row>
    <row r="512" ht="24.0" customHeight="1">
      <c r="A512" s="216" t="str">
        <f>IFERROR(__xludf.DUMMYFUNCTION("ARRAYFORMULA(IFERROR(VLOOKUP(REGEXEXTRACT(B512, ""-(\w+)-""), {Data_Validation!$F$16:$F$29, Data_Validation!$E$16:$E$29}, 2, FALSE), """"))
"),"TheMVP")</f>
        <v>TheMVP</v>
      </c>
      <c r="B512" s="217" t="str">
        <f>IFERROR(__xludf.DUMMYFUNCTION("""COMPUTED_VALUE"""),"CC-MVP-109.05")</f>
        <v>CC-MVP-109.05</v>
      </c>
      <c r="C512" s="218" t="str">
        <f>IFERROR(__xludf.DUMMYFUNCTION("IFERROR(REGEXEXTRACT(B512, ""^[A-Z]+-[A-Z]+-"") &amp; TEXT(VALUE(REGEXEXTRACT(B512, ""-(\d+)\."")), ""00""), """")"),"CC-MVP-109")</f>
        <v>CC-MVP-109</v>
      </c>
      <c r="D512" s="219" t="str">
        <f>IFERROR(VLOOKUP(C512, Content_Creation!B:D, 2, FALSE), IFERROR(VLOOKUP(C512, Project_Management!B:D, 2, FALSE), ""))
&amp; " - "
&amp; IFERROR(VLOOKUP(C512, Content_Creation!B:E, 4, FALSE), IFERROR(VLOOKUP(C512, Project_Management!B:E, 4, FALSE), ""))</f>
        <v>Idea Pending - Tweet</v>
      </c>
      <c r="E512" s="220" t="str">
        <f>IFERROR(
    VLOOKUP(B511:B1001, Content_Creation!B:D, 3, FALSE),
    IFERROR(VLOOKUP(B511:B1001, Project_Management!B:D, 3, FALSE),"")
  )</f>
        <v>Thumbnail</v>
      </c>
      <c r="F512" s="221" t="str">
        <f>IFERROR(VLOOKUP(B512, Content_Creation!B:F, 5, FALSE), IFERROR(VLOOKUP(B512, Project_Management!B:F, 5, FALSE), ""))</f>
        <v>Naveen</v>
      </c>
      <c r="G512" s="222" t="s">
        <v>179</v>
      </c>
      <c r="H512" s="223">
        <f>IFERROR(VLOOKUP(B512, Content_Creation!B:H, 7, FALSE), IFERROR(VLOOKUP(B512, Project_Management!B:H, 7, FALSE), ""))</f>
        <v>45251</v>
      </c>
      <c r="I512" s="224">
        <v>0.0</v>
      </c>
      <c r="J512" s="223">
        <f>IFERROR(VLOOKUP(C512, Content_Creation!B:H, 7, FALSE), IFERROR(VLOOKUP(C512, Project_Management!B:H, 7, FALSE), ""))</f>
        <v>45251</v>
      </c>
      <c r="K512" s="217"/>
      <c r="L512" s="225" t="str">
        <f>IFERROR(VLOOKUP(B512, Data_Validation!X:Y, 2, FALSE), "")</f>
        <v>Not Started</v>
      </c>
      <c r="M512" s="226" t="str">
        <f t="shared" si="1"/>
        <v>TheMVP | Idea Pending - Tweet | Thumbnail</v>
      </c>
      <c r="N512" s="226"/>
      <c r="O512" s="226"/>
    </row>
    <row r="513" ht="24.0" customHeight="1">
      <c r="A513" s="216" t="str">
        <f>IFERROR(__xludf.DUMMYFUNCTION("ARRAYFORMULA(IFERROR(VLOOKUP(REGEXEXTRACT(B513, ""-(\w+)-""), {Data_Validation!$F$16:$F$29, Data_Validation!$E$16:$E$29}, 2, FALSE), """"))
"),"TheMVP")</f>
        <v>TheMVP</v>
      </c>
      <c r="B513" s="217" t="str">
        <f>IFERROR(__xludf.DUMMYFUNCTION("""COMPUTED_VALUE"""),"CC-MVP-16.03")</f>
        <v>CC-MVP-16.03</v>
      </c>
      <c r="C513" s="218" t="str">
        <f>IFERROR(__xludf.DUMMYFUNCTION("IFERROR(REGEXEXTRACT(B513, ""^[A-Z]+-[A-Z]+-"") &amp; TEXT(VALUE(REGEXEXTRACT(B513, ""-(\d+)\."")), ""00""), """")"),"CC-MVP-16")</f>
        <v>CC-MVP-16</v>
      </c>
      <c r="D513" s="219" t="str">
        <f>IFERROR(VLOOKUP(C513, Content_Creation!B:D, 2, FALSE), IFERROR(VLOOKUP(C513, Project_Management!B:D, 2, FALSE), ""))
&amp; " - "
&amp; IFERROR(VLOOKUP(C513, Content_Creation!B:E, 4, FALSE), IFERROR(VLOOKUP(C513, Project_Management!B:E, 4, FALSE), ""))</f>
        <v>Logi Persona Reviews - YT Video</v>
      </c>
      <c r="E513" s="220" t="str">
        <f>IFERROR(
    VLOOKUP(B512:B1001, Content_Creation!B:D, 3, FALSE),
    IFERROR(VLOOKUP(B512:B1001, Project_Management!B:D, 3, FALSE),"")
  )</f>
        <v>Timeline</v>
      </c>
      <c r="F513" s="221" t="str">
        <f>IFERROR(VLOOKUP(B513, Content_Creation!B:F, 5, FALSE), IFERROR(VLOOKUP(B513, Project_Management!B:F, 5, FALSE), ""))</f>
        <v>Tazeen</v>
      </c>
      <c r="G513" s="222" t="s">
        <v>179</v>
      </c>
      <c r="H513" s="223">
        <f>IFERROR(VLOOKUP(B513, Content_Creation!B:H, 7, FALSE), IFERROR(VLOOKUP(B513, Project_Management!B:H, 7, FALSE), ""))</f>
        <v>45251</v>
      </c>
      <c r="I513" s="224">
        <v>0.0</v>
      </c>
      <c r="J513" s="223">
        <f>IFERROR(VLOOKUP(C513, Content_Creation!B:H, 7, FALSE), IFERROR(VLOOKUP(C513, Project_Management!B:H, 7, FALSE), ""))</f>
        <v>45255</v>
      </c>
      <c r="K513" s="217"/>
      <c r="L513" s="225" t="str">
        <f>IFERROR(VLOOKUP(B513, Data_Validation!X:Y, 2, FALSE), "")</f>
        <v>Not Started</v>
      </c>
      <c r="M513" s="226" t="str">
        <f t="shared" si="1"/>
        <v>TheMVP | Logi Persona Reviews - YT Video | Timeline</v>
      </c>
      <c r="N513" s="226"/>
      <c r="O513" s="226"/>
    </row>
    <row r="514" ht="24.0" customHeight="1">
      <c r="A514" s="216" t="str">
        <f>IFERROR(__xludf.DUMMYFUNCTION("ARRAYFORMULA(IFERROR(VLOOKUP(REGEXEXTRACT(B514, ""-(\w+)-""), {Data_Validation!$F$16:$F$29, Data_Validation!$E$16:$E$29}, 2, FALSE), """"))
"),"Picture This!")</f>
        <v>Picture This!</v>
      </c>
      <c r="B514" s="217" t="str">
        <f>IFERROR(__xludf.DUMMYFUNCTION("""COMPUTED_VALUE"""),"PM-PTS-09.07")</f>
        <v>PM-PTS-09.07</v>
      </c>
      <c r="C514" s="218" t="str">
        <f>IFERROR(__xludf.DUMMYFUNCTION("IFERROR(REGEXEXTRACT(B514, ""^[A-Z]+-[A-Z]+-"") &amp; TEXT(VALUE(REGEXEXTRACT(B514, ""-(\d+)\."")), ""00""), """")"),"PM-PTS-09")</f>
        <v>PM-PTS-09</v>
      </c>
      <c r="D514" s="219" t="str">
        <f>IFERROR(VLOOKUP(C514, Content_Creation!B:D, 2, FALSE), IFERROR(VLOOKUP(C514, Project_Management!B:D, 2, FALSE), ""))
&amp; " - "
&amp; IFERROR(VLOOKUP(C514, Content_Creation!B:E, 4, FALSE), IFERROR(VLOOKUP(C514, Project_Management!B:E, 4, FALSE), ""))</f>
        <v>Swipe Up Productions  - Video</v>
      </c>
      <c r="E514" s="220" t="str">
        <f>IFERROR(
    VLOOKUP(B513:B1001, Content_Creation!B:D, 3, FALSE),
    IFERROR(VLOOKUP(B513:B1001, Project_Management!B:D, 3, FALSE),"")
  )</f>
        <v>Deliver</v>
      </c>
      <c r="F514" s="221" t="str">
        <f>IFERROR(VLOOKUP(B514, Content_Creation!B:F, 5, FALSE), IFERROR(VLOOKUP(B514, Project_Management!B:F, 5, FALSE), ""))</f>
        <v/>
      </c>
      <c r="G514" s="222" t="s">
        <v>179</v>
      </c>
      <c r="H514" s="223">
        <f>IFERROR(VLOOKUP(B514, Content_Creation!B:H, 7, FALSE), IFERROR(VLOOKUP(B514, Project_Management!B:H, 7, FALSE), ""))</f>
        <v>45251.80562</v>
      </c>
      <c r="I514" s="224">
        <v>0.0</v>
      </c>
      <c r="J514" s="223">
        <f>IFERROR(VLOOKUP(C514, Content_Creation!B:H, 7, FALSE), IFERROR(VLOOKUP(C514, Project_Management!B:H, 7, FALSE), ""))</f>
        <v>45251.80562</v>
      </c>
      <c r="K514" s="217"/>
      <c r="L514" s="225" t="str">
        <f>IFERROR(VLOOKUP(B514, Data_Validation!X:Y, 2, FALSE), "")</f>
        <v>Not Started</v>
      </c>
      <c r="M514" s="226" t="str">
        <f t="shared" si="1"/>
        <v>Picture This! | Swipe Up Productions  - Video | Deliver</v>
      </c>
      <c r="N514" s="226"/>
      <c r="O514" s="226"/>
    </row>
    <row r="515" ht="24.0" customHeight="1">
      <c r="A515" s="216" t="str">
        <f>IFERROR(__xludf.DUMMYFUNCTION("ARRAYFORMULA(IFERROR(VLOOKUP(REGEXEXTRACT(B515, ""-(\w+)-""), {Data_Validation!$F$16:$F$29, Data_Validation!$E$16:$E$29}, 2, FALSE), """"))
"),"TheMVP")</f>
        <v>TheMVP</v>
      </c>
      <c r="B515" s="217" t="str">
        <f>IFERROR(__xludf.DUMMYFUNCTION("""COMPUTED_VALUE"""),"CC-MVP-116.07")</f>
        <v>CC-MVP-116.07</v>
      </c>
      <c r="C515" s="218" t="str">
        <f>IFERROR(__xludf.DUMMYFUNCTION("IFERROR(REGEXEXTRACT(B515, ""^[A-Z]+-[A-Z]+-"") &amp; TEXT(VALUE(REGEXEXTRACT(B515, ""-(\d+)\."")), ""00""), """")"),"CC-MVP-116")</f>
        <v>CC-MVP-116</v>
      </c>
      <c r="D515" s="219" t="str">
        <f>IFERROR(VLOOKUP(C515, Content_Creation!B:D, 2, FALSE), IFERROR(VLOOKUP(C515, Project_Management!B:D, 2, FALSE), ""))
&amp; " - "
&amp; IFERROR(VLOOKUP(C515, Content_Creation!B:E, 4, FALSE), IFERROR(VLOOKUP(C515, Project_Management!B:E, 4, FALSE), ""))</f>
        <v>Enthoo Case Review - YT Video</v>
      </c>
      <c r="E515" s="220" t="str">
        <f>IFERROR(
    VLOOKUP(B514:B1001, Content_Creation!B:D, 3, FALSE),
    IFERROR(VLOOKUP(B514:B1001, Project_Management!B:D, 3, FALSE),"")
  )</f>
        <v>Upload</v>
      </c>
      <c r="F515" s="221" t="str">
        <f>IFERROR(VLOOKUP(B515, Content_Creation!B:F, 5, FALSE), IFERROR(VLOOKUP(B515, Project_Management!B:F, 5, FALSE), ""))</f>
        <v>Tazeen</v>
      </c>
      <c r="G515" s="222"/>
      <c r="H515" s="223">
        <f>IFERROR(VLOOKUP(B515, Content_Creation!B:H, 7, FALSE), IFERROR(VLOOKUP(B515, Project_Management!B:H, 7, FALSE), ""))</f>
        <v>45252.44312</v>
      </c>
      <c r="I515" s="224">
        <v>0.0</v>
      </c>
      <c r="J515" s="223">
        <f>IFERROR(VLOOKUP(C515, Content_Creation!B:H, 7, FALSE), IFERROR(VLOOKUP(C515, Project_Management!B:H, 7, FALSE), ""))</f>
        <v>45252.44312</v>
      </c>
      <c r="K515" s="217"/>
      <c r="L515" s="225" t="str">
        <f>IFERROR(VLOOKUP(B515, Data_Validation!X:Y, 2, FALSE), "")</f>
        <v>Not Started</v>
      </c>
      <c r="M515" s="226" t="str">
        <f t="shared" si="1"/>
        <v>TheMVP | Enthoo Case Review - YT Video | Upload</v>
      </c>
      <c r="N515" s="226"/>
      <c r="O515" s="226"/>
    </row>
    <row r="516" ht="24.0" customHeight="1">
      <c r="A516" s="216" t="str">
        <f>IFERROR(__xludf.DUMMYFUNCTION("ARRAYFORMULA(IFERROR(VLOOKUP(REGEXEXTRACT(B516, ""-(\w+)-""), {Data_Validation!$F$16:$F$29, Data_Validation!$E$16:$E$29}, 2, FALSE), """"))
"),"TheMVP")</f>
        <v>TheMVP</v>
      </c>
      <c r="B516" s="217" t="str">
        <f>IFERROR(__xludf.DUMMYFUNCTION("""COMPUTED_VALUE"""),"CC-MVP-109.06")</f>
        <v>CC-MVP-109.06</v>
      </c>
      <c r="C516" s="218" t="str">
        <f>IFERROR(__xludf.DUMMYFUNCTION("IFERROR(REGEXEXTRACT(B516, ""^[A-Z]+-[A-Z]+-"") &amp; TEXT(VALUE(REGEXEXTRACT(B516, ""-(\d+)\."")), ""00""), """")"),"CC-MVP-109")</f>
        <v>CC-MVP-109</v>
      </c>
      <c r="D516" s="219" t="str">
        <f>IFERROR(VLOOKUP(C516, Content_Creation!B:D, 2, FALSE), IFERROR(VLOOKUP(C516, Project_Management!B:D, 2, FALSE), ""))
&amp; " - "
&amp; IFERROR(VLOOKUP(C516, Content_Creation!B:E, 4, FALSE), IFERROR(VLOOKUP(C516, Project_Management!B:E, 4, FALSE), ""))</f>
        <v>Idea Pending - Tweet</v>
      </c>
      <c r="E516" s="220" t="str">
        <f>IFERROR(
    VLOOKUP(B515:B1001, Content_Creation!B:D, 3, FALSE),
    IFERROR(VLOOKUP(B515:B1001, Project_Management!B:D, 3, FALSE),"")
  )</f>
        <v>Upload</v>
      </c>
      <c r="F516" s="221" t="str">
        <f>IFERROR(VLOOKUP(B516, Content_Creation!B:F, 5, FALSE), IFERROR(VLOOKUP(B516, Project_Management!B:F, 5, FALSE), ""))</f>
        <v>Tazeen</v>
      </c>
      <c r="G516" s="222"/>
      <c r="H516" s="223">
        <f>IFERROR(VLOOKUP(B516, Content_Creation!B:H, 7, FALSE), IFERROR(VLOOKUP(B516, Project_Management!B:H, 7, FALSE), ""))</f>
        <v>45252</v>
      </c>
      <c r="I516" s="224">
        <v>0.0</v>
      </c>
      <c r="J516" s="223">
        <f>IFERROR(VLOOKUP(C516, Content_Creation!B:H, 7, FALSE), IFERROR(VLOOKUP(C516, Project_Management!B:H, 7, FALSE), ""))</f>
        <v>45251</v>
      </c>
      <c r="K516" s="217"/>
      <c r="L516" s="225" t="str">
        <f>IFERROR(VLOOKUP(B516, Data_Validation!X:Y, 2, FALSE), "")</f>
        <v>Not Started</v>
      </c>
      <c r="M516" s="226" t="str">
        <f t="shared" si="1"/>
        <v>TheMVP | Idea Pending - Tweet | Upload</v>
      </c>
      <c r="N516" s="226"/>
      <c r="O516" s="226"/>
    </row>
    <row r="517" ht="24.0" customHeight="1">
      <c r="A517" s="216" t="str">
        <f>IFERROR(__xludf.DUMMYFUNCTION("ARRAYFORMULA(IFERROR(VLOOKUP(REGEXEXTRACT(B517, ""-(\w+)-""), {Data_Validation!$F$16:$F$29, Data_Validation!$E$16:$E$29}, 2, FALSE), """"))
"),"TheMVP")</f>
        <v>TheMVP</v>
      </c>
      <c r="B517" s="217" t="str">
        <f>IFERROR(__xludf.DUMMYFUNCTION("""COMPUTED_VALUE"""),"CC-MVP-16.04")</f>
        <v>CC-MVP-16.04</v>
      </c>
      <c r="C517" s="218" t="str">
        <f>IFERROR(__xludf.DUMMYFUNCTION("IFERROR(REGEXEXTRACT(B517, ""^[A-Z]+-[A-Z]+-"") &amp; TEXT(VALUE(REGEXEXTRACT(B517, ""-(\d+)\."")), ""00""), """")"),"CC-MVP-16")</f>
        <v>CC-MVP-16</v>
      </c>
      <c r="D517" s="219" t="str">
        <f>IFERROR(VLOOKUP(C517, Content_Creation!B:D, 2, FALSE), IFERROR(VLOOKUP(C517, Project_Management!B:D, 2, FALSE), ""))
&amp; " - "
&amp; IFERROR(VLOOKUP(C517, Content_Creation!B:E, 4, FALSE), IFERROR(VLOOKUP(C517, Project_Management!B:E, 4, FALSE), ""))</f>
        <v>Logi Persona Reviews - YT Video</v>
      </c>
      <c r="E517" s="220" t="str">
        <f>IFERROR(
    VLOOKUP(B516:B1001, Content_Creation!B:D, 3, FALSE),
    IFERROR(VLOOKUP(B516:B1001, Project_Management!B:D, 3, FALSE),"")
  )</f>
        <v>Editor Notes</v>
      </c>
      <c r="F517" s="221" t="str">
        <f>IFERROR(VLOOKUP(B517, Content_Creation!B:F, 5, FALSE), IFERROR(VLOOKUP(B517, Project_Management!B:F, 5, FALSE), ""))</f>
        <v>Tazeen</v>
      </c>
      <c r="G517" s="222"/>
      <c r="H517" s="223">
        <f>IFERROR(VLOOKUP(B517, Content_Creation!B:H, 7, FALSE), IFERROR(VLOOKUP(B517, Project_Management!B:H, 7, FALSE), ""))</f>
        <v>45252</v>
      </c>
      <c r="I517" s="224">
        <v>0.0</v>
      </c>
      <c r="J517" s="223">
        <f>IFERROR(VLOOKUP(C517, Content_Creation!B:H, 7, FALSE), IFERROR(VLOOKUP(C517, Project_Management!B:H, 7, FALSE), ""))</f>
        <v>45255</v>
      </c>
      <c r="K517" s="217"/>
      <c r="L517" s="225" t="str">
        <f>IFERROR(VLOOKUP(B517, Data_Validation!X:Y, 2, FALSE), "")</f>
        <v>Not Started</v>
      </c>
      <c r="M517" s="226" t="str">
        <f t="shared" si="1"/>
        <v>TheMVP | Logi Persona Reviews - YT Video | Editor Notes</v>
      </c>
      <c r="N517" s="226"/>
      <c r="O517" s="226"/>
    </row>
    <row r="518" ht="24.0" customHeight="1">
      <c r="A518" s="216" t="str">
        <f>IFERROR(__xludf.DUMMYFUNCTION("ARRAYFORMULA(IFERROR(VLOOKUP(REGEXEXTRACT(B518, ""-(\w+)-""), {Data_Validation!$F$16:$F$29, Data_Validation!$E$16:$E$29}, 2, FALSE), """"))
"),"TheMVP")</f>
        <v>TheMVP</v>
      </c>
      <c r="B518" s="217" t="str">
        <f>IFERROR(__xludf.DUMMYFUNCTION("""COMPUTED_VALUE"""),"CC-MVP-118.07")</f>
        <v>CC-MVP-118.07</v>
      </c>
      <c r="C518" s="218" t="str">
        <f>IFERROR(__xludf.DUMMYFUNCTION("IFERROR(REGEXEXTRACT(B518, ""^[A-Z]+-[A-Z]+-"") &amp; TEXT(VALUE(REGEXEXTRACT(B518, ""-(\d+)\."")), ""00""), """")"),"CC-MVP-118")</f>
        <v>CC-MVP-118</v>
      </c>
      <c r="D518" s="219" t="str">
        <f>IFERROR(VLOOKUP(C518, Content_Creation!B:D, 2, FALSE), IFERROR(VLOOKUP(C518, Project_Management!B:D, 2, FALSE), ""))
&amp; " - "
&amp; IFERROR(VLOOKUP(C518, Content_Creation!B:E, 4, FALSE), IFERROR(VLOOKUP(C518, Project_Management!B:E, 4, FALSE), ""))</f>
        <v>Editing Category Downedit - Shorts</v>
      </c>
      <c r="E518" s="220" t="str">
        <f>IFERROR(
    VLOOKUP(B517:B1001, Content_Creation!B:D, 3, FALSE),
    IFERROR(VLOOKUP(B517:B1001, Project_Management!B:D, 3, FALSE),"")
  )</f>
        <v>Upload</v>
      </c>
      <c r="F518" s="221" t="str">
        <f>IFERROR(VLOOKUP(B518, Content_Creation!B:F, 5, FALSE), IFERROR(VLOOKUP(B518, Project_Management!B:F, 5, FALSE), ""))</f>
        <v/>
      </c>
      <c r="G518" s="222" t="s">
        <v>179</v>
      </c>
      <c r="H518" s="223">
        <f>IFERROR(VLOOKUP(B518, Content_Creation!B:H, 7, FALSE), IFERROR(VLOOKUP(B518, Project_Management!B:H, 7, FALSE), ""))</f>
        <v>45252.99818</v>
      </c>
      <c r="I518" s="224">
        <v>0.0</v>
      </c>
      <c r="J518" s="223">
        <f>IFERROR(VLOOKUP(C518, Content_Creation!B:H, 7, FALSE), IFERROR(VLOOKUP(C518, Project_Management!B:H, 7, FALSE), ""))</f>
        <v>45252.99818</v>
      </c>
      <c r="K518" s="217"/>
      <c r="L518" s="225" t="str">
        <f>IFERROR(VLOOKUP(B518, Data_Validation!X:Y, 2, FALSE), "")</f>
        <v>Not Started</v>
      </c>
      <c r="M518" s="226" t="str">
        <f t="shared" si="1"/>
        <v>TheMVP | Editing Category Downedit - Shorts | Upload</v>
      </c>
      <c r="N518" s="226"/>
      <c r="O518" s="226"/>
    </row>
    <row r="519" ht="24.0" customHeight="1">
      <c r="A519" s="216" t="str">
        <f>IFERROR(__xludf.DUMMYFUNCTION("ARRAYFORMULA(IFERROR(VLOOKUP(REGEXEXTRACT(B519, ""-(\w+)-""), {Data_Validation!$F$16:$F$29, Data_Validation!$E$16:$E$29}, 2, FALSE), """"))
"),"TheMVP")</f>
        <v>TheMVP</v>
      </c>
      <c r="B519" s="217" t="str">
        <f>IFERROR(__xludf.DUMMYFUNCTION("""COMPUTED_VALUE"""),"CC-MVP-16.05")</f>
        <v>CC-MVP-16.05</v>
      </c>
      <c r="C519" s="218" t="str">
        <f>IFERROR(__xludf.DUMMYFUNCTION("IFERROR(REGEXEXTRACT(B519, ""^[A-Z]+-[A-Z]+-"") &amp; TEXT(VALUE(REGEXEXTRACT(B519, ""-(\d+)\."")), ""00""), """")"),"CC-MVP-16")</f>
        <v>CC-MVP-16</v>
      </c>
      <c r="D519" s="219" t="str">
        <f>IFERROR(VLOOKUP(C519, Content_Creation!B:D, 2, FALSE), IFERROR(VLOOKUP(C519, Project_Management!B:D, 2, FALSE), ""))
&amp; " - "
&amp; IFERROR(VLOOKUP(C519, Content_Creation!B:E, 4, FALSE), IFERROR(VLOOKUP(C519, Project_Management!B:E, 4, FALSE), ""))</f>
        <v>Logi Persona Reviews - YT Video</v>
      </c>
      <c r="E519" s="220" t="str">
        <f>IFERROR(
    VLOOKUP(B518:B1001, Content_Creation!B:D, 3, FALSE),
    IFERROR(VLOOKUP(B518:B1001, Project_Management!B:D, 3, FALSE),"")
  )</f>
        <v>Edit</v>
      </c>
      <c r="F519" s="221" t="str">
        <f>IFERROR(VLOOKUP(B519, Content_Creation!B:F, 5, FALSE), IFERROR(VLOOKUP(B519, Project_Management!B:F, 5, FALSE), ""))</f>
        <v>Freelancer</v>
      </c>
      <c r="G519" s="222"/>
      <c r="H519" s="223">
        <f>IFERROR(VLOOKUP(B519, Content_Creation!B:H, 7, FALSE), IFERROR(VLOOKUP(B519, Project_Management!B:H, 7, FALSE), ""))</f>
        <v>45253</v>
      </c>
      <c r="I519" s="224">
        <v>0.0</v>
      </c>
      <c r="J519" s="223">
        <f>IFERROR(VLOOKUP(C519, Content_Creation!B:H, 7, FALSE), IFERROR(VLOOKUP(C519, Project_Management!B:H, 7, FALSE), ""))</f>
        <v>45255</v>
      </c>
      <c r="K519" s="217"/>
      <c r="L519" s="225" t="str">
        <f>IFERROR(VLOOKUP(B519, Data_Validation!X:Y, 2, FALSE), "")</f>
        <v>Not Started</v>
      </c>
      <c r="M519" s="226" t="str">
        <f t="shared" si="1"/>
        <v>TheMVP | Logi Persona Reviews - YT Video | Edit</v>
      </c>
      <c r="N519" s="226"/>
      <c r="O519" s="226"/>
    </row>
    <row r="520" ht="24.0" customHeight="1">
      <c r="A520" s="216" t="str">
        <f>IFERROR(__xludf.DUMMYFUNCTION("ARRAYFORMULA(IFERROR(VLOOKUP(REGEXEXTRACT(B520, ""-(\w+)-""), {Data_Validation!$F$16:$F$29, Data_Validation!$E$16:$E$29}, 2, FALSE), """"))
"),"TheMVP")</f>
        <v>TheMVP</v>
      </c>
      <c r="B520" s="217" t="str">
        <f>IFERROR(__xludf.DUMMYFUNCTION("""COMPUTED_VALUE"""),"CC-MVP-16.06")</f>
        <v>CC-MVP-16.06</v>
      </c>
      <c r="C520" s="218" t="str">
        <f>IFERROR(__xludf.DUMMYFUNCTION("IFERROR(REGEXEXTRACT(B520, ""^[A-Z]+-[A-Z]+-"") &amp; TEXT(VALUE(REGEXEXTRACT(B520, ""-(\d+)\."")), ""00""), """")"),"CC-MVP-16")</f>
        <v>CC-MVP-16</v>
      </c>
      <c r="D520" s="219" t="str">
        <f>IFERROR(VLOOKUP(C520, Content_Creation!B:D, 2, FALSE), IFERROR(VLOOKUP(C520, Project_Management!B:D, 2, FALSE), ""))
&amp; " - "
&amp; IFERROR(VLOOKUP(C520, Content_Creation!B:E, 4, FALSE), IFERROR(VLOOKUP(C520, Project_Management!B:E, 4, FALSE), ""))</f>
        <v>Logi Persona Reviews - YT Video</v>
      </c>
      <c r="E520" s="220" t="str">
        <f>IFERROR(
    VLOOKUP(B519:B1001, Content_Creation!B:D, 3, FALSE),
    IFERROR(VLOOKUP(B519:B1001, Project_Management!B:D, 3, FALSE),"")
  )</f>
        <v>Thumbnail</v>
      </c>
      <c r="F520" s="221" t="str">
        <f>IFERROR(VLOOKUP(B520, Content_Creation!B:F, 5, FALSE), IFERROR(VLOOKUP(B520, Project_Management!B:F, 5, FALSE), ""))</f>
        <v>Naveen</v>
      </c>
      <c r="G520" s="222"/>
      <c r="H520" s="223">
        <f>IFERROR(VLOOKUP(B520, Content_Creation!B:H, 7, FALSE), IFERROR(VLOOKUP(B520, Project_Management!B:H, 7, FALSE), ""))</f>
        <v>45254</v>
      </c>
      <c r="I520" s="224">
        <v>0.0</v>
      </c>
      <c r="J520" s="223">
        <f>IFERROR(VLOOKUP(C520, Content_Creation!B:H, 7, FALSE), IFERROR(VLOOKUP(C520, Project_Management!B:H, 7, FALSE), ""))</f>
        <v>45255</v>
      </c>
      <c r="K520" s="217"/>
      <c r="L520" s="225" t="str">
        <f>IFERROR(VLOOKUP(B520, Data_Validation!X:Y, 2, FALSE), "")</f>
        <v>Not Started</v>
      </c>
      <c r="M520" s="226" t="str">
        <f t="shared" si="1"/>
        <v>TheMVP | Logi Persona Reviews - YT Video | Thumbnail</v>
      </c>
      <c r="N520" s="226"/>
      <c r="O520" s="226"/>
    </row>
    <row r="521" ht="24.0" customHeight="1">
      <c r="A521" s="216" t="str">
        <f>IFERROR(__xludf.DUMMYFUNCTION("ARRAYFORMULA(IFERROR(VLOOKUP(REGEXEXTRACT(B521, ""-(\w+)-""), {Data_Validation!$F$16:$F$29, Data_Validation!$E$16:$E$29}, 2, FALSE), """"))
"),"TheMVP")</f>
        <v>TheMVP</v>
      </c>
      <c r="B521" s="217" t="str">
        <f>IFERROR(__xludf.DUMMYFUNCTION("""COMPUTED_VALUE"""),"CC-MVP-16.07")</f>
        <v>CC-MVP-16.07</v>
      </c>
      <c r="C521" s="218" t="str">
        <f>IFERROR(__xludf.DUMMYFUNCTION("IFERROR(REGEXEXTRACT(B521, ""^[A-Z]+-[A-Z]+-"") &amp; TEXT(VALUE(REGEXEXTRACT(B521, ""-(\d+)\."")), ""00""), """")"),"CC-MVP-16")</f>
        <v>CC-MVP-16</v>
      </c>
      <c r="D521" s="219" t="str">
        <f>IFERROR(VLOOKUP(C521, Content_Creation!B:D, 2, FALSE), IFERROR(VLOOKUP(C521, Project_Management!B:D, 2, FALSE), ""))
&amp; " - "
&amp; IFERROR(VLOOKUP(C521, Content_Creation!B:E, 4, FALSE), IFERROR(VLOOKUP(C521, Project_Management!B:E, 4, FALSE), ""))</f>
        <v>Logi Persona Reviews - YT Video</v>
      </c>
      <c r="E521" s="220" t="str">
        <f>IFERROR(
    VLOOKUP(B520:B1001, Content_Creation!B:D, 3, FALSE),
    IFERROR(VLOOKUP(B520:B1001, Project_Management!B:D, 3, FALSE),"")
  )</f>
        <v>Upload</v>
      </c>
      <c r="F521" s="221" t="str">
        <f>IFERROR(VLOOKUP(B521, Content_Creation!B:F, 5, FALSE), IFERROR(VLOOKUP(B521, Project_Management!B:F, 5, FALSE), ""))</f>
        <v>Talha</v>
      </c>
      <c r="G521" s="222"/>
      <c r="H521" s="223">
        <f>IFERROR(VLOOKUP(B521, Content_Creation!B:H, 7, FALSE), IFERROR(VLOOKUP(B521, Project_Management!B:H, 7, FALSE), ""))</f>
        <v>45255</v>
      </c>
      <c r="I521" s="224">
        <v>0.0</v>
      </c>
      <c r="J521" s="223">
        <f>IFERROR(VLOOKUP(C521, Content_Creation!B:H, 7, FALSE), IFERROR(VLOOKUP(C521, Project_Management!B:H, 7, FALSE), ""))</f>
        <v>45255</v>
      </c>
      <c r="K521" s="217"/>
      <c r="L521" s="225" t="str">
        <f>IFERROR(VLOOKUP(B521, Data_Validation!X:Y, 2, FALSE), "")</f>
        <v>Not Started</v>
      </c>
      <c r="M521" s="226" t="str">
        <f t="shared" si="1"/>
        <v>TheMVP | Logi Persona Reviews - YT Video | Upload</v>
      </c>
      <c r="N521" s="226"/>
      <c r="O521" s="226"/>
    </row>
    <row r="522" ht="24.0" customHeight="1">
      <c r="A522" s="216" t="str">
        <f>IFERROR(__xludf.DUMMYFUNCTION("ARRAYFORMULA(IFERROR(VLOOKUP(REGEXEXTRACT(B522, ""-(\w+)-""), {Data_Validation!$F$16:$F$29, Data_Validation!$E$16:$E$29}, 2, FALSE), """"))
"),"")</f>
        <v/>
      </c>
      <c r="B522" s="217"/>
      <c r="C522" s="218" t="str">
        <f>IFERROR(__xludf.DUMMYFUNCTION("IFERROR(REGEXEXTRACT(B522, ""^[A-Z]+-[A-Z]+-"") &amp; TEXT(VALUE(REGEXEXTRACT(B522, ""-(\d+)\."")), ""00""), """")"),"")</f>
        <v/>
      </c>
      <c r="D522" s="219" t="str">
        <f>IFERROR(VLOOKUP(C522, Content_Creation!B:D, 2, FALSE), IFERROR(VLOOKUP(C522, Project_Management!B:D, 2, FALSE), ""))
&amp; " - "
&amp; IFERROR(VLOOKUP(C522, Content_Creation!B:E, 4, FALSE), IFERROR(VLOOKUP(C522, Project_Management!B:E, 4, FALSE), ""))</f>
        <v> - </v>
      </c>
      <c r="E522" s="220" t="str">
        <f>IFERROR(
    VLOOKUP(B521:B1001, Content_Creation!B:D, 3, FALSE),
    IFERROR(VLOOKUP(B521:B1001, Project_Management!B:D, 3, FALSE),"")
  )</f>
        <v/>
      </c>
      <c r="F522" s="221" t="str">
        <f>IFERROR(VLOOKUP(B522, Content_Creation!B:F, 5, FALSE), IFERROR(VLOOKUP(B522, Project_Management!B:F, 5, FALSE), ""))</f>
        <v/>
      </c>
      <c r="G522" s="222"/>
      <c r="H522" s="223" t="str">
        <f>IFERROR(VLOOKUP(B522, Content_Creation!B:H, 7, FALSE), IFERROR(VLOOKUP(B522, Project_Management!B:H, 7, FALSE), ""))</f>
        <v/>
      </c>
      <c r="I522" s="224">
        <v>0.0</v>
      </c>
      <c r="J522" s="223" t="str">
        <f>IFERROR(VLOOKUP(C522, Content_Creation!B:H, 7, FALSE), IFERROR(VLOOKUP(C522, Project_Management!B:H, 7, FALSE), ""))</f>
        <v/>
      </c>
      <c r="K522" s="217"/>
      <c r="L522" s="225" t="str">
        <f>IFERROR(VLOOKUP(B522, Data_Validation!X:Y, 2, FALSE), "")</f>
        <v/>
      </c>
      <c r="M522" s="226" t="str">
        <f t="shared" si="1"/>
        <v> |  -  | </v>
      </c>
      <c r="N522" s="226"/>
      <c r="O522" s="226"/>
    </row>
    <row r="523" ht="24.0" customHeight="1">
      <c r="A523" s="216" t="str">
        <f>IFERROR(__xludf.DUMMYFUNCTION("ARRAYFORMULA(IFERROR(VLOOKUP(REGEXEXTRACT(B523, ""-(\w+)-""), {Data_Validation!$F$16:$F$29, Data_Validation!$E$16:$E$29}, 2, FALSE), """"))
"),"")</f>
        <v/>
      </c>
      <c r="B523" s="217"/>
      <c r="C523" s="218" t="str">
        <f>IFERROR(__xludf.DUMMYFUNCTION("IFERROR(REGEXEXTRACT(B523, ""^[A-Z]+-[A-Z]+-"") &amp; TEXT(VALUE(REGEXEXTRACT(B523, ""-(\d+)\."")), ""00""), """")"),"")</f>
        <v/>
      </c>
      <c r="D523" s="219" t="str">
        <f>IFERROR(VLOOKUP(C523, Content_Creation!B:D, 2, FALSE), IFERROR(VLOOKUP(C523, Project_Management!B:D, 2, FALSE), ""))
&amp; " - "
&amp; IFERROR(VLOOKUP(C523, Content_Creation!B:E, 4, FALSE), IFERROR(VLOOKUP(C523, Project_Management!B:E, 4, FALSE), ""))</f>
        <v> - </v>
      </c>
      <c r="E523" s="220" t="str">
        <f>IFERROR(
    VLOOKUP(B522:B1001, Content_Creation!B:D, 3, FALSE),
    IFERROR(VLOOKUP(B522:B1001, Project_Management!B:D, 3, FALSE),"")
  )</f>
        <v/>
      </c>
      <c r="F523" s="221" t="str">
        <f>IFERROR(VLOOKUP(B523, Content_Creation!B:F, 5, FALSE), IFERROR(VLOOKUP(B523, Project_Management!B:F, 5, FALSE), ""))</f>
        <v/>
      </c>
      <c r="G523" s="222"/>
      <c r="H523" s="223" t="str">
        <f>IFERROR(VLOOKUP(B523, Content_Creation!B:H, 7, FALSE), IFERROR(VLOOKUP(B523, Project_Management!B:H, 7, FALSE), ""))</f>
        <v/>
      </c>
      <c r="I523" s="224">
        <v>0.0</v>
      </c>
      <c r="J523" s="223" t="str">
        <f>IFERROR(VLOOKUP(C523, Content_Creation!B:H, 7, FALSE), IFERROR(VLOOKUP(C523, Project_Management!B:H, 7, FALSE), ""))</f>
        <v/>
      </c>
      <c r="K523" s="217"/>
      <c r="L523" s="225" t="str">
        <f>IFERROR(VLOOKUP(B523, Data_Validation!X:Y, 2, FALSE), "")</f>
        <v/>
      </c>
      <c r="M523" s="226" t="str">
        <f t="shared" si="1"/>
        <v> |  -  | </v>
      </c>
      <c r="N523" s="226"/>
      <c r="O523" s="226"/>
    </row>
    <row r="524" ht="24.0" customHeight="1">
      <c r="A524" s="216" t="str">
        <f>IFERROR(__xludf.DUMMYFUNCTION("ARRAYFORMULA(IFERROR(VLOOKUP(REGEXEXTRACT(B524, ""-(\w+)-""), {Data_Validation!$F$16:$F$29, Data_Validation!$E$16:$E$29}, 2, FALSE), """"))
"),"")</f>
        <v/>
      </c>
      <c r="B524" s="217"/>
      <c r="C524" s="218" t="str">
        <f>IFERROR(__xludf.DUMMYFUNCTION("IFERROR(REGEXEXTRACT(B524, ""^[A-Z]+-[A-Z]+-"") &amp; TEXT(VALUE(REGEXEXTRACT(B524, ""-(\d+)\."")), ""00""), """")"),"")</f>
        <v/>
      </c>
      <c r="D524" s="219" t="str">
        <f>IFERROR(VLOOKUP(C524, Content_Creation!B:D, 2, FALSE), IFERROR(VLOOKUP(C524, Project_Management!B:D, 2, FALSE), ""))
&amp; " - "
&amp; IFERROR(VLOOKUP(C524, Content_Creation!B:E, 4, FALSE), IFERROR(VLOOKUP(C524, Project_Management!B:E, 4, FALSE), ""))</f>
        <v> - </v>
      </c>
      <c r="E524" s="220" t="str">
        <f>IFERROR(
    VLOOKUP(B523:B1001, Content_Creation!B:D, 3, FALSE),
    IFERROR(VLOOKUP(B523:B1001, Project_Management!B:D, 3, FALSE),"")
  )</f>
        <v/>
      </c>
      <c r="F524" s="221" t="str">
        <f>IFERROR(VLOOKUP(B524, Content_Creation!B:F, 5, FALSE), IFERROR(VLOOKUP(B524, Project_Management!B:F, 5, FALSE), ""))</f>
        <v/>
      </c>
      <c r="G524" s="222"/>
      <c r="H524" s="223" t="str">
        <f>IFERROR(VLOOKUP(B524, Content_Creation!B:H, 7, FALSE), IFERROR(VLOOKUP(B524, Project_Management!B:H, 7, FALSE), ""))</f>
        <v/>
      </c>
      <c r="I524" s="224">
        <v>0.0</v>
      </c>
      <c r="J524" s="223" t="str">
        <f>IFERROR(VLOOKUP(C524, Content_Creation!B:H, 7, FALSE), IFERROR(VLOOKUP(C524, Project_Management!B:H, 7, FALSE), ""))</f>
        <v/>
      </c>
      <c r="K524" s="217"/>
      <c r="L524" s="225" t="str">
        <f>IFERROR(VLOOKUP(B524, Data_Validation!X:Y, 2, FALSE), "")</f>
        <v/>
      </c>
      <c r="M524" s="226" t="str">
        <f t="shared" si="1"/>
        <v> |  -  | </v>
      </c>
      <c r="N524" s="226"/>
      <c r="O524" s="226"/>
    </row>
    <row r="525" ht="24.0" customHeight="1">
      <c r="A525" s="216" t="str">
        <f>IFERROR(__xludf.DUMMYFUNCTION("ARRAYFORMULA(IFERROR(VLOOKUP(REGEXEXTRACT(B525, ""-(\w+)-""), {Data_Validation!$F$16:$F$29, Data_Validation!$E$16:$E$29}, 2, FALSE), """"))
"),"")</f>
        <v/>
      </c>
      <c r="B525" s="217"/>
      <c r="C525" s="218" t="str">
        <f>IFERROR(__xludf.DUMMYFUNCTION("IFERROR(REGEXEXTRACT(B525, ""^[A-Z]+-[A-Z]+-"") &amp; TEXT(VALUE(REGEXEXTRACT(B525, ""-(\d+)\."")), ""00""), """")"),"")</f>
        <v/>
      </c>
      <c r="D525" s="219" t="str">
        <f>IFERROR(VLOOKUP(C525, Content_Creation!B:D, 2, FALSE), IFERROR(VLOOKUP(C525, Project_Management!B:D, 2, FALSE), ""))
&amp; " - "
&amp; IFERROR(VLOOKUP(C525, Content_Creation!B:E, 4, FALSE), IFERROR(VLOOKUP(C525, Project_Management!B:E, 4, FALSE), ""))</f>
        <v> - </v>
      </c>
      <c r="E525" s="220" t="str">
        <f>IFERROR(
    VLOOKUP(B524:B1001, Content_Creation!B:D, 3, FALSE),
    IFERROR(VLOOKUP(B524:B1001, Project_Management!B:D, 3, FALSE),"")
  )</f>
        <v/>
      </c>
      <c r="F525" s="221" t="str">
        <f>IFERROR(VLOOKUP(B525, Content_Creation!B:F, 5, FALSE), IFERROR(VLOOKUP(B525, Project_Management!B:F, 5, FALSE), ""))</f>
        <v/>
      </c>
      <c r="G525" s="222"/>
      <c r="H525" s="223" t="str">
        <f>IFERROR(VLOOKUP(B525, Content_Creation!B:H, 7, FALSE), IFERROR(VLOOKUP(B525, Project_Management!B:H, 7, FALSE), ""))</f>
        <v/>
      </c>
      <c r="I525" s="224">
        <v>0.0</v>
      </c>
      <c r="J525" s="223" t="str">
        <f>IFERROR(VLOOKUP(C525, Content_Creation!B:H, 7, FALSE), IFERROR(VLOOKUP(C525, Project_Management!B:H, 7, FALSE), ""))</f>
        <v/>
      </c>
      <c r="K525" s="217"/>
      <c r="L525" s="225" t="str">
        <f>IFERROR(VLOOKUP(B525, Data_Validation!X:Y, 2, FALSE), "")</f>
        <v/>
      </c>
      <c r="M525" s="226" t="str">
        <f t="shared" si="1"/>
        <v> |  -  | </v>
      </c>
      <c r="N525" s="226"/>
      <c r="O525" s="226"/>
    </row>
    <row r="526" ht="24.0" customHeight="1">
      <c r="A526" s="216" t="str">
        <f>IFERROR(__xludf.DUMMYFUNCTION("ARRAYFORMULA(IFERROR(VLOOKUP(REGEXEXTRACT(B526, ""-(\w+)-""), {Data_Validation!$F$16:$F$29, Data_Validation!$E$16:$E$29}, 2, FALSE), """"))
"),"")</f>
        <v/>
      </c>
      <c r="B526" s="217"/>
      <c r="C526" s="218" t="str">
        <f>IFERROR(__xludf.DUMMYFUNCTION("IFERROR(REGEXEXTRACT(B526, ""^[A-Z]+-[A-Z]+-"") &amp; TEXT(VALUE(REGEXEXTRACT(B526, ""-(\d+)\."")), ""00""), """")"),"")</f>
        <v/>
      </c>
      <c r="D526" s="219" t="str">
        <f>IFERROR(VLOOKUP(C526, Content_Creation!B:D, 2, FALSE), IFERROR(VLOOKUP(C526, Project_Management!B:D, 2, FALSE), ""))
&amp; " - "
&amp; IFERROR(VLOOKUP(C526, Content_Creation!B:E, 4, FALSE), IFERROR(VLOOKUP(C526, Project_Management!B:E, 4, FALSE), ""))</f>
        <v> - </v>
      </c>
      <c r="E526" s="220" t="str">
        <f>IFERROR(
    VLOOKUP(B525:B1001, Content_Creation!B:D, 3, FALSE),
    IFERROR(VLOOKUP(B525:B1001, Project_Management!B:D, 3, FALSE),"")
  )</f>
        <v/>
      </c>
      <c r="F526" s="221" t="str">
        <f>IFERROR(VLOOKUP(B526, Content_Creation!B:F, 5, FALSE), IFERROR(VLOOKUP(B526, Project_Management!B:F, 5, FALSE), ""))</f>
        <v/>
      </c>
      <c r="G526" s="222"/>
      <c r="H526" s="223" t="str">
        <f>IFERROR(VLOOKUP(B526, Content_Creation!B:H, 7, FALSE), IFERROR(VLOOKUP(B526, Project_Management!B:H, 7, FALSE), ""))</f>
        <v/>
      </c>
      <c r="I526" s="224">
        <v>0.0</v>
      </c>
      <c r="J526" s="223" t="str">
        <f>IFERROR(VLOOKUP(C526, Content_Creation!B:H, 7, FALSE), IFERROR(VLOOKUP(C526, Project_Management!B:H, 7, FALSE), ""))</f>
        <v/>
      </c>
      <c r="K526" s="217"/>
      <c r="L526" s="225" t="str">
        <f>IFERROR(VLOOKUP(B526, Data_Validation!X:Y, 2, FALSE), "")</f>
        <v/>
      </c>
      <c r="M526" s="226" t="str">
        <f t="shared" si="1"/>
        <v> |  -  | </v>
      </c>
      <c r="N526" s="226"/>
      <c r="O526" s="226"/>
    </row>
    <row r="527" ht="24.0" customHeight="1">
      <c r="A527" s="216" t="str">
        <f>IFERROR(__xludf.DUMMYFUNCTION("ARRAYFORMULA(IFERROR(VLOOKUP(REGEXEXTRACT(B527, ""-(\w+)-""), {Data_Validation!$F$16:$F$29, Data_Validation!$E$16:$E$29}, 2, FALSE), """"))
"),"")</f>
        <v/>
      </c>
      <c r="B527" s="217"/>
      <c r="C527" s="218" t="str">
        <f>IFERROR(__xludf.DUMMYFUNCTION("IFERROR(REGEXEXTRACT(B527, ""^[A-Z]+-[A-Z]+-"") &amp; TEXT(VALUE(REGEXEXTRACT(B527, ""-(\d+)\."")), ""00""), """")"),"")</f>
        <v/>
      </c>
      <c r="D527" s="219" t="str">
        <f>IFERROR(VLOOKUP(C527, Content_Creation!B:D, 2, FALSE), IFERROR(VLOOKUP(C527, Project_Management!B:D, 2, FALSE), ""))
&amp; " - "
&amp; IFERROR(VLOOKUP(C527, Content_Creation!B:E, 4, FALSE), IFERROR(VLOOKUP(C527, Project_Management!B:E, 4, FALSE), ""))</f>
        <v> - </v>
      </c>
      <c r="E527" s="220" t="str">
        <f>IFERROR(
    VLOOKUP(B526:B1001, Content_Creation!B:D, 3, FALSE),
    IFERROR(VLOOKUP(B526:B1001, Project_Management!B:D, 3, FALSE),"")
  )</f>
        <v/>
      </c>
      <c r="F527" s="221" t="str">
        <f>IFERROR(VLOOKUP(B527, Content_Creation!B:F, 5, FALSE), IFERROR(VLOOKUP(B527, Project_Management!B:F, 5, FALSE), ""))</f>
        <v/>
      </c>
      <c r="G527" s="266"/>
      <c r="H527" s="223" t="str">
        <f>IFERROR(VLOOKUP(B527, Content_Creation!B:H, 7, FALSE), IFERROR(VLOOKUP(B527, Project_Management!B:H, 7, FALSE), ""))</f>
        <v/>
      </c>
      <c r="I527" s="224">
        <v>0.0</v>
      </c>
      <c r="J527" s="223" t="str">
        <f>IFERROR(VLOOKUP(C527, Content_Creation!B:H, 7, FALSE), IFERROR(VLOOKUP(C527, Project_Management!B:H, 7, FALSE), ""))</f>
        <v/>
      </c>
      <c r="K527" s="217"/>
      <c r="L527" s="225" t="str">
        <f>IFERROR(VLOOKUP(B527, Data_Validation!X:Y, 2, FALSE), "")</f>
        <v/>
      </c>
      <c r="M527" s="226" t="str">
        <f t="shared" si="1"/>
        <v> |  -  | </v>
      </c>
      <c r="N527" s="226"/>
      <c r="O527" s="226"/>
    </row>
    <row r="528" ht="24.0" customHeight="1">
      <c r="A528" s="216" t="str">
        <f>IFERROR(__xludf.DUMMYFUNCTION("ARRAYFORMULA(IFERROR(VLOOKUP(REGEXEXTRACT(B528, ""-(\w+)-""), {Data_Validation!$F$16:$F$29, Data_Validation!$E$16:$E$29}, 2, FALSE), """"))
"),"")</f>
        <v/>
      </c>
      <c r="B528" s="217"/>
      <c r="C528" s="218" t="str">
        <f>IFERROR(__xludf.DUMMYFUNCTION("IFERROR(REGEXEXTRACT(B528, ""^[A-Z]+-[A-Z]+-"") &amp; TEXT(VALUE(REGEXEXTRACT(B528, ""-(\d+)\."")), ""00""), """")"),"")</f>
        <v/>
      </c>
      <c r="D528" s="219" t="str">
        <f>IFERROR(VLOOKUP(C528, Content_Creation!B:D, 2, FALSE), IFERROR(VLOOKUP(C528, Project_Management!B:D, 2, FALSE), ""))
&amp; " - "
&amp; IFERROR(VLOOKUP(C528, Content_Creation!B:E, 4, FALSE), IFERROR(VLOOKUP(C528, Project_Management!B:E, 4, FALSE), ""))</f>
        <v> - </v>
      </c>
      <c r="E528" s="220" t="str">
        <f>IFERROR(
    VLOOKUP(B527:B1001, Content_Creation!B:D, 3, FALSE),
    IFERROR(VLOOKUP(B527:B1001, Project_Management!B:D, 3, FALSE),"")
  )</f>
        <v/>
      </c>
      <c r="F528" s="221" t="str">
        <f>IFERROR(VLOOKUP(B528, Content_Creation!B:F, 5, FALSE), IFERROR(VLOOKUP(B528, Project_Management!B:F, 5, FALSE), ""))</f>
        <v/>
      </c>
      <c r="G528" s="222"/>
      <c r="H528" s="223" t="str">
        <f>IFERROR(VLOOKUP(B528, Content_Creation!B:H, 7, FALSE), IFERROR(VLOOKUP(B528, Project_Management!B:H, 7, FALSE), ""))</f>
        <v/>
      </c>
      <c r="I528" s="224">
        <v>0.0</v>
      </c>
      <c r="J528" s="223" t="str">
        <f>IFERROR(VLOOKUP(C528, Content_Creation!B:H, 7, FALSE), IFERROR(VLOOKUP(C528, Project_Management!B:H, 7, FALSE), ""))</f>
        <v/>
      </c>
      <c r="K528" s="217"/>
      <c r="L528" s="225" t="str">
        <f>IFERROR(VLOOKUP(B528, Data_Validation!X:Y, 2, FALSE), "")</f>
        <v/>
      </c>
      <c r="M528" s="226" t="str">
        <f t="shared" si="1"/>
        <v> |  -  | </v>
      </c>
      <c r="N528" s="226"/>
      <c r="O528" s="226"/>
    </row>
    <row r="529" ht="24.0" customHeight="1">
      <c r="A529" s="216" t="str">
        <f>IFERROR(__xludf.DUMMYFUNCTION("ARRAYFORMULA(IFERROR(VLOOKUP(REGEXEXTRACT(B529, ""-(\w+)-""), {Data_Validation!$F$16:$F$29, Data_Validation!$E$16:$E$29}, 2, FALSE), """"))
"),"")</f>
        <v/>
      </c>
      <c r="B529" s="217"/>
      <c r="C529" s="218" t="str">
        <f>IFERROR(__xludf.DUMMYFUNCTION("IFERROR(REGEXEXTRACT(B529, ""^[A-Z]+-[A-Z]+-"") &amp; TEXT(VALUE(REGEXEXTRACT(B529, ""-(\d+)\."")), ""00""), """")"),"")</f>
        <v/>
      </c>
      <c r="D529" s="219" t="str">
        <f>IFERROR(VLOOKUP(C529, Content_Creation!B:D, 2, FALSE), IFERROR(VLOOKUP(C529, Project_Management!B:D, 2, FALSE), ""))
&amp; " - "
&amp; IFERROR(VLOOKUP(C529, Content_Creation!B:E, 4, FALSE), IFERROR(VLOOKUP(C529, Project_Management!B:E, 4, FALSE), ""))</f>
        <v> - </v>
      </c>
      <c r="E529" s="220" t="str">
        <f>IFERROR(
    VLOOKUP(B528:B1001, Content_Creation!B:D, 3, FALSE),
    IFERROR(VLOOKUP(B528:B1001, Project_Management!B:D, 3, FALSE),"")
  )</f>
        <v/>
      </c>
      <c r="F529" s="221" t="str">
        <f>IFERROR(VLOOKUP(B529, Content_Creation!B:F, 5, FALSE), IFERROR(VLOOKUP(B529, Project_Management!B:F, 5, FALSE), ""))</f>
        <v/>
      </c>
      <c r="G529" s="265"/>
      <c r="H529" s="223" t="str">
        <f>IFERROR(VLOOKUP(B529, Content_Creation!B:H, 7, FALSE), IFERROR(VLOOKUP(B529, Project_Management!B:H, 7, FALSE), ""))</f>
        <v/>
      </c>
      <c r="I529" s="224">
        <v>0.0</v>
      </c>
      <c r="J529" s="223" t="str">
        <f>IFERROR(VLOOKUP(C529, Content_Creation!B:H, 7, FALSE), IFERROR(VLOOKUP(C529, Project_Management!B:H, 7, FALSE), ""))</f>
        <v/>
      </c>
      <c r="K529" s="217"/>
      <c r="L529" s="225" t="str">
        <f>IFERROR(VLOOKUP(B529, Data_Validation!X:Y, 2, FALSE), "")</f>
        <v/>
      </c>
      <c r="M529" s="226" t="str">
        <f t="shared" si="1"/>
        <v> |  -  | </v>
      </c>
      <c r="N529" s="226"/>
      <c r="O529" s="226"/>
    </row>
    <row r="530" ht="24.0" customHeight="1">
      <c r="A530" s="216" t="str">
        <f>IFERROR(__xludf.DUMMYFUNCTION("ARRAYFORMULA(IFERROR(VLOOKUP(REGEXEXTRACT(B530, ""-(\w+)-""), {Data_Validation!$F$16:$F$29, Data_Validation!$E$16:$E$29}, 2, FALSE), """"))
"),"")</f>
        <v/>
      </c>
      <c r="B530" s="217"/>
      <c r="C530" s="218" t="str">
        <f>IFERROR(__xludf.DUMMYFUNCTION("IFERROR(REGEXEXTRACT(B530, ""^[A-Z]+-[A-Z]+-"") &amp; TEXT(VALUE(REGEXEXTRACT(B530, ""-(\d+)\."")), ""00""), """")"),"")</f>
        <v/>
      </c>
      <c r="D530" s="219" t="str">
        <f>IFERROR(VLOOKUP(C530, Content_Creation!B:D, 2, FALSE), IFERROR(VLOOKUP(C530, Project_Management!B:D, 2, FALSE), ""))
&amp; " - "
&amp; IFERROR(VLOOKUP(C530, Content_Creation!B:E, 4, FALSE), IFERROR(VLOOKUP(C530, Project_Management!B:E, 4, FALSE), ""))</f>
        <v> - </v>
      </c>
      <c r="E530" s="220" t="str">
        <f>IFERROR(
    VLOOKUP(B529:B1001, Content_Creation!B:D, 3, FALSE),
    IFERROR(VLOOKUP(B529:B1001, Project_Management!B:D, 3, FALSE),"")
  )</f>
        <v/>
      </c>
      <c r="F530" s="221" t="str">
        <f>IFERROR(VLOOKUP(B530, Content_Creation!B:F, 5, FALSE), IFERROR(VLOOKUP(B530, Project_Management!B:F, 5, FALSE), ""))</f>
        <v/>
      </c>
      <c r="G530" s="266"/>
      <c r="H530" s="223" t="str">
        <f>IFERROR(VLOOKUP(B530, Content_Creation!B:H, 7, FALSE), IFERROR(VLOOKUP(B530, Project_Management!B:H, 7, FALSE), ""))</f>
        <v/>
      </c>
      <c r="I530" s="224">
        <v>0.0</v>
      </c>
      <c r="J530" s="223" t="str">
        <f>IFERROR(VLOOKUP(C530, Content_Creation!B:H, 7, FALSE), IFERROR(VLOOKUP(C530, Project_Management!B:H, 7, FALSE), ""))</f>
        <v/>
      </c>
      <c r="K530" s="217"/>
      <c r="L530" s="225" t="str">
        <f>IFERROR(VLOOKUP(B530, Data_Validation!X:Y, 2, FALSE), "")</f>
        <v/>
      </c>
      <c r="M530" s="226" t="str">
        <f t="shared" si="1"/>
        <v> |  -  | </v>
      </c>
      <c r="N530" s="226"/>
      <c r="O530" s="226"/>
    </row>
    <row r="531" ht="24.0" customHeight="1">
      <c r="A531" s="216" t="str">
        <f>IFERROR(__xludf.DUMMYFUNCTION("ARRAYFORMULA(IFERROR(VLOOKUP(REGEXEXTRACT(B531, ""-(\w+)-""), {Data_Validation!$F$16:$F$29, Data_Validation!$E$16:$E$29}, 2, FALSE), """"))
"),"")</f>
        <v/>
      </c>
      <c r="B531" s="217"/>
      <c r="C531" s="218" t="str">
        <f>IFERROR(__xludf.DUMMYFUNCTION("IFERROR(REGEXEXTRACT(B531, ""^[A-Z]+-[A-Z]+-"") &amp; TEXT(VALUE(REGEXEXTRACT(B531, ""-(\d+)\."")), ""00""), """")"),"")</f>
        <v/>
      </c>
      <c r="D531" s="219" t="str">
        <f>IFERROR(VLOOKUP(C531, Content_Creation!B:D, 2, FALSE), IFERROR(VLOOKUP(C531, Project_Management!B:D, 2, FALSE), ""))
&amp; " - "
&amp; IFERROR(VLOOKUP(C531, Content_Creation!B:E, 4, FALSE), IFERROR(VLOOKUP(C531, Project_Management!B:E, 4, FALSE), ""))</f>
        <v> - </v>
      </c>
      <c r="E531" s="220" t="str">
        <f>IFERROR(
    VLOOKUP(B530:B1001, Content_Creation!B:D, 3, FALSE),
    IFERROR(VLOOKUP(B530:B1001, Project_Management!B:D, 3, FALSE),"")
  )</f>
        <v/>
      </c>
      <c r="F531" s="221" t="str">
        <f>IFERROR(VLOOKUP(B531, Content_Creation!B:F, 5, FALSE), IFERROR(VLOOKUP(B531, Project_Management!B:F, 5, FALSE), ""))</f>
        <v/>
      </c>
      <c r="G531" s="222"/>
      <c r="H531" s="223" t="str">
        <f>IFERROR(VLOOKUP(B531, Content_Creation!B:H, 7, FALSE), IFERROR(VLOOKUP(B531, Project_Management!B:H, 7, FALSE), ""))</f>
        <v/>
      </c>
      <c r="I531" s="224">
        <v>0.0</v>
      </c>
      <c r="J531" s="223" t="str">
        <f>IFERROR(VLOOKUP(C531, Content_Creation!B:H, 7, FALSE), IFERROR(VLOOKUP(C531, Project_Management!B:H, 7, FALSE), ""))</f>
        <v/>
      </c>
      <c r="K531" s="217"/>
      <c r="L531" s="225" t="str">
        <f>IFERROR(VLOOKUP(B531, Data_Validation!X:Y, 2, FALSE), "")</f>
        <v/>
      </c>
      <c r="M531" s="226" t="str">
        <f t="shared" si="1"/>
        <v> |  -  | </v>
      </c>
      <c r="N531" s="226"/>
      <c r="O531" s="226"/>
    </row>
    <row r="532" ht="24.0" customHeight="1">
      <c r="A532" s="216" t="str">
        <f>IFERROR(__xludf.DUMMYFUNCTION("ARRAYFORMULA(IFERROR(VLOOKUP(REGEXEXTRACT(B532, ""-(\w+)-""), {Data_Validation!$F$16:$F$29, Data_Validation!$E$16:$E$29}, 2, FALSE), """"))
"),"")</f>
        <v/>
      </c>
      <c r="B532" s="217"/>
      <c r="C532" s="218" t="str">
        <f>IFERROR(__xludf.DUMMYFUNCTION("IFERROR(REGEXEXTRACT(B532, ""^[A-Z]+-[A-Z]+-"") &amp; TEXT(VALUE(REGEXEXTRACT(B532, ""-(\d+)\."")), ""00""), """")"),"")</f>
        <v/>
      </c>
      <c r="D532" s="219" t="str">
        <f>IFERROR(VLOOKUP(C532, Content_Creation!B:D, 2, FALSE), IFERROR(VLOOKUP(C532, Project_Management!B:D, 2, FALSE), ""))
&amp; " - "
&amp; IFERROR(VLOOKUP(C532, Content_Creation!B:E, 4, FALSE), IFERROR(VLOOKUP(C532, Project_Management!B:E, 4, FALSE), ""))</f>
        <v> - </v>
      </c>
      <c r="E532" s="220" t="str">
        <f>IFERROR(
    VLOOKUP(B531:B1001, Content_Creation!B:D, 3, FALSE),
    IFERROR(VLOOKUP(B531:B1001, Project_Management!B:D, 3, FALSE),"")
  )</f>
        <v/>
      </c>
      <c r="F532" s="221" t="str">
        <f>IFERROR(VLOOKUP(B532, Content_Creation!B:F, 5, FALSE), IFERROR(VLOOKUP(B532, Project_Management!B:F, 5, FALSE), ""))</f>
        <v/>
      </c>
      <c r="G532" s="222"/>
      <c r="H532" s="223" t="str">
        <f>IFERROR(VLOOKUP(B532, Content_Creation!B:H, 7, FALSE), IFERROR(VLOOKUP(B532, Project_Management!B:H, 7, FALSE), ""))</f>
        <v/>
      </c>
      <c r="I532" s="224">
        <v>0.0</v>
      </c>
      <c r="J532" s="223" t="str">
        <f>IFERROR(VLOOKUP(C532, Content_Creation!B:H, 7, FALSE), IFERROR(VLOOKUP(C532, Project_Management!B:H, 7, FALSE), ""))</f>
        <v/>
      </c>
      <c r="K532" s="217"/>
      <c r="L532" s="225" t="str">
        <f>IFERROR(VLOOKUP(B532, Data_Validation!X:Y, 2, FALSE), "")</f>
        <v/>
      </c>
      <c r="M532" s="226" t="str">
        <f t="shared" si="1"/>
        <v> |  -  | </v>
      </c>
      <c r="N532" s="226"/>
      <c r="O532" s="226"/>
    </row>
    <row r="533" ht="24.0" customHeight="1">
      <c r="A533" s="216" t="str">
        <f>IFERROR(__xludf.DUMMYFUNCTION("ARRAYFORMULA(IFERROR(VLOOKUP(REGEXEXTRACT(B533, ""-(\w+)-""), {Data_Validation!$F$16:$F$29, Data_Validation!$E$16:$E$29}, 2, FALSE), """"))
"),"")</f>
        <v/>
      </c>
      <c r="B533" s="217"/>
      <c r="C533" s="218" t="str">
        <f>IFERROR(__xludf.DUMMYFUNCTION("IFERROR(REGEXEXTRACT(B533, ""^[A-Z]+-[A-Z]+-"") &amp; TEXT(VALUE(REGEXEXTRACT(B533, ""-(\d+)\."")), ""00""), """")"),"")</f>
        <v/>
      </c>
      <c r="D533" s="219" t="str">
        <f>IFERROR(VLOOKUP(C533, Content_Creation!B:D, 2, FALSE), IFERROR(VLOOKUP(C533, Project_Management!B:D, 2, FALSE), ""))
&amp; " - "
&amp; IFERROR(VLOOKUP(C533, Content_Creation!B:E, 4, FALSE), IFERROR(VLOOKUP(C533, Project_Management!B:E, 4, FALSE), ""))</f>
        <v> - </v>
      </c>
      <c r="E533" s="220" t="str">
        <f>IFERROR(
    VLOOKUP(B532:B1001, Content_Creation!B:D, 3, FALSE),
    IFERROR(VLOOKUP(B532:B1001, Project_Management!B:D, 3, FALSE),"")
  )</f>
        <v/>
      </c>
      <c r="F533" s="221" t="str">
        <f>IFERROR(VLOOKUP(B533, Content_Creation!B:F, 5, FALSE), IFERROR(VLOOKUP(B533, Project_Management!B:F, 5, FALSE), ""))</f>
        <v/>
      </c>
      <c r="G533" s="222"/>
      <c r="H533" s="223" t="str">
        <f>IFERROR(VLOOKUP(B533, Content_Creation!B:H, 7, FALSE), IFERROR(VLOOKUP(B533, Project_Management!B:H, 7, FALSE), ""))</f>
        <v/>
      </c>
      <c r="I533" s="224">
        <v>0.0</v>
      </c>
      <c r="J533" s="223" t="str">
        <f>IFERROR(VLOOKUP(C533, Content_Creation!B:H, 7, FALSE), IFERROR(VLOOKUP(C533, Project_Management!B:H, 7, FALSE), ""))</f>
        <v/>
      </c>
      <c r="K533" s="217"/>
      <c r="L533" s="225" t="str">
        <f>IFERROR(VLOOKUP(B533, Data_Validation!X:Y, 2, FALSE), "")</f>
        <v/>
      </c>
      <c r="M533" s="226" t="str">
        <f t="shared" si="1"/>
        <v> |  -  | </v>
      </c>
      <c r="N533" s="226"/>
      <c r="O533" s="226"/>
    </row>
    <row r="534" ht="24.0" customHeight="1">
      <c r="A534" s="216" t="str">
        <f>IFERROR(__xludf.DUMMYFUNCTION("ARRAYFORMULA(IFERROR(VLOOKUP(REGEXEXTRACT(B534, ""-(\w+)-""), {Data_Validation!$F$16:$F$29, Data_Validation!$E$16:$E$29}, 2, FALSE), """"))
"),"")</f>
        <v/>
      </c>
      <c r="B534" s="217"/>
      <c r="C534" s="218" t="str">
        <f>IFERROR(__xludf.DUMMYFUNCTION("IFERROR(REGEXEXTRACT(B534, ""^[A-Z]+-[A-Z]+-"") &amp; TEXT(VALUE(REGEXEXTRACT(B534, ""-(\d+)\."")), ""00""), """")"),"")</f>
        <v/>
      </c>
      <c r="D534" s="219" t="str">
        <f>IFERROR(VLOOKUP(C534, Content_Creation!B:D, 2, FALSE), IFERROR(VLOOKUP(C534, Project_Management!B:D, 2, FALSE), ""))
&amp; " - "
&amp; IFERROR(VLOOKUP(C534, Content_Creation!B:E, 4, FALSE), IFERROR(VLOOKUP(C534, Project_Management!B:E, 4, FALSE), ""))</f>
        <v> - </v>
      </c>
      <c r="E534" s="220" t="str">
        <f>IFERROR(
    VLOOKUP(B533:B1001, Content_Creation!B:D, 3, FALSE),
    IFERROR(VLOOKUP(B533:B1001, Project_Management!B:D, 3, FALSE),"")
  )</f>
        <v/>
      </c>
      <c r="F534" s="221" t="str">
        <f>IFERROR(VLOOKUP(B534, Content_Creation!B:F, 5, FALSE), IFERROR(VLOOKUP(B534, Project_Management!B:F, 5, FALSE), ""))</f>
        <v/>
      </c>
      <c r="G534" s="222"/>
      <c r="H534" s="223" t="str">
        <f>IFERROR(VLOOKUP(B534, Content_Creation!B:H, 7, FALSE), IFERROR(VLOOKUP(B534, Project_Management!B:H, 7, FALSE), ""))</f>
        <v/>
      </c>
      <c r="I534" s="224">
        <v>0.0</v>
      </c>
      <c r="J534" s="223" t="str">
        <f>IFERROR(VLOOKUP(C534, Content_Creation!B:H, 7, FALSE), IFERROR(VLOOKUP(C534, Project_Management!B:H, 7, FALSE), ""))</f>
        <v/>
      </c>
      <c r="K534" s="217"/>
      <c r="L534" s="225" t="str">
        <f>IFERROR(VLOOKUP(B534, Data_Validation!X:Y, 2, FALSE), "")</f>
        <v/>
      </c>
      <c r="M534" s="226" t="str">
        <f t="shared" si="1"/>
        <v> |  -  | </v>
      </c>
      <c r="N534" s="226"/>
      <c r="O534" s="226"/>
    </row>
    <row r="535" ht="24.0" customHeight="1">
      <c r="A535" s="216" t="str">
        <f>IFERROR(__xludf.DUMMYFUNCTION("ARRAYFORMULA(IFERROR(VLOOKUP(REGEXEXTRACT(B535, ""-(\w+)-""), {Data_Validation!$F$16:$F$29, Data_Validation!$E$16:$E$29}, 2, FALSE), """"))
"),"")</f>
        <v/>
      </c>
      <c r="B535" s="217"/>
      <c r="C535" s="218" t="str">
        <f>IFERROR(__xludf.DUMMYFUNCTION("IFERROR(REGEXEXTRACT(B535, ""^[A-Z]+-[A-Z]+-"") &amp; TEXT(VALUE(REGEXEXTRACT(B535, ""-(\d+)\."")), ""00""), """")"),"")</f>
        <v/>
      </c>
      <c r="D535" s="219" t="str">
        <f>IFERROR(VLOOKUP(C535, Content_Creation!B:D, 2, FALSE), IFERROR(VLOOKUP(C535, Project_Management!B:D, 2, FALSE), ""))
&amp; " - "
&amp; IFERROR(VLOOKUP(C535, Content_Creation!B:E, 4, FALSE), IFERROR(VLOOKUP(C535, Project_Management!B:E, 4, FALSE), ""))</f>
        <v> - </v>
      </c>
      <c r="E535" s="220" t="str">
        <f>IFERROR(
    VLOOKUP(B534:B1001, Content_Creation!B:D, 3, FALSE),
    IFERROR(VLOOKUP(B534:B1001, Project_Management!B:D, 3, FALSE),"")
  )</f>
        <v/>
      </c>
      <c r="F535" s="221" t="str">
        <f>IFERROR(VLOOKUP(B535, Content_Creation!B:F, 5, FALSE), IFERROR(VLOOKUP(B535, Project_Management!B:F, 5, FALSE), ""))</f>
        <v/>
      </c>
      <c r="G535" s="222"/>
      <c r="H535" s="223" t="str">
        <f>IFERROR(VLOOKUP(B535, Content_Creation!B:H, 7, FALSE), IFERROR(VLOOKUP(B535, Project_Management!B:H, 7, FALSE), ""))</f>
        <v/>
      </c>
      <c r="I535" s="224">
        <v>0.0</v>
      </c>
      <c r="J535" s="223" t="str">
        <f>IFERROR(VLOOKUP(C535, Content_Creation!B:H, 7, FALSE), IFERROR(VLOOKUP(C535, Project_Management!B:H, 7, FALSE), ""))</f>
        <v/>
      </c>
      <c r="K535" s="217"/>
      <c r="L535" s="225" t="str">
        <f>IFERROR(VLOOKUP(B535, Data_Validation!X:Y, 2, FALSE), "")</f>
        <v/>
      </c>
      <c r="M535" s="226" t="str">
        <f t="shared" si="1"/>
        <v> |  -  | </v>
      </c>
      <c r="N535" s="226"/>
      <c r="O535" s="226"/>
    </row>
    <row r="536" ht="24.0" customHeight="1">
      <c r="A536" s="216" t="str">
        <f>IFERROR(__xludf.DUMMYFUNCTION("ARRAYFORMULA(IFERROR(VLOOKUP(REGEXEXTRACT(B536, ""-(\w+)-""), {Data_Validation!$F$16:$F$29, Data_Validation!$E$16:$E$29}, 2, FALSE), """"))
"),"")</f>
        <v/>
      </c>
      <c r="B536" s="217"/>
      <c r="C536" s="218" t="str">
        <f>IFERROR(__xludf.DUMMYFUNCTION("IFERROR(REGEXEXTRACT(B536, ""^[A-Z]+-[A-Z]+-"") &amp; TEXT(VALUE(REGEXEXTRACT(B536, ""-(\d+)\."")), ""00""), """")"),"")</f>
        <v/>
      </c>
      <c r="D536" s="219" t="str">
        <f>IFERROR(VLOOKUP(C536, Content_Creation!B:D, 2, FALSE), IFERROR(VLOOKUP(C536, Project_Management!B:D, 2, FALSE), ""))
&amp; " - "
&amp; IFERROR(VLOOKUP(C536, Content_Creation!B:E, 4, FALSE), IFERROR(VLOOKUP(C536, Project_Management!B:E, 4, FALSE), ""))</f>
        <v> - </v>
      </c>
      <c r="E536" s="220" t="str">
        <f>IFERROR(
    VLOOKUP(B535:B1001, Content_Creation!B:D, 3, FALSE),
    IFERROR(VLOOKUP(B535:B1001, Project_Management!B:D, 3, FALSE),"")
  )</f>
        <v/>
      </c>
      <c r="F536" s="221" t="str">
        <f>IFERROR(VLOOKUP(B536, Content_Creation!B:F, 5, FALSE), IFERROR(VLOOKUP(B536, Project_Management!B:F, 5, FALSE), ""))</f>
        <v/>
      </c>
      <c r="G536" s="222"/>
      <c r="H536" s="223" t="str">
        <f>IFERROR(VLOOKUP(B536, Content_Creation!B:H, 7, FALSE), IFERROR(VLOOKUP(B536, Project_Management!B:H, 7, FALSE), ""))</f>
        <v/>
      </c>
      <c r="I536" s="224">
        <v>0.0</v>
      </c>
      <c r="J536" s="223" t="str">
        <f>IFERROR(VLOOKUP(C536, Content_Creation!B:H, 7, FALSE), IFERROR(VLOOKUP(C536, Project_Management!B:H, 7, FALSE), ""))</f>
        <v/>
      </c>
      <c r="K536" s="217"/>
      <c r="L536" s="225" t="str">
        <f>IFERROR(VLOOKUP(B536, Data_Validation!X:Y, 2, FALSE), "")</f>
        <v/>
      </c>
      <c r="M536" s="226" t="str">
        <f t="shared" si="1"/>
        <v> |  -  | </v>
      </c>
      <c r="N536" s="226"/>
      <c r="O536" s="226"/>
    </row>
    <row r="537" ht="24.0" customHeight="1">
      <c r="A537" s="216" t="str">
        <f>IFERROR(__xludf.DUMMYFUNCTION("ARRAYFORMULA(IFERROR(VLOOKUP(REGEXEXTRACT(B537, ""-(\w+)-""), {Data_Validation!$F$16:$F$29, Data_Validation!$E$16:$E$29}, 2, FALSE), """"))
"),"")</f>
        <v/>
      </c>
      <c r="B537" s="217"/>
      <c r="C537" s="218" t="str">
        <f>IFERROR(__xludf.DUMMYFUNCTION("IFERROR(REGEXEXTRACT(B537, ""^[A-Z]+-[A-Z]+-"") &amp; TEXT(VALUE(REGEXEXTRACT(B537, ""-(\d+)\."")), ""00""), """")"),"")</f>
        <v/>
      </c>
      <c r="D537" s="219" t="str">
        <f>IFERROR(VLOOKUP(C537, Content_Creation!B:D, 2, FALSE), IFERROR(VLOOKUP(C537, Project_Management!B:D, 2, FALSE), ""))
&amp; " - "
&amp; IFERROR(VLOOKUP(C537, Content_Creation!B:E, 4, FALSE), IFERROR(VLOOKUP(C537, Project_Management!B:E, 4, FALSE), ""))</f>
        <v> - </v>
      </c>
      <c r="E537" s="220" t="str">
        <f>IFERROR(
    VLOOKUP(B536:B1001, Content_Creation!B:D, 3, FALSE),
    IFERROR(VLOOKUP(B536:B1001, Project_Management!B:D, 3, FALSE),"")
  )</f>
        <v/>
      </c>
      <c r="F537" s="221" t="str">
        <f>IFERROR(VLOOKUP(B537, Content_Creation!B:F, 5, FALSE), IFERROR(VLOOKUP(B537, Project_Management!B:F, 5, FALSE), ""))</f>
        <v/>
      </c>
      <c r="G537" s="222"/>
      <c r="H537" s="223" t="str">
        <f>IFERROR(VLOOKUP(B537, Content_Creation!B:H, 7, FALSE), IFERROR(VLOOKUP(B537, Project_Management!B:H, 7, FALSE), ""))</f>
        <v/>
      </c>
      <c r="I537" s="224">
        <v>0.0</v>
      </c>
      <c r="J537" s="223" t="str">
        <f>IFERROR(VLOOKUP(C537, Content_Creation!B:H, 7, FALSE), IFERROR(VLOOKUP(C537, Project_Management!B:H, 7, FALSE), ""))</f>
        <v/>
      </c>
      <c r="K537" s="217"/>
      <c r="L537" s="225" t="str">
        <f>IFERROR(VLOOKUP(B537, Data_Validation!X:Y, 2, FALSE), "")</f>
        <v/>
      </c>
      <c r="M537" s="226" t="str">
        <f t="shared" si="1"/>
        <v> |  -  | </v>
      </c>
      <c r="N537" s="226"/>
      <c r="O537" s="226"/>
    </row>
    <row r="538" ht="24.0" customHeight="1">
      <c r="A538" s="216" t="str">
        <f>IFERROR(__xludf.DUMMYFUNCTION("ARRAYFORMULA(IFERROR(VLOOKUP(REGEXEXTRACT(B538, ""-(\w+)-""), {Data_Validation!$F$16:$F$29, Data_Validation!$E$16:$E$29}, 2, FALSE), """"))
"),"")</f>
        <v/>
      </c>
      <c r="B538" s="217"/>
      <c r="C538" s="218" t="str">
        <f>IFERROR(__xludf.DUMMYFUNCTION("IFERROR(REGEXEXTRACT(B538, ""^[A-Z]+-[A-Z]+-"") &amp; TEXT(VALUE(REGEXEXTRACT(B538, ""-(\d+)\."")), ""00""), """")"),"")</f>
        <v/>
      </c>
      <c r="D538" s="219" t="str">
        <f>IFERROR(VLOOKUP(C538, Content_Creation!B:D, 2, FALSE), IFERROR(VLOOKUP(C538, Project_Management!B:D, 2, FALSE), ""))
&amp; " - "
&amp; IFERROR(VLOOKUP(C538, Content_Creation!B:E, 4, FALSE), IFERROR(VLOOKUP(C538, Project_Management!B:E, 4, FALSE), ""))</f>
        <v> - </v>
      </c>
      <c r="E538" s="220" t="str">
        <f>IFERROR(
    VLOOKUP(B537:B1001, Content_Creation!B:D, 3, FALSE),
    IFERROR(VLOOKUP(B537:B1001, Project_Management!B:D, 3, FALSE),"")
  )</f>
        <v/>
      </c>
      <c r="F538" s="221" t="str">
        <f>IFERROR(VLOOKUP(B538, Content_Creation!B:F, 5, FALSE), IFERROR(VLOOKUP(B538, Project_Management!B:F, 5, FALSE), ""))</f>
        <v/>
      </c>
      <c r="G538" s="222"/>
      <c r="H538" s="223" t="str">
        <f>IFERROR(VLOOKUP(B538, Content_Creation!B:H, 7, FALSE), IFERROR(VLOOKUP(B538, Project_Management!B:H, 7, FALSE), ""))</f>
        <v/>
      </c>
      <c r="I538" s="224">
        <v>0.0</v>
      </c>
      <c r="J538" s="223" t="str">
        <f>IFERROR(VLOOKUP(C538, Content_Creation!B:H, 7, FALSE), IFERROR(VLOOKUP(C538, Project_Management!B:H, 7, FALSE), ""))</f>
        <v/>
      </c>
      <c r="K538" s="217"/>
      <c r="L538" s="225" t="str">
        <f>IFERROR(VLOOKUP(B538, Data_Validation!X:Y, 2, FALSE), "")</f>
        <v/>
      </c>
      <c r="M538" s="226" t="str">
        <f t="shared" si="1"/>
        <v> |  -  | </v>
      </c>
      <c r="N538" s="226"/>
      <c r="O538" s="226"/>
    </row>
    <row r="539" ht="24.0" customHeight="1">
      <c r="A539" s="216" t="str">
        <f>IFERROR(__xludf.DUMMYFUNCTION("ARRAYFORMULA(IFERROR(VLOOKUP(REGEXEXTRACT(B539, ""-(\w+)-""), {Data_Validation!$F$16:$F$29, Data_Validation!$E$16:$E$29}, 2, FALSE), """"))
"),"")</f>
        <v/>
      </c>
      <c r="B539" s="217"/>
      <c r="C539" s="218" t="str">
        <f>IFERROR(__xludf.DUMMYFUNCTION("IFERROR(REGEXEXTRACT(B539, ""^[A-Z]+-[A-Z]+-"") &amp; TEXT(VALUE(REGEXEXTRACT(B539, ""-(\d+)\."")), ""00""), """")"),"")</f>
        <v/>
      </c>
      <c r="D539" s="219" t="str">
        <f>IFERROR(VLOOKUP(C539, Content_Creation!B:D, 2, FALSE), IFERROR(VLOOKUP(C539, Project_Management!B:D, 2, FALSE), ""))
&amp; " - "
&amp; IFERROR(VLOOKUP(C539, Content_Creation!B:E, 4, FALSE), IFERROR(VLOOKUP(C539, Project_Management!B:E, 4, FALSE), ""))</f>
        <v> - </v>
      </c>
      <c r="E539" s="220" t="str">
        <f>IFERROR(
    VLOOKUP(B538:B1001, Content_Creation!B:D, 3, FALSE),
    IFERROR(VLOOKUP(B538:B1001, Project_Management!B:D, 3, FALSE),"")
  )</f>
        <v/>
      </c>
      <c r="F539" s="221" t="str">
        <f>IFERROR(VLOOKUP(B539, Content_Creation!B:F, 5, FALSE), IFERROR(VLOOKUP(B539, Project_Management!B:F, 5, FALSE), ""))</f>
        <v/>
      </c>
      <c r="G539" s="222"/>
      <c r="H539" s="223" t="str">
        <f>IFERROR(VLOOKUP(B539, Content_Creation!B:H, 7, FALSE), IFERROR(VLOOKUP(B539, Project_Management!B:H, 7, FALSE), ""))</f>
        <v/>
      </c>
      <c r="I539" s="224">
        <v>0.0</v>
      </c>
      <c r="J539" s="223" t="str">
        <f>IFERROR(VLOOKUP(C539, Content_Creation!B:H, 7, FALSE), IFERROR(VLOOKUP(C539, Project_Management!B:H, 7, FALSE), ""))</f>
        <v/>
      </c>
      <c r="K539" s="217"/>
      <c r="L539" s="225" t="str">
        <f>IFERROR(VLOOKUP(B539, Data_Validation!X:Y, 2, FALSE), "")</f>
        <v/>
      </c>
      <c r="M539" s="226" t="str">
        <f t="shared" si="1"/>
        <v> |  -  | </v>
      </c>
      <c r="N539" s="226"/>
      <c r="O539" s="226"/>
    </row>
    <row r="540" ht="24.0" customHeight="1">
      <c r="A540" s="216" t="str">
        <f>IFERROR(__xludf.DUMMYFUNCTION("ARRAYFORMULA(IFERROR(VLOOKUP(REGEXEXTRACT(B540, ""-(\w+)-""), {Data_Validation!$F$16:$F$29, Data_Validation!$E$16:$E$29}, 2, FALSE), """"))
"),"")</f>
        <v/>
      </c>
      <c r="B540" s="217"/>
      <c r="C540" s="218" t="str">
        <f>IFERROR(__xludf.DUMMYFUNCTION("IFERROR(REGEXEXTRACT(B540, ""^[A-Z]+-[A-Z]+-"") &amp; TEXT(VALUE(REGEXEXTRACT(B540, ""-(\d+)\."")), ""00""), """")"),"")</f>
        <v/>
      </c>
      <c r="D540" s="219" t="str">
        <f>IFERROR(VLOOKUP(C540, Content_Creation!B:D, 2, FALSE), IFERROR(VLOOKUP(C540, Project_Management!B:D, 2, FALSE), ""))
&amp; " - "
&amp; IFERROR(VLOOKUP(C540, Content_Creation!B:E, 4, FALSE), IFERROR(VLOOKUP(C540, Project_Management!B:E, 4, FALSE), ""))</f>
        <v> - </v>
      </c>
      <c r="E540" s="220" t="str">
        <f>IFERROR(
    VLOOKUP(B539:B1001, Content_Creation!B:D, 3, FALSE),
    IFERROR(VLOOKUP(B539:B1001, Project_Management!B:D, 3, FALSE),"")
  )</f>
        <v/>
      </c>
      <c r="F540" s="221" t="str">
        <f>IFERROR(VLOOKUP(B540, Content_Creation!B:F, 5, FALSE), IFERROR(VLOOKUP(B540, Project_Management!B:F, 5, FALSE), ""))</f>
        <v/>
      </c>
      <c r="G540" s="222"/>
      <c r="H540" s="223" t="str">
        <f>IFERROR(VLOOKUP(B540, Content_Creation!B:H, 7, FALSE), IFERROR(VLOOKUP(B540, Project_Management!B:H, 7, FALSE), ""))</f>
        <v/>
      </c>
      <c r="I540" s="224">
        <v>0.0</v>
      </c>
      <c r="J540" s="223" t="str">
        <f>IFERROR(VLOOKUP(C540, Content_Creation!B:H, 7, FALSE), IFERROR(VLOOKUP(C540, Project_Management!B:H, 7, FALSE), ""))</f>
        <v/>
      </c>
      <c r="K540" s="217"/>
      <c r="L540" s="225" t="str">
        <f>IFERROR(VLOOKUP(B540, Data_Validation!X:Y, 2, FALSE), "")</f>
        <v/>
      </c>
      <c r="M540" s="226" t="str">
        <f t="shared" si="1"/>
        <v> |  -  | </v>
      </c>
      <c r="N540" s="226"/>
      <c r="O540" s="226"/>
    </row>
    <row r="541" ht="24.0" customHeight="1">
      <c r="A541" s="216" t="str">
        <f>IFERROR(__xludf.DUMMYFUNCTION("ARRAYFORMULA(IFERROR(VLOOKUP(REGEXEXTRACT(B541, ""-(\w+)-""), {Data_Validation!$F$16:$F$29, Data_Validation!$E$16:$E$29}, 2, FALSE), """"))
"),"")</f>
        <v/>
      </c>
      <c r="B541" s="217"/>
      <c r="C541" s="218" t="str">
        <f>IFERROR(__xludf.DUMMYFUNCTION("IFERROR(REGEXEXTRACT(B541, ""^[A-Z]+-[A-Z]+-"") &amp; TEXT(VALUE(REGEXEXTRACT(B541, ""-(\d+)\."")), ""00""), """")"),"")</f>
        <v/>
      </c>
      <c r="D541" s="219" t="str">
        <f>IFERROR(VLOOKUP(C541, Content_Creation!B:D, 2, FALSE), IFERROR(VLOOKUP(C541, Project_Management!B:D, 2, FALSE), ""))
&amp; " - "
&amp; IFERROR(VLOOKUP(C541, Content_Creation!B:E, 4, FALSE), IFERROR(VLOOKUP(C541, Project_Management!B:E, 4, FALSE), ""))</f>
        <v> - </v>
      </c>
      <c r="E541" s="220" t="str">
        <f>IFERROR(
    VLOOKUP(B540:B1001, Content_Creation!B:D, 3, FALSE),
    IFERROR(VLOOKUP(B540:B1001, Project_Management!B:D, 3, FALSE),"")
  )</f>
        <v/>
      </c>
      <c r="F541" s="221" t="str">
        <f>IFERROR(VLOOKUP(B541, Content_Creation!B:F, 5, FALSE), IFERROR(VLOOKUP(B541, Project_Management!B:F, 5, FALSE), ""))</f>
        <v/>
      </c>
      <c r="G541" s="222"/>
      <c r="H541" s="223" t="str">
        <f>IFERROR(VLOOKUP(B541, Content_Creation!B:H, 7, FALSE), IFERROR(VLOOKUP(B541, Project_Management!B:H, 7, FALSE), ""))</f>
        <v/>
      </c>
      <c r="I541" s="224">
        <v>0.0</v>
      </c>
      <c r="J541" s="223" t="str">
        <f>IFERROR(VLOOKUP(C541, Content_Creation!B:H, 7, FALSE), IFERROR(VLOOKUP(C541, Project_Management!B:H, 7, FALSE), ""))</f>
        <v/>
      </c>
      <c r="K541" s="217"/>
      <c r="L541" s="225" t="str">
        <f>IFERROR(VLOOKUP(B541, Data_Validation!X:Y, 2, FALSE), "")</f>
        <v/>
      </c>
      <c r="M541" s="226" t="str">
        <f t="shared" si="1"/>
        <v> |  -  | </v>
      </c>
      <c r="N541" s="226"/>
      <c r="O541" s="226"/>
    </row>
    <row r="542" ht="24.0" customHeight="1">
      <c r="A542" s="216" t="str">
        <f>IFERROR(__xludf.DUMMYFUNCTION("ARRAYFORMULA(IFERROR(VLOOKUP(REGEXEXTRACT(B542, ""-(\w+)-""), {Data_Validation!$F$16:$F$29, Data_Validation!$E$16:$E$29}, 2, FALSE), """"))
"),"")</f>
        <v/>
      </c>
      <c r="B542" s="217"/>
      <c r="C542" s="218" t="str">
        <f>IFERROR(__xludf.DUMMYFUNCTION("IFERROR(REGEXEXTRACT(B542, ""^[A-Z]+-[A-Z]+-"") &amp; TEXT(VALUE(REGEXEXTRACT(B542, ""-(\d+)\."")), ""00""), """")"),"")</f>
        <v/>
      </c>
      <c r="D542" s="219" t="str">
        <f>IFERROR(VLOOKUP(C542, Content_Creation!B:D, 2, FALSE), IFERROR(VLOOKUP(C542, Project_Management!B:D, 2, FALSE), ""))
&amp; " - "
&amp; IFERROR(VLOOKUP(C542, Content_Creation!B:E, 4, FALSE), IFERROR(VLOOKUP(C542, Project_Management!B:E, 4, FALSE), ""))</f>
        <v> - </v>
      </c>
      <c r="E542" s="220" t="str">
        <f>IFERROR(
    VLOOKUP(B541:B1001, Content_Creation!B:D, 3, FALSE),
    IFERROR(VLOOKUP(B541:B1001, Project_Management!B:D, 3, FALSE),"")
  )</f>
        <v/>
      </c>
      <c r="F542" s="221" t="str">
        <f>IFERROR(VLOOKUP(B542, Content_Creation!B:F, 5, FALSE), IFERROR(VLOOKUP(B542, Project_Management!B:F, 5, FALSE), ""))</f>
        <v/>
      </c>
      <c r="G542" s="222"/>
      <c r="H542" s="223" t="str">
        <f>IFERROR(VLOOKUP(B542, Content_Creation!B:H, 7, FALSE), IFERROR(VLOOKUP(B542, Project_Management!B:H, 7, FALSE), ""))</f>
        <v/>
      </c>
      <c r="I542" s="224">
        <v>0.0</v>
      </c>
      <c r="J542" s="223" t="str">
        <f>IFERROR(VLOOKUP(C542, Content_Creation!B:H, 7, FALSE), IFERROR(VLOOKUP(C542, Project_Management!B:H, 7, FALSE), ""))</f>
        <v/>
      </c>
      <c r="K542" s="217"/>
      <c r="L542" s="225" t="str">
        <f>IFERROR(VLOOKUP(B542, Data_Validation!X:Y, 2, FALSE), "")</f>
        <v/>
      </c>
      <c r="M542" s="226" t="str">
        <f t="shared" si="1"/>
        <v> |  -  | </v>
      </c>
      <c r="N542" s="226"/>
      <c r="O542" s="226"/>
    </row>
    <row r="543" ht="24.0" customHeight="1">
      <c r="A543" s="216" t="str">
        <f>IFERROR(__xludf.DUMMYFUNCTION("ARRAYFORMULA(IFERROR(VLOOKUP(REGEXEXTRACT(B543, ""-(\w+)-""), {Data_Validation!$F$16:$F$29, Data_Validation!$E$16:$E$29}, 2, FALSE), """"))
"),"")</f>
        <v/>
      </c>
      <c r="B543" s="217"/>
      <c r="C543" s="218" t="str">
        <f>IFERROR(__xludf.DUMMYFUNCTION("IFERROR(REGEXEXTRACT(B543, ""^[A-Z]+-[A-Z]+-"") &amp; TEXT(VALUE(REGEXEXTRACT(B543, ""-(\d+)\."")), ""00""), """")"),"")</f>
        <v/>
      </c>
      <c r="D543" s="219" t="str">
        <f>IFERROR(VLOOKUP(C543, Content_Creation!B:D, 2, FALSE), IFERROR(VLOOKUP(C543, Project_Management!B:D, 2, FALSE), ""))
&amp; " - "
&amp; IFERROR(VLOOKUP(C543, Content_Creation!B:E, 4, FALSE), IFERROR(VLOOKUP(C543, Project_Management!B:E, 4, FALSE), ""))</f>
        <v> - </v>
      </c>
      <c r="E543" s="220" t="str">
        <f>IFERROR(
    VLOOKUP(B542:B1001, Content_Creation!B:D, 3, FALSE),
    IFERROR(VLOOKUP(B542:B1001, Project_Management!B:D, 3, FALSE),"")
  )</f>
        <v/>
      </c>
      <c r="F543" s="221" t="str">
        <f>IFERROR(VLOOKUP(B543, Content_Creation!B:F, 5, FALSE), IFERROR(VLOOKUP(B543, Project_Management!B:F, 5, FALSE), ""))</f>
        <v/>
      </c>
      <c r="G543" s="222"/>
      <c r="H543" s="223" t="str">
        <f>IFERROR(VLOOKUP(B543, Content_Creation!B:H, 7, FALSE), IFERROR(VLOOKUP(B543, Project_Management!B:H, 7, FALSE), ""))</f>
        <v/>
      </c>
      <c r="I543" s="224">
        <v>0.0</v>
      </c>
      <c r="J543" s="223" t="str">
        <f>IFERROR(VLOOKUP(C543, Content_Creation!B:H, 7, FALSE), IFERROR(VLOOKUP(C543, Project_Management!B:H, 7, FALSE), ""))</f>
        <v/>
      </c>
      <c r="K543" s="217"/>
      <c r="L543" s="225" t="str">
        <f>IFERROR(VLOOKUP(B543, Data_Validation!X:Y, 2, FALSE), "")</f>
        <v/>
      </c>
      <c r="M543" s="226" t="str">
        <f t="shared" si="1"/>
        <v> |  -  | </v>
      </c>
      <c r="N543" s="226"/>
      <c r="O543" s="226"/>
    </row>
    <row r="544" ht="24.0" customHeight="1">
      <c r="A544" s="216" t="str">
        <f>IFERROR(__xludf.DUMMYFUNCTION("ARRAYFORMULA(IFERROR(VLOOKUP(REGEXEXTRACT(B544, ""-(\w+)-""), {Data_Validation!$F$16:$F$29, Data_Validation!$E$16:$E$29}, 2, FALSE), """"))
"),"")</f>
        <v/>
      </c>
      <c r="B544" s="217"/>
      <c r="C544" s="218" t="str">
        <f>IFERROR(__xludf.DUMMYFUNCTION("IFERROR(REGEXEXTRACT(B544, ""^[A-Z]+-[A-Z]+-"") &amp; TEXT(VALUE(REGEXEXTRACT(B544, ""-(\d+)\."")), ""00""), """")"),"")</f>
        <v/>
      </c>
      <c r="D544" s="219" t="str">
        <f>IFERROR(VLOOKUP(C544, Content_Creation!B:D, 2, FALSE), IFERROR(VLOOKUP(C544, Project_Management!B:D, 2, FALSE), ""))
&amp; " - "
&amp; IFERROR(VLOOKUP(C544, Content_Creation!B:E, 4, FALSE), IFERROR(VLOOKUP(C544, Project_Management!B:E, 4, FALSE), ""))</f>
        <v> - </v>
      </c>
      <c r="E544" s="220" t="str">
        <f>IFERROR(
    VLOOKUP(B543:B1001, Content_Creation!B:D, 3, FALSE),
    IFERROR(VLOOKUP(B543:B1001, Project_Management!B:D, 3, FALSE),"")
  )</f>
        <v/>
      </c>
      <c r="F544" s="221" t="str">
        <f>IFERROR(VLOOKUP(B544, Content_Creation!B:F, 5, FALSE), IFERROR(VLOOKUP(B544, Project_Management!B:F, 5, FALSE), ""))</f>
        <v/>
      </c>
      <c r="G544" s="222"/>
      <c r="H544" s="223" t="str">
        <f>IFERROR(VLOOKUP(B544, Content_Creation!B:H, 7, FALSE), IFERROR(VLOOKUP(B544, Project_Management!B:H, 7, FALSE), ""))</f>
        <v/>
      </c>
      <c r="I544" s="224">
        <v>0.0</v>
      </c>
      <c r="J544" s="223" t="str">
        <f>IFERROR(VLOOKUP(C544, Content_Creation!B:H, 7, FALSE), IFERROR(VLOOKUP(C544, Project_Management!B:H, 7, FALSE), ""))</f>
        <v/>
      </c>
      <c r="K544" s="217"/>
      <c r="L544" s="225" t="str">
        <f>IFERROR(VLOOKUP(B544, Data_Validation!X:Y, 2, FALSE), "")</f>
        <v/>
      </c>
      <c r="M544" s="226" t="str">
        <f t="shared" si="1"/>
        <v> |  -  | </v>
      </c>
      <c r="N544" s="226"/>
      <c r="O544" s="226"/>
    </row>
    <row r="545" ht="24.0" customHeight="1">
      <c r="A545" s="216" t="str">
        <f>IFERROR(__xludf.DUMMYFUNCTION("ARRAYFORMULA(IFERROR(VLOOKUP(REGEXEXTRACT(B545, ""-(\w+)-""), {Data_Validation!$F$16:$F$29, Data_Validation!$E$16:$E$29}, 2, FALSE), """"))
"),"")</f>
        <v/>
      </c>
      <c r="B545" s="217"/>
      <c r="C545" s="218" t="str">
        <f>IFERROR(__xludf.DUMMYFUNCTION("IFERROR(REGEXEXTRACT(B545, ""^[A-Z]+-[A-Z]+-"") &amp; TEXT(VALUE(REGEXEXTRACT(B545, ""-(\d+)\."")), ""00""), """")"),"")</f>
        <v/>
      </c>
      <c r="D545" s="219" t="str">
        <f>IFERROR(VLOOKUP(C545, Content_Creation!B:D, 2, FALSE), IFERROR(VLOOKUP(C545, Project_Management!B:D, 2, FALSE), ""))
&amp; " - "
&amp; IFERROR(VLOOKUP(C545, Content_Creation!B:E, 4, FALSE), IFERROR(VLOOKUP(C545, Project_Management!B:E, 4, FALSE), ""))</f>
        <v> - </v>
      </c>
      <c r="E545" s="220" t="str">
        <f>IFERROR(
    VLOOKUP(B544:B1001, Content_Creation!B:D, 3, FALSE),
    IFERROR(VLOOKUP(B544:B1001, Project_Management!B:D, 3, FALSE),"")
  )</f>
        <v/>
      </c>
      <c r="F545" s="221" t="str">
        <f>IFERROR(VLOOKUP(B545, Content_Creation!B:F, 5, FALSE), IFERROR(VLOOKUP(B545, Project_Management!B:F, 5, FALSE), ""))</f>
        <v/>
      </c>
      <c r="G545" s="222"/>
      <c r="H545" s="223" t="str">
        <f>IFERROR(VLOOKUP(B545, Content_Creation!B:H, 7, FALSE), IFERROR(VLOOKUP(B545, Project_Management!B:H, 7, FALSE), ""))</f>
        <v/>
      </c>
      <c r="I545" s="224">
        <v>0.0</v>
      </c>
      <c r="J545" s="223" t="str">
        <f>IFERROR(VLOOKUP(C545, Content_Creation!B:H, 7, FALSE), IFERROR(VLOOKUP(C545, Project_Management!B:H, 7, FALSE), ""))</f>
        <v/>
      </c>
      <c r="K545" s="217"/>
      <c r="L545" s="225" t="str">
        <f>IFERROR(VLOOKUP(B545, Data_Validation!X:Y, 2, FALSE), "")</f>
        <v/>
      </c>
      <c r="M545" s="226" t="str">
        <f t="shared" si="1"/>
        <v> |  -  | </v>
      </c>
      <c r="N545" s="226"/>
      <c r="O545" s="226"/>
    </row>
    <row r="546" ht="24.0" customHeight="1">
      <c r="A546" s="216" t="str">
        <f>IFERROR(__xludf.DUMMYFUNCTION("ARRAYFORMULA(IFERROR(VLOOKUP(REGEXEXTRACT(B546, ""-(\w+)-""), {Data_Validation!$F$16:$F$29, Data_Validation!$E$16:$E$29}, 2, FALSE), """"))
"),"")</f>
        <v/>
      </c>
      <c r="B546" s="217"/>
      <c r="C546" s="218" t="str">
        <f>IFERROR(__xludf.DUMMYFUNCTION("IFERROR(REGEXEXTRACT(B546, ""^[A-Z]+-[A-Z]+-"") &amp; TEXT(VALUE(REGEXEXTRACT(B546, ""-(\d+)\."")), ""00""), """")"),"")</f>
        <v/>
      </c>
      <c r="D546" s="219" t="str">
        <f>IFERROR(VLOOKUP(C546, Content_Creation!B:D, 2, FALSE), IFERROR(VLOOKUP(C546, Project_Management!B:D, 2, FALSE), ""))
&amp; " - "
&amp; IFERROR(VLOOKUP(C546, Content_Creation!B:E, 4, FALSE), IFERROR(VLOOKUP(C546, Project_Management!B:E, 4, FALSE), ""))</f>
        <v> - </v>
      </c>
      <c r="E546" s="220" t="str">
        <f>IFERROR(
    VLOOKUP(B545:B1001, Content_Creation!B:D, 3, FALSE),
    IFERROR(VLOOKUP(B545:B1001, Project_Management!B:D, 3, FALSE),"")
  )</f>
        <v/>
      </c>
      <c r="F546" s="221" t="str">
        <f>IFERROR(VLOOKUP(B546, Content_Creation!B:F, 5, FALSE), IFERROR(VLOOKUP(B546, Project_Management!B:F, 5, FALSE), ""))</f>
        <v/>
      </c>
      <c r="G546" s="222"/>
      <c r="H546" s="223" t="str">
        <f>IFERROR(VLOOKUP(B546, Content_Creation!B:H, 7, FALSE), IFERROR(VLOOKUP(B546, Project_Management!B:H, 7, FALSE), ""))</f>
        <v/>
      </c>
      <c r="I546" s="224">
        <v>0.0</v>
      </c>
      <c r="J546" s="223" t="str">
        <f>IFERROR(VLOOKUP(C546, Content_Creation!B:H, 7, FALSE), IFERROR(VLOOKUP(C546, Project_Management!B:H, 7, FALSE), ""))</f>
        <v/>
      </c>
      <c r="K546" s="217"/>
      <c r="L546" s="225" t="str">
        <f>IFERROR(VLOOKUP(B546, Data_Validation!X:Y, 2, FALSE), "")</f>
        <v/>
      </c>
      <c r="M546" s="226" t="str">
        <f t="shared" si="1"/>
        <v> |  -  | </v>
      </c>
      <c r="N546" s="226"/>
      <c r="O546" s="226"/>
    </row>
    <row r="547" ht="24.0" customHeight="1">
      <c r="A547" s="216" t="str">
        <f>IFERROR(__xludf.DUMMYFUNCTION("ARRAYFORMULA(IFERROR(VLOOKUP(REGEXEXTRACT(B547, ""-(\w+)-""), {Data_Validation!$F$16:$F$29, Data_Validation!$E$16:$E$29}, 2, FALSE), """"))
"),"")</f>
        <v/>
      </c>
      <c r="B547" s="217"/>
      <c r="C547" s="218" t="str">
        <f>IFERROR(__xludf.DUMMYFUNCTION("IFERROR(REGEXEXTRACT(B547, ""^[A-Z]+-[A-Z]+-"") &amp; TEXT(VALUE(REGEXEXTRACT(B547, ""-(\d+)\."")), ""00""), """")"),"")</f>
        <v/>
      </c>
      <c r="D547" s="219" t="str">
        <f>IFERROR(VLOOKUP(C547, Content_Creation!B:D, 2, FALSE), IFERROR(VLOOKUP(C547, Project_Management!B:D, 2, FALSE), ""))
&amp; " - "
&amp; IFERROR(VLOOKUP(C547, Content_Creation!B:E, 4, FALSE), IFERROR(VLOOKUP(C547, Project_Management!B:E, 4, FALSE), ""))</f>
        <v> - </v>
      </c>
      <c r="E547" s="220" t="str">
        <f>IFERROR(
    VLOOKUP(B546:B1001, Content_Creation!B:D, 3, FALSE),
    IFERROR(VLOOKUP(B546:B1001, Project_Management!B:D, 3, FALSE),"")
  )</f>
        <v/>
      </c>
      <c r="F547" s="221" t="str">
        <f>IFERROR(VLOOKUP(B547, Content_Creation!B:F, 5, FALSE), IFERROR(VLOOKUP(B547, Project_Management!B:F, 5, FALSE), ""))</f>
        <v/>
      </c>
      <c r="G547" s="222"/>
      <c r="H547" s="223" t="str">
        <f>IFERROR(VLOOKUP(B547, Content_Creation!B:H, 7, FALSE), IFERROR(VLOOKUP(B547, Project_Management!B:H, 7, FALSE), ""))</f>
        <v/>
      </c>
      <c r="I547" s="224">
        <v>0.0</v>
      </c>
      <c r="J547" s="223" t="str">
        <f>IFERROR(VLOOKUP(C547, Content_Creation!B:H, 7, FALSE), IFERROR(VLOOKUP(C547, Project_Management!B:H, 7, FALSE), ""))</f>
        <v/>
      </c>
      <c r="K547" s="217"/>
      <c r="L547" s="225" t="str">
        <f>IFERROR(VLOOKUP(B547, Data_Validation!X:Y, 2, FALSE), "")</f>
        <v/>
      </c>
      <c r="M547" s="226" t="str">
        <f t="shared" si="1"/>
        <v> |  -  | </v>
      </c>
      <c r="N547" s="226"/>
      <c r="O547" s="226"/>
    </row>
    <row r="548" ht="24.0" customHeight="1">
      <c r="A548" s="216" t="str">
        <f>IFERROR(__xludf.DUMMYFUNCTION("ARRAYFORMULA(IFERROR(VLOOKUP(REGEXEXTRACT(B548, ""-(\w+)-""), {Data_Validation!$F$16:$F$29, Data_Validation!$E$16:$E$29}, 2, FALSE), """"))
"),"")</f>
        <v/>
      </c>
      <c r="B548" s="217"/>
      <c r="C548" s="218" t="str">
        <f>IFERROR(__xludf.DUMMYFUNCTION("IFERROR(REGEXEXTRACT(B548, ""^[A-Z]+-[A-Z]+-"") &amp; TEXT(VALUE(REGEXEXTRACT(B548, ""-(\d+)\."")), ""00""), """")"),"")</f>
        <v/>
      </c>
      <c r="D548" s="219" t="str">
        <f>IFERROR(VLOOKUP(C548, Content_Creation!B:D, 2, FALSE), IFERROR(VLOOKUP(C548, Project_Management!B:D, 2, FALSE), ""))
&amp; " - "
&amp; IFERROR(VLOOKUP(C548, Content_Creation!B:E, 4, FALSE), IFERROR(VLOOKUP(C548, Project_Management!B:E, 4, FALSE), ""))</f>
        <v> - </v>
      </c>
      <c r="E548" s="220" t="str">
        <f>IFERROR(
    VLOOKUP(B547:B1001, Content_Creation!B:D, 3, FALSE),
    IFERROR(VLOOKUP(B547:B1001, Project_Management!B:D, 3, FALSE),"")
  )</f>
        <v/>
      </c>
      <c r="F548" s="221" t="str">
        <f>IFERROR(VLOOKUP(B548, Content_Creation!B:F, 5, FALSE), IFERROR(VLOOKUP(B548, Project_Management!B:F, 5, FALSE), ""))</f>
        <v/>
      </c>
      <c r="G548" s="222"/>
      <c r="H548" s="223" t="str">
        <f>IFERROR(VLOOKUP(B548, Content_Creation!B:H, 7, FALSE), IFERROR(VLOOKUP(B548, Project_Management!B:H, 7, FALSE), ""))</f>
        <v/>
      </c>
      <c r="I548" s="224">
        <v>0.0</v>
      </c>
      <c r="J548" s="223" t="str">
        <f>IFERROR(VLOOKUP(C548, Content_Creation!B:H, 7, FALSE), IFERROR(VLOOKUP(C548, Project_Management!B:H, 7, FALSE), ""))</f>
        <v/>
      </c>
      <c r="K548" s="217"/>
      <c r="L548" s="225" t="str">
        <f>IFERROR(VLOOKUP(B548, Data_Validation!X:Y, 2, FALSE), "")</f>
        <v/>
      </c>
      <c r="M548" s="226" t="str">
        <f t="shared" si="1"/>
        <v> |  -  | </v>
      </c>
      <c r="N548" s="226"/>
      <c r="O548" s="226"/>
    </row>
    <row r="549" ht="24.0" customHeight="1">
      <c r="A549" s="216" t="str">
        <f>IFERROR(__xludf.DUMMYFUNCTION("ARRAYFORMULA(IFERROR(VLOOKUP(REGEXEXTRACT(B549, ""-(\w+)-""), {Data_Validation!$F$16:$F$29, Data_Validation!$E$16:$E$29}, 2, FALSE), """"))
"),"")</f>
        <v/>
      </c>
      <c r="B549" s="217"/>
      <c r="C549" s="218" t="str">
        <f>IFERROR(__xludf.DUMMYFUNCTION("IFERROR(REGEXEXTRACT(B549, ""^[A-Z]+-[A-Z]+-"") &amp; TEXT(VALUE(REGEXEXTRACT(B549, ""-(\d+)\."")), ""00""), """")"),"")</f>
        <v/>
      </c>
      <c r="D549" s="219" t="str">
        <f>IFERROR(VLOOKUP(C549, Content_Creation!B:D, 2, FALSE), IFERROR(VLOOKUP(C549, Project_Management!B:D, 2, FALSE), ""))
&amp; " - "
&amp; IFERROR(VLOOKUP(C549, Content_Creation!B:E, 4, FALSE), IFERROR(VLOOKUP(C549, Project_Management!B:E, 4, FALSE), ""))</f>
        <v> - </v>
      </c>
      <c r="E549" s="220" t="str">
        <f>IFERROR(
    VLOOKUP(B548:B1001, Content_Creation!B:D, 3, FALSE),
    IFERROR(VLOOKUP(B548:B1001, Project_Management!B:D, 3, FALSE),"")
  )</f>
        <v/>
      </c>
      <c r="F549" s="221" t="str">
        <f>IFERROR(VLOOKUP(B549, Content_Creation!B:F, 5, FALSE), IFERROR(VLOOKUP(B549, Project_Management!B:F, 5, FALSE), ""))</f>
        <v/>
      </c>
      <c r="G549" s="222"/>
      <c r="H549" s="223" t="str">
        <f>IFERROR(VLOOKUP(B549, Content_Creation!B:H, 7, FALSE), IFERROR(VLOOKUP(B549, Project_Management!B:H, 7, FALSE), ""))</f>
        <v/>
      </c>
      <c r="I549" s="224">
        <v>0.0</v>
      </c>
      <c r="J549" s="223" t="str">
        <f>IFERROR(VLOOKUP(C549, Content_Creation!B:H, 7, FALSE), IFERROR(VLOOKUP(C549, Project_Management!B:H, 7, FALSE), ""))</f>
        <v/>
      </c>
      <c r="K549" s="217"/>
      <c r="L549" s="225" t="str">
        <f>IFERROR(VLOOKUP(B549, Data_Validation!X:Y, 2, FALSE), "")</f>
        <v/>
      </c>
      <c r="M549" s="226" t="str">
        <f t="shared" si="1"/>
        <v> |  -  | </v>
      </c>
      <c r="N549" s="226"/>
      <c r="O549" s="226"/>
    </row>
    <row r="550" ht="24.0" customHeight="1">
      <c r="A550" s="216" t="str">
        <f>IFERROR(__xludf.DUMMYFUNCTION("ARRAYFORMULA(IFERROR(VLOOKUP(REGEXEXTRACT(B550, ""-(\w+)-""), {Data_Validation!$F$16:$F$29, Data_Validation!$E$16:$E$29}, 2, FALSE), """"))
"),"")</f>
        <v/>
      </c>
      <c r="B550" s="217"/>
      <c r="C550" s="218" t="str">
        <f>IFERROR(__xludf.DUMMYFUNCTION("IFERROR(REGEXEXTRACT(B550, ""^[A-Z]+-[A-Z]+-"") &amp; TEXT(VALUE(REGEXEXTRACT(B550, ""-(\d+)\."")), ""00""), """")"),"")</f>
        <v/>
      </c>
      <c r="D550" s="219" t="str">
        <f>IFERROR(VLOOKUP(C550, Content_Creation!B:D, 2, FALSE), IFERROR(VLOOKUP(C550, Project_Management!B:D, 2, FALSE), ""))
&amp; " - "
&amp; IFERROR(VLOOKUP(C550, Content_Creation!B:E, 4, FALSE), IFERROR(VLOOKUP(C550, Project_Management!B:E, 4, FALSE), ""))</f>
        <v> - </v>
      </c>
      <c r="E550" s="220" t="str">
        <f>IFERROR(
    VLOOKUP(B549:B1001, Content_Creation!B:D, 3, FALSE),
    IFERROR(VLOOKUP(B549:B1001, Project_Management!B:D, 3, FALSE),"")
  )</f>
        <v/>
      </c>
      <c r="F550" s="221" t="str">
        <f>IFERROR(VLOOKUP(B550, Content_Creation!B:F, 5, FALSE), IFERROR(VLOOKUP(B550, Project_Management!B:F, 5, FALSE), ""))</f>
        <v/>
      </c>
      <c r="G550" s="222"/>
      <c r="H550" s="223" t="str">
        <f>IFERROR(VLOOKUP(B550, Content_Creation!B:H, 7, FALSE), IFERROR(VLOOKUP(B550, Project_Management!B:H, 7, FALSE), ""))</f>
        <v/>
      </c>
      <c r="I550" s="224">
        <v>0.0</v>
      </c>
      <c r="J550" s="223" t="str">
        <f>IFERROR(VLOOKUP(C550, Content_Creation!B:H, 7, FALSE), IFERROR(VLOOKUP(C550, Project_Management!B:H, 7, FALSE), ""))</f>
        <v/>
      </c>
      <c r="K550" s="217"/>
      <c r="L550" s="225" t="str">
        <f>IFERROR(VLOOKUP(B550, Data_Validation!X:Y, 2, FALSE), "")</f>
        <v/>
      </c>
      <c r="M550" s="226" t="str">
        <f t="shared" si="1"/>
        <v> |  -  | </v>
      </c>
      <c r="N550" s="226"/>
      <c r="O550" s="226"/>
    </row>
    <row r="551" ht="24.0" customHeight="1">
      <c r="A551" s="216" t="str">
        <f>IFERROR(__xludf.DUMMYFUNCTION("ARRAYFORMULA(IFERROR(VLOOKUP(REGEXEXTRACT(B551, ""-(\w+)-""), {Data_Validation!$F$16:$F$29, Data_Validation!$E$16:$E$29}, 2, FALSE), """"))
"),"")</f>
        <v/>
      </c>
      <c r="B551" s="217"/>
      <c r="C551" s="218" t="str">
        <f>IFERROR(__xludf.DUMMYFUNCTION("IFERROR(REGEXEXTRACT(B551, ""^[A-Z]+-[A-Z]+-"") &amp; TEXT(VALUE(REGEXEXTRACT(B551, ""-(\d+)\."")), ""00""), """")"),"")</f>
        <v/>
      </c>
      <c r="D551" s="219" t="str">
        <f>IFERROR(VLOOKUP(C551, Content_Creation!B:D, 2, FALSE), IFERROR(VLOOKUP(C551, Project_Management!B:D, 2, FALSE), ""))
&amp; " - "
&amp; IFERROR(VLOOKUP(C551, Content_Creation!B:E, 4, FALSE), IFERROR(VLOOKUP(C551, Project_Management!B:E, 4, FALSE), ""))</f>
        <v> - </v>
      </c>
      <c r="E551" s="220" t="str">
        <f>IFERROR(
    VLOOKUP(B550:B1001, Content_Creation!B:D, 3, FALSE),
    IFERROR(VLOOKUP(B550:B1001, Project_Management!B:D, 3, FALSE),"")
  )</f>
        <v/>
      </c>
      <c r="F551" s="221" t="str">
        <f>IFERROR(VLOOKUP(B551, Content_Creation!B:F, 5, FALSE), IFERROR(VLOOKUP(B551, Project_Management!B:F, 5, FALSE), ""))</f>
        <v/>
      </c>
      <c r="G551" s="222"/>
      <c r="H551" s="223" t="str">
        <f>IFERROR(VLOOKUP(B551, Content_Creation!B:H, 7, FALSE), IFERROR(VLOOKUP(B551, Project_Management!B:H, 7, FALSE), ""))</f>
        <v/>
      </c>
      <c r="I551" s="224">
        <v>0.0</v>
      </c>
      <c r="J551" s="223" t="str">
        <f>IFERROR(VLOOKUP(C551, Content_Creation!B:H, 7, FALSE), IFERROR(VLOOKUP(C551, Project_Management!B:H, 7, FALSE), ""))</f>
        <v/>
      </c>
      <c r="K551" s="217"/>
      <c r="L551" s="225" t="str">
        <f>IFERROR(VLOOKUP(B551, Data_Validation!X:Y, 2, FALSE), "")</f>
        <v/>
      </c>
      <c r="M551" s="226" t="str">
        <f t="shared" si="1"/>
        <v> |  -  | </v>
      </c>
      <c r="N551" s="226"/>
      <c r="O551" s="226"/>
    </row>
    <row r="552" ht="24.0" customHeight="1">
      <c r="A552" s="216" t="str">
        <f>IFERROR(__xludf.DUMMYFUNCTION("ARRAYFORMULA(IFERROR(VLOOKUP(REGEXEXTRACT(B552, ""-(\w+)-""), {Data_Validation!$F$16:$F$29, Data_Validation!$E$16:$E$29}, 2, FALSE), """"))
"),"")</f>
        <v/>
      </c>
      <c r="B552" s="217"/>
      <c r="C552" s="218" t="str">
        <f>IFERROR(__xludf.DUMMYFUNCTION("IFERROR(REGEXEXTRACT(B552, ""^[A-Z]+-[A-Z]+-"") &amp; TEXT(VALUE(REGEXEXTRACT(B552, ""-(\d+)\."")), ""00""), """")"),"")</f>
        <v/>
      </c>
      <c r="D552" s="219" t="str">
        <f>IFERROR(VLOOKUP(C552, Content_Creation!B:D, 2, FALSE), IFERROR(VLOOKUP(C552, Project_Management!B:D, 2, FALSE), ""))
&amp; " - "
&amp; IFERROR(VLOOKUP(C552, Content_Creation!B:E, 4, FALSE), IFERROR(VLOOKUP(C552, Project_Management!B:E, 4, FALSE), ""))</f>
        <v> - </v>
      </c>
      <c r="E552" s="220" t="str">
        <f>IFERROR(
    VLOOKUP(B551:B1001, Content_Creation!B:D, 3, FALSE),
    IFERROR(VLOOKUP(B551:B1001, Project_Management!B:D, 3, FALSE),"")
  )</f>
        <v/>
      </c>
      <c r="F552" s="221" t="str">
        <f>IFERROR(VLOOKUP(B552, Content_Creation!B:F, 5, FALSE), IFERROR(VLOOKUP(B552, Project_Management!B:F, 5, FALSE), ""))</f>
        <v/>
      </c>
      <c r="G552" s="222"/>
      <c r="H552" s="223" t="str">
        <f>IFERROR(VLOOKUP(B552, Content_Creation!B:H, 7, FALSE), IFERROR(VLOOKUP(B552, Project_Management!B:H, 7, FALSE), ""))</f>
        <v/>
      </c>
      <c r="I552" s="224">
        <v>0.0</v>
      </c>
      <c r="J552" s="223" t="str">
        <f>IFERROR(VLOOKUP(C552, Content_Creation!B:H, 7, FALSE), IFERROR(VLOOKUP(C552, Project_Management!B:H, 7, FALSE), ""))</f>
        <v/>
      </c>
      <c r="K552" s="217"/>
      <c r="L552" s="225" t="str">
        <f>IFERROR(VLOOKUP(B552, Data_Validation!X:Y, 2, FALSE), "")</f>
        <v/>
      </c>
      <c r="M552" s="226" t="str">
        <f t="shared" si="1"/>
        <v> |  -  | </v>
      </c>
      <c r="N552" s="226"/>
      <c r="O552" s="226"/>
    </row>
    <row r="553" ht="24.0" customHeight="1">
      <c r="A553" s="216" t="str">
        <f>IFERROR(__xludf.DUMMYFUNCTION("ARRAYFORMULA(IFERROR(VLOOKUP(REGEXEXTRACT(B553, ""-(\w+)-""), {Data_Validation!$F$16:$F$29, Data_Validation!$E$16:$E$29}, 2, FALSE), """"))
"),"")</f>
        <v/>
      </c>
      <c r="B553" s="217"/>
      <c r="C553" s="218" t="str">
        <f>IFERROR(__xludf.DUMMYFUNCTION("IFERROR(REGEXEXTRACT(B553, ""^[A-Z]+-[A-Z]+-"") &amp; TEXT(VALUE(REGEXEXTRACT(B553, ""-(\d+)\."")), ""00""), """")"),"")</f>
        <v/>
      </c>
      <c r="D553" s="219" t="str">
        <f>IFERROR(VLOOKUP(C553, Content_Creation!B:D, 2, FALSE), IFERROR(VLOOKUP(C553, Project_Management!B:D, 2, FALSE), ""))
&amp; " - "
&amp; IFERROR(VLOOKUP(C553, Content_Creation!B:E, 4, FALSE), IFERROR(VLOOKUP(C553, Project_Management!B:E, 4, FALSE), ""))</f>
        <v> - </v>
      </c>
      <c r="E553" s="220" t="str">
        <f>IFERROR(
    VLOOKUP(B552:B1001, Content_Creation!B:D, 3, FALSE),
    IFERROR(VLOOKUP(B552:B1001, Project_Management!B:D, 3, FALSE),"")
  )</f>
        <v/>
      </c>
      <c r="F553" s="221" t="str">
        <f>IFERROR(VLOOKUP(B553, Content_Creation!B:F, 5, FALSE), IFERROR(VLOOKUP(B553, Project_Management!B:F, 5, FALSE), ""))</f>
        <v/>
      </c>
      <c r="G553" s="222"/>
      <c r="H553" s="223" t="str">
        <f>IFERROR(VLOOKUP(B553, Content_Creation!B:H, 7, FALSE), IFERROR(VLOOKUP(B553, Project_Management!B:H, 7, FALSE), ""))</f>
        <v/>
      </c>
      <c r="I553" s="224">
        <v>0.0</v>
      </c>
      <c r="J553" s="223" t="str">
        <f>IFERROR(VLOOKUP(C553, Content_Creation!B:H, 7, FALSE), IFERROR(VLOOKUP(C553, Project_Management!B:H, 7, FALSE), ""))</f>
        <v/>
      </c>
      <c r="K553" s="217"/>
      <c r="L553" s="225" t="str">
        <f>IFERROR(VLOOKUP(B553, Data_Validation!X:Y, 2, FALSE), "")</f>
        <v/>
      </c>
      <c r="M553" s="226" t="str">
        <f t="shared" si="1"/>
        <v> |  -  | </v>
      </c>
      <c r="N553" s="226"/>
      <c r="O553" s="226"/>
    </row>
    <row r="554" ht="24.0" customHeight="1">
      <c r="A554" s="216" t="str">
        <f>IFERROR(__xludf.DUMMYFUNCTION("ARRAYFORMULA(IFERROR(VLOOKUP(REGEXEXTRACT(B554, ""-(\w+)-""), {Data_Validation!$F$16:$F$29, Data_Validation!$E$16:$E$29}, 2, FALSE), """"))
"),"")</f>
        <v/>
      </c>
      <c r="B554" s="217"/>
      <c r="C554" s="218" t="str">
        <f>IFERROR(__xludf.DUMMYFUNCTION("IFERROR(REGEXEXTRACT(B554, ""^[A-Z]+-[A-Z]+-"") &amp; TEXT(VALUE(REGEXEXTRACT(B554, ""-(\d+)\."")), ""00""), """")"),"")</f>
        <v/>
      </c>
      <c r="D554" s="219" t="str">
        <f>IFERROR(VLOOKUP(C554, Content_Creation!B:D, 2, FALSE), IFERROR(VLOOKUP(C554, Project_Management!B:D, 2, FALSE), ""))
&amp; " - "
&amp; IFERROR(VLOOKUP(C554, Content_Creation!B:E, 4, FALSE), IFERROR(VLOOKUP(C554, Project_Management!B:E, 4, FALSE), ""))</f>
        <v> - </v>
      </c>
      <c r="E554" s="220" t="str">
        <f>IFERROR(
    VLOOKUP(B553:B1001, Content_Creation!B:D, 3, FALSE),
    IFERROR(VLOOKUP(B553:B1001, Project_Management!B:D, 3, FALSE),"")
  )</f>
        <v/>
      </c>
      <c r="F554" s="221" t="str">
        <f>IFERROR(VLOOKUP(B554, Content_Creation!B:F, 5, FALSE), IFERROR(VLOOKUP(B554, Project_Management!B:F, 5, FALSE), ""))</f>
        <v/>
      </c>
      <c r="G554" s="222"/>
      <c r="H554" s="223" t="str">
        <f>IFERROR(VLOOKUP(B554, Content_Creation!B:H, 7, FALSE), IFERROR(VLOOKUP(B554, Project_Management!B:H, 7, FALSE), ""))</f>
        <v/>
      </c>
      <c r="I554" s="224">
        <v>0.0</v>
      </c>
      <c r="J554" s="223" t="str">
        <f>IFERROR(VLOOKUP(C554, Content_Creation!B:H, 7, FALSE), IFERROR(VLOOKUP(C554, Project_Management!B:H, 7, FALSE), ""))</f>
        <v/>
      </c>
      <c r="K554" s="217"/>
      <c r="L554" s="225" t="str">
        <f>IFERROR(VLOOKUP(B554, Data_Validation!X:Y, 2, FALSE), "")</f>
        <v/>
      </c>
      <c r="M554" s="226" t="str">
        <f t="shared" si="1"/>
        <v> |  -  | </v>
      </c>
      <c r="N554" s="226"/>
      <c r="O554" s="226"/>
    </row>
    <row r="555" ht="24.0" customHeight="1">
      <c r="A555" s="216" t="str">
        <f>IFERROR(__xludf.DUMMYFUNCTION("ARRAYFORMULA(IFERROR(VLOOKUP(REGEXEXTRACT(B555, ""-(\w+)-""), {Data_Validation!$F$16:$F$29, Data_Validation!$E$16:$E$29}, 2, FALSE), """"))
"),"")</f>
        <v/>
      </c>
      <c r="B555" s="217"/>
      <c r="C555" s="218" t="str">
        <f>IFERROR(__xludf.DUMMYFUNCTION("IFERROR(REGEXEXTRACT(B555, ""^[A-Z]+-[A-Z]+-"") &amp; TEXT(VALUE(REGEXEXTRACT(B555, ""-(\d+)\."")), ""00""), """")"),"")</f>
        <v/>
      </c>
      <c r="D555" s="219" t="str">
        <f>IFERROR(VLOOKUP(C555, Content_Creation!B:D, 2, FALSE), IFERROR(VLOOKUP(C555, Project_Management!B:D, 2, FALSE), ""))
&amp; " - "
&amp; IFERROR(VLOOKUP(C555, Content_Creation!B:E, 4, FALSE), IFERROR(VLOOKUP(C555, Project_Management!B:E, 4, FALSE), ""))</f>
        <v> - </v>
      </c>
      <c r="E555" s="220" t="str">
        <f>IFERROR(
    VLOOKUP(B554:B1001, Content_Creation!B:D, 3, FALSE),
    IFERROR(VLOOKUP(B554:B1001, Project_Management!B:D, 3, FALSE),"")
  )</f>
        <v/>
      </c>
      <c r="F555" s="221" t="str">
        <f>IFERROR(VLOOKUP(B555, Content_Creation!B:F, 5, FALSE), IFERROR(VLOOKUP(B555, Project_Management!B:F, 5, FALSE), ""))</f>
        <v/>
      </c>
      <c r="G555" s="222"/>
      <c r="H555" s="223" t="str">
        <f>IFERROR(VLOOKUP(B555, Content_Creation!B:H, 7, FALSE), IFERROR(VLOOKUP(B555, Project_Management!B:H, 7, FALSE), ""))</f>
        <v/>
      </c>
      <c r="I555" s="224">
        <v>0.0</v>
      </c>
      <c r="J555" s="223" t="str">
        <f>IFERROR(VLOOKUP(C555, Content_Creation!B:H, 7, FALSE), IFERROR(VLOOKUP(C555, Project_Management!B:H, 7, FALSE), ""))</f>
        <v/>
      </c>
      <c r="K555" s="217"/>
      <c r="L555" s="225" t="str">
        <f>IFERROR(VLOOKUP(B555, Data_Validation!X:Y, 2, FALSE), "")</f>
        <v/>
      </c>
      <c r="M555" s="226" t="str">
        <f t="shared" si="1"/>
        <v> |  -  | </v>
      </c>
      <c r="N555" s="226"/>
      <c r="O555" s="226"/>
    </row>
    <row r="556" ht="24.0" customHeight="1">
      <c r="A556" s="216" t="str">
        <f>IFERROR(__xludf.DUMMYFUNCTION("ARRAYFORMULA(IFERROR(VLOOKUP(REGEXEXTRACT(B556, ""-(\w+)-""), {Data_Validation!$F$16:$F$29, Data_Validation!$E$16:$E$29}, 2, FALSE), """"))
"),"")</f>
        <v/>
      </c>
      <c r="B556" s="217"/>
      <c r="C556" s="218" t="str">
        <f>IFERROR(__xludf.DUMMYFUNCTION("IFERROR(REGEXEXTRACT(B556, ""^[A-Z]+-[A-Z]+-"") &amp; TEXT(VALUE(REGEXEXTRACT(B556, ""-(\d+)\."")), ""00""), """")"),"")</f>
        <v/>
      </c>
      <c r="D556" s="219" t="str">
        <f>IFERROR(VLOOKUP(C556, Content_Creation!B:D, 2, FALSE), IFERROR(VLOOKUP(C556, Project_Management!B:D, 2, FALSE), ""))
&amp; " - "
&amp; IFERROR(VLOOKUP(C556, Content_Creation!B:E, 4, FALSE), IFERROR(VLOOKUP(C556, Project_Management!B:E, 4, FALSE), ""))</f>
        <v> - </v>
      </c>
      <c r="E556" s="220" t="str">
        <f>IFERROR(
    VLOOKUP(B555:B1001, Content_Creation!B:D, 3, FALSE),
    IFERROR(VLOOKUP(B555:B1001, Project_Management!B:D, 3, FALSE),"")
  )</f>
        <v/>
      </c>
      <c r="F556" s="221" t="str">
        <f>IFERROR(VLOOKUP(B556, Content_Creation!B:F, 5, FALSE), IFERROR(VLOOKUP(B556, Project_Management!B:F, 5, FALSE), ""))</f>
        <v/>
      </c>
      <c r="G556" s="222"/>
      <c r="H556" s="223" t="str">
        <f>IFERROR(VLOOKUP(B556, Content_Creation!B:H, 7, FALSE), IFERROR(VLOOKUP(B556, Project_Management!B:H, 7, FALSE), ""))</f>
        <v/>
      </c>
      <c r="I556" s="224">
        <v>0.0</v>
      </c>
      <c r="J556" s="223" t="str">
        <f>IFERROR(VLOOKUP(C556, Content_Creation!B:H, 7, FALSE), IFERROR(VLOOKUP(C556, Project_Management!B:H, 7, FALSE), ""))</f>
        <v/>
      </c>
      <c r="K556" s="217"/>
      <c r="L556" s="225" t="str">
        <f>IFERROR(VLOOKUP(B556, Data_Validation!X:Y, 2, FALSE), "")</f>
        <v/>
      </c>
      <c r="M556" s="226" t="str">
        <f t="shared" si="1"/>
        <v> |  -  | </v>
      </c>
      <c r="N556" s="226"/>
      <c r="O556" s="226"/>
    </row>
    <row r="557" ht="24.0" customHeight="1">
      <c r="A557" s="216" t="str">
        <f>IFERROR(__xludf.DUMMYFUNCTION("ARRAYFORMULA(IFERROR(VLOOKUP(REGEXEXTRACT(B557, ""-(\w+)-""), {Data_Validation!$F$16:$F$29, Data_Validation!$E$16:$E$29}, 2, FALSE), """"))
"),"")</f>
        <v/>
      </c>
      <c r="B557" s="217"/>
      <c r="C557" s="218" t="str">
        <f>IFERROR(__xludf.DUMMYFUNCTION("IFERROR(REGEXEXTRACT(B557, ""^[A-Z]+-[A-Z]+-"") &amp; TEXT(VALUE(REGEXEXTRACT(B557, ""-(\d+)\."")), ""00""), """")"),"")</f>
        <v/>
      </c>
      <c r="D557" s="219" t="str">
        <f>IFERROR(VLOOKUP(C557, Content_Creation!B:D, 2, FALSE), IFERROR(VLOOKUP(C557, Project_Management!B:D, 2, FALSE), ""))
&amp; " - "
&amp; IFERROR(VLOOKUP(C557, Content_Creation!B:E, 4, FALSE), IFERROR(VLOOKUP(C557, Project_Management!B:E, 4, FALSE), ""))</f>
        <v> - </v>
      </c>
      <c r="E557" s="220" t="str">
        <f>IFERROR(
    VLOOKUP(B556:B1001, Content_Creation!B:D, 3, FALSE),
    IFERROR(VLOOKUP(B556:B1001, Project_Management!B:D, 3, FALSE),"")
  )</f>
        <v/>
      </c>
      <c r="F557" s="221" t="str">
        <f>IFERROR(VLOOKUP(B557, Content_Creation!B:F, 5, FALSE), IFERROR(VLOOKUP(B557, Project_Management!B:F, 5, FALSE), ""))</f>
        <v/>
      </c>
      <c r="G557" s="222"/>
      <c r="H557" s="223" t="str">
        <f>IFERROR(VLOOKUP(B557, Content_Creation!B:H, 7, FALSE), IFERROR(VLOOKUP(B557, Project_Management!B:H, 7, FALSE), ""))</f>
        <v/>
      </c>
      <c r="I557" s="224">
        <v>0.0</v>
      </c>
      <c r="J557" s="223" t="str">
        <f>IFERROR(VLOOKUP(C557, Content_Creation!B:H, 7, FALSE), IFERROR(VLOOKUP(C557, Project_Management!B:H, 7, FALSE), ""))</f>
        <v/>
      </c>
      <c r="K557" s="217"/>
      <c r="L557" s="225" t="str">
        <f>IFERROR(VLOOKUP(B557, Data_Validation!X:Y, 2, FALSE), "")</f>
        <v/>
      </c>
      <c r="M557" s="226" t="str">
        <f t="shared" si="1"/>
        <v> |  -  | </v>
      </c>
      <c r="N557" s="226"/>
      <c r="O557" s="226"/>
    </row>
    <row r="558" ht="24.0" customHeight="1">
      <c r="A558" s="216" t="str">
        <f>IFERROR(__xludf.DUMMYFUNCTION("ARRAYFORMULA(IFERROR(VLOOKUP(REGEXEXTRACT(B558, ""-(\w+)-""), {Data_Validation!$F$16:$F$29, Data_Validation!$E$16:$E$29}, 2, FALSE), """"))
"),"")</f>
        <v/>
      </c>
      <c r="B558" s="217"/>
      <c r="C558" s="218" t="str">
        <f>IFERROR(__xludf.DUMMYFUNCTION("IFERROR(REGEXEXTRACT(B558, ""^[A-Z]+-[A-Z]+-"") &amp; TEXT(VALUE(REGEXEXTRACT(B558, ""-(\d+)\."")), ""00""), """")"),"")</f>
        <v/>
      </c>
      <c r="D558" s="219" t="str">
        <f>IFERROR(VLOOKUP(C558, Content_Creation!B:D, 2, FALSE), IFERROR(VLOOKUP(C558, Project_Management!B:D, 2, FALSE), ""))
&amp; " - "
&amp; IFERROR(VLOOKUP(C558, Content_Creation!B:E, 4, FALSE), IFERROR(VLOOKUP(C558, Project_Management!B:E, 4, FALSE), ""))</f>
        <v> - </v>
      </c>
      <c r="E558" s="220" t="str">
        <f>IFERROR(
    VLOOKUP(B557:B1001, Content_Creation!B:D, 3, FALSE),
    IFERROR(VLOOKUP(B557:B1001, Project_Management!B:D, 3, FALSE),"")
  )</f>
        <v/>
      </c>
      <c r="F558" s="221" t="str">
        <f>IFERROR(VLOOKUP(B558, Content_Creation!B:F, 5, FALSE), IFERROR(VLOOKUP(B558, Project_Management!B:F, 5, FALSE), ""))</f>
        <v/>
      </c>
      <c r="G558" s="222"/>
      <c r="H558" s="223" t="str">
        <f>IFERROR(VLOOKUP(B558, Content_Creation!B:H, 7, FALSE), IFERROR(VLOOKUP(B558, Project_Management!B:H, 7, FALSE), ""))</f>
        <v/>
      </c>
      <c r="I558" s="224">
        <v>0.0</v>
      </c>
      <c r="J558" s="223" t="str">
        <f>IFERROR(VLOOKUP(C558, Content_Creation!B:H, 7, FALSE), IFERROR(VLOOKUP(C558, Project_Management!B:H, 7, FALSE), ""))</f>
        <v/>
      </c>
      <c r="K558" s="217"/>
      <c r="L558" s="225" t="str">
        <f>IFERROR(VLOOKUP(B558, Data_Validation!X:Y, 2, FALSE), "")</f>
        <v/>
      </c>
      <c r="M558" s="226" t="str">
        <f t="shared" si="1"/>
        <v> |  -  | </v>
      </c>
      <c r="N558" s="226"/>
      <c r="O558" s="226"/>
    </row>
    <row r="559" ht="24.0" customHeight="1">
      <c r="A559" s="216" t="str">
        <f>IFERROR(__xludf.DUMMYFUNCTION("ARRAYFORMULA(IFERROR(VLOOKUP(REGEXEXTRACT(B559, ""-(\w+)-""), {Data_Validation!$F$16:$F$29, Data_Validation!$E$16:$E$29}, 2, FALSE), """"))
"),"")</f>
        <v/>
      </c>
      <c r="B559" s="217"/>
      <c r="C559" s="218" t="str">
        <f>IFERROR(__xludf.DUMMYFUNCTION("IFERROR(REGEXEXTRACT(B559, ""^[A-Z]+-[A-Z]+-"") &amp; TEXT(VALUE(REGEXEXTRACT(B559, ""-(\d+)\."")), ""00""), """")"),"")</f>
        <v/>
      </c>
      <c r="D559" s="219" t="str">
        <f>IFERROR(VLOOKUP(C559, Content_Creation!B:D, 2, FALSE), IFERROR(VLOOKUP(C559, Project_Management!B:D, 2, FALSE), ""))
&amp; " - "
&amp; IFERROR(VLOOKUP(C559, Content_Creation!B:E, 4, FALSE), IFERROR(VLOOKUP(C559, Project_Management!B:E, 4, FALSE), ""))</f>
        <v> - </v>
      </c>
      <c r="E559" s="220" t="str">
        <f>IFERROR(
    VLOOKUP(B558:B1001, Content_Creation!B:D, 3, FALSE),
    IFERROR(VLOOKUP(B558:B1001, Project_Management!B:D, 3, FALSE),"")
  )</f>
        <v/>
      </c>
      <c r="F559" s="221" t="str">
        <f>IFERROR(VLOOKUP(B559, Content_Creation!B:F, 5, FALSE), IFERROR(VLOOKUP(B559, Project_Management!B:F, 5, FALSE), ""))</f>
        <v/>
      </c>
      <c r="G559" s="222"/>
      <c r="H559" s="223" t="str">
        <f>IFERROR(VLOOKUP(B559, Content_Creation!B:H, 7, FALSE), IFERROR(VLOOKUP(B559, Project_Management!B:H, 7, FALSE), ""))</f>
        <v/>
      </c>
      <c r="I559" s="224">
        <v>0.0</v>
      </c>
      <c r="J559" s="223" t="str">
        <f>IFERROR(VLOOKUP(C559, Content_Creation!B:H, 7, FALSE), IFERROR(VLOOKUP(C559, Project_Management!B:H, 7, FALSE), ""))</f>
        <v/>
      </c>
      <c r="K559" s="217"/>
      <c r="L559" s="225" t="str">
        <f>IFERROR(VLOOKUP(B559, Data_Validation!X:Y, 2, FALSE), "")</f>
        <v/>
      </c>
      <c r="M559" s="226" t="str">
        <f t="shared" si="1"/>
        <v> |  -  | </v>
      </c>
      <c r="N559" s="226"/>
      <c r="O559" s="226"/>
    </row>
    <row r="560" ht="24.0" customHeight="1">
      <c r="A560" s="216" t="str">
        <f>IFERROR(__xludf.DUMMYFUNCTION("ARRAYFORMULA(IFERROR(VLOOKUP(REGEXEXTRACT(B560, ""-(\w+)-""), {Data_Validation!$F$16:$F$29, Data_Validation!$E$16:$E$29}, 2, FALSE), """"))
"),"")</f>
        <v/>
      </c>
      <c r="B560" s="217"/>
      <c r="C560" s="218" t="str">
        <f>IFERROR(__xludf.DUMMYFUNCTION("IFERROR(REGEXEXTRACT(B560, ""^[A-Z]+-[A-Z]+-"") &amp; TEXT(VALUE(REGEXEXTRACT(B560, ""-(\d+)\."")), ""00""), """")"),"")</f>
        <v/>
      </c>
      <c r="D560" s="219" t="str">
        <f>IFERROR(VLOOKUP(C560, Content_Creation!B:D, 2, FALSE), IFERROR(VLOOKUP(C560, Project_Management!B:D, 2, FALSE), ""))
&amp; " - "
&amp; IFERROR(VLOOKUP(C560, Content_Creation!B:E, 4, FALSE), IFERROR(VLOOKUP(C560, Project_Management!B:E, 4, FALSE), ""))</f>
        <v> - </v>
      </c>
      <c r="E560" s="220" t="str">
        <f>IFERROR(
    VLOOKUP(B559:B1001, Content_Creation!B:D, 3, FALSE),
    IFERROR(VLOOKUP(B559:B1001, Project_Management!B:D, 3, FALSE),"")
  )</f>
        <v/>
      </c>
      <c r="F560" s="221" t="str">
        <f>IFERROR(VLOOKUP(B560, Content_Creation!B:F, 5, FALSE), IFERROR(VLOOKUP(B560, Project_Management!B:F, 5, FALSE), ""))</f>
        <v/>
      </c>
      <c r="G560" s="222"/>
      <c r="H560" s="223" t="str">
        <f>IFERROR(VLOOKUP(B560, Content_Creation!B:H, 7, FALSE), IFERROR(VLOOKUP(B560, Project_Management!B:H, 7, FALSE), ""))</f>
        <v/>
      </c>
      <c r="I560" s="224">
        <v>0.0</v>
      </c>
      <c r="J560" s="223" t="str">
        <f>IFERROR(VLOOKUP(C560, Content_Creation!B:H, 7, FALSE), IFERROR(VLOOKUP(C560, Project_Management!B:H, 7, FALSE), ""))</f>
        <v/>
      </c>
      <c r="K560" s="217"/>
      <c r="L560" s="225" t="str">
        <f>IFERROR(VLOOKUP(B560, Data_Validation!X:Y, 2, FALSE), "")</f>
        <v/>
      </c>
      <c r="M560" s="226" t="str">
        <f t="shared" si="1"/>
        <v> |  -  | </v>
      </c>
      <c r="N560" s="226"/>
      <c r="O560" s="226"/>
    </row>
    <row r="561" ht="24.0" customHeight="1">
      <c r="A561" s="216" t="str">
        <f>IFERROR(__xludf.DUMMYFUNCTION("ARRAYFORMULA(IFERROR(VLOOKUP(REGEXEXTRACT(B561, ""-(\w+)-""), {Data_Validation!$F$16:$F$29, Data_Validation!$E$16:$E$29}, 2, FALSE), """"))
"),"")</f>
        <v/>
      </c>
      <c r="B561" s="217"/>
      <c r="C561" s="218" t="str">
        <f>IFERROR(__xludf.DUMMYFUNCTION("IFERROR(REGEXEXTRACT(B561, ""^[A-Z]+-[A-Z]+-"") &amp; TEXT(VALUE(REGEXEXTRACT(B561, ""-(\d+)\."")), ""00""), """")"),"")</f>
        <v/>
      </c>
      <c r="D561" s="219" t="str">
        <f>IFERROR(VLOOKUP(C561, Content_Creation!B:D, 2, FALSE), IFERROR(VLOOKUP(C561, Project_Management!B:D, 2, FALSE), ""))
&amp; " - "
&amp; IFERROR(VLOOKUP(C561, Content_Creation!B:E, 4, FALSE), IFERROR(VLOOKUP(C561, Project_Management!B:E, 4, FALSE), ""))</f>
        <v> - </v>
      </c>
      <c r="E561" s="220" t="str">
        <f>IFERROR(
    VLOOKUP(B560:B1001, Content_Creation!B:D, 3, FALSE),
    IFERROR(VLOOKUP(B560:B1001, Project_Management!B:D, 3, FALSE),"")
  )</f>
        <v/>
      </c>
      <c r="F561" s="221" t="str">
        <f>IFERROR(VLOOKUP(B561, Content_Creation!B:F, 5, FALSE), IFERROR(VLOOKUP(B561, Project_Management!B:F, 5, FALSE), ""))</f>
        <v/>
      </c>
      <c r="G561" s="222"/>
      <c r="H561" s="223" t="str">
        <f>IFERROR(VLOOKUP(B561, Content_Creation!B:H, 7, FALSE), IFERROR(VLOOKUP(B561, Project_Management!B:H, 7, FALSE), ""))</f>
        <v/>
      </c>
      <c r="I561" s="224">
        <v>0.0</v>
      </c>
      <c r="J561" s="223" t="str">
        <f>IFERROR(VLOOKUP(C561, Content_Creation!B:H, 7, FALSE), IFERROR(VLOOKUP(C561, Project_Management!B:H, 7, FALSE), ""))</f>
        <v/>
      </c>
      <c r="K561" s="217"/>
      <c r="L561" s="225" t="str">
        <f>IFERROR(VLOOKUP(B561, Data_Validation!X:Y, 2, FALSE), "")</f>
        <v/>
      </c>
      <c r="M561" s="226" t="str">
        <f t="shared" si="1"/>
        <v> |  -  | </v>
      </c>
      <c r="N561" s="226"/>
      <c r="O561" s="226"/>
    </row>
    <row r="562" ht="24.0" customHeight="1">
      <c r="A562" s="216" t="str">
        <f>IFERROR(__xludf.DUMMYFUNCTION("ARRAYFORMULA(IFERROR(VLOOKUP(REGEXEXTRACT(B562, ""-(\w+)-""), {Data_Validation!$F$16:$F$29, Data_Validation!$E$16:$E$29}, 2, FALSE), """"))
"),"")</f>
        <v/>
      </c>
      <c r="B562" s="217"/>
      <c r="C562" s="218" t="str">
        <f>IFERROR(__xludf.DUMMYFUNCTION("IFERROR(REGEXEXTRACT(B562, ""^[A-Z]+-[A-Z]+-"") &amp; TEXT(VALUE(REGEXEXTRACT(B562, ""-(\d+)\."")), ""00""), """")"),"")</f>
        <v/>
      </c>
      <c r="D562" s="219" t="str">
        <f>IFERROR(VLOOKUP(C562, Content_Creation!B:D, 2, FALSE), IFERROR(VLOOKUP(C562, Project_Management!B:D, 2, FALSE), ""))
&amp; " - "
&amp; IFERROR(VLOOKUP(C562, Content_Creation!B:E, 4, FALSE), IFERROR(VLOOKUP(C562, Project_Management!B:E, 4, FALSE), ""))</f>
        <v> - </v>
      </c>
      <c r="E562" s="220" t="str">
        <f>IFERROR(
    VLOOKUP(B561:B1001, Content_Creation!B:D, 3, FALSE),
    IFERROR(VLOOKUP(B561:B1001, Project_Management!B:D, 3, FALSE),"")
  )</f>
        <v/>
      </c>
      <c r="F562" s="221" t="str">
        <f>IFERROR(VLOOKUP(B562, Content_Creation!B:F, 5, FALSE), IFERROR(VLOOKUP(B562, Project_Management!B:F, 5, FALSE), ""))</f>
        <v/>
      </c>
      <c r="G562" s="222"/>
      <c r="H562" s="223" t="str">
        <f>IFERROR(VLOOKUP(B562, Content_Creation!B:H, 7, FALSE), IFERROR(VLOOKUP(B562, Project_Management!B:H, 7, FALSE), ""))</f>
        <v/>
      </c>
      <c r="I562" s="224">
        <v>0.0</v>
      </c>
      <c r="J562" s="223" t="str">
        <f>IFERROR(VLOOKUP(C562, Content_Creation!B:H, 7, FALSE), IFERROR(VLOOKUP(C562, Project_Management!B:H, 7, FALSE), ""))</f>
        <v/>
      </c>
      <c r="K562" s="217"/>
      <c r="L562" s="225" t="str">
        <f>IFERROR(VLOOKUP(B562, Data_Validation!X:Y, 2, FALSE), "")</f>
        <v/>
      </c>
      <c r="M562" s="226" t="str">
        <f t="shared" si="1"/>
        <v> |  -  | </v>
      </c>
      <c r="N562" s="226"/>
      <c r="O562" s="226"/>
    </row>
    <row r="563" ht="24.0" customHeight="1">
      <c r="A563" s="216" t="str">
        <f>IFERROR(__xludf.DUMMYFUNCTION("ARRAYFORMULA(IFERROR(VLOOKUP(REGEXEXTRACT(B563, ""-(\w+)-""), {Data_Validation!$F$16:$F$29, Data_Validation!$E$16:$E$29}, 2, FALSE), """"))
"),"")</f>
        <v/>
      </c>
      <c r="B563" s="217"/>
      <c r="C563" s="218" t="str">
        <f>IFERROR(__xludf.DUMMYFUNCTION("IFERROR(REGEXEXTRACT(B563, ""^[A-Z]+-[A-Z]+-"") &amp; TEXT(VALUE(REGEXEXTRACT(B563, ""-(\d+)\."")), ""00""), """")"),"")</f>
        <v/>
      </c>
      <c r="D563" s="219" t="str">
        <f>IFERROR(VLOOKUP(C563, Content_Creation!B:D, 2, FALSE), IFERROR(VLOOKUP(C563, Project_Management!B:D, 2, FALSE), ""))
&amp; " - "
&amp; IFERROR(VLOOKUP(C563, Content_Creation!B:E, 4, FALSE), IFERROR(VLOOKUP(C563, Project_Management!B:E, 4, FALSE), ""))</f>
        <v> - </v>
      </c>
      <c r="E563" s="220" t="str">
        <f>IFERROR(
    VLOOKUP(B562:B1001, Content_Creation!B:D, 3, FALSE),
    IFERROR(VLOOKUP(B562:B1001, Project_Management!B:D, 3, FALSE),"")
  )</f>
        <v/>
      </c>
      <c r="F563" s="221" t="str">
        <f>IFERROR(VLOOKUP(B563, Content_Creation!B:F, 5, FALSE), IFERROR(VLOOKUP(B563, Project_Management!B:F, 5, FALSE), ""))</f>
        <v/>
      </c>
      <c r="G563" s="222"/>
      <c r="H563" s="223" t="str">
        <f>IFERROR(VLOOKUP(B563, Content_Creation!B:H, 7, FALSE), IFERROR(VLOOKUP(B563, Project_Management!B:H, 7, FALSE), ""))</f>
        <v/>
      </c>
      <c r="I563" s="224">
        <v>0.0</v>
      </c>
      <c r="J563" s="223" t="str">
        <f>IFERROR(VLOOKUP(C563, Content_Creation!B:H, 7, FALSE), IFERROR(VLOOKUP(C563, Project_Management!B:H, 7, FALSE), ""))</f>
        <v/>
      </c>
      <c r="K563" s="217"/>
      <c r="L563" s="225" t="str">
        <f>IFERROR(VLOOKUP(B563, Data_Validation!X:Y, 2, FALSE), "")</f>
        <v/>
      </c>
      <c r="M563" s="226" t="str">
        <f t="shared" si="1"/>
        <v> |  -  | </v>
      </c>
      <c r="N563" s="226"/>
      <c r="O563" s="226"/>
    </row>
    <row r="564" ht="24.0" customHeight="1">
      <c r="A564" s="216" t="str">
        <f>IFERROR(__xludf.DUMMYFUNCTION("ARRAYFORMULA(IFERROR(VLOOKUP(REGEXEXTRACT(B564, ""-(\w+)-""), {Data_Validation!$F$16:$F$29, Data_Validation!$E$16:$E$29}, 2, FALSE), """"))
"),"")</f>
        <v/>
      </c>
      <c r="B564" s="217"/>
      <c r="C564" s="218" t="str">
        <f>IFERROR(__xludf.DUMMYFUNCTION("IFERROR(REGEXEXTRACT(B564, ""^[A-Z]+-[A-Z]+-"") &amp; TEXT(VALUE(REGEXEXTRACT(B564, ""-(\d+)\."")), ""00""), """")"),"")</f>
        <v/>
      </c>
      <c r="D564" s="219" t="str">
        <f>IFERROR(VLOOKUP(C564, Content_Creation!B:D, 2, FALSE), IFERROR(VLOOKUP(C564, Project_Management!B:D, 2, FALSE), ""))
&amp; " - "
&amp; IFERROR(VLOOKUP(C564, Content_Creation!B:E, 4, FALSE), IFERROR(VLOOKUP(C564, Project_Management!B:E, 4, FALSE), ""))</f>
        <v> - </v>
      </c>
      <c r="E564" s="220" t="str">
        <f>IFERROR(
    VLOOKUP(B563:B1001, Content_Creation!B:D, 3, FALSE),
    IFERROR(VLOOKUP(B563:B1001, Project_Management!B:D, 3, FALSE),"")
  )</f>
        <v/>
      </c>
      <c r="F564" s="221" t="str">
        <f>IFERROR(VLOOKUP(B564, Content_Creation!B:F, 5, FALSE), IFERROR(VLOOKUP(B564, Project_Management!B:F, 5, FALSE), ""))</f>
        <v/>
      </c>
      <c r="G564" s="222"/>
      <c r="H564" s="223" t="str">
        <f>IFERROR(VLOOKUP(B564, Content_Creation!B:H, 7, FALSE), IFERROR(VLOOKUP(B564, Project_Management!B:H, 7, FALSE), ""))</f>
        <v/>
      </c>
      <c r="I564" s="224">
        <v>0.0</v>
      </c>
      <c r="J564" s="223" t="str">
        <f>IFERROR(VLOOKUP(C564, Content_Creation!B:H, 7, FALSE), IFERROR(VLOOKUP(C564, Project_Management!B:H, 7, FALSE), ""))</f>
        <v/>
      </c>
      <c r="K564" s="217"/>
      <c r="L564" s="225" t="str">
        <f>IFERROR(VLOOKUP(B564, Data_Validation!X:Y, 2, FALSE), "")</f>
        <v/>
      </c>
      <c r="M564" s="226" t="str">
        <f t="shared" si="1"/>
        <v> |  -  | </v>
      </c>
      <c r="N564" s="226"/>
      <c r="O564" s="226"/>
    </row>
    <row r="565" ht="24.0" customHeight="1">
      <c r="A565" s="216" t="str">
        <f>IFERROR(__xludf.DUMMYFUNCTION("ARRAYFORMULA(IFERROR(VLOOKUP(REGEXEXTRACT(B565, ""-(\w+)-""), {Data_Validation!$F$16:$F$29, Data_Validation!$E$16:$E$29}, 2, FALSE), """"))
"),"")</f>
        <v/>
      </c>
      <c r="B565" s="217"/>
      <c r="C565" s="218" t="str">
        <f>IFERROR(__xludf.DUMMYFUNCTION("IFERROR(REGEXEXTRACT(B565, ""^[A-Z]+-[A-Z]+-"") &amp; TEXT(VALUE(REGEXEXTRACT(B565, ""-(\d+)\."")), ""00""), """")"),"")</f>
        <v/>
      </c>
      <c r="D565" s="219" t="str">
        <f>IFERROR(VLOOKUP(C565, Content_Creation!B:D, 2, FALSE), IFERROR(VLOOKUP(C565, Project_Management!B:D, 2, FALSE), ""))
&amp; " - "
&amp; IFERROR(VLOOKUP(C565, Content_Creation!B:E, 4, FALSE), IFERROR(VLOOKUP(C565, Project_Management!B:E, 4, FALSE), ""))</f>
        <v> - </v>
      </c>
      <c r="E565" s="220" t="str">
        <f>IFERROR(
    VLOOKUP(B564:B1001, Content_Creation!B:D, 3, FALSE),
    IFERROR(VLOOKUP(B564:B1001, Project_Management!B:D, 3, FALSE),"")
  )</f>
        <v/>
      </c>
      <c r="F565" s="221" t="str">
        <f>IFERROR(VLOOKUP(B565, Content_Creation!B:F, 5, FALSE), IFERROR(VLOOKUP(B565, Project_Management!B:F, 5, FALSE), ""))</f>
        <v/>
      </c>
      <c r="G565" s="222"/>
      <c r="H565" s="223" t="str">
        <f>IFERROR(VLOOKUP(B565, Content_Creation!B:H, 7, FALSE), IFERROR(VLOOKUP(B565, Project_Management!B:H, 7, FALSE), ""))</f>
        <v/>
      </c>
      <c r="I565" s="224">
        <v>0.0</v>
      </c>
      <c r="J565" s="223" t="str">
        <f>IFERROR(VLOOKUP(C565, Content_Creation!B:H, 7, FALSE), IFERROR(VLOOKUP(C565, Project_Management!B:H, 7, FALSE), ""))</f>
        <v/>
      </c>
      <c r="K565" s="217"/>
      <c r="L565" s="225" t="str">
        <f>IFERROR(VLOOKUP(B565, Data_Validation!X:Y, 2, FALSE), "")</f>
        <v/>
      </c>
      <c r="M565" s="226" t="str">
        <f t="shared" si="1"/>
        <v> |  -  | </v>
      </c>
      <c r="N565" s="226"/>
      <c r="O565" s="226"/>
    </row>
    <row r="566" ht="24.0" customHeight="1">
      <c r="A566" s="216" t="str">
        <f>IFERROR(__xludf.DUMMYFUNCTION("ARRAYFORMULA(IFERROR(VLOOKUP(REGEXEXTRACT(B566, ""-(\w+)-""), {Data_Validation!$F$16:$F$29, Data_Validation!$E$16:$E$29}, 2, FALSE), """"))
"),"")</f>
        <v/>
      </c>
      <c r="B566" s="217"/>
      <c r="C566" s="218" t="str">
        <f>IFERROR(__xludf.DUMMYFUNCTION("IFERROR(REGEXEXTRACT(B566, ""^[A-Z]+-[A-Z]+-"") &amp; TEXT(VALUE(REGEXEXTRACT(B566, ""-(\d+)\."")), ""00""), """")"),"")</f>
        <v/>
      </c>
      <c r="D566" s="219" t="str">
        <f>IFERROR(VLOOKUP(C566, Content_Creation!B:D, 2, FALSE), IFERROR(VLOOKUP(C566, Project_Management!B:D, 2, FALSE), ""))
&amp; " - "
&amp; IFERROR(VLOOKUP(C566, Content_Creation!B:E, 4, FALSE), IFERROR(VLOOKUP(C566, Project_Management!B:E, 4, FALSE), ""))</f>
        <v> - </v>
      </c>
      <c r="E566" s="220" t="str">
        <f>IFERROR(
    VLOOKUP(B565:B1001, Content_Creation!B:D, 3, FALSE),
    IFERROR(VLOOKUP(B565:B1001, Project_Management!B:D, 3, FALSE),"")
  )</f>
        <v/>
      </c>
      <c r="F566" s="221" t="str">
        <f>IFERROR(VLOOKUP(B566, Content_Creation!B:F, 5, FALSE), IFERROR(VLOOKUP(B566, Project_Management!B:F, 5, FALSE), ""))</f>
        <v/>
      </c>
      <c r="G566" s="222"/>
      <c r="H566" s="223" t="str">
        <f>IFERROR(VLOOKUP(B566, Content_Creation!B:H, 7, FALSE), IFERROR(VLOOKUP(B566, Project_Management!B:H, 7, FALSE), ""))</f>
        <v/>
      </c>
      <c r="I566" s="224">
        <v>0.0</v>
      </c>
      <c r="J566" s="223" t="str">
        <f>IFERROR(VLOOKUP(C566, Content_Creation!B:H, 7, FALSE), IFERROR(VLOOKUP(C566, Project_Management!B:H, 7, FALSE), ""))</f>
        <v/>
      </c>
      <c r="K566" s="217"/>
      <c r="L566" s="225" t="str">
        <f>IFERROR(VLOOKUP(B566, Data_Validation!X:Y, 2, FALSE), "")</f>
        <v/>
      </c>
      <c r="M566" s="226" t="str">
        <f t="shared" si="1"/>
        <v> |  -  | </v>
      </c>
      <c r="N566" s="226"/>
      <c r="O566" s="226"/>
    </row>
    <row r="567" ht="24.0" customHeight="1">
      <c r="A567" s="216" t="str">
        <f>IFERROR(__xludf.DUMMYFUNCTION("ARRAYFORMULA(IFERROR(VLOOKUP(REGEXEXTRACT(B567, ""-(\w+)-""), {Data_Validation!$F$16:$F$29, Data_Validation!$E$16:$E$29}, 2, FALSE), """"))
"),"")</f>
        <v/>
      </c>
      <c r="B567" s="217"/>
      <c r="C567" s="218" t="str">
        <f>IFERROR(__xludf.DUMMYFUNCTION("IFERROR(REGEXEXTRACT(B567, ""^[A-Z]+-[A-Z]+-"") &amp; TEXT(VALUE(REGEXEXTRACT(B567, ""-(\d+)\."")), ""00""), """")"),"")</f>
        <v/>
      </c>
      <c r="D567" s="219" t="str">
        <f>IFERROR(VLOOKUP(C567, Content_Creation!B:D, 2, FALSE), IFERROR(VLOOKUP(C567, Project_Management!B:D, 2, FALSE), ""))
&amp; " - "
&amp; IFERROR(VLOOKUP(C567, Content_Creation!B:E, 4, FALSE), IFERROR(VLOOKUP(C567, Project_Management!B:E, 4, FALSE), ""))</f>
        <v> - </v>
      </c>
      <c r="E567" s="220" t="str">
        <f>IFERROR(
    VLOOKUP(B566:B1001, Content_Creation!B:D, 3, FALSE),
    IFERROR(VLOOKUP(B566:B1001, Project_Management!B:D, 3, FALSE),"")
  )</f>
        <v/>
      </c>
      <c r="F567" s="221" t="str">
        <f>IFERROR(VLOOKUP(B567, Content_Creation!B:F, 5, FALSE), IFERROR(VLOOKUP(B567, Project_Management!B:F, 5, FALSE), ""))</f>
        <v/>
      </c>
      <c r="G567" s="222"/>
      <c r="H567" s="223" t="str">
        <f>IFERROR(VLOOKUP(B567, Content_Creation!B:H, 7, FALSE), IFERROR(VLOOKUP(B567, Project_Management!B:H, 7, FALSE), ""))</f>
        <v/>
      </c>
      <c r="I567" s="224">
        <v>0.0</v>
      </c>
      <c r="J567" s="223" t="str">
        <f>IFERROR(VLOOKUP(C567, Content_Creation!B:H, 7, FALSE), IFERROR(VLOOKUP(C567, Project_Management!B:H, 7, FALSE), ""))</f>
        <v/>
      </c>
      <c r="K567" s="217"/>
      <c r="L567" s="225" t="str">
        <f>IFERROR(VLOOKUP(B567, Data_Validation!X:Y, 2, FALSE), "")</f>
        <v/>
      </c>
      <c r="M567" s="226" t="str">
        <f t="shared" si="1"/>
        <v> |  -  | </v>
      </c>
      <c r="N567" s="226"/>
      <c r="O567" s="226"/>
    </row>
    <row r="568" ht="24.0" customHeight="1">
      <c r="A568" s="216" t="str">
        <f>IFERROR(__xludf.DUMMYFUNCTION("ARRAYFORMULA(IFERROR(VLOOKUP(REGEXEXTRACT(B568, ""-(\w+)-""), {Data_Validation!$F$16:$F$29, Data_Validation!$E$16:$E$29}, 2, FALSE), """"))
"),"")</f>
        <v/>
      </c>
      <c r="B568" s="217"/>
      <c r="C568" s="218" t="str">
        <f>IFERROR(__xludf.DUMMYFUNCTION("IFERROR(REGEXEXTRACT(B568, ""^[A-Z]+-[A-Z]+-"") &amp; TEXT(VALUE(REGEXEXTRACT(B568, ""-(\d+)\."")), ""00""), """")"),"")</f>
        <v/>
      </c>
      <c r="D568" s="219" t="str">
        <f>IFERROR(VLOOKUP(C568, Content_Creation!B:D, 2, FALSE), IFERROR(VLOOKUP(C568, Project_Management!B:D, 2, FALSE), ""))
&amp; " - "
&amp; IFERROR(VLOOKUP(C568, Content_Creation!B:E, 4, FALSE), IFERROR(VLOOKUP(C568, Project_Management!B:E, 4, FALSE), ""))</f>
        <v> - </v>
      </c>
      <c r="E568" s="220" t="str">
        <f>IFERROR(
    VLOOKUP(B567:B1001, Content_Creation!B:D, 3, FALSE),
    IFERROR(VLOOKUP(B567:B1001, Project_Management!B:D, 3, FALSE),"")
  )</f>
        <v/>
      </c>
      <c r="F568" s="221" t="str">
        <f>IFERROR(VLOOKUP(B568, Content_Creation!B:F, 5, FALSE), IFERROR(VLOOKUP(B568, Project_Management!B:F, 5, FALSE), ""))</f>
        <v/>
      </c>
      <c r="G568" s="222"/>
      <c r="H568" s="223" t="str">
        <f>IFERROR(VLOOKUP(B568, Content_Creation!B:H, 7, FALSE), IFERROR(VLOOKUP(B568, Project_Management!B:H, 7, FALSE), ""))</f>
        <v/>
      </c>
      <c r="I568" s="224">
        <v>0.0</v>
      </c>
      <c r="J568" s="223" t="str">
        <f>IFERROR(VLOOKUP(C568, Content_Creation!B:H, 7, FALSE), IFERROR(VLOOKUP(C568, Project_Management!B:H, 7, FALSE), ""))</f>
        <v/>
      </c>
      <c r="K568" s="217"/>
      <c r="L568" s="225" t="str">
        <f>IFERROR(VLOOKUP(B568, Data_Validation!X:Y, 2, FALSE), "")</f>
        <v/>
      </c>
      <c r="M568" s="226" t="str">
        <f t="shared" si="1"/>
        <v> |  -  | </v>
      </c>
      <c r="N568" s="226"/>
      <c r="O568" s="226"/>
    </row>
    <row r="569" ht="24.0" customHeight="1">
      <c r="A569" s="216" t="str">
        <f>IFERROR(__xludf.DUMMYFUNCTION("ARRAYFORMULA(IFERROR(VLOOKUP(REGEXEXTRACT(B569, ""-(\w+)-""), {Data_Validation!$F$16:$F$29, Data_Validation!$E$16:$E$29}, 2, FALSE), """"))
"),"")</f>
        <v/>
      </c>
      <c r="B569" s="217"/>
      <c r="C569" s="218" t="str">
        <f>IFERROR(__xludf.DUMMYFUNCTION("IFERROR(REGEXEXTRACT(B569, ""^[A-Z]+-[A-Z]+-"") &amp; TEXT(VALUE(REGEXEXTRACT(B569, ""-(\d+)\."")), ""00""), """")"),"")</f>
        <v/>
      </c>
      <c r="D569" s="219" t="str">
        <f>IFERROR(VLOOKUP(C569, Content_Creation!B:D, 2, FALSE), IFERROR(VLOOKUP(C569, Project_Management!B:D, 2, FALSE), ""))
&amp; " - "
&amp; IFERROR(VLOOKUP(C569, Content_Creation!B:E, 4, FALSE), IFERROR(VLOOKUP(C569, Project_Management!B:E, 4, FALSE), ""))</f>
        <v> - </v>
      </c>
      <c r="E569" s="220" t="str">
        <f>IFERROR(
    VLOOKUP(B568:B1001, Content_Creation!B:D, 3, FALSE),
    IFERROR(VLOOKUP(B568:B1001, Project_Management!B:D, 3, FALSE),"")
  )</f>
        <v/>
      </c>
      <c r="F569" s="221" t="str">
        <f>IFERROR(VLOOKUP(B569, Content_Creation!B:F, 5, FALSE), IFERROR(VLOOKUP(B569, Project_Management!B:F, 5, FALSE), ""))</f>
        <v/>
      </c>
      <c r="G569" s="222"/>
      <c r="H569" s="223" t="str">
        <f>IFERROR(VLOOKUP(B569, Content_Creation!B:H, 7, FALSE), IFERROR(VLOOKUP(B569, Project_Management!B:H, 7, FALSE), ""))</f>
        <v/>
      </c>
      <c r="I569" s="224">
        <v>0.0</v>
      </c>
      <c r="J569" s="223" t="str">
        <f>IFERROR(VLOOKUP(C569, Content_Creation!B:H, 7, FALSE), IFERROR(VLOOKUP(C569, Project_Management!B:H, 7, FALSE), ""))</f>
        <v/>
      </c>
      <c r="K569" s="217"/>
      <c r="L569" s="225" t="str">
        <f>IFERROR(VLOOKUP(B569, Data_Validation!X:Y, 2, FALSE), "")</f>
        <v/>
      </c>
      <c r="M569" s="226" t="str">
        <f t="shared" si="1"/>
        <v> |  -  | </v>
      </c>
      <c r="N569" s="226"/>
      <c r="O569" s="226"/>
    </row>
    <row r="570" ht="24.0" customHeight="1">
      <c r="A570" s="216" t="str">
        <f>IFERROR(__xludf.DUMMYFUNCTION("ARRAYFORMULA(IFERROR(VLOOKUP(REGEXEXTRACT(B570, ""-(\w+)-""), {Data_Validation!$F$16:$F$29, Data_Validation!$E$16:$E$29}, 2, FALSE), """"))
"),"")</f>
        <v/>
      </c>
      <c r="B570" s="217"/>
      <c r="C570" s="218" t="str">
        <f>IFERROR(__xludf.DUMMYFUNCTION("IFERROR(REGEXEXTRACT(B570, ""^[A-Z]+-[A-Z]+-"") &amp; TEXT(VALUE(REGEXEXTRACT(B570, ""-(\d+)\."")), ""00""), """")"),"")</f>
        <v/>
      </c>
      <c r="D570" s="219" t="str">
        <f>IFERROR(VLOOKUP(C570, Content_Creation!B:D, 2, FALSE), IFERROR(VLOOKUP(C570, Project_Management!B:D, 2, FALSE), ""))
&amp; " - "
&amp; IFERROR(VLOOKUP(C570, Content_Creation!B:E, 4, FALSE), IFERROR(VLOOKUP(C570, Project_Management!B:E, 4, FALSE), ""))</f>
        <v> - </v>
      </c>
      <c r="E570" s="220" t="str">
        <f>IFERROR(
    VLOOKUP(B569:B1001, Content_Creation!B:D, 3, FALSE),
    IFERROR(VLOOKUP(B569:B1001, Project_Management!B:D, 3, FALSE),"")
  )</f>
        <v/>
      </c>
      <c r="F570" s="221" t="str">
        <f>IFERROR(VLOOKUP(B570, Content_Creation!B:F, 5, FALSE), IFERROR(VLOOKUP(B570, Project_Management!B:F, 5, FALSE), ""))</f>
        <v/>
      </c>
      <c r="G570" s="222"/>
      <c r="H570" s="223" t="str">
        <f>IFERROR(VLOOKUP(B570, Content_Creation!B:H, 7, FALSE), IFERROR(VLOOKUP(B570, Project_Management!B:H, 7, FALSE), ""))</f>
        <v/>
      </c>
      <c r="I570" s="224">
        <v>0.0</v>
      </c>
      <c r="J570" s="223" t="str">
        <f>IFERROR(VLOOKUP(C570, Content_Creation!B:H, 7, FALSE), IFERROR(VLOOKUP(C570, Project_Management!B:H, 7, FALSE), ""))</f>
        <v/>
      </c>
      <c r="K570" s="217"/>
      <c r="L570" s="225" t="str">
        <f>IFERROR(VLOOKUP(B570, Data_Validation!X:Y, 2, FALSE), "")</f>
        <v/>
      </c>
      <c r="M570" s="226" t="str">
        <f t="shared" si="1"/>
        <v> |  -  | </v>
      </c>
      <c r="N570" s="226"/>
      <c r="O570" s="226"/>
    </row>
    <row r="571" ht="24.0" customHeight="1">
      <c r="A571" s="216" t="str">
        <f>IFERROR(__xludf.DUMMYFUNCTION("ARRAYFORMULA(IFERROR(VLOOKUP(REGEXEXTRACT(B571, ""-(\w+)-""), {Data_Validation!$F$16:$F$29, Data_Validation!$E$16:$E$29}, 2, FALSE), """"))
"),"")</f>
        <v/>
      </c>
      <c r="B571" s="217"/>
      <c r="C571" s="218" t="str">
        <f>IFERROR(__xludf.DUMMYFUNCTION("IFERROR(REGEXEXTRACT(B571, ""^[A-Z]+-[A-Z]+-"") &amp; TEXT(VALUE(REGEXEXTRACT(B571, ""-(\d+)\."")), ""00""), """")"),"")</f>
        <v/>
      </c>
      <c r="D571" s="219" t="str">
        <f>IFERROR(VLOOKUP(C571, Content_Creation!B:D, 2, FALSE), IFERROR(VLOOKUP(C571, Project_Management!B:D, 2, FALSE), ""))
&amp; " - "
&amp; IFERROR(VLOOKUP(C571, Content_Creation!B:E, 4, FALSE), IFERROR(VLOOKUP(C571, Project_Management!B:E, 4, FALSE), ""))</f>
        <v> - </v>
      </c>
      <c r="E571" s="220" t="str">
        <f>IFERROR(
    VLOOKUP(B570:B1001, Content_Creation!B:D, 3, FALSE),
    IFERROR(VLOOKUP(B570:B1001, Project_Management!B:D, 3, FALSE),"")
  )</f>
        <v/>
      </c>
      <c r="F571" s="221" t="str">
        <f>IFERROR(VLOOKUP(B571, Content_Creation!B:F, 5, FALSE), IFERROR(VLOOKUP(B571, Project_Management!B:F, 5, FALSE), ""))</f>
        <v/>
      </c>
      <c r="G571" s="222"/>
      <c r="H571" s="223" t="str">
        <f>IFERROR(VLOOKUP(B571, Content_Creation!B:H, 7, FALSE), IFERROR(VLOOKUP(B571, Project_Management!B:H, 7, FALSE), ""))</f>
        <v/>
      </c>
      <c r="I571" s="224">
        <v>0.0</v>
      </c>
      <c r="J571" s="223" t="str">
        <f>IFERROR(VLOOKUP(C571, Content_Creation!B:H, 7, FALSE), IFERROR(VLOOKUP(C571, Project_Management!B:H, 7, FALSE), ""))</f>
        <v/>
      </c>
      <c r="K571" s="217"/>
      <c r="L571" s="225" t="str">
        <f>IFERROR(VLOOKUP(B571, Data_Validation!X:Y, 2, FALSE), "")</f>
        <v/>
      </c>
      <c r="M571" s="226" t="str">
        <f t="shared" si="1"/>
        <v> |  -  | </v>
      </c>
      <c r="N571" s="226"/>
      <c r="O571" s="226"/>
    </row>
    <row r="572" ht="24.0" customHeight="1">
      <c r="A572" s="216" t="str">
        <f>IFERROR(__xludf.DUMMYFUNCTION("ARRAYFORMULA(IFERROR(VLOOKUP(REGEXEXTRACT(B572, ""-(\w+)-""), {Data_Validation!$F$16:$F$29, Data_Validation!$E$16:$E$29}, 2, FALSE), """"))
"),"")</f>
        <v/>
      </c>
      <c r="B572" s="217"/>
      <c r="C572" s="218" t="str">
        <f>IFERROR(__xludf.DUMMYFUNCTION("IFERROR(REGEXEXTRACT(B572, ""^[A-Z]+-[A-Z]+-"") &amp; TEXT(VALUE(REGEXEXTRACT(B572, ""-(\d+)\."")), ""00""), """")"),"")</f>
        <v/>
      </c>
      <c r="D572" s="219" t="str">
        <f>IFERROR(VLOOKUP(C572, Content_Creation!B:D, 2, FALSE), IFERROR(VLOOKUP(C572, Project_Management!B:D, 2, FALSE), ""))
&amp; " - "
&amp; IFERROR(VLOOKUP(C572, Content_Creation!B:E, 4, FALSE), IFERROR(VLOOKUP(C572, Project_Management!B:E, 4, FALSE), ""))</f>
        <v> - </v>
      </c>
      <c r="E572" s="220" t="str">
        <f>IFERROR(
    VLOOKUP(B571:B1001, Content_Creation!B:D, 3, FALSE),
    IFERROR(VLOOKUP(B571:B1001, Project_Management!B:D, 3, FALSE),"")
  )</f>
        <v/>
      </c>
      <c r="F572" s="221" t="str">
        <f>IFERROR(VLOOKUP(B572, Content_Creation!B:F, 5, FALSE), IFERROR(VLOOKUP(B572, Project_Management!B:F, 5, FALSE), ""))</f>
        <v/>
      </c>
      <c r="G572" s="222"/>
      <c r="H572" s="223" t="str">
        <f>IFERROR(VLOOKUP(B572, Content_Creation!B:H, 7, FALSE), IFERROR(VLOOKUP(B572, Project_Management!B:H, 7, FALSE), ""))</f>
        <v/>
      </c>
      <c r="I572" s="224">
        <v>0.0</v>
      </c>
      <c r="J572" s="223" t="str">
        <f>IFERROR(VLOOKUP(C572, Content_Creation!B:H, 7, FALSE), IFERROR(VLOOKUP(C572, Project_Management!B:H, 7, FALSE), ""))</f>
        <v/>
      </c>
      <c r="K572" s="217"/>
      <c r="L572" s="225" t="str">
        <f>IFERROR(VLOOKUP(B572, Data_Validation!X:Y, 2, FALSE), "")</f>
        <v/>
      </c>
      <c r="M572" s="226" t="str">
        <f t="shared" si="1"/>
        <v> |  -  | </v>
      </c>
      <c r="N572" s="226"/>
      <c r="O572" s="226"/>
    </row>
    <row r="573" ht="24.0" customHeight="1">
      <c r="A573" s="216" t="str">
        <f>IFERROR(__xludf.DUMMYFUNCTION("ARRAYFORMULA(IFERROR(VLOOKUP(REGEXEXTRACT(B573, ""-(\w+)-""), {Data_Validation!$F$16:$F$29, Data_Validation!$E$16:$E$29}, 2, FALSE), """"))
"),"")</f>
        <v/>
      </c>
      <c r="B573" s="217"/>
      <c r="C573" s="218" t="str">
        <f>IFERROR(__xludf.DUMMYFUNCTION("IFERROR(REGEXEXTRACT(B573, ""^[A-Z]+-[A-Z]+-"") &amp; TEXT(VALUE(REGEXEXTRACT(B573, ""-(\d+)\."")), ""00""), """")"),"")</f>
        <v/>
      </c>
      <c r="D573" s="219" t="str">
        <f>IFERROR(VLOOKUP(C573, Content_Creation!B:D, 2, FALSE), IFERROR(VLOOKUP(C573, Project_Management!B:D, 2, FALSE), ""))
&amp; " - "
&amp; IFERROR(VLOOKUP(C573, Content_Creation!B:E, 4, FALSE), IFERROR(VLOOKUP(C573, Project_Management!B:E, 4, FALSE), ""))</f>
        <v> - </v>
      </c>
      <c r="E573" s="220" t="str">
        <f>IFERROR(
    VLOOKUP(B572:B1001, Content_Creation!B:D, 3, FALSE),
    IFERROR(VLOOKUP(B572:B1001, Project_Management!B:D, 3, FALSE),"")
  )</f>
        <v/>
      </c>
      <c r="F573" s="221" t="str">
        <f>IFERROR(VLOOKUP(B573, Content_Creation!B:F, 5, FALSE), IFERROR(VLOOKUP(B573, Project_Management!B:F, 5, FALSE), ""))</f>
        <v/>
      </c>
      <c r="G573" s="222"/>
      <c r="H573" s="223" t="str">
        <f>IFERROR(VLOOKUP(B573, Content_Creation!B:H, 7, FALSE), IFERROR(VLOOKUP(B573, Project_Management!B:H, 7, FALSE), ""))</f>
        <v/>
      </c>
      <c r="I573" s="224">
        <v>0.0</v>
      </c>
      <c r="J573" s="223" t="str">
        <f>IFERROR(VLOOKUP(C573, Content_Creation!B:H, 7, FALSE), IFERROR(VLOOKUP(C573, Project_Management!B:H, 7, FALSE), ""))</f>
        <v/>
      </c>
      <c r="K573" s="217"/>
      <c r="L573" s="225" t="str">
        <f>IFERROR(VLOOKUP(B573, Data_Validation!X:Y, 2, FALSE), "")</f>
        <v/>
      </c>
      <c r="M573" s="226" t="str">
        <f t="shared" si="1"/>
        <v> |  -  | </v>
      </c>
      <c r="N573" s="226"/>
      <c r="O573" s="226"/>
    </row>
    <row r="574" ht="24.0" customHeight="1">
      <c r="A574" s="216" t="str">
        <f>IFERROR(__xludf.DUMMYFUNCTION("ARRAYFORMULA(IFERROR(VLOOKUP(REGEXEXTRACT(B574, ""-(\w+)-""), {Data_Validation!$F$16:$F$29, Data_Validation!$E$16:$E$29}, 2, FALSE), """"))
"),"")</f>
        <v/>
      </c>
      <c r="B574" s="217"/>
      <c r="C574" s="218" t="str">
        <f>IFERROR(__xludf.DUMMYFUNCTION("IFERROR(REGEXEXTRACT(B574, ""^[A-Z]+-[A-Z]+-"") &amp; TEXT(VALUE(REGEXEXTRACT(B574, ""-(\d+)\."")), ""00""), """")"),"")</f>
        <v/>
      </c>
      <c r="D574" s="219" t="str">
        <f>IFERROR(VLOOKUP(C574, Content_Creation!B:D, 2, FALSE), IFERROR(VLOOKUP(C574, Project_Management!B:D, 2, FALSE), ""))
&amp; " - "
&amp; IFERROR(VLOOKUP(C574, Content_Creation!B:E, 4, FALSE), IFERROR(VLOOKUP(C574, Project_Management!B:E, 4, FALSE), ""))</f>
        <v> - </v>
      </c>
      <c r="E574" s="220" t="str">
        <f>IFERROR(
    VLOOKUP(B573:B1001, Content_Creation!B:D, 3, FALSE),
    IFERROR(VLOOKUP(B573:B1001, Project_Management!B:D, 3, FALSE),"")
  )</f>
        <v/>
      </c>
      <c r="F574" s="221" t="str">
        <f>IFERROR(VLOOKUP(B574, Content_Creation!B:F, 5, FALSE), IFERROR(VLOOKUP(B574, Project_Management!B:F, 5, FALSE), ""))</f>
        <v/>
      </c>
      <c r="G574" s="222"/>
      <c r="H574" s="223" t="str">
        <f>IFERROR(VLOOKUP(B574, Content_Creation!B:H, 7, FALSE), IFERROR(VLOOKUP(B574, Project_Management!B:H, 7, FALSE), ""))</f>
        <v/>
      </c>
      <c r="I574" s="224">
        <v>0.0</v>
      </c>
      <c r="J574" s="223" t="str">
        <f>IFERROR(VLOOKUP(C574, Content_Creation!B:H, 7, FALSE), IFERROR(VLOOKUP(C574, Project_Management!B:H, 7, FALSE), ""))</f>
        <v/>
      </c>
      <c r="K574" s="217"/>
      <c r="L574" s="225" t="str">
        <f>IFERROR(VLOOKUP(B574, Data_Validation!X:Y, 2, FALSE), "")</f>
        <v/>
      </c>
      <c r="M574" s="226" t="str">
        <f t="shared" si="1"/>
        <v> |  -  | </v>
      </c>
      <c r="N574" s="226"/>
      <c r="O574" s="226"/>
    </row>
    <row r="575" ht="24.0" customHeight="1">
      <c r="A575" s="216" t="str">
        <f>IFERROR(__xludf.DUMMYFUNCTION("ARRAYFORMULA(IFERROR(VLOOKUP(REGEXEXTRACT(B575, ""-(\w+)-""), {Data_Validation!$F$16:$F$29, Data_Validation!$E$16:$E$29}, 2, FALSE), """"))
"),"")</f>
        <v/>
      </c>
      <c r="B575" s="217"/>
      <c r="C575" s="218" t="str">
        <f>IFERROR(__xludf.DUMMYFUNCTION("IFERROR(REGEXEXTRACT(B575, ""^[A-Z]+-[A-Z]+-"") &amp; TEXT(VALUE(REGEXEXTRACT(B575, ""-(\d+)\."")), ""00""), """")"),"")</f>
        <v/>
      </c>
      <c r="D575" s="219" t="str">
        <f>IFERROR(VLOOKUP(C575, Content_Creation!B:D, 2, FALSE), IFERROR(VLOOKUP(C575, Project_Management!B:D, 2, FALSE), ""))
&amp; " - "
&amp; IFERROR(VLOOKUP(C575, Content_Creation!B:E, 4, FALSE), IFERROR(VLOOKUP(C575, Project_Management!B:E, 4, FALSE), ""))</f>
        <v> - </v>
      </c>
      <c r="E575" s="220" t="str">
        <f>IFERROR(
    VLOOKUP(B574:B1001, Content_Creation!B:D, 3, FALSE),
    IFERROR(VLOOKUP(B574:B1001, Project_Management!B:D, 3, FALSE),"")
  )</f>
        <v/>
      </c>
      <c r="F575" s="221" t="str">
        <f>IFERROR(VLOOKUP(B575, Content_Creation!B:F, 5, FALSE), IFERROR(VLOOKUP(B575, Project_Management!B:F, 5, FALSE), ""))</f>
        <v/>
      </c>
      <c r="G575" s="222"/>
      <c r="H575" s="223" t="str">
        <f>IFERROR(VLOOKUP(B575, Content_Creation!B:H, 7, FALSE), IFERROR(VLOOKUP(B575, Project_Management!B:H, 7, FALSE), ""))</f>
        <v/>
      </c>
      <c r="I575" s="224">
        <v>0.0</v>
      </c>
      <c r="J575" s="223" t="str">
        <f>IFERROR(VLOOKUP(C575, Content_Creation!B:H, 7, FALSE), IFERROR(VLOOKUP(C575, Project_Management!B:H, 7, FALSE), ""))</f>
        <v/>
      </c>
      <c r="K575" s="217"/>
      <c r="L575" s="225" t="str">
        <f>IFERROR(VLOOKUP(B575, Data_Validation!X:Y, 2, FALSE), "")</f>
        <v/>
      </c>
      <c r="M575" s="226" t="str">
        <f t="shared" si="1"/>
        <v> |  -  | </v>
      </c>
      <c r="N575" s="226"/>
      <c r="O575" s="226"/>
    </row>
    <row r="576" ht="24.0" customHeight="1">
      <c r="A576" s="216" t="str">
        <f>IFERROR(__xludf.DUMMYFUNCTION("ARRAYFORMULA(IFERROR(VLOOKUP(REGEXEXTRACT(B576, ""-(\w+)-""), {Data_Validation!$F$16:$F$29, Data_Validation!$E$16:$E$29}, 2, FALSE), """"))
"),"")</f>
        <v/>
      </c>
      <c r="B576" s="217"/>
      <c r="C576" s="218" t="str">
        <f>IFERROR(__xludf.DUMMYFUNCTION("IFERROR(REGEXEXTRACT(B576, ""^[A-Z]+-[A-Z]+-"") &amp; TEXT(VALUE(REGEXEXTRACT(B576, ""-(\d+)\."")), ""00""), """")"),"")</f>
        <v/>
      </c>
      <c r="D576" s="219" t="str">
        <f>IFERROR(VLOOKUP(C576, Content_Creation!B:D, 2, FALSE), IFERROR(VLOOKUP(C576, Project_Management!B:D, 2, FALSE), ""))
&amp; " - "
&amp; IFERROR(VLOOKUP(C576, Content_Creation!B:E, 4, FALSE), IFERROR(VLOOKUP(C576, Project_Management!B:E, 4, FALSE), ""))</f>
        <v> - </v>
      </c>
      <c r="E576" s="220" t="str">
        <f>IFERROR(
    VLOOKUP(B575:B1001, Content_Creation!B:D, 3, FALSE),
    IFERROR(VLOOKUP(B575:B1001, Project_Management!B:D, 3, FALSE),"")
  )</f>
        <v/>
      </c>
      <c r="F576" s="221" t="str">
        <f>IFERROR(VLOOKUP(B576, Content_Creation!B:F, 5, FALSE), IFERROR(VLOOKUP(B576, Project_Management!B:F, 5, FALSE), ""))</f>
        <v/>
      </c>
      <c r="G576" s="222"/>
      <c r="H576" s="223" t="str">
        <f>IFERROR(VLOOKUP(B576, Content_Creation!B:H, 7, FALSE), IFERROR(VLOOKUP(B576, Project_Management!B:H, 7, FALSE), ""))</f>
        <v/>
      </c>
      <c r="I576" s="224">
        <v>0.0</v>
      </c>
      <c r="J576" s="223" t="str">
        <f>IFERROR(VLOOKUP(C576, Content_Creation!B:H, 7, FALSE), IFERROR(VLOOKUP(C576, Project_Management!B:H, 7, FALSE), ""))</f>
        <v/>
      </c>
      <c r="K576" s="217"/>
      <c r="L576" s="225" t="str">
        <f>IFERROR(VLOOKUP(B576, Data_Validation!X:Y, 2, FALSE), "")</f>
        <v/>
      </c>
      <c r="M576" s="226" t="str">
        <f t="shared" si="1"/>
        <v> |  -  | </v>
      </c>
      <c r="N576" s="226"/>
      <c r="O576" s="226"/>
    </row>
    <row r="577" ht="24.0" customHeight="1">
      <c r="A577" s="216" t="str">
        <f>IFERROR(__xludf.DUMMYFUNCTION("ARRAYFORMULA(IFERROR(VLOOKUP(REGEXEXTRACT(B577, ""-(\w+)-""), {Data_Validation!$F$16:$F$29, Data_Validation!$E$16:$E$29}, 2, FALSE), """"))
"),"")</f>
        <v/>
      </c>
      <c r="B577" s="217"/>
      <c r="C577" s="218" t="str">
        <f>IFERROR(__xludf.DUMMYFUNCTION("IFERROR(REGEXEXTRACT(B577, ""^[A-Z]+-[A-Z]+-"") &amp; TEXT(VALUE(REGEXEXTRACT(B577, ""-(\d+)\."")), ""00""), """")"),"")</f>
        <v/>
      </c>
      <c r="D577" s="219" t="str">
        <f>IFERROR(VLOOKUP(C577, Content_Creation!B:D, 2, FALSE), IFERROR(VLOOKUP(C577, Project_Management!B:D, 2, FALSE), ""))
&amp; " - "
&amp; IFERROR(VLOOKUP(C577, Content_Creation!B:E, 4, FALSE), IFERROR(VLOOKUP(C577, Project_Management!B:E, 4, FALSE), ""))</f>
        <v> - </v>
      </c>
      <c r="E577" s="220" t="str">
        <f>IFERROR(
    VLOOKUP(B576:B1001, Content_Creation!B:D, 3, FALSE),
    IFERROR(VLOOKUP(B576:B1001, Project_Management!B:D, 3, FALSE),"")
  )</f>
        <v/>
      </c>
      <c r="F577" s="221" t="str">
        <f>IFERROR(VLOOKUP(B577, Content_Creation!B:F, 5, FALSE), IFERROR(VLOOKUP(B577, Project_Management!B:F, 5, FALSE), ""))</f>
        <v/>
      </c>
      <c r="G577" s="222"/>
      <c r="H577" s="223" t="str">
        <f>IFERROR(VLOOKUP(B577, Content_Creation!B:H, 7, FALSE), IFERROR(VLOOKUP(B577, Project_Management!B:H, 7, FALSE), ""))</f>
        <v/>
      </c>
      <c r="I577" s="224">
        <v>0.0</v>
      </c>
      <c r="J577" s="223" t="str">
        <f>IFERROR(VLOOKUP(C577, Content_Creation!B:H, 7, FALSE), IFERROR(VLOOKUP(C577, Project_Management!B:H, 7, FALSE), ""))</f>
        <v/>
      </c>
      <c r="K577" s="217"/>
      <c r="L577" s="225" t="str">
        <f>IFERROR(VLOOKUP(B577, Data_Validation!X:Y, 2, FALSE), "")</f>
        <v/>
      </c>
      <c r="M577" s="226" t="str">
        <f t="shared" si="1"/>
        <v> |  -  | </v>
      </c>
      <c r="N577" s="226"/>
      <c r="O577" s="226"/>
    </row>
    <row r="578" ht="24.0" customHeight="1">
      <c r="A578" s="216" t="str">
        <f>IFERROR(__xludf.DUMMYFUNCTION("ARRAYFORMULA(IFERROR(VLOOKUP(REGEXEXTRACT(B578, ""-(\w+)-""), {Data_Validation!$F$16:$F$29, Data_Validation!$E$16:$E$29}, 2, FALSE), """"))
"),"")</f>
        <v/>
      </c>
      <c r="B578" s="217"/>
      <c r="C578" s="218" t="str">
        <f>IFERROR(__xludf.DUMMYFUNCTION("IFERROR(REGEXEXTRACT(B578, ""^[A-Z]+-[A-Z]+-"") &amp; TEXT(VALUE(REGEXEXTRACT(B578, ""-(\d+)\."")), ""00""), """")"),"")</f>
        <v/>
      </c>
      <c r="D578" s="219" t="str">
        <f>IFERROR(VLOOKUP(C578, Content_Creation!B:D, 2, FALSE), IFERROR(VLOOKUP(C578, Project_Management!B:D, 2, FALSE), ""))
&amp; " - "
&amp; IFERROR(VLOOKUP(C578, Content_Creation!B:E, 4, FALSE), IFERROR(VLOOKUP(C578, Project_Management!B:E, 4, FALSE), ""))</f>
        <v> - </v>
      </c>
      <c r="E578" s="220" t="str">
        <f>IFERROR(
    VLOOKUP(B577:B1001, Content_Creation!B:D, 3, FALSE),
    IFERROR(VLOOKUP(B577:B1001, Project_Management!B:D, 3, FALSE),"")
  )</f>
        <v/>
      </c>
      <c r="F578" s="221" t="str">
        <f>IFERROR(VLOOKUP(B578, Content_Creation!B:F, 5, FALSE), IFERROR(VLOOKUP(B578, Project_Management!B:F, 5, FALSE), ""))</f>
        <v/>
      </c>
      <c r="G578" s="222"/>
      <c r="H578" s="223" t="str">
        <f>IFERROR(VLOOKUP(B578, Content_Creation!B:H, 7, FALSE), IFERROR(VLOOKUP(B578, Project_Management!B:H, 7, FALSE), ""))</f>
        <v/>
      </c>
      <c r="I578" s="224">
        <v>0.0</v>
      </c>
      <c r="J578" s="223" t="str">
        <f>IFERROR(VLOOKUP(C578, Content_Creation!B:H, 7, FALSE), IFERROR(VLOOKUP(C578, Project_Management!B:H, 7, FALSE), ""))</f>
        <v/>
      </c>
      <c r="K578" s="217"/>
      <c r="L578" s="225" t="str">
        <f>IFERROR(VLOOKUP(B578, Data_Validation!X:Y, 2, FALSE), "")</f>
        <v/>
      </c>
      <c r="M578" s="226" t="str">
        <f t="shared" si="1"/>
        <v> |  -  | </v>
      </c>
      <c r="N578" s="226"/>
      <c r="O578" s="226"/>
    </row>
    <row r="579" ht="24.0" customHeight="1">
      <c r="A579" s="216" t="str">
        <f>IFERROR(__xludf.DUMMYFUNCTION("ARRAYFORMULA(IFERROR(VLOOKUP(REGEXEXTRACT(B579, ""-(\w+)-""), {Data_Validation!$F$16:$F$29, Data_Validation!$E$16:$E$29}, 2, FALSE), """"))
"),"")</f>
        <v/>
      </c>
      <c r="B579" s="217"/>
      <c r="C579" s="218" t="str">
        <f>IFERROR(__xludf.DUMMYFUNCTION("IFERROR(REGEXEXTRACT(B579, ""^[A-Z]+-[A-Z]+-"") &amp; TEXT(VALUE(REGEXEXTRACT(B579, ""-(\d+)\."")), ""00""), """")"),"")</f>
        <v/>
      </c>
      <c r="D579" s="219" t="str">
        <f>IFERROR(VLOOKUP(C579, Content_Creation!B:D, 2, FALSE), IFERROR(VLOOKUP(C579, Project_Management!B:D, 2, FALSE), ""))
&amp; " - "
&amp; IFERROR(VLOOKUP(C579, Content_Creation!B:E, 4, FALSE), IFERROR(VLOOKUP(C579, Project_Management!B:E, 4, FALSE), ""))</f>
        <v> - </v>
      </c>
      <c r="E579" s="220" t="str">
        <f>IFERROR(
    VLOOKUP(B578:B1001, Content_Creation!B:D, 3, FALSE),
    IFERROR(VLOOKUP(B578:B1001, Project_Management!B:D, 3, FALSE),"")
  )</f>
        <v/>
      </c>
      <c r="F579" s="221" t="str">
        <f>IFERROR(VLOOKUP(B579, Content_Creation!B:F, 5, FALSE), IFERROR(VLOOKUP(B579, Project_Management!B:F, 5, FALSE), ""))</f>
        <v/>
      </c>
      <c r="G579" s="222"/>
      <c r="H579" s="223" t="str">
        <f>IFERROR(VLOOKUP(B579, Content_Creation!B:H, 7, FALSE), IFERROR(VLOOKUP(B579, Project_Management!B:H, 7, FALSE), ""))</f>
        <v/>
      </c>
      <c r="I579" s="224">
        <v>0.0</v>
      </c>
      <c r="J579" s="223" t="str">
        <f>IFERROR(VLOOKUP(C579, Content_Creation!B:H, 7, FALSE), IFERROR(VLOOKUP(C579, Project_Management!B:H, 7, FALSE), ""))</f>
        <v/>
      </c>
      <c r="K579" s="217"/>
      <c r="L579" s="225" t="str">
        <f>IFERROR(VLOOKUP(B579, Data_Validation!X:Y, 2, FALSE), "")</f>
        <v/>
      </c>
      <c r="M579" s="226" t="str">
        <f t="shared" si="1"/>
        <v> |  -  | </v>
      </c>
      <c r="N579" s="226"/>
      <c r="O579" s="226"/>
    </row>
    <row r="580" ht="24.0" customHeight="1">
      <c r="A580" s="216" t="str">
        <f>IFERROR(__xludf.DUMMYFUNCTION("ARRAYFORMULA(IFERROR(VLOOKUP(REGEXEXTRACT(B580, ""-(\w+)-""), {Data_Validation!$F$16:$F$29, Data_Validation!$E$16:$E$29}, 2, FALSE), """"))
"),"")</f>
        <v/>
      </c>
      <c r="B580" s="217"/>
      <c r="C580" s="218" t="str">
        <f>IFERROR(__xludf.DUMMYFUNCTION("IFERROR(REGEXEXTRACT(B580, ""^[A-Z]+-[A-Z]+-"") &amp; TEXT(VALUE(REGEXEXTRACT(B580, ""-(\d+)\."")), ""00""), """")"),"")</f>
        <v/>
      </c>
      <c r="D580" s="219" t="str">
        <f>IFERROR(VLOOKUP(C580, Content_Creation!B:D, 2, FALSE), IFERROR(VLOOKUP(C580, Project_Management!B:D, 2, FALSE), ""))
&amp; " - "
&amp; IFERROR(VLOOKUP(C580, Content_Creation!B:E, 4, FALSE), IFERROR(VLOOKUP(C580, Project_Management!B:E, 4, FALSE), ""))</f>
        <v> - </v>
      </c>
      <c r="E580" s="220" t="str">
        <f>IFERROR(
    VLOOKUP(B579:B1001, Content_Creation!B:D, 3, FALSE),
    IFERROR(VLOOKUP(B579:B1001, Project_Management!B:D, 3, FALSE),"")
  )</f>
        <v/>
      </c>
      <c r="F580" s="221" t="str">
        <f>IFERROR(VLOOKUP(B580, Content_Creation!B:F, 5, FALSE), IFERROR(VLOOKUP(B580, Project_Management!B:F, 5, FALSE), ""))</f>
        <v/>
      </c>
      <c r="G580" s="222"/>
      <c r="H580" s="223" t="str">
        <f>IFERROR(VLOOKUP(B580, Content_Creation!B:H, 7, FALSE), IFERROR(VLOOKUP(B580, Project_Management!B:H, 7, FALSE), ""))</f>
        <v/>
      </c>
      <c r="I580" s="224">
        <v>0.0</v>
      </c>
      <c r="J580" s="223" t="str">
        <f>IFERROR(VLOOKUP(C580, Content_Creation!B:H, 7, FALSE), IFERROR(VLOOKUP(C580, Project_Management!B:H, 7, FALSE), ""))</f>
        <v/>
      </c>
      <c r="K580" s="217"/>
      <c r="L580" s="225" t="str">
        <f>IFERROR(VLOOKUP(B580, Data_Validation!X:Y, 2, FALSE), "")</f>
        <v/>
      </c>
      <c r="M580" s="226" t="str">
        <f t="shared" si="1"/>
        <v> |  -  | </v>
      </c>
      <c r="N580" s="226"/>
      <c r="O580" s="226"/>
    </row>
    <row r="581" ht="24.0" customHeight="1">
      <c r="A581" s="216" t="str">
        <f>IFERROR(__xludf.DUMMYFUNCTION("ARRAYFORMULA(IFERROR(VLOOKUP(REGEXEXTRACT(B581, ""-(\w+)-""), {Data_Validation!$F$16:$F$29, Data_Validation!$E$16:$E$29}, 2, FALSE), """"))
"),"")</f>
        <v/>
      </c>
      <c r="B581" s="217"/>
      <c r="C581" s="218" t="str">
        <f>IFERROR(__xludf.DUMMYFUNCTION("IFERROR(REGEXEXTRACT(B581, ""^[A-Z]+-[A-Z]+-"") &amp; TEXT(VALUE(REGEXEXTRACT(B581, ""-(\d+)\."")), ""00""), """")"),"")</f>
        <v/>
      </c>
      <c r="D581" s="219" t="str">
        <f>IFERROR(VLOOKUP(C581, Content_Creation!B:D, 2, FALSE), IFERROR(VLOOKUP(C581, Project_Management!B:D, 2, FALSE), ""))
&amp; " - "
&amp; IFERROR(VLOOKUP(C581, Content_Creation!B:E, 4, FALSE), IFERROR(VLOOKUP(C581, Project_Management!B:E, 4, FALSE), ""))</f>
        <v> - </v>
      </c>
      <c r="E581" s="220" t="str">
        <f>IFERROR(
    VLOOKUP(B580:B1001, Content_Creation!B:D, 3, FALSE),
    IFERROR(VLOOKUP(B580:B1001, Project_Management!B:D, 3, FALSE),"")
  )</f>
        <v/>
      </c>
      <c r="F581" s="221" t="str">
        <f>IFERROR(VLOOKUP(B581, Content_Creation!B:F, 5, FALSE), IFERROR(VLOOKUP(B581, Project_Management!B:F, 5, FALSE), ""))</f>
        <v/>
      </c>
      <c r="G581" s="222"/>
      <c r="H581" s="223" t="str">
        <f>IFERROR(VLOOKUP(B581, Content_Creation!B:H, 7, FALSE), IFERROR(VLOOKUP(B581, Project_Management!B:H, 7, FALSE), ""))</f>
        <v/>
      </c>
      <c r="I581" s="224">
        <v>0.0</v>
      </c>
      <c r="J581" s="223" t="str">
        <f>IFERROR(VLOOKUP(C581, Content_Creation!B:H, 7, FALSE), IFERROR(VLOOKUP(C581, Project_Management!B:H, 7, FALSE), ""))</f>
        <v/>
      </c>
      <c r="K581" s="217"/>
      <c r="L581" s="225" t="str">
        <f>IFERROR(VLOOKUP(B581, Data_Validation!X:Y, 2, FALSE), "")</f>
        <v/>
      </c>
      <c r="M581" s="226" t="str">
        <f t="shared" si="1"/>
        <v> |  -  | </v>
      </c>
      <c r="N581" s="226"/>
      <c r="O581" s="226"/>
    </row>
    <row r="582" ht="24.0" customHeight="1">
      <c r="A582" s="216" t="str">
        <f>IFERROR(__xludf.DUMMYFUNCTION("ARRAYFORMULA(IFERROR(VLOOKUP(REGEXEXTRACT(B582, ""-(\w+)-""), {Data_Validation!$F$16:$F$29, Data_Validation!$E$16:$E$29}, 2, FALSE), """"))
"),"")</f>
        <v/>
      </c>
      <c r="B582" s="217"/>
      <c r="C582" s="218" t="str">
        <f>IFERROR(__xludf.DUMMYFUNCTION("IFERROR(REGEXEXTRACT(B582, ""^[A-Z]+-[A-Z]+-"") &amp; TEXT(VALUE(REGEXEXTRACT(B582, ""-(\d+)\."")), ""00""), """")"),"")</f>
        <v/>
      </c>
      <c r="D582" s="219" t="str">
        <f>IFERROR(VLOOKUP(C582, Content_Creation!B:D, 2, FALSE), IFERROR(VLOOKUP(C582, Project_Management!B:D, 2, FALSE), ""))
&amp; " - "
&amp; IFERROR(VLOOKUP(C582, Content_Creation!B:E, 4, FALSE), IFERROR(VLOOKUP(C582, Project_Management!B:E, 4, FALSE), ""))</f>
        <v> - </v>
      </c>
      <c r="E582" s="220" t="str">
        <f>IFERROR(
    VLOOKUP(B581:B1001, Content_Creation!B:D, 3, FALSE),
    IFERROR(VLOOKUP(B581:B1001, Project_Management!B:D, 3, FALSE),"")
  )</f>
        <v/>
      </c>
      <c r="F582" s="221" t="str">
        <f>IFERROR(VLOOKUP(B582, Content_Creation!B:F, 5, FALSE), IFERROR(VLOOKUP(B582, Project_Management!B:F, 5, FALSE), ""))</f>
        <v/>
      </c>
      <c r="G582" s="222"/>
      <c r="H582" s="223" t="str">
        <f>IFERROR(VLOOKUP(B582, Content_Creation!B:H, 7, FALSE), IFERROR(VLOOKUP(B582, Project_Management!B:H, 7, FALSE), ""))</f>
        <v/>
      </c>
      <c r="I582" s="224">
        <v>0.0</v>
      </c>
      <c r="J582" s="223" t="str">
        <f>IFERROR(VLOOKUP(C582, Content_Creation!B:H, 7, FALSE), IFERROR(VLOOKUP(C582, Project_Management!B:H, 7, FALSE), ""))</f>
        <v/>
      </c>
      <c r="K582" s="217"/>
      <c r="L582" s="225" t="str">
        <f>IFERROR(VLOOKUP(B582, Data_Validation!X:Y, 2, FALSE), "")</f>
        <v/>
      </c>
      <c r="M582" s="226" t="str">
        <f t="shared" si="1"/>
        <v> |  -  | </v>
      </c>
      <c r="N582" s="226"/>
      <c r="O582" s="226"/>
    </row>
    <row r="583" ht="24.0" customHeight="1">
      <c r="A583" s="216" t="str">
        <f>IFERROR(__xludf.DUMMYFUNCTION("ARRAYFORMULA(IFERROR(VLOOKUP(REGEXEXTRACT(B583, ""-(\w+)-""), {Data_Validation!$F$16:$F$29, Data_Validation!$E$16:$E$29}, 2, FALSE), """"))
"),"")</f>
        <v/>
      </c>
      <c r="B583" s="217"/>
      <c r="C583" s="218" t="str">
        <f>IFERROR(__xludf.DUMMYFUNCTION("IFERROR(REGEXEXTRACT(B583, ""^[A-Z]+-[A-Z]+-"") &amp; TEXT(VALUE(REGEXEXTRACT(B583, ""-(\d+)\."")), ""00""), """")"),"")</f>
        <v/>
      </c>
      <c r="D583" s="219" t="str">
        <f>IFERROR(VLOOKUP(C583, Content_Creation!B:D, 2, FALSE), IFERROR(VLOOKUP(C583, Project_Management!B:D, 2, FALSE), ""))
&amp; " - "
&amp; IFERROR(VLOOKUP(C583, Content_Creation!B:E, 4, FALSE), IFERROR(VLOOKUP(C583, Project_Management!B:E, 4, FALSE), ""))</f>
        <v> - </v>
      </c>
      <c r="E583" s="220" t="str">
        <f>IFERROR(
    VLOOKUP(B582:B1001, Content_Creation!B:D, 3, FALSE),
    IFERROR(VLOOKUP(B582:B1001, Project_Management!B:D, 3, FALSE),"")
  )</f>
        <v/>
      </c>
      <c r="F583" s="221" t="str">
        <f>IFERROR(VLOOKUP(B583, Content_Creation!B:F, 5, FALSE), IFERROR(VLOOKUP(B583, Project_Management!B:F, 5, FALSE), ""))</f>
        <v/>
      </c>
      <c r="G583" s="222"/>
      <c r="H583" s="223" t="str">
        <f>IFERROR(VLOOKUP(B583, Content_Creation!B:H, 7, FALSE), IFERROR(VLOOKUP(B583, Project_Management!B:H, 7, FALSE), ""))</f>
        <v/>
      </c>
      <c r="I583" s="224">
        <v>0.0</v>
      </c>
      <c r="J583" s="223" t="str">
        <f>IFERROR(VLOOKUP(C583, Content_Creation!B:H, 7, FALSE), IFERROR(VLOOKUP(C583, Project_Management!B:H, 7, FALSE), ""))</f>
        <v/>
      </c>
      <c r="K583" s="217"/>
      <c r="L583" s="225" t="str">
        <f>IFERROR(VLOOKUP(B583, Data_Validation!X:Y, 2, FALSE), "")</f>
        <v/>
      </c>
      <c r="M583" s="226" t="str">
        <f t="shared" si="1"/>
        <v> |  -  | </v>
      </c>
      <c r="N583" s="226"/>
      <c r="O583" s="226"/>
    </row>
    <row r="584" ht="24.0" customHeight="1">
      <c r="A584" s="216" t="str">
        <f>IFERROR(__xludf.DUMMYFUNCTION("ARRAYFORMULA(IFERROR(VLOOKUP(REGEXEXTRACT(B584, ""-(\w+)-""), {Data_Validation!$F$16:$F$29, Data_Validation!$E$16:$E$29}, 2, FALSE), """"))
"),"")</f>
        <v/>
      </c>
      <c r="B584" s="217"/>
      <c r="C584" s="218" t="str">
        <f>IFERROR(__xludf.DUMMYFUNCTION("IFERROR(REGEXEXTRACT(B584, ""^[A-Z]+-[A-Z]+-"") &amp; TEXT(VALUE(REGEXEXTRACT(B584, ""-(\d+)\."")), ""00""), """")"),"")</f>
        <v/>
      </c>
      <c r="D584" s="219" t="str">
        <f>IFERROR(VLOOKUP(C584, Content_Creation!B:D, 2, FALSE), IFERROR(VLOOKUP(C584, Project_Management!B:D, 2, FALSE), ""))
&amp; " - "
&amp; IFERROR(VLOOKUP(C584, Content_Creation!B:E, 4, FALSE), IFERROR(VLOOKUP(C584, Project_Management!B:E, 4, FALSE), ""))</f>
        <v> - </v>
      </c>
      <c r="E584" s="220" t="str">
        <f>IFERROR(
    VLOOKUP(B583:B1001, Content_Creation!B:D, 3, FALSE),
    IFERROR(VLOOKUP(B583:B1001, Project_Management!B:D, 3, FALSE),"")
  )</f>
        <v/>
      </c>
      <c r="F584" s="221" t="str">
        <f>IFERROR(VLOOKUP(B584, Content_Creation!B:F, 5, FALSE), IFERROR(VLOOKUP(B584, Project_Management!B:F, 5, FALSE), ""))</f>
        <v/>
      </c>
      <c r="G584" s="222"/>
      <c r="H584" s="223" t="str">
        <f>IFERROR(VLOOKUP(B584, Content_Creation!B:H, 7, FALSE), IFERROR(VLOOKUP(B584, Project_Management!B:H, 7, FALSE), ""))</f>
        <v/>
      </c>
      <c r="I584" s="224">
        <v>0.0</v>
      </c>
      <c r="J584" s="223" t="str">
        <f>IFERROR(VLOOKUP(C584, Content_Creation!B:H, 7, FALSE), IFERROR(VLOOKUP(C584, Project_Management!B:H, 7, FALSE), ""))</f>
        <v/>
      </c>
      <c r="K584" s="217"/>
      <c r="L584" s="225" t="str">
        <f>IFERROR(VLOOKUP(B584, Data_Validation!X:Y, 2, FALSE), "")</f>
        <v/>
      </c>
      <c r="M584" s="226" t="str">
        <f t="shared" si="1"/>
        <v> |  -  | </v>
      </c>
      <c r="N584" s="226"/>
      <c r="O584" s="226"/>
    </row>
    <row r="585" ht="24.0" customHeight="1">
      <c r="A585" s="216" t="str">
        <f>IFERROR(__xludf.DUMMYFUNCTION("ARRAYFORMULA(IFERROR(VLOOKUP(REGEXEXTRACT(B585, ""-(\w+)-""), {Data_Validation!$F$16:$F$29, Data_Validation!$E$16:$E$29}, 2, FALSE), """"))
"),"")</f>
        <v/>
      </c>
      <c r="B585" s="217"/>
      <c r="C585" s="218" t="str">
        <f>IFERROR(__xludf.DUMMYFUNCTION("IFERROR(REGEXEXTRACT(B585, ""^[A-Z]+-[A-Z]+-"") &amp; TEXT(VALUE(REGEXEXTRACT(B585, ""-(\d+)\."")), ""00""), """")"),"")</f>
        <v/>
      </c>
      <c r="D585" s="219" t="str">
        <f>IFERROR(VLOOKUP(C585, Content_Creation!B:D, 2, FALSE), IFERROR(VLOOKUP(C585, Project_Management!B:D, 2, FALSE), ""))
&amp; " - "
&amp; IFERROR(VLOOKUP(C585, Content_Creation!B:E, 4, FALSE), IFERROR(VLOOKUP(C585, Project_Management!B:E, 4, FALSE), ""))</f>
        <v> - </v>
      </c>
      <c r="E585" s="220" t="str">
        <f>IFERROR(
    VLOOKUP(B584:B1001, Content_Creation!B:D, 3, FALSE),
    IFERROR(VLOOKUP(B584:B1001, Project_Management!B:D, 3, FALSE),"")
  )</f>
        <v/>
      </c>
      <c r="F585" s="221" t="str">
        <f>IFERROR(VLOOKUP(B585, Content_Creation!B:F, 5, FALSE), IFERROR(VLOOKUP(B585, Project_Management!B:F, 5, FALSE), ""))</f>
        <v/>
      </c>
      <c r="G585" s="222"/>
      <c r="H585" s="223" t="str">
        <f>IFERROR(VLOOKUP(B585, Content_Creation!B:H, 7, FALSE), IFERROR(VLOOKUP(B585, Project_Management!B:H, 7, FALSE), ""))</f>
        <v/>
      </c>
      <c r="I585" s="224">
        <v>0.0</v>
      </c>
      <c r="J585" s="223" t="str">
        <f>IFERROR(VLOOKUP(C585, Content_Creation!B:H, 7, FALSE), IFERROR(VLOOKUP(C585, Project_Management!B:H, 7, FALSE), ""))</f>
        <v/>
      </c>
      <c r="K585" s="217"/>
      <c r="L585" s="225" t="str">
        <f>IFERROR(VLOOKUP(B585, Data_Validation!X:Y, 2, FALSE), "")</f>
        <v/>
      </c>
      <c r="M585" s="226" t="str">
        <f t="shared" si="1"/>
        <v> |  -  | </v>
      </c>
      <c r="N585" s="226"/>
      <c r="O585" s="226"/>
    </row>
    <row r="586" ht="24.0" customHeight="1">
      <c r="A586" s="216" t="str">
        <f>IFERROR(__xludf.DUMMYFUNCTION("ARRAYFORMULA(IFERROR(VLOOKUP(REGEXEXTRACT(B586, ""-(\w+)-""), {Data_Validation!$F$16:$F$29, Data_Validation!$E$16:$E$29}, 2, FALSE), """"))
"),"")</f>
        <v/>
      </c>
      <c r="B586" s="217"/>
      <c r="C586" s="218" t="str">
        <f>IFERROR(__xludf.DUMMYFUNCTION("IFERROR(REGEXEXTRACT(B586, ""^[A-Z]+-[A-Z]+-"") &amp; TEXT(VALUE(REGEXEXTRACT(B586, ""-(\d+)\."")), ""00""), """")"),"")</f>
        <v/>
      </c>
      <c r="D586" s="219" t="str">
        <f>IFERROR(VLOOKUP(C586, Content_Creation!B:D, 2, FALSE), IFERROR(VLOOKUP(C586, Project_Management!B:D, 2, FALSE), ""))
&amp; " - "
&amp; IFERROR(VLOOKUP(C586, Content_Creation!B:E, 4, FALSE), IFERROR(VLOOKUP(C586, Project_Management!B:E, 4, FALSE), ""))</f>
        <v> - </v>
      </c>
      <c r="E586" s="220" t="str">
        <f>IFERROR(
    VLOOKUP(B585:B1001, Content_Creation!B:D, 3, FALSE),
    IFERROR(VLOOKUP(B585:B1001, Project_Management!B:D, 3, FALSE),"")
  )</f>
        <v/>
      </c>
      <c r="F586" s="221" t="str">
        <f>IFERROR(VLOOKUP(B586, Content_Creation!B:F, 5, FALSE), IFERROR(VLOOKUP(B586, Project_Management!B:F, 5, FALSE), ""))</f>
        <v/>
      </c>
      <c r="G586" s="222"/>
      <c r="H586" s="223" t="str">
        <f>IFERROR(VLOOKUP(B586, Content_Creation!B:H, 7, FALSE), IFERROR(VLOOKUP(B586, Project_Management!B:H, 7, FALSE), ""))</f>
        <v/>
      </c>
      <c r="I586" s="224">
        <v>0.0</v>
      </c>
      <c r="J586" s="223" t="str">
        <f>IFERROR(VLOOKUP(C586, Content_Creation!B:H, 7, FALSE), IFERROR(VLOOKUP(C586, Project_Management!B:H, 7, FALSE), ""))</f>
        <v/>
      </c>
      <c r="K586" s="217"/>
      <c r="L586" s="225" t="str">
        <f>IFERROR(VLOOKUP(B586, Data_Validation!X:Y, 2, FALSE), "")</f>
        <v/>
      </c>
      <c r="M586" s="226" t="str">
        <f t="shared" si="1"/>
        <v> |  -  | </v>
      </c>
      <c r="N586" s="226"/>
      <c r="O586" s="226"/>
    </row>
    <row r="587" ht="24.0" customHeight="1">
      <c r="A587" s="216" t="str">
        <f>IFERROR(__xludf.DUMMYFUNCTION("ARRAYFORMULA(IFERROR(VLOOKUP(REGEXEXTRACT(B587, ""-(\w+)-""), {Data_Validation!$F$16:$F$29, Data_Validation!$E$16:$E$29}, 2, FALSE), """"))
"),"")</f>
        <v/>
      </c>
      <c r="B587" s="217"/>
      <c r="C587" s="218" t="str">
        <f>IFERROR(__xludf.DUMMYFUNCTION("IFERROR(REGEXEXTRACT(B587, ""^[A-Z]+-[A-Z]+-"") &amp; TEXT(VALUE(REGEXEXTRACT(B587, ""-(\d+)\."")), ""00""), """")"),"")</f>
        <v/>
      </c>
      <c r="D587" s="219" t="str">
        <f>IFERROR(VLOOKUP(C587, Content_Creation!B:D, 2, FALSE), IFERROR(VLOOKUP(C587, Project_Management!B:D, 2, FALSE), ""))
&amp; " - "
&amp; IFERROR(VLOOKUP(C587, Content_Creation!B:E, 4, FALSE), IFERROR(VLOOKUP(C587, Project_Management!B:E, 4, FALSE), ""))</f>
        <v> - </v>
      </c>
      <c r="E587" s="220" t="str">
        <f>IFERROR(
    VLOOKUP(B586:B1001, Content_Creation!B:D, 3, FALSE),
    IFERROR(VLOOKUP(B586:B1001, Project_Management!B:D, 3, FALSE),"")
  )</f>
        <v/>
      </c>
      <c r="F587" s="221" t="str">
        <f>IFERROR(VLOOKUP(B587, Content_Creation!B:F, 5, FALSE), IFERROR(VLOOKUP(B587, Project_Management!B:F, 5, FALSE), ""))</f>
        <v/>
      </c>
      <c r="G587" s="222"/>
      <c r="H587" s="223" t="str">
        <f>IFERROR(VLOOKUP(B587, Content_Creation!B:H, 7, FALSE), IFERROR(VLOOKUP(B587, Project_Management!B:H, 7, FALSE), ""))</f>
        <v/>
      </c>
      <c r="I587" s="224">
        <v>0.0</v>
      </c>
      <c r="J587" s="223" t="str">
        <f>IFERROR(VLOOKUP(C587, Content_Creation!B:H, 7, FALSE), IFERROR(VLOOKUP(C587, Project_Management!B:H, 7, FALSE), ""))</f>
        <v/>
      </c>
      <c r="K587" s="217"/>
      <c r="L587" s="225" t="str">
        <f>IFERROR(VLOOKUP(B587, Data_Validation!X:Y, 2, FALSE), "")</f>
        <v/>
      </c>
      <c r="M587" s="226" t="str">
        <f t="shared" si="1"/>
        <v> |  -  | </v>
      </c>
      <c r="N587" s="226"/>
      <c r="O587" s="226"/>
    </row>
    <row r="588" ht="24.0" customHeight="1">
      <c r="A588" s="216" t="str">
        <f>IFERROR(__xludf.DUMMYFUNCTION("ARRAYFORMULA(IFERROR(VLOOKUP(REGEXEXTRACT(B588, ""-(\w+)-""), {Data_Validation!$F$16:$F$29, Data_Validation!$E$16:$E$29}, 2, FALSE), """"))
"),"")</f>
        <v/>
      </c>
      <c r="B588" s="217"/>
      <c r="C588" s="218" t="str">
        <f>IFERROR(__xludf.DUMMYFUNCTION("IFERROR(REGEXEXTRACT(B588, ""^[A-Z]+-[A-Z]+-"") &amp; TEXT(VALUE(REGEXEXTRACT(B588, ""-(\d+)\."")), ""00""), """")"),"")</f>
        <v/>
      </c>
      <c r="D588" s="219" t="str">
        <f>IFERROR(VLOOKUP(C588, Content_Creation!B:D, 2, FALSE), IFERROR(VLOOKUP(C588, Project_Management!B:D, 2, FALSE), ""))
&amp; " - "
&amp; IFERROR(VLOOKUP(C588, Content_Creation!B:E, 4, FALSE), IFERROR(VLOOKUP(C588, Project_Management!B:E, 4, FALSE), ""))</f>
        <v> - </v>
      </c>
      <c r="E588" s="220" t="str">
        <f>IFERROR(
    VLOOKUP(B587:B1001, Content_Creation!B:D, 3, FALSE),
    IFERROR(VLOOKUP(B587:B1001, Project_Management!B:D, 3, FALSE),"")
  )</f>
        <v/>
      </c>
      <c r="F588" s="221" t="str">
        <f>IFERROR(VLOOKUP(B588, Content_Creation!B:F, 5, FALSE), IFERROR(VLOOKUP(B588, Project_Management!B:F, 5, FALSE), ""))</f>
        <v/>
      </c>
      <c r="G588" s="222"/>
      <c r="H588" s="223" t="str">
        <f>IFERROR(VLOOKUP(B588, Content_Creation!B:H, 7, FALSE), IFERROR(VLOOKUP(B588, Project_Management!B:H, 7, FALSE), ""))</f>
        <v/>
      </c>
      <c r="I588" s="224">
        <v>0.0</v>
      </c>
      <c r="J588" s="223" t="str">
        <f>IFERROR(VLOOKUP(C588, Content_Creation!B:H, 7, FALSE), IFERROR(VLOOKUP(C588, Project_Management!B:H, 7, FALSE), ""))</f>
        <v/>
      </c>
      <c r="K588" s="217"/>
      <c r="L588" s="225" t="str">
        <f>IFERROR(VLOOKUP(B588, Data_Validation!X:Y, 2, FALSE), "")</f>
        <v/>
      </c>
      <c r="M588" s="226" t="str">
        <f t="shared" si="1"/>
        <v> |  -  | </v>
      </c>
      <c r="N588" s="226"/>
      <c r="O588" s="226"/>
    </row>
    <row r="589" ht="24.0" customHeight="1">
      <c r="A589" s="216" t="str">
        <f>IFERROR(__xludf.DUMMYFUNCTION("ARRAYFORMULA(IFERROR(VLOOKUP(REGEXEXTRACT(B589, ""-(\w+)-""), {Data_Validation!$F$16:$F$29, Data_Validation!$E$16:$E$29}, 2, FALSE), """"))
"),"")</f>
        <v/>
      </c>
      <c r="B589" s="217"/>
      <c r="C589" s="218" t="str">
        <f>IFERROR(__xludf.DUMMYFUNCTION("IFERROR(REGEXEXTRACT(B589, ""^[A-Z]+-[A-Z]+-"") &amp; TEXT(VALUE(REGEXEXTRACT(B589, ""-(\d+)\."")), ""00""), """")"),"")</f>
        <v/>
      </c>
      <c r="D589" s="219" t="str">
        <f>IFERROR(VLOOKUP(C589, Content_Creation!B:D, 2, FALSE), IFERROR(VLOOKUP(C589, Project_Management!B:D, 2, FALSE), ""))
&amp; " - "
&amp; IFERROR(VLOOKUP(C589, Content_Creation!B:E, 4, FALSE), IFERROR(VLOOKUP(C589, Project_Management!B:E, 4, FALSE), ""))</f>
        <v> - </v>
      </c>
      <c r="E589" s="220" t="str">
        <f>IFERROR(
    VLOOKUP(B588:B1001, Content_Creation!B:D, 3, FALSE),
    IFERROR(VLOOKUP(B588:B1001, Project_Management!B:D, 3, FALSE),"")
  )</f>
        <v/>
      </c>
      <c r="F589" s="221" t="str">
        <f>IFERROR(VLOOKUP(B589, Content_Creation!B:F, 5, FALSE), IFERROR(VLOOKUP(B589, Project_Management!B:F, 5, FALSE), ""))</f>
        <v/>
      </c>
      <c r="G589" s="222"/>
      <c r="H589" s="223" t="str">
        <f>IFERROR(VLOOKUP(B589, Content_Creation!B:H, 7, FALSE), IFERROR(VLOOKUP(B589, Project_Management!B:H, 7, FALSE), ""))</f>
        <v/>
      </c>
      <c r="I589" s="224">
        <v>0.0</v>
      </c>
      <c r="J589" s="223" t="str">
        <f>IFERROR(VLOOKUP(C589, Content_Creation!B:H, 7, FALSE), IFERROR(VLOOKUP(C589, Project_Management!B:H, 7, FALSE), ""))</f>
        <v/>
      </c>
      <c r="K589" s="217"/>
      <c r="L589" s="225" t="str">
        <f>IFERROR(VLOOKUP(B589, Data_Validation!X:Y, 2, FALSE), "")</f>
        <v/>
      </c>
      <c r="M589" s="226" t="str">
        <f t="shared" si="1"/>
        <v> |  -  | </v>
      </c>
      <c r="N589" s="226"/>
      <c r="O589" s="226"/>
    </row>
    <row r="590" ht="24.0" customHeight="1">
      <c r="A590" s="216" t="str">
        <f>IFERROR(__xludf.DUMMYFUNCTION("ARRAYFORMULA(IFERROR(VLOOKUP(REGEXEXTRACT(B590, ""-(\w+)-""), {Data_Validation!$F$16:$F$29, Data_Validation!$E$16:$E$29}, 2, FALSE), """"))
"),"")</f>
        <v/>
      </c>
      <c r="B590" s="217"/>
      <c r="C590" s="218" t="str">
        <f>IFERROR(__xludf.DUMMYFUNCTION("IFERROR(REGEXEXTRACT(B590, ""^[A-Z]+-[A-Z]+-"") &amp; TEXT(VALUE(REGEXEXTRACT(B590, ""-(\d+)\."")), ""00""), """")"),"")</f>
        <v/>
      </c>
      <c r="D590" s="219" t="str">
        <f>IFERROR(VLOOKUP(C590, Content_Creation!B:D, 2, FALSE), IFERROR(VLOOKUP(C590, Project_Management!B:D, 2, FALSE), ""))
&amp; " - "
&amp; IFERROR(VLOOKUP(C590, Content_Creation!B:E, 4, FALSE), IFERROR(VLOOKUP(C590, Project_Management!B:E, 4, FALSE), ""))</f>
        <v> - </v>
      </c>
      <c r="E590" s="220" t="str">
        <f>IFERROR(
    VLOOKUP(B589:B1001, Content_Creation!B:D, 3, FALSE),
    IFERROR(VLOOKUP(B589:B1001, Project_Management!B:D, 3, FALSE),"")
  )</f>
        <v/>
      </c>
      <c r="F590" s="221" t="str">
        <f>IFERROR(VLOOKUP(B590, Content_Creation!B:F, 5, FALSE), IFERROR(VLOOKUP(B590, Project_Management!B:F, 5, FALSE), ""))</f>
        <v/>
      </c>
      <c r="G590" s="222"/>
      <c r="H590" s="223" t="str">
        <f>IFERROR(VLOOKUP(B590, Content_Creation!B:H, 7, FALSE), IFERROR(VLOOKUP(B590, Project_Management!B:H, 7, FALSE), ""))</f>
        <v/>
      </c>
      <c r="I590" s="224">
        <v>0.0</v>
      </c>
      <c r="J590" s="223" t="str">
        <f>IFERROR(VLOOKUP(C590, Content_Creation!B:H, 7, FALSE), IFERROR(VLOOKUP(C590, Project_Management!B:H, 7, FALSE), ""))</f>
        <v/>
      </c>
      <c r="K590" s="217"/>
      <c r="L590" s="225" t="str">
        <f>IFERROR(VLOOKUP(B590, Data_Validation!X:Y, 2, FALSE), "")</f>
        <v/>
      </c>
      <c r="M590" s="226" t="str">
        <f t="shared" si="1"/>
        <v> |  -  | </v>
      </c>
      <c r="N590" s="226"/>
      <c r="O590" s="226"/>
    </row>
    <row r="591" ht="24.0" customHeight="1">
      <c r="A591" s="216" t="str">
        <f>IFERROR(__xludf.DUMMYFUNCTION("ARRAYFORMULA(IFERROR(VLOOKUP(REGEXEXTRACT(B591, ""-(\w+)-""), {Data_Validation!$F$16:$F$29, Data_Validation!$E$16:$E$29}, 2, FALSE), """"))
"),"")</f>
        <v/>
      </c>
      <c r="B591" s="217"/>
      <c r="C591" s="218" t="str">
        <f>IFERROR(__xludf.DUMMYFUNCTION("IFERROR(REGEXEXTRACT(B591, ""^[A-Z]+-[A-Z]+-"") &amp; TEXT(VALUE(REGEXEXTRACT(B591, ""-(\d+)\."")), ""00""), """")"),"")</f>
        <v/>
      </c>
      <c r="D591" s="219" t="str">
        <f>IFERROR(VLOOKUP(C591, Content_Creation!B:D, 2, FALSE), IFERROR(VLOOKUP(C591, Project_Management!B:D, 2, FALSE), ""))
&amp; " - "
&amp; IFERROR(VLOOKUP(C591, Content_Creation!B:E, 4, FALSE), IFERROR(VLOOKUP(C591, Project_Management!B:E, 4, FALSE), ""))</f>
        <v> - </v>
      </c>
      <c r="E591" s="220" t="str">
        <f>IFERROR(
    VLOOKUP(B590:B1001, Content_Creation!B:D, 3, FALSE),
    IFERROR(VLOOKUP(B590:B1001, Project_Management!B:D, 3, FALSE),"")
  )</f>
        <v/>
      </c>
      <c r="F591" s="221" t="str">
        <f>IFERROR(VLOOKUP(B591, Content_Creation!B:F, 5, FALSE), IFERROR(VLOOKUP(B591, Project_Management!B:F, 5, FALSE), ""))</f>
        <v/>
      </c>
      <c r="G591" s="222" t="s">
        <v>1317</v>
      </c>
      <c r="H591" s="223" t="str">
        <f>IFERROR(VLOOKUP(B591, Content_Creation!B:H, 7, FALSE), IFERROR(VLOOKUP(B591, Project_Management!B:H, 7, FALSE), ""))</f>
        <v/>
      </c>
      <c r="I591" s="224">
        <v>0.0</v>
      </c>
      <c r="J591" s="223" t="str">
        <f>IFERROR(VLOOKUP(C591, Content_Creation!B:H, 7, FALSE), IFERROR(VLOOKUP(C591, Project_Management!B:H, 7, FALSE), ""))</f>
        <v/>
      </c>
      <c r="K591" s="217"/>
      <c r="L591" s="225" t="str">
        <f>IFERROR(VLOOKUP(B591, Data_Validation!X:Y, 2, FALSE), "")</f>
        <v/>
      </c>
      <c r="M591" s="226" t="str">
        <f t="shared" si="1"/>
        <v> |  -  | </v>
      </c>
      <c r="N591" s="226"/>
      <c r="O591" s="226"/>
    </row>
    <row r="592" ht="24.0" customHeight="1">
      <c r="A592" s="216" t="str">
        <f>IFERROR(__xludf.DUMMYFUNCTION("ARRAYFORMULA(IFERROR(VLOOKUP(REGEXEXTRACT(B592, ""-(\w+)-""), {Data_Validation!$F$16:$F$29, Data_Validation!$E$16:$E$29}, 2, FALSE), """"))
"),"")</f>
        <v/>
      </c>
      <c r="B592" s="217"/>
      <c r="C592" s="218" t="str">
        <f>IFERROR(__xludf.DUMMYFUNCTION("IFERROR(REGEXEXTRACT(B592, ""^[A-Z]+-[A-Z]+-"") &amp; TEXT(VALUE(REGEXEXTRACT(B592, ""-(\d+)\."")), ""00""), """")"),"")</f>
        <v/>
      </c>
      <c r="D592" s="219" t="str">
        <f>IFERROR(VLOOKUP(C592, Content_Creation!B:D, 2, FALSE), IFERROR(VLOOKUP(C592, Project_Management!B:D, 2, FALSE), ""))
&amp; " - "
&amp; IFERROR(VLOOKUP(C592, Content_Creation!B:E, 4, FALSE), IFERROR(VLOOKUP(C592, Project_Management!B:E, 4, FALSE), ""))</f>
        <v> - </v>
      </c>
      <c r="E592" s="220" t="str">
        <f>IFERROR(
    VLOOKUP(B591:B1001, Content_Creation!B:D, 3, FALSE),
    IFERROR(VLOOKUP(B591:B1001, Project_Management!B:D, 3, FALSE),"")
  )</f>
        <v/>
      </c>
      <c r="F592" s="221" t="str">
        <f>IFERROR(VLOOKUP(B592, Content_Creation!B:F, 5, FALSE), IFERROR(VLOOKUP(B592, Project_Management!B:F, 5, FALSE), ""))</f>
        <v/>
      </c>
      <c r="G592" s="222" t="s">
        <v>1317</v>
      </c>
      <c r="H592" s="223" t="str">
        <f>IFERROR(VLOOKUP(B592, Content_Creation!B:H, 7, FALSE), IFERROR(VLOOKUP(B592, Project_Management!B:H, 7, FALSE), ""))</f>
        <v/>
      </c>
      <c r="I592" s="224">
        <v>0.0</v>
      </c>
      <c r="J592" s="223" t="str">
        <f>IFERROR(VLOOKUP(C592, Content_Creation!B:H, 7, FALSE), IFERROR(VLOOKUP(C592, Project_Management!B:H, 7, FALSE), ""))</f>
        <v/>
      </c>
      <c r="K592" s="217"/>
      <c r="L592" s="225" t="str">
        <f>IFERROR(VLOOKUP(B592, Data_Validation!X:Y, 2, FALSE), "")</f>
        <v/>
      </c>
      <c r="M592" s="226" t="str">
        <f t="shared" si="1"/>
        <v> |  -  | </v>
      </c>
      <c r="N592" s="226"/>
      <c r="O592" s="226"/>
    </row>
    <row r="593" ht="24.0" customHeight="1">
      <c r="A593" s="216" t="str">
        <f>IFERROR(__xludf.DUMMYFUNCTION("ARRAYFORMULA(IFERROR(VLOOKUP(REGEXEXTRACT(B593, ""-(\w+)-""), {Data_Validation!$F$16:$F$29, Data_Validation!$E$16:$E$29}, 2, FALSE), """"))
"),"")</f>
        <v/>
      </c>
      <c r="B593" s="217"/>
      <c r="C593" s="218" t="str">
        <f>IFERROR(__xludf.DUMMYFUNCTION("IFERROR(REGEXEXTRACT(B593, ""^[A-Z]+-[A-Z]+-"") &amp; TEXT(VALUE(REGEXEXTRACT(B593, ""-(\d+)\."")), ""00""), """")"),"")</f>
        <v/>
      </c>
      <c r="D593" s="219" t="str">
        <f>IFERROR(VLOOKUP(C593, Content_Creation!B:D, 2, FALSE), IFERROR(VLOOKUP(C593, Project_Management!B:D, 2, FALSE), ""))
&amp; " - "
&amp; IFERROR(VLOOKUP(C593, Content_Creation!B:E, 4, FALSE), IFERROR(VLOOKUP(C593, Project_Management!B:E, 4, FALSE), ""))</f>
        <v> - </v>
      </c>
      <c r="E593" s="220" t="str">
        <f>IFERROR(
    VLOOKUP(B592:B1001, Content_Creation!B:D, 3, FALSE),
    IFERROR(VLOOKUP(B592:B1001, Project_Management!B:D, 3, FALSE),"")
  )</f>
        <v/>
      </c>
      <c r="F593" s="221" t="str">
        <f>IFERROR(VLOOKUP(B593, Content_Creation!B:F, 5, FALSE), IFERROR(VLOOKUP(B593, Project_Management!B:F, 5, FALSE), ""))</f>
        <v/>
      </c>
      <c r="G593" s="222" t="s">
        <v>1317</v>
      </c>
      <c r="H593" s="223" t="str">
        <f>IFERROR(VLOOKUP(B593, Content_Creation!B:H, 7, FALSE), IFERROR(VLOOKUP(B593, Project_Management!B:H, 7, FALSE), ""))</f>
        <v/>
      </c>
      <c r="I593" s="224">
        <v>0.0</v>
      </c>
      <c r="J593" s="223" t="str">
        <f>IFERROR(VLOOKUP(C593, Content_Creation!B:H, 7, FALSE), IFERROR(VLOOKUP(C593, Project_Management!B:H, 7, FALSE), ""))</f>
        <v/>
      </c>
      <c r="K593" s="217"/>
      <c r="L593" s="225" t="str">
        <f>IFERROR(VLOOKUP(B593, Data_Validation!X:Y, 2, FALSE), "")</f>
        <v/>
      </c>
      <c r="M593" s="226" t="str">
        <f t="shared" si="1"/>
        <v> |  -  | </v>
      </c>
      <c r="N593" s="226"/>
      <c r="O593" s="226"/>
    </row>
    <row r="594" ht="24.0" customHeight="1">
      <c r="A594" s="216" t="str">
        <f>IFERROR(__xludf.DUMMYFUNCTION("ARRAYFORMULA(IFERROR(VLOOKUP(REGEXEXTRACT(B594, ""-(\w+)-""), {Data_Validation!$F$16:$F$29, Data_Validation!$E$16:$E$29}, 2, FALSE), """"))
"),"")</f>
        <v/>
      </c>
      <c r="B594" s="217"/>
      <c r="C594" s="218" t="str">
        <f>IFERROR(__xludf.DUMMYFUNCTION("IFERROR(REGEXEXTRACT(B594, ""^[A-Z]+-[A-Z]+-"") &amp; TEXT(VALUE(REGEXEXTRACT(B594, ""-(\d+)\."")), ""00""), """")"),"")</f>
        <v/>
      </c>
      <c r="D594" s="219" t="str">
        <f>IFERROR(VLOOKUP(C594, Content_Creation!B:D, 2, FALSE), IFERROR(VLOOKUP(C594, Project_Management!B:D, 2, FALSE), ""))
&amp; " - "
&amp; IFERROR(VLOOKUP(C594, Content_Creation!B:E, 4, FALSE), IFERROR(VLOOKUP(C594, Project_Management!B:E, 4, FALSE), ""))</f>
        <v> - </v>
      </c>
      <c r="E594" s="220" t="str">
        <f>IFERROR(
    VLOOKUP(B593:B1001, Content_Creation!B:D, 3, FALSE),
    IFERROR(VLOOKUP(B593:B1001, Project_Management!B:D, 3, FALSE),"")
  )</f>
        <v/>
      </c>
      <c r="F594" s="221" t="str">
        <f>IFERROR(VLOOKUP(B594, Content_Creation!B:F, 5, FALSE), IFERROR(VLOOKUP(B594, Project_Management!B:F, 5, FALSE), ""))</f>
        <v/>
      </c>
      <c r="G594" s="222" t="s">
        <v>1317</v>
      </c>
      <c r="H594" s="223" t="str">
        <f>IFERROR(VLOOKUP(B594, Content_Creation!B:H, 7, FALSE), IFERROR(VLOOKUP(B594, Project_Management!B:H, 7, FALSE), ""))</f>
        <v/>
      </c>
      <c r="I594" s="224">
        <v>0.0</v>
      </c>
      <c r="J594" s="223" t="str">
        <f>IFERROR(VLOOKUP(C594, Content_Creation!B:H, 7, FALSE), IFERROR(VLOOKUP(C594, Project_Management!B:H, 7, FALSE), ""))</f>
        <v/>
      </c>
      <c r="K594" s="217"/>
      <c r="L594" s="225" t="str">
        <f>IFERROR(VLOOKUP(B594, Data_Validation!X:Y, 2, FALSE), "")</f>
        <v/>
      </c>
      <c r="M594" s="226" t="str">
        <f t="shared" si="1"/>
        <v> |  -  | </v>
      </c>
      <c r="N594" s="226"/>
      <c r="O594" s="226"/>
    </row>
    <row r="595" ht="24.0" customHeight="1">
      <c r="A595" s="216" t="str">
        <f>IFERROR(__xludf.DUMMYFUNCTION("ARRAYFORMULA(IFERROR(VLOOKUP(REGEXEXTRACT(B595, ""-(\w+)-""), {Data_Validation!$F$16:$F$29, Data_Validation!$E$16:$E$29}, 2, FALSE), """"))
"),"")</f>
        <v/>
      </c>
      <c r="B595" s="217"/>
      <c r="C595" s="218" t="str">
        <f>IFERROR(__xludf.DUMMYFUNCTION("IFERROR(REGEXEXTRACT(B595, ""^[A-Z]+-[A-Z]+-"") &amp; TEXT(VALUE(REGEXEXTRACT(B595, ""-(\d+)\."")), ""00""), """")"),"")</f>
        <v/>
      </c>
      <c r="D595" s="219" t="str">
        <f>IFERROR(VLOOKUP(C595, Content_Creation!B:D, 2, FALSE), IFERROR(VLOOKUP(C595, Project_Management!B:D, 2, FALSE), ""))
&amp; " - "
&amp; IFERROR(VLOOKUP(C595, Content_Creation!B:E, 4, FALSE), IFERROR(VLOOKUP(C595, Project_Management!B:E, 4, FALSE), ""))</f>
        <v> - </v>
      </c>
      <c r="E595" s="220" t="str">
        <f>IFERROR(
    VLOOKUP(B594:B1001, Content_Creation!B:D, 3, FALSE),
    IFERROR(VLOOKUP(B594:B1001, Project_Management!B:D, 3, FALSE),"")
  )</f>
        <v/>
      </c>
      <c r="F595" s="221" t="str">
        <f>IFERROR(VLOOKUP(B595, Content_Creation!B:F, 5, FALSE), IFERROR(VLOOKUP(B595, Project_Management!B:F, 5, FALSE), ""))</f>
        <v/>
      </c>
      <c r="G595" s="222" t="s">
        <v>1317</v>
      </c>
      <c r="H595" s="223" t="str">
        <f>IFERROR(VLOOKUP(B595, Content_Creation!B:H, 7, FALSE), IFERROR(VLOOKUP(B595, Project_Management!B:H, 7, FALSE), ""))</f>
        <v/>
      </c>
      <c r="I595" s="224">
        <v>0.0</v>
      </c>
      <c r="J595" s="223" t="str">
        <f>IFERROR(VLOOKUP(C595, Content_Creation!B:H, 7, FALSE), IFERROR(VLOOKUP(C595, Project_Management!B:H, 7, FALSE), ""))</f>
        <v/>
      </c>
      <c r="K595" s="217"/>
      <c r="L595" s="225" t="str">
        <f>IFERROR(VLOOKUP(B595, Data_Validation!X:Y, 2, FALSE), "")</f>
        <v/>
      </c>
      <c r="M595" s="226" t="str">
        <f t="shared" si="1"/>
        <v> |  -  | </v>
      </c>
      <c r="N595" s="226"/>
      <c r="O595" s="226"/>
    </row>
    <row r="596" ht="24.0" customHeight="1">
      <c r="A596" s="216" t="str">
        <f>IFERROR(__xludf.DUMMYFUNCTION("ARRAYFORMULA(IFERROR(VLOOKUP(REGEXEXTRACT(B596, ""-(\w+)-""), {Data_Validation!$F$16:$F$29, Data_Validation!$E$16:$E$29}, 2, FALSE), """"))
"),"")</f>
        <v/>
      </c>
      <c r="B596" s="217"/>
      <c r="C596" s="218" t="str">
        <f>IFERROR(__xludf.DUMMYFUNCTION("IFERROR(REGEXEXTRACT(B596, ""^[A-Z]+-[A-Z]+-"") &amp; TEXT(VALUE(REGEXEXTRACT(B596, ""-(\d+)\."")), ""00""), """")"),"")</f>
        <v/>
      </c>
      <c r="D596" s="219" t="str">
        <f>IFERROR(VLOOKUP(C596, Content_Creation!B:D, 2, FALSE), IFERROR(VLOOKUP(C596, Project_Management!B:D, 2, FALSE), ""))
&amp; " - "
&amp; IFERROR(VLOOKUP(C596, Content_Creation!B:E, 4, FALSE), IFERROR(VLOOKUP(C596, Project_Management!B:E, 4, FALSE), ""))</f>
        <v> - </v>
      </c>
      <c r="E596" s="220" t="str">
        <f>IFERROR(
    VLOOKUP(B595:B1001, Content_Creation!B:D, 3, FALSE),
    IFERROR(VLOOKUP(B595:B1001, Project_Management!B:D, 3, FALSE),"")
  )</f>
        <v/>
      </c>
      <c r="F596" s="221" t="str">
        <f>IFERROR(VLOOKUP(B596, Content_Creation!B:F, 5, FALSE), IFERROR(VLOOKUP(B596, Project_Management!B:F, 5, FALSE), ""))</f>
        <v/>
      </c>
      <c r="G596" s="222" t="s">
        <v>1317</v>
      </c>
      <c r="H596" s="223" t="str">
        <f>IFERROR(VLOOKUP(B596, Content_Creation!B:H, 7, FALSE), IFERROR(VLOOKUP(B596, Project_Management!B:H, 7, FALSE), ""))</f>
        <v/>
      </c>
      <c r="I596" s="224">
        <v>0.0</v>
      </c>
      <c r="J596" s="223" t="str">
        <f>IFERROR(VLOOKUP(C596, Content_Creation!B:H, 7, FALSE), IFERROR(VLOOKUP(C596, Project_Management!B:H, 7, FALSE), ""))</f>
        <v/>
      </c>
      <c r="K596" s="217"/>
      <c r="L596" s="225" t="str">
        <f>IFERROR(VLOOKUP(B596, Data_Validation!X:Y, 2, FALSE), "")</f>
        <v/>
      </c>
      <c r="M596" s="226" t="str">
        <f t="shared" si="1"/>
        <v> |  -  | </v>
      </c>
      <c r="N596" s="226"/>
      <c r="O596" s="226"/>
    </row>
    <row r="597" ht="24.0" customHeight="1">
      <c r="A597" s="216" t="str">
        <f>IFERROR(__xludf.DUMMYFUNCTION("ARRAYFORMULA(IFERROR(VLOOKUP(REGEXEXTRACT(B597, ""-(\w+)-""), {Data_Validation!$F$16:$F$29, Data_Validation!$E$16:$E$29}, 2, FALSE), """"))
"),"")</f>
        <v/>
      </c>
      <c r="B597" s="217"/>
      <c r="C597" s="218" t="str">
        <f>IFERROR(__xludf.DUMMYFUNCTION("IFERROR(REGEXEXTRACT(B597, ""^[A-Z]+-[A-Z]+-"") &amp; TEXT(VALUE(REGEXEXTRACT(B597, ""-(\d+)\."")), ""00""), """")"),"")</f>
        <v/>
      </c>
      <c r="D597" s="219" t="str">
        <f>IFERROR(VLOOKUP(C597, Content_Creation!B:D, 2, FALSE), IFERROR(VLOOKUP(C597, Project_Management!B:D, 2, FALSE), ""))
&amp; " - "
&amp; IFERROR(VLOOKUP(C597, Content_Creation!B:E, 4, FALSE), IFERROR(VLOOKUP(C597, Project_Management!B:E, 4, FALSE), ""))</f>
        <v> - </v>
      </c>
      <c r="E597" s="220" t="str">
        <f>IFERROR(
    VLOOKUP(B596:B1001, Content_Creation!B:D, 3, FALSE),
    IFERROR(VLOOKUP(B596:B1001, Project_Management!B:D, 3, FALSE),"")
  )</f>
        <v/>
      </c>
      <c r="F597" s="221" t="str">
        <f>IFERROR(VLOOKUP(B597, Content_Creation!B:F, 5, FALSE), IFERROR(VLOOKUP(B597, Project_Management!B:F, 5, FALSE), ""))</f>
        <v/>
      </c>
      <c r="G597" s="222" t="s">
        <v>1317</v>
      </c>
      <c r="H597" s="223" t="str">
        <f>IFERROR(VLOOKUP(B597, Content_Creation!B:H, 7, FALSE), IFERROR(VLOOKUP(B597, Project_Management!B:H, 7, FALSE), ""))</f>
        <v/>
      </c>
      <c r="I597" s="224">
        <v>0.0</v>
      </c>
      <c r="J597" s="223" t="str">
        <f>IFERROR(VLOOKUP(C597, Content_Creation!B:H, 7, FALSE), IFERROR(VLOOKUP(C597, Project_Management!B:H, 7, FALSE), ""))</f>
        <v/>
      </c>
      <c r="K597" s="217"/>
      <c r="L597" s="225" t="str">
        <f>IFERROR(VLOOKUP(B597, Data_Validation!X:Y, 2, FALSE), "")</f>
        <v/>
      </c>
      <c r="M597" s="226" t="str">
        <f t="shared" si="1"/>
        <v> |  -  | </v>
      </c>
      <c r="N597" s="226"/>
      <c r="O597" s="226"/>
    </row>
    <row r="598" ht="24.0" customHeight="1">
      <c r="A598" s="216" t="str">
        <f>IFERROR(__xludf.DUMMYFUNCTION("ARRAYFORMULA(IFERROR(VLOOKUP(REGEXEXTRACT(B598, ""-(\w+)-""), {Data_Validation!$F$16:$F$29, Data_Validation!$E$16:$E$29}, 2, FALSE), """"))
"),"")</f>
        <v/>
      </c>
      <c r="B598" s="217"/>
      <c r="C598" s="218" t="str">
        <f>IFERROR(__xludf.DUMMYFUNCTION("IFERROR(REGEXEXTRACT(B598, ""^[A-Z]+-[A-Z]+-"") &amp; TEXT(VALUE(REGEXEXTRACT(B598, ""-(\d+)\."")), ""00""), """")"),"")</f>
        <v/>
      </c>
      <c r="D598" s="219" t="str">
        <f>IFERROR(VLOOKUP(C598, Content_Creation!B:D, 2, FALSE), IFERROR(VLOOKUP(C598, Project_Management!B:D, 2, FALSE), ""))
&amp; " - "
&amp; IFERROR(VLOOKUP(C598, Content_Creation!B:E, 4, FALSE), IFERROR(VLOOKUP(C598, Project_Management!B:E, 4, FALSE), ""))</f>
        <v> - </v>
      </c>
      <c r="E598" s="220" t="str">
        <f>IFERROR(
    VLOOKUP(B597:B1001, Content_Creation!B:D, 3, FALSE),
    IFERROR(VLOOKUP(B597:B1001, Project_Management!B:D, 3, FALSE),"")
  )</f>
        <v/>
      </c>
      <c r="F598" s="221" t="str">
        <f>IFERROR(VLOOKUP(B598, Content_Creation!B:F, 5, FALSE), IFERROR(VLOOKUP(B598, Project_Management!B:F, 5, FALSE), ""))</f>
        <v/>
      </c>
      <c r="G598" s="222" t="s">
        <v>1317</v>
      </c>
      <c r="H598" s="223" t="str">
        <f>IFERROR(VLOOKUP(B598, Content_Creation!B:H, 7, FALSE), IFERROR(VLOOKUP(B598, Project_Management!B:H, 7, FALSE), ""))</f>
        <v/>
      </c>
      <c r="I598" s="224">
        <v>0.0</v>
      </c>
      <c r="J598" s="223" t="str">
        <f>IFERROR(VLOOKUP(C598, Content_Creation!B:H, 7, FALSE), IFERROR(VLOOKUP(C598, Project_Management!B:H, 7, FALSE), ""))</f>
        <v/>
      </c>
      <c r="K598" s="217"/>
      <c r="L598" s="225" t="str">
        <f>IFERROR(VLOOKUP(B598, Data_Validation!X:Y, 2, FALSE), "")</f>
        <v/>
      </c>
      <c r="M598" s="226" t="str">
        <f t="shared" si="1"/>
        <v> |  -  | </v>
      </c>
      <c r="N598" s="226"/>
      <c r="O598" s="226"/>
    </row>
    <row r="599" ht="24.0" customHeight="1">
      <c r="A599" s="216" t="str">
        <f>IFERROR(__xludf.DUMMYFUNCTION("ARRAYFORMULA(IFERROR(VLOOKUP(REGEXEXTRACT(B599, ""-(\w+)-""), {Data_Validation!$F$16:$F$29, Data_Validation!$E$16:$E$29}, 2, FALSE), """"))
"),"")</f>
        <v/>
      </c>
      <c r="B599" s="217"/>
      <c r="C599" s="218" t="str">
        <f>IFERROR(__xludf.DUMMYFUNCTION("IFERROR(REGEXEXTRACT(B599, ""^[A-Z]+-[A-Z]+-"") &amp; TEXT(VALUE(REGEXEXTRACT(B599, ""-(\d+)\."")), ""00""), """")"),"")</f>
        <v/>
      </c>
      <c r="D599" s="219" t="str">
        <f>IFERROR(VLOOKUP(C599, Content_Creation!B:D, 2, FALSE), IFERROR(VLOOKUP(C599, Project_Management!B:D, 2, FALSE), ""))
&amp; " - "
&amp; IFERROR(VLOOKUP(C599, Content_Creation!B:E, 4, FALSE), IFERROR(VLOOKUP(C599, Project_Management!B:E, 4, FALSE), ""))</f>
        <v> - </v>
      </c>
      <c r="E599" s="220" t="str">
        <f>IFERROR(
    VLOOKUP(B598:B1001, Content_Creation!B:D, 3, FALSE),
    IFERROR(VLOOKUP(B598:B1001, Project_Management!B:D, 3, FALSE),"")
  )</f>
        <v/>
      </c>
      <c r="F599" s="221" t="str">
        <f>IFERROR(VLOOKUP(B599, Content_Creation!B:F, 5, FALSE), IFERROR(VLOOKUP(B599, Project_Management!B:F, 5, FALSE), ""))</f>
        <v/>
      </c>
      <c r="G599" s="222" t="s">
        <v>1317</v>
      </c>
      <c r="H599" s="223" t="str">
        <f>IFERROR(VLOOKUP(B599, Content_Creation!B:H, 7, FALSE), IFERROR(VLOOKUP(B599, Project_Management!B:H, 7, FALSE), ""))</f>
        <v/>
      </c>
      <c r="I599" s="224">
        <v>0.0</v>
      </c>
      <c r="J599" s="223" t="str">
        <f>IFERROR(VLOOKUP(C599, Content_Creation!B:H, 7, FALSE), IFERROR(VLOOKUP(C599, Project_Management!B:H, 7, FALSE), ""))</f>
        <v/>
      </c>
      <c r="K599" s="217"/>
      <c r="L599" s="225" t="str">
        <f>IFERROR(VLOOKUP(B599, Data_Validation!X:Y, 2, FALSE), "")</f>
        <v/>
      </c>
      <c r="M599" s="226" t="str">
        <f t="shared" si="1"/>
        <v> |  -  | </v>
      </c>
      <c r="N599" s="226"/>
      <c r="O599" s="226"/>
    </row>
    <row r="600" ht="24.0" customHeight="1">
      <c r="A600" s="216" t="str">
        <f>IFERROR(__xludf.DUMMYFUNCTION("ARRAYFORMULA(IFERROR(VLOOKUP(REGEXEXTRACT(B600, ""-(\w+)-""), {Data_Validation!$F$16:$F$29, Data_Validation!$E$16:$E$29}, 2, FALSE), """"))
"),"")</f>
        <v/>
      </c>
      <c r="B600" s="217"/>
      <c r="C600" s="218" t="str">
        <f>IFERROR(__xludf.DUMMYFUNCTION("IFERROR(REGEXEXTRACT(B600, ""^[A-Z]+-[A-Z]+-"") &amp; TEXT(VALUE(REGEXEXTRACT(B600, ""-(\d+)\."")), ""00""), """")"),"")</f>
        <v/>
      </c>
      <c r="D600" s="219" t="str">
        <f>IFERROR(VLOOKUP(C600, Content_Creation!B:D, 2, FALSE), IFERROR(VLOOKUP(C600, Project_Management!B:D, 2, FALSE), ""))
&amp; " - "
&amp; IFERROR(VLOOKUP(C600, Content_Creation!B:E, 4, FALSE), IFERROR(VLOOKUP(C600, Project_Management!B:E, 4, FALSE), ""))</f>
        <v> - </v>
      </c>
      <c r="E600" s="220" t="str">
        <f>IFERROR(
    VLOOKUP(B599:B1001, Content_Creation!B:D, 3, FALSE),
    IFERROR(VLOOKUP(B599:B1001, Project_Management!B:D, 3, FALSE),"")
  )</f>
        <v/>
      </c>
      <c r="F600" s="221" t="str">
        <f>IFERROR(VLOOKUP(B600, Content_Creation!B:F, 5, FALSE), IFERROR(VLOOKUP(B600, Project_Management!B:F, 5, FALSE), ""))</f>
        <v/>
      </c>
      <c r="G600" s="222" t="s">
        <v>1317</v>
      </c>
      <c r="H600" s="223" t="str">
        <f>IFERROR(VLOOKUP(B600, Content_Creation!B:H, 7, FALSE), IFERROR(VLOOKUP(B600, Project_Management!B:H, 7, FALSE), ""))</f>
        <v/>
      </c>
      <c r="I600" s="224">
        <v>0.0</v>
      </c>
      <c r="J600" s="223" t="str">
        <f>IFERROR(VLOOKUP(C600, Content_Creation!B:H, 7, FALSE), IFERROR(VLOOKUP(C600, Project_Management!B:H, 7, FALSE), ""))</f>
        <v/>
      </c>
      <c r="K600" s="217"/>
      <c r="L600" s="225" t="str">
        <f>IFERROR(VLOOKUP(B600, Data_Validation!X:Y, 2, FALSE), "")</f>
        <v/>
      </c>
      <c r="M600" s="226" t="str">
        <f t="shared" si="1"/>
        <v> |  -  | </v>
      </c>
      <c r="N600" s="226"/>
      <c r="O600" s="226"/>
    </row>
    <row r="601" ht="24.0" customHeight="1">
      <c r="A601" s="216" t="str">
        <f>IFERROR(__xludf.DUMMYFUNCTION("ARRAYFORMULA(IFERROR(VLOOKUP(REGEXEXTRACT(B601, ""-(\w+)-""), {Data_Validation!$F$16:$F$29, Data_Validation!$E$16:$E$29}, 2, FALSE), """"))
"),"")</f>
        <v/>
      </c>
      <c r="B601" s="217"/>
      <c r="C601" s="218" t="str">
        <f>IFERROR(__xludf.DUMMYFUNCTION("IFERROR(REGEXEXTRACT(B601, ""^[A-Z]+-[A-Z]+-"") &amp; TEXT(VALUE(REGEXEXTRACT(B601, ""-(\d+)\."")), ""00""), """")"),"")</f>
        <v/>
      </c>
      <c r="D601" s="219" t="str">
        <f>IFERROR(VLOOKUP(C601, Content_Creation!B:D, 2, FALSE), IFERROR(VLOOKUP(C601, Project_Management!B:D, 2, FALSE), ""))
&amp; " - "
&amp; IFERROR(VLOOKUP(C601, Content_Creation!B:E, 4, FALSE), IFERROR(VLOOKUP(C601, Project_Management!B:E, 4, FALSE), ""))</f>
        <v> - </v>
      </c>
      <c r="E601" s="220" t="str">
        <f>IFERROR(
    VLOOKUP(B600:B1001, Content_Creation!B:D, 3, FALSE),
    IFERROR(VLOOKUP(B600:B1001, Project_Management!B:D, 3, FALSE),"")
  )</f>
        <v/>
      </c>
      <c r="F601" s="221" t="str">
        <f>IFERROR(VLOOKUP(B601, Content_Creation!B:F, 5, FALSE), IFERROR(VLOOKUP(B601, Project_Management!B:F, 5, FALSE), ""))</f>
        <v/>
      </c>
      <c r="G601" s="222" t="s">
        <v>1317</v>
      </c>
      <c r="H601" s="223" t="str">
        <f>IFERROR(VLOOKUP(B601, Content_Creation!B:H, 7, FALSE), IFERROR(VLOOKUP(B601, Project_Management!B:H, 7, FALSE), ""))</f>
        <v/>
      </c>
      <c r="I601" s="224">
        <v>0.0</v>
      </c>
      <c r="J601" s="223" t="str">
        <f>IFERROR(VLOOKUP(C601, Content_Creation!B:H, 7, FALSE), IFERROR(VLOOKUP(C601, Project_Management!B:H, 7, FALSE), ""))</f>
        <v/>
      </c>
      <c r="K601" s="217"/>
      <c r="L601" s="225" t="str">
        <f>IFERROR(VLOOKUP(B601, Data_Validation!X:Y, 2, FALSE), "")</f>
        <v/>
      </c>
      <c r="M601" s="226" t="str">
        <f t="shared" si="1"/>
        <v> |  -  | </v>
      </c>
      <c r="N601" s="226"/>
      <c r="O601" s="226"/>
    </row>
    <row r="602" ht="24.0" customHeight="1">
      <c r="A602" s="216" t="str">
        <f>IFERROR(__xludf.DUMMYFUNCTION("ARRAYFORMULA(IFERROR(VLOOKUP(REGEXEXTRACT(B602, ""-(\w+)-""), {Data_Validation!$F$16:$F$29, Data_Validation!$E$16:$E$29}, 2, FALSE), """"))
"),"")</f>
        <v/>
      </c>
      <c r="B602" s="217"/>
      <c r="C602" s="218" t="str">
        <f>IFERROR(__xludf.DUMMYFUNCTION("IFERROR(REGEXEXTRACT(B602, ""^[A-Z]+-[A-Z]+-"") &amp; TEXT(VALUE(REGEXEXTRACT(B602, ""-(\d+)\."")), ""00""), """")"),"")</f>
        <v/>
      </c>
      <c r="D602" s="219" t="str">
        <f>IFERROR(VLOOKUP(C602, Content_Creation!B:D, 2, FALSE), IFERROR(VLOOKUP(C602, Project_Management!B:D, 2, FALSE), ""))
&amp; " - "
&amp; IFERROR(VLOOKUP(C602, Content_Creation!B:E, 4, FALSE), IFERROR(VLOOKUP(C602, Project_Management!B:E, 4, FALSE), ""))</f>
        <v> - </v>
      </c>
      <c r="E602" s="220" t="str">
        <f>IFERROR(
    VLOOKUP(B601:B1001, Content_Creation!B:D, 3, FALSE),
    IFERROR(VLOOKUP(B601:B1001, Project_Management!B:D, 3, FALSE),"")
  )</f>
        <v/>
      </c>
      <c r="F602" s="221" t="str">
        <f>IFERROR(VLOOKUP(B602, Content_Creation!B:F, 5, FALSE), IFERROR(VLOOKUP(B602, Project_Management!B:F, 5, FALSE), ""))</f>
        <v/>
      </c>
      <c r="G602" s="222" t="s">
        <v>1317</v>
      </c>
      <c r="H602" s="223" t="str">
        <f>IFERROR(VLOOKUP(B602, Content_Creation!B:H, 7, FALSE), IFERROR(VLOOKUP(B602, Project_Management!B:H, 7, FALSE), ""))</f>
        <v/>
      </c>
      <c r="I602" s="224">
        <v>0.0</v>
      </c>
      <c r="J602" s="223" t="str">
        <f>IFERROR(VLOOKUP(C602, Content_Creation!B:H, 7, FALSE), IFERROR(VLOOKUP(C602, Project_Management!B:H, 7, FALSE), ""))</f>
        <v/>
      </c>
      <c r="K602" s="217"/>
      <c r="L602" s="225" t="str">
        <f>IFERROR(VLOOKUP(B602, Data_Validation!X:Y, 2, FALSE), "")</f>
        <v/>
      </c>
      <c r="M602" s="226" t="str">
        <f t="shared" si="1"/>
        <v> |  -  | </v>
      </c>
      <c r="N602" s="226"/>
      <c r="O602" s="226"/>
    </row>
    <row r="603" ht="24.0" customHeight="1">
      <c r="A603" s="216" t="str">
        <f>IFERROR(__xludf.DUMMYFUNCTION("ARRAYFORMULA(IFERROR(VLOOKUP(REGEXEXTRACT(B603, ""-(\w+)-""), {Data_Validation!$F$16:$F$29, Data_Validation!$E$16:$E$29}, 2, FALSE), """"))
"),"")</f>
        <v/>
      </c>
      <c r="B603" s="217"/>
      <c r="C603" s="218" t="str">
        <f>IFERROR(__xludf.DUMMYFUNCTION("IFERROR(REGEXEXTRACT(B603, ""^[A-Z]+-[A-Z]+-"") &amp; TEXT(VALUE(REGEXEXTRACT(B603, ""-(\d+)\."")), ""00""), """")"),"")</f>
        <v/>
      </c>
      <c r="D603" s="219" t="str">
        <f>IFERROR(VLOOKUP(C603, Content_Creation!B:D, 2, FALSE), IFERROR(VLOOKUP(C603, Project_Management!B:D, 2, FALSE), ""))
&amp; " - "
&amp; IFERROR(VLOOKUP(C603, Content_Creation!B:E, 4, FALSE), IFERROR(VLOOKUP(C603, Project_Management!B:E, 4, FALSE), ""))</f>
        <v> - </v>
      </c>
      <c r="E603" s="220" t="str">
        <f>IFERROR(
    VLOOKUP(B602:B1001, Content_Creation!B:D, 3, FALSE),
    IFERROR(VLOOKUP(B602:B1001, Project_Management!B:D, 3, FALSE),"")
  )</f>
        <v/>
      </c>
      <c r="F603" s="221" t="str">
        <f>IFERROR(VLOOKUP(B603, Content_Creation!B:F, 5, FALSE), IFERROR(VLOOKUP(B603, Project_Management!B:F, 5, FALSE), ""))</f>
        <v/>
      </c>
      <c r="G603" s="222" t="s">
        <v>1317</v>
      </c>
      <c r="H603" s="223" t="str">
        <f>IFERROR(VLOOKUP(B603, Content_Creation!B:H, 7, FALSE), IFERROR(VLOOKUP(B603, Project_Management!B:H, 7, FALSE), ""))</f>
        <v/>
      </c>
      <c r="I603" s="224">
        <v>0.0</v>
      </c>
      <c r="J603" s="223" t="str">
        <f>IFERROR(VLOOKUP(C603, Content_Creation!B:H, 7, FALSE), IFERROR(VLOOKUP(C603, Project_Management!B:H, 7, FALSE), ""))</f>
        <v/>
      </c>
      <c r="K603" s="217"/>
      <c r="L603" s="225" t="str">
        <f>IFERROR(VLOOKUP(B603, Data_Validation!X:Y, 2, FALSE), "")</f>
        <v/>
      </c>
      <c r="M603" s="226" t="str">
        <f t="shared" si="1"/>
        <v> |  -  | </v>
      </c>
      <c r="N603" s="226"/>
      <c r="O603" s="226"/>
    </row>
    <row r="604" ht="24.0" customHeight="1">
      <c r="A604" s="216" t="str">
        <f>IFERROR(__xludf.DUMMYFUNCTION("ARRAYFORMULA(IFERROR(VLOOKUP(REGEXEXTRACT(B604, ""-(\w+)-""), {Data_Validation!$F$16:$F$29, Data_Validation!$E$16:$E$29}, 2, FALSE), """"))
"),"")</f>
        <v/>
      </c>
      <c r="B604" s="217"/>
      <c r="C604" s="218" t="str">
        <f>IFERROR(__xludf.DUMMYFUNCTION("IFERROR(REGEXEXTRACT(B604, ""^[A-Z]+-[A-Z]+-"") &amp; TEXT(VALUE(REGEXEXTRACT(B604, ""-(\d+)\."")), ""00""), """")"),"")</f>
        <v/>
      </c>
      <c r="D604" s="219" t="str">
        <f>IFERROR(VLOOKUP(C604, Content_Creation!B:D, 2, FALSE), IFERROR(VLOOKUP(C604, Project_Management!B:D, 2, FALSE), ""))
&amp; " - "
&amp; IFERROR(VLOOKUP(C604, Content_Creation!B:E, 4, FALSE), IFERROR(VLOOKUP(C604, Project_Management!B:E, 4, FALSE), ""))</f>
        <v> - </v>
      </c>
      <c r="E604" s="220" t="str">
        <f>IFERROR(
    VLOOKUP(B603:B1001, Content_Creation!B:D, 3, FALSE),
    IFERROR(VLOOKUP(B603:B1001, Project_Management!B:D, 3, FALSE),"")
  )</f>
        <v/>
      </c>
      <c r="F604" s="221" t="str">
        <f>IFERROR(VLOOKUP(B604, Content_Creation!B:F, 5, FALSE), IFERROR(VLOOKUP(B604, Project_Management!B:F, 5, FALSE), ""))</f>
        <v/>
      </c>
      <c r="G604" s="222" t="s">
        <v>1317</v>
      </c>
      <c r="H604" s="223" t="str">
        <f>IFERROR(VLOOKUP(B604, Content_Creation!B:H, 7, FALSE), IFERROR(VLOOKUP(B604, Project_Management!B:H, 7, FALSE), ""))</f>
        <v/>
      </c>
      <c r="I604" s="224">
        <v>0.0</v>
      </c>
      <c r="J604" s="223" t="str">
        <f>IFERROR(VLOOKUP(C604, Content_Creation!B:H, 7, FALSE), IFERROR(VLOOKUP(C604, Project_Management!B:H, 7, FALSE), ""))</f>
        <v/>
      </c>
      <c r="K604" s="217"/>
      <c r="L604" s="225" t="str">
        <f>IFERROR(VLOOKUP(B604, Data_Validation!X:Y, 2, FALSE), "")</f>
        <v/>
      </c>
      <c r="M604" s="226" t="str">
        <f t="shared" si="1"/>
        <v> |  -  | </v>
      </c>
      <c r="N604" s="226"/>
      <c r="O604" s="226"/>
    </row>
    <row r="605" ht="24.0" customHeight="1">
      <c r="A605" s="216" t="str">
        <f>IFERROR(__xludf.DUMMYFUNCTION("ARRAYFORMULA(IFERROR(VLOOKUP(REGEXEXTRACT(B605, ""-(\w+)-""), {Data_Validation!$F$16:$F$29, Data_Validation!$E$16:$E$29}, 2, FALSE), """"))
"),"")</f>
        <v/>
      </c>
      <c r="B605" s="217"/>
      <c r="C605" s="218" t="str">
        <f>IFERROR(__xludf.DUMMYFUNCTION("IFERROR(REGEXEXTRACT(B605, ""^[A-Z]+-[A-Z]+-"") &amp; TEXT(VALUE(REGEXEXTRACT(B605, ""-(\d+)\."")), ""00""), """")"),"")</f>
        <v/>
      </c>
      <c r="D605" s="219" t="str">
        <f>IFERROR(VLOOKUP(C605, Content_Creation!B:D, 2, FALSE), IFERROR(VLOOKUP(C605, Project_Management!B:D, 2, FALSE), ""))
&amp; " - "
&amp; IFERROR(VLOOKUP(C605, Content_Creation!B:E, 4, FALSE), IFERROR(VLOOKUP(C605, Project_Management!B:E, 4, FALSE), ""))</f>
        <v> - </v>
      </c>
      <c r="E605" s="220" t="str">
        <f>IFERROR(
    VLOOKUP(B604:B1001, Content_Creation!B:D, 3, FALSE),
    IFERROR(VLOOKUP(B604:B1001, Project_Management!B:D, 3, FALSE),"")
  )</f>
        <v/>
      </c>
      <c r="F605" s="221" t="str">
        <f>IFERROR(VLOOKUP(B605, Content_Creation!B:F, 5, FALSE), IFERROR(VLOOKUP(B605, Project_Management!B:F, 5, FALSE), ""))</f>
        <v/>
      </c>
      <c r="G605" s="222" t="s">
        <v>1317</v>
      </c>
      <c r="H605" s="223" t="str">
        <f>IFERROR(VLOOKUP(B605, Content_Creation!B:H, 7, FALSE), IFERROR(VLOOKUP(B605, Project_Management!B:H, 7, FALSE), ""))</f>
        <v/>
      </c>
      <c r="I605" s="224">
        <v>0.0</v>
      </c>
      <c r="J605" s="223" t="str">
        <f>IFERROR(VLOOKUP(C605, Content_Creation!B:H, 7, FALSE), IFERROR(VLOOKUP(C605, Project_Management!B:H, 7, FALSE), ""))</f>
        <v/>
      </c>
      <c r="K605" s="217"/>
      <c r="L605" s="225" t="str">
        <f>IFERROR(VLOOKUP(B605, Data_Validation!X:Y, 2, FALSE), "")</f>
        <v/>
      </c>
      <c r="M605" s="226" t="str">
        <f t="shared" si="1"/>
        <v> |  -  | </v>
      </c>
      <c r="N605" s="226"/>
      <c r="O605" s="226"/>
    </row>
    <row r="606" ht="24.0" customHeight="1">
      <c r="A606" s="216" t="str">
        <f>IFERROR(__xludf.DUMMYFUNCTION("ARRAYFORMULA(IFERROR(VLOOKUP(REGEXEXTRACT(B606, ""-(\w+)-""), {Data_Validation!$F$16:$F$29, Data_Validation!$E$16:$E$29}, 2, FALSE), """"))
"),"")</f>
        <v/>
      </c>
      <c r="B606" s="217"/>
      <c r="C606" s="218" t="str">
        <f>IFERROR(__xludf.DUMMYFUNCTION("IFERROR(REGEXEXTRACT(B606, ""^[A-Z]+-[A-Z]+-"") &amp; TEXT(VALUE(REGEXEXTRACT(B606, ""-(\d+)\."")), ""00""), """")"),"")</f>
        <v/>
      </c>
      <c r="D606" s="219" t="str">
        <f>IFERROR(VLOOKUP(C606, Content_Creation!B:D, 2, FALSE), IFERROR(VLOOKUP(C606, Project_Management!B:D, 2, FALSE), ""))
&amp; " - "
&amp; IFERROR(VLOOKUP(C606, Content_Creation!B:E, 4, FALSE), IFERROR(VLOOKUP(C606, Project_Management!B:E, 4, FALSE), ""))</f>
        <v> - </v>
      </c>
      <c r="E606" s="220" t="str">
        <f>IFERROR(
    VLOOKUP(B605:B1001, Content_Creation!B:D, 3, FALSE),
    IFERROR(VLOOKUP(B605:B1001, Project_Management!B:D, 3, FALSE),"")
  )</f>
        <v/>
      </c>
      <c r="F606" s="221" t="str">
        <f>IFERROR(VLOOKUP(B606, Content_Creation!B:F, 5, FALSE), IFERROR(VLOOKUP(B606, Project_Management!B:F, 5, FALSE), ""))</f>
        <v/>
      </c>
      <c r="G606" s="222" t="s">
        <v>1317</v>
      </c>
      <c r="H606" s="223" t="str">
        <f>IFERROR(VLOOKUP(B606, Content_Creation!B:H, 7, FALSE), IFERROR(VLOOKUP(B606, Project_Management!B:H, 7, FALSE), ""))</f>
        <v/>
      </c>
      <c r="I606" s="224">
        <v>0.0</v>
      </c>
      <c r="J606" s="223" t="str">
        <f>IFERROR(VLOOKUP(C606, Content_Creation!B:H, 7, FALSE), IFERROR(VLOOKUP(C606, Project_Management!B:H, 7, FALSE), ""))</f>
        <v/>
      </c>
      <c r="K606" s="217"/>
      <c r="L606" s="225" t="str">
        <f>IFERROR(VLOOKUP(B606, Data_Validation!X:Y, 2, FALSE), "")</f>
        <v/>
      </c>
      <c r="M606" s="226" t="str">
        <f t="shared" si="1"/>
        <v> |  -  | </v>
      </c>
      <c r="N606" s="226"/>
      <c r="O606" s="226"/>
    </row>
    <row r="607" ht="24.0" customHeight="1">
      <c r="A607" s="216" t="str">
        <f>IFERROR(__xludf.DUMMYFUNCTION("ARRAYFORMULA(IFERROR(VLOOKUP(REGEXEXTRACT(B607, ""-(\w+)-""), {Data_Validation!$F$16:$F$29, Data_Validation!$E$16:$E$29}, 2, FALSE), """"))
"),"")</f>
        <v/>
      </c>
      <c r="B607" s="217"/>
      <c r="C607" s="218" t="str">
        <f>IFERROR(__xludf.DUMMYFUNCTION("IFERROR(REGEXEXTRACT(B607, ""^[A-Z]+-[A-Z]+-"") &amp; TEXT(VALUE(REGEXEXTRACT(B607, ""-(\d+)\."")), ""00""), """")"),"")</f>
        <v/>
      </c>
      <c r="D607" s="219" t="str">
        <f>IFERROR(VLOOKUP(C607, Content_Creation!B:D, 2, FALSE), IFERROR(VLOOKUP(C607, Project_Management!B:D, 2, FALSE), ""))
&amp; " - "
&amp; IFERROR(VLOOKUP(C607, Content_Creation!B:E, 4, FALSE), IFERROR(VLOOKUP(C607, Project_Management!B:E, 4, FALSE), ""))</f>
        <v> - </v>
      </c>
      <c r="E607" s="220" t="str">
        <f>IFERROR(
    VLOOKUP(B606:B1001, Content_Creation!B:D, 3, FALSE),
    IFERROR(VLOOKUP(B606:B1001, Project_Management!B:D, 3, FALSE),"")
  )</f>
        <v/>
      </c>
      <c r="F607" s="221" t="str">
        <f>IFERROR(VLOOKUP(B607, Content_Creation!B:F, 5, FALSE), IFERROR(VLOOKUP(B607, Project_Management!B:F, 5, FALSE), ""))</f>
        <v/>
      </c>
      <c r="G607" s="222" t="s">
        <v>1317</v>
      </c>
      <c r="H607" s="223" t="str">
        <f>IFERROR(VLOOKUP(B607, Content_Creation!B:H, 7, FALSE), IFERROR(VLOOKUP(B607, Project_Management!B:H, 7, FALSE), ""))</f>
        <v/>
      </c>
      <c r="I607" s="224">
        <v>0.0</v>
      </c>
      <c r="J607" s="223" t="str">
        <f>IFERROR(VLOOKUP(C607, Content_Creation!B:H, 7, FALSE), IFERROR(VLOOKUP(C607, Project_Management!B:H, 7, FALSE), ""))</f>
        <v/>
      </c>
      <c r="K607" s="217"/>
      <c r="L607" s="225" t="str">
        <f>IFERROR(VLOOKUP(B607, Data_Validation!X:Y, 2, FALSE), "")</f>
        <v/>
      </c>
      <c r="M607" s="226" t="str">
        <f t="shared" si="1"/>
        <v> |  -  | </v>
      </c>
      <c r="N607" s="226"/>
      <c r="O607" s="226"/>
    </row>
    <row r="608" ht="24.0" customHeight="1">
      <c r="A608" s="216" t="str">
        <f>IFERROR(__xludf.DUMMYFUNCTION("ARRAYFORMULA(IFERROR(VLOOKUP(REGEXEXTRACT(B608, ""-(\w+)-""), {Data_Validation!$F$16:$F$29, Data_Validation!$E$16:$E$29}, 2, FALSE), """"))
"),"")</f>
        <v/>
      </c>
      <c r="B608" s="217"/>
      <c r="C608" s="218" t="str">
        <f>IFERROR(__xludf.DUMMYFUNCTION("IFERROR(REGEXEXTRACT(B608, ""^[A-Z]+-[A-Z]+-"") &amp; TEXT(VALUE(REGEXEXTRACT(B608, ""-(\d+)\."")), ""00""), """")"),"")</f>
        <v/>
      </c>
      <c r="D608" s="219" t="str">
        <f>IFERROR(VLOOKUP(C608, Content_Creation!B:D, 2, FALSE), IFERROR(VLOOKUP(C608, Project_Management!B:D, 2, FALSE), ""))
&amp; " - "
&amp; IFERROR(VLOOKUP(C608, Content_Creation!B:E, 4, FALSE), IFERROR(VLOOKUP(C608, Project_Management!B:E, 4, FALSE), ""))</f>
        <v> - </v>
      </c>
      <c r="E608" s="220" t="str">
        <f>IFERROR(
    VLOOKUP(B607:B1001, Content_Creation!B:D, 3, FALSE),
    IFERROR(VLOOKUP(B607:B1001, Project_Management!B:D, 3, FALSE),"")
  )</f>
        <v/>
      </c>
      <c r="F608" s="221" t="str">
        <f>IFERROR(VLOOKUP(B608, Content_Creation!B:F, 5, FALSE), IFERROR(VLOOKUP(B608, Project_Management!B:F, 5, FALSE), ""))</f>
        <v/>
      </c>
      <c r="G608" s="222" t="s">
        <v>1317</v>
      </c>
      <c r="H608" s="223" t="str">
        <f>IFERROR(VLOOKUP(B608, Content_Creation!B:H, 7, FALSE), IFERROR(VLOOKUP(B608, Project_Management!B:H, 7, FALSE), ""))</f>
        <v/>
      </c>
      <c r="I608" s="224">
        <v>0.0</v>
      </c>
      <c r="J608" s="223" t="str">
        <f>IFERROR(VLOOKUP(C608, Content_Creation!B:H, 7, FALSE), IFERROR(VLOOKUP(C608, Project_Management!B:H, 7, FALSE), ""))</f>
        <v/>
      </c>
      <c r="K608" s="217"/>
      <c r="L608" s="225" t="str">
        <f>IFERROR(VLOOKUP(B608, Data_Validation!X:Y, 2, FALSE), "")</f>
        <v/>
      </c>
      <c r="M608" s="226" t="str">
        <f t="shared" si="1"/>
        <v> |  -  | </v>
      </c>
      <c r="N608" s="226"/>
      <c r="O608" s="226"/>
    </row>
    <row r="609" ht="24.0" customHeight="1">
      <c r="A609" s="216" t="str">
        <f>IFERROR(__xludf.DUMMYFUNCTION("ARRAYFORMULA(IFERROR(VLOOKUP(REGEXEXTRACT(B609, ""-(\w+)-""), {Data_Validation!$F$16:$F$29, Data_Validation!$E$16:$E$29}, 2, FALSE), """"))
"),"")</f>
        <v/>
      </c>
      <c r="B609" s="217"/>
      <c r="C609" s="218" t="str">
        <f>IFERROR(__xludf.DUMMYFUNCTION("IFERROR(REGEXEXTRACT(B609, ""^[A-Z]+-[A-Z]+-"") &amp; TEXT(VALUE(REGEXEXTRACT(B609, ""-(\d+)\."")), ""00""), """")"),"")</f>
        <v/>
      </c>
      <c r="D609" s="219" t="str">
        <f>IFERROR(VLOOKUP(C609, Content_Creation!B:D, 2, FALSE), IFERROR(VLOOKUP(C609, Project_Management!B:D, 2, FALSE), ""))
&amp; " - "
&amp; IFERROR(VLOOKUP(C609, Content_Creation!B:E, 4, FALSE), IFERROR(VLOOKUP(C609, Project_Management!B:E, 4, FALSE), ""))</f>
        <v> - </v>
      </c>
      <c r="E609" s="220" t="str">
        <f>IFERROR(
    VLOOKUP(B608:B1001, Content_Creation!B:D, 3, FALSE),
    IFERROR(VLOOKUP(B608:B1001, Project_Management!B:D, 3, FALSE),"")
  )</f>
        <v/>
      </c>
      <c r="F609" s="221" t="str">
        <f>IFERROR(VLOOKUP(B609, Content_Creation!B:F, 5, FALSE), IFERROR(VLOOKUP(B609, Project_Management!B:F, 5, FALSE), ""))</f>
        <v/>
      </c>
      <c r="G609" s="222" t="s">
        <v>1317</v>
      </c>
      <c r="H609" s="223" t="str">
        <f>IFERROR(VLOOKUP(B609, Content_Creation!B:H, 7, FALSE), IFERROR(VLOOKUP(B609, Project_Management!B:H, 7, FALSE), ""))</f>
        <v/>
      </c>
      <c r="I609" s="224">
        <v>0.0</v>
      </c>
      <c r="J609" s="223" t="str">
        <f>IFERROR(VLOOKUP(C609, Content_Creation!B:H, 7, FALSE), IFERROR(VLOOKUP(C609, Project_Management!B:H, 7, FALSE), ""))</f>
        <v/>
      </c>
      <c r="K609" s="217"/>
      <c r="L609" s="225" t="str">
        <f>IFERROR(VLOOKUP(B609, Data_Validation!X:Y, 2, FALSE), "")</f>
        <v/>
      </c>
      <c r="M609" s="226" t="str">
        <f t="shared" si="1"/>
        <v> |  -  | </v>
      </c>
      <c r="N609" s="226"/>
      <c r="O609" s="226"/>
    </row>
    <row r="610" ht="24.0" customHeight="1">
      <c r="A610" s="216" t="str">
        <f>IFERROR(__xludf.DUMMYFUNCTION("ARRAYFORMULA(IFERROR(VLOOKUP(REGEXEXTRACT(B610, ""-(\w+)-""), {Data_Validation!$F$16:$F$29, Data_Validation!$E$16:$E$29}, 2, FALSE), """"))
"),"")</f>
        <v/>
      </c>
      <c r="B610" s="217"/>
      <c r="C610" s="218" t="str">
        <f>IFERROR(__xludf.DUMMYFUNCTION("IFERROR(REGEXEXTRACT(B610, ""^[A-Z]+-[A-Z]+-"") &amp; TEXT(VALUE(REGEXEXTRACT(B610, ""-(\d+)\."")), ""00""), """")"),"")</f>
        <v/>
      </c>
      <c r="D610" s="219" t="str">
        <f>IFERROR(VLOOKUP(C610, Content_Creation!B:D, 2, FALSE), IFERROR(VLOOKUP(C610, Project_Management!B:D, 2, FALSE), ""))
&amp; " - "
&amp; IFERROR(VLOOKUP(C610, Content_Creation!B:E, 4, FALSE), IFERROR(VLOOKUP(C610, Project_Management!B:E, 4, FALSE), ""))</f>
        <v> - </v>
      </c>
      <c r="E610" s="220" t="str">
        <f>IFERROR(
    VLOOKUP(B609:B1001, Content_Creation!B:D, 3, FALSE),
    IFERROR(VLOOKUP(B609:B1001, Project_Management!B:D, 3, FALSE),"")
  )</f>
        <v/>
      </c>
      <c r="F610" s="221" t="str">
        <f>IFERROR(VLOOKUP(B610, Content_Creation!B:F, 5, FALSE), IFERROR(VLOOKUP(B610, Project_Management!B:F, 5, FALSE), ""))</f>
        <v/>
      </c>
      <c r="G610" s="222" t="s">
        <v>1317</v>
      </c>
      <c r="H610" s="223" t="str">
        <f>IFERROR(VLOOKUP(B610, Content_Creation!B:H, 7, FALSE), IFERROR(VLOOKUP(B610, Project_Management!B:H, 7, FALSE), ""))</f>
        <v/>
      </c>
      <c r="I610" s="224">
        <v>0.0</v>
      </c>
      <c r="J610" s="223" t="str">
        <f>IFERROR(VLOOKUP(C610, Content_Creation!B:H, 7, FALSE), IFERROR(VLOOKUP(C610, Project_Management!B:H, 7, FALSE), ""))</f>
        <v/>
      </c>
      <c r="K610" s="217"/>
      <c r="L610" s="225" t="str">
        <f>IFERROR(VLOOKUP(B610, Data_Validation!X:Y, 2, FALSE), "")</f>
        <v/>
      </c>
      <c r="M610" s="226" t="str">
        <f t="shared" si="1"/>
        <v> |  -  | </v>
      </c>
      <c r="N610" s="226"/>
      <c r="O610" s="226"/>
    </row>
    <row r="611" ht="24.0" customHeight="1">
      <c r="A611" s="216" t="str">
        <f>IFERROR(__xludf.DUMMYFUNCTION("ARRAYFORMULA(IFERROR(VLOOKUP(REGEXEXTRACT(B611, ""-(\w+)-""), {Data_Validation!$F$16:$F$29, Data_Validation!$E$16:$E$29}, 2, FALSE), """"))
"),"")</f>
        <v/>
      </c>
      <c r="B611" s="217"/>
      <c r="C611" s="218" t="str">
        <f>IFERROR(__xludf.DUMMYFUNCTION("IFERROR(REGEXEXTRACT(B611, ""^[A-Z]+-[A-Z]+-"") &amp; TEXT(VALUE(REGEXEXTRACT(B611, ""-(\d+)\."")), ""00""), """")"),"")</f>
        <v/>
      </c>
      <c r="D611" s="219" t="str">
        <f>IFERROR(VLOOKUP(C611, Content_Creation!B:D, 2, FALSE), IFERROR(VLOOKUP(C611, Project_Management!B:D, 2, FALSE), ""))
&amp; " - "
&amp; IFERROR(VLOOKUP(C611, Content_Creation!B:E, 4, FALSE), IFERROR(VLOOKUP(C611, Project_Management!B:E, 4, FALSE), ""))</f>
        <v> - </v>
      </c>
      <c r="E611" s="220" t="str">
        <f>IFERROR(
    VLOOKUP(B610:B1001, Content_Creation!B:D, 3, FALSE),
    IFERROR(VLOOKUP(B610:B1001, Project_Management!B:D, 3, FALSE),"")
  )</f>
        <v/>
      </c>
      <c r="F611" s="221" t="str">
        <f>IFERROR(VLOOKUP(B611, Content_Creation!B:F, 5, FALSE), IFERROR(VLOOKUP(B611, Project_Management!B:F, 5, FALSE), ""))</f>
        <v/>
      </c>
      <c r="G611" s="222" t="s">
        <v>1317</v>
      </c>
      <c r="H611" s="223" t="str">
        <f>IFERROR(VLOOKUP(B611, Content_Creation!B:H, 7, FALSE), IFERROR(VLOOKUP(B611, Project_Management!B:H, 7, FALSE), ""))</f>
        <v/>
      </c>
      <c r="I611" s="224">
        <v>0.0</v>
      </c>
      <c r="J611" s="223" t="str">
        <f>IFERROR(VLOOKUP(C611, Content_Creation!B:H, 7, FALSE), IFERROR(VLOOKUP(C611, Project_Management!B:H, 7, FALSE), ""))</f>
        <v/>
      </c>
      <c r="K611" s="217"/>
      <c r="L611" s="225" t="str">
        <f>IFERROR(VLOOKUP(B611, Data_Validation!X:Y, 2, FALSE), "")</f>
        <v/>
      </c>
      <c r="M611" s="226" t="str">
        <f t="shared" si="1"/>
        <v> |  -  | </v>
      </c>
      <c r="N611" s="226"/>
      <c r="O611" s="226"/>
    </row>
    <row r="612" ht="24.0" customHeight="1">
      <c r="A612" s="216" t="str">
        <f>IFERROR(__xludf.DUMMYFUNCTION("ARRAYFORMULA(IFERROR(VLOOKUP(REGEXEXTRACT(B612, ""-(\w+)-""), {Data_Validation!$F$16:$F$29, Data_Validation!$E$16:$E$29}, 2, FALSE), """"))
"),"")</f>
        <v/>
      </c>
      <c r="B612" s="217"/>
      <c r="C612" s="218" t="str">
        <f>IFERROR(__xludf.DUMMYFUNCTION("IFERROR(REGEXEXTRACT(B612, ""^[A-Z]+-[A-Z]+-"") &amp; TEXT(VALUE(REGEXEXTRACT(B612, ""-(\d+)\."")), ""00""), """")"),"")</f>
        <v/>
      </c>
      <c r="D612" s="219" t="str">
        <f>IFERROR(VLOOKUP(C612, Content_Creation!B:D, 2, FALSE), IFERROR(VLOOKUP(C612, Project_Management!B:D, 2, FALSE), ""))
&amp; " - "
&amp; IFERROR(VLOOKUP(C612, Content_Creation!B:E, 4, FALSE), IFERROR(VLOOKUP(C612, Project_Management!B:E, 4, FALSE), ""))</f>
        <v> - </v>
      </c>
      <c r="E612" s="220" t="str">
        <f>IFERROR(
    VLOOKUP(B611:B1001, Content_Creation!B:D, 3, FALSE),
    IFERROR(VLOOKUP(B611:B1001, Project_Management!B:D, 3, FALSE),"")
  )</f>
        <v/>
      </c>
      <c r="F612" s="221" t="str">
        <f>IFERROR(VLOOKUP(B612, Content_Creation!B:F, 5, FALSE), IFERROR(VLOOKUP(B612, Project_Management!B:F, 5, FALSE), ""))</f>
        <v/>
      </c>
      <c r="G612" s="222" t="s">
        <v>1317</v>
      </c>
      <c r="H612" s="223" t="str">
        <f>IFERROR(VLOOKUP(B612, Content_Creation!B:H, 7, FALSE), IFERROR(VLOOKUP(B612, Project_Management!B:H, 7, FALSE), ""))</f>
        <v/>
      </c>
      <c r="I612" s="224">
        <v>0.0</v>
      </c>
      <c r="J612" s="223" t="str">
        <f>IFERROR(VLOOKUP(C612, Content_Creation!B:H, 7, FALSE), IFERROR(VLOOKUP(C612, Project_Management!B:H, 7, FALSE), ""))</f>
        <v/>
      </c>
      <c r="K612" s="217"/>
      <c r="L612" s="225" t="str">
        <f>IFERROR(VLOOKUP(B612, Data_Validation!X:Y, 2, FALSE), "")</f>
        <v/>
      </c>
      <c r="M612" s="226" t="str">
        <f t="shared" si="1"/>
        <v> |  -  | </v>
      </c>
      <c r="N612" s="226"/>
      <c r="O612" s="226"/>
    </row>
    <row r="613" ht="24.0" customHeight="1">
      <c r="A613" s="216" t="str">
        <f>IFERROR(__xludf.DUMMYFUNCTION("ARRAYFORMULA(IFERROR(VLOOKUP(REGEXEXTRACT(B613, ""-(\w+)-""), {Data_Validation!$F$16:$F$29, Data_Validation!$E$16:$E$29}, 2, FALSE), """"))
"),"")</f>
        <v/>
      </c>
      <c r="B613" s="217"/>
      <c r="C613" s="218" t="str">
        <f>IFERROR(__xludf.DUMMYFUNCTION("IFERROR(REGEXEXTRACT(B613, ""^[A-Z]+-[A-Z]+-"") &amp; TEXT(VALUE(REGEXEXTRACT(B613, ""-(\d+)\."")), ""00""), """")"),"")</f>
        <v/>
      </c>
      <c r="D613" s="219" t="str">
        <f>IFERROR(VLOOKUP(C613, Content_Creation!B:D, 2, FALSE), IFERROR(VLOOKUP(C613, Project_Management!B:D, 2, FALSE), ""))
&amp; " - "
&amp; IFERROR(VLOOKUP(C613, Content_Creation!B:E, 4, FALSE), IFERROR(VLOOKUP(C613, Project_Management!B:E, 4, FALSE), ""))</f>
        <v> - </v>
      </c>
      <c r="E613" s="220" t="str">
        <f>IFERROR(
    VLOOKUP(B612:B1001, Content_Creation!B:D, 3, FALSE),
    IFERROR(VLOOKUP(B612:B1001, Project_Management!B:D, 3, FALSE),"")
  )</f>
        <v/>
      </c>
      <c r="F613" s="221" t="str">
        <f>IFERROR(VLOOKUP(B613, Content_Creation!B:F, 5, FALSE), IFERROR(VLOOKUP(B613, Project_Management!B:F, 5, FALSE), ""))</f>
        <v/>
      </c>
      <c r="G613" s="222" t="s">
        <v>1317</v>
      </c>
      <c r="H613" s="223" t="str">
        <f>IFERROR(VLOOKUP(B613, Content_Creation!B:H, 7, FALSE), IFERROR(VLOOKUP(B613, Project_Management!B:H, 7, FALSE), ""))</f>
        <v/>
      </c>
      <c r="I613" s="224">
        <v>0.0</v>
      </c>
      <c r="J613" s="223" t="str">
        <f>IFERROR(VLOOKUP(C613, Content_Creation!B:H, 7, FALSE), IFERROR(VLOOKUP(C613, Project_Management!B:H, 7, FALSE), ""))</f>
        <v/>
      </c>
      <c r="K613" s="217"/>
      <c r="L613" s="225" t="str">
        <f>IFERROR(VLOOKUP(B613, Data_Validation!X:Y, 2, FALSE), "")</f>
        <v/>
      </c>
      <c r="M613" s="226" t="str">
        <f t="shared" si="1"/>
        <v> |  -  | </v>
      </c>
      <c r="N613" s="226"/>
      <c r="O613" s="226"/>
    </row>
    <row r="614" ht="24.0" customHeight="1">
      <c r="A614" s="216" t="str">
        <f>IFERROR(__xludf.DUMMYFUNCTION("ARRAYFORMULA(IFERROR(VLOOKUP(REGEXEXTRACT(B614, ""-(\w+)-""), {Data_Validation!$F$16:$F$29, Data_Validation!$E$16:$E$29}, 2, FALSE), """"))
"),"")</f>
        <v/>
      </c>
      <c r="B614" s="217"/>
      <c r="C614" s="218" t="str">
        <f>IFERROR(__xludf.DUMMYFUNCTION("IFERROR(REGEXEXTRACT(B614, ""^[A-Z]+-[A-Z]+-"") &amp; TEXT(VALUE(REGEXEXTRACT(B614, ""-(\d+)\."")), ""00""), """")"),"")</f>
        <v/>
      </c>
      <c r="D614" s="219" t="str">
        <f>IFERROR(VLOOKUP(C614, Content_Creation!B:D, 2, FALSE), IFERROR(VLOOKUP(C614, Project_Management!B:D, 2, FALSE), ""))
&amp; " - "
&amp; IFERROR(VLOOKUP(C614, Content_Creation!B:E, 4, FALSE), IFERROR(VLOOKUP(C614, Project_Management!B:E, 4, FALSE), ""))</f>
        <v> - </v>
      </c>
      <c r="E614" s="220" t="str">
        <f>IFERROR(
    VLOOKUP(B613:B1001, Content_Creation!B:D, 3, FALSE),
    IFERROR(VLOOKUP(B613:B1001, Project_Management!B:D, 3, FALSE),"")
  )</f>
        <v/>
      </c>
      <c r="F614" s="221" t="str">
        <f>IFERROR(VLOOKUP(B614, Content_Creation!B:F, 5, FALSE), IFERROR(VLOOKUP(B614, Project_Management!B:F, 5, FALSE), ""))</f>
        <v/>
      </c>
      <c r="G614" s="222" t="s">
        <v>1317</v>
      </c>
      <c r="H614" s="223" t="str">
        <f>IFERROR(VLOOKUP(B614, Content_Creation!B:H, 7, FALSE), IFERROR(VLOOKUP(B614, Project_Management!B:H, 7, FALSE), ""))</f>
        <v/>
      </c>
      <c r="I614" s="224">
        <v>0.0</v>
      </c>
      <c r="J614" s="223" t="str">
        <f>IFERROR(VLOOKUP(C614, Content_Creation!B:H, 7, FALSE), IFERROR(VLOOKUP(C614, Project_Management!B:H, 7, FALSE), ""))</f>
        <v/>
      </c>
      <c r="K614" s="217"/>
      <c r="L614" s="225" t="str">
        <f>IFERROR(VLOOKUP(B614, Data_Validation!X:Y, 2, FALSE), "")</f>
        <v/>
      </c>
      <c r="M614" s="226" t="str">
        <f t="shared" si="1"/>
        <v> |  -  | </v>
      </c>
      <c r="N614" s="226"/>
      <c r="O614" s="226"/>
    </row>
    <row r="615" ht="24.0" customHeight="1">
      <c r="A615" s="216" t="str">
        <f>IFERROR(__xludf.DUMMYFUNCTION("ARRAYFORMULA(IFERROR(VLOOKUP(REGEXEXTRACT(B615, ""-(\w+)-""), {Data_Validation!$F$16:$F$29, Data_Validation!$E$16:$E$29}, 2, FALSE), """"))
"),"")</f>
        <v/>
      </c>
      <c r="B615" s="217"/>
      <c r="C615" s="218" t="str">
        <f>IFERROR(__xludf.DUMMYFUNCTION("IFERROR(REGEXEXTRACT(B615, ""^[A-Z]+-[A-Z]+-"") &amp; TEXT(VALUE(REGEXEXTRACT(B615, ""-(\d+)\."")), ""00""), """")"),"")</f>
        <v/>
      </c>
      <c r="D615" s="219" t="str">
        <f>IFERROR(VLOOKUP(C615, Content_Creation!B:D, 2, FALSE), IFERROR(VLOOKUP(C615, Project_Management!B:D, 2, FALSE), ""))
&amp; " - "
&amp; IFERROR(VLOOKUP(C615, Content_Creation!B:E, 4, FALSE), IFERROR(VLOOKUP(C615, Project_Management!B:E, 4, FALSE), ""))</f>
        <v> - </v>
      </c>
      <c r="E615" s="220" t="str">
        <f>IFERROR(
    VLOOKUP(B614:B1001, Content_Creation!B:D, 3, FALSE),
    IFERROR(VLOOKUP(B614:B1001, Project_Management!B:D, 3, FALSE),"")
  )</f>
        <v/>
      </c>
      <c r="F615" s="221" t="str">
        <f>IFERROR(VLOOKUP(B615, Content_Creation!B:F, 5, FALSE), IFERROR(VLOOKUP(B615, Project_Management!B:F, 5, FALSE), ""))</f>
        <v/>
      </c>
      <c r="G615" s="222" t="s">
        <v>1317</v>
      </c>
      <c r="H615" s="223" t="str">
        <f>IFERROR(VLOOKUP(B615, Content_Creation!B:H, 7, FALSE), IFERROR(VLOOKUP(B615, Project_Management!B:H, 7, FALSE), ""))</f>
        <v/>
      </c>
      <c r="I615" s="224">
        <v>0.0</v>
      </c>
      <c r="J615" s="223" t="str">
        <f>IFERROR(VLOOKUP(C615, Content_Creation!B:H, 7, FALSE), IFERROR(VLOOKUP(C615, Project_Management!B:H, 7, FALSE), ""))</f>
        <v/>
      </c>
      <c r="K615" s="217"/>
      <c r="L615" s="225" t="str">
        <f>IFERROR(VLOOKUP(B615, Data_Validation!X:Y, 2, FALSE), "")</f>
        <v/>
      </c>
      <c r="M615" s="226" t="str">
        <f t="shared" si="1"/>
        <v> |  -  | </v>
      </c>
      <c r="N615" s="226"/>
      <c r="O615" s="226"/>
    </row>
    <row r="616" ht="24.0" customHeight="1">
      <c r="A616" s="216" t="str">
        <f>IFERROR(__xludf.DUMMYFUNCTION("ARRAYFORMULA(IFERROR(VLOOKUP(REGEXEXTRACT(B616, ""-(\w+)-""), {Data_Validation!$F$16:$F$29, Data_Validation!$E$16:$E$29}, 2, FALSE), """"))
"),"")</f>
        <v/>
      </c>
      <c r="B616" s="217"/>
      <c r="C616" s="218" t="str">
        <f>IFERROR(__xludf.DUMMYFUNCTION("IFERROR(REGEXEXTRACT(B616, ""^[A-Z]+-[A-Z]+-"") &amp; TEXT(VALUE(REGEXEXTRACT(B616, ""-(\d+)\."")), ""00""), """")"),"")</f>
        <v/>
      </c>
      <c r="D616" s="219" t="str">
        <f>IFERROR(VLOOKUP(C616, Content_Creation!B:D, 2, FALSE), IFERROR(VLOOKUP(C616, Project_Management!B:D, 2, FALSE), ""))
&amp; " - "
&amp; IFERROR(VLOOKUP(C616, Content_Creation!B:E, 4, FALSE), IFERROR(VLOOKUP(C616, Project_Management!B:E, 4, FALSE), ""))</f>
        <v> - </v>
      </c>
      <c r="E616" s="220" t="str">
        <f>IFERROR(
    VLOOKUP(B615:B1001, Content_Creation!B:D, 3, FALSE),
    IFERROR(VLOOKUP(B615:B1001, Project_Management!B:D, 3, FALSE),"")
  )</f>
        <v/>
      </c>
      <c r="F616" s="221" t="str">
        <f>IFERROR(VLOOKUP(B616, Content_Creation!B:F, 5, FALSE), IFERROR(VLOOKUP(B616, Project_Management!B:F, 5, FALSE), ""))</f>
        <v/>
      </c>
      <c r="G616" s="222" t="s">
        <v>1317</v>
      </c>
      <c r="H616" s="223" t="str">
        <f>IFERROR(VLOOKUP(B616, Content_Creation!B:H, 7, FALSE), IFERROR(VLOOKUP(B616, Project_Management!B:H, 7, FALSE), ""))</f>
        <v/>
      </c>
      <c r="I616" s="224">
        <v>0.0</v>
      </c>
      <c r="J616" s="223" t="str">
        <f>IFERROR(VLOOKUP(C616, Content_Creation!B:H, 7, FALSE), IFERROR(VLOOKUP(C616, Project_Management!B:H, 7, FALSE), ""))</f>
        <v/>
      </c>
      <c r="K616" s="217"/>
      <c r="L616" s="225" t="str">
        <f>IFERROR(VLOOKUP(B616, Data_Validation!X:Y, 2, FALSE), "")</f>
        <v/>
      </c>
      <c r="M616" s="226" t="str">
        <f t="shared" si="1"/>
        <v> |  -  | </v>
      </c>
      <c r="N616" s="226"/>
      <c r="O616" s="226"/>
    </row>
    <row r="617" ht="24.0" customHeight="1">
      <c r="A617" s="216" t="str">
        <f>IFERROR(__xludf.DUMMYFUNCTION("ARRAYFORMULA(IFERROR(VLOOKUP(REGEXEXTRACT(B617, ""-(\w+)-""), {Data_Validation!$F$16:$F$29, Data_Validation!$E$16:$E$29}, 2, FALSE), """"))
"),"")</f>
        <v/>
      </c>
      <c r="B617" s="217"/>
      <c r="C617" s="218" t="str">
        <f>IFERROR(__xludf.DUMMYFUNCTION("IFERROR(REGEXEXTRACT(B617, ""^[A-Z]+-[A-Z]+-"") &amp; TEXT(VALUE(REGEXEXTRACT(B617, ""-(\d+)\."")), ""00""), """")"),"")</f>
        <v/>
      </c>
      <c r="D617" s="219" t="str">
        <f>IFERROR(VLOOKUP(C617, Content_Creation!B:D, 2, FALSE), IFERROR(VLOOKUP(C617, Project_Management!B:D, 2, FALSE), ""))
&amp; " - "
&amp; IFERROR(VLOOKUP(C617, Content_Creation!B:E, 4, FALSE), IFERROR(VLOOKUP(C617, Project_Management!B:E, 4, FALSE), ""))</f>
        <v> - </v>
      </c>
      <c r="E617" s="220" t="str">
        <f>IFERROR(
    VLOOKUP(B616:B1001, Content_Creation!B:D, 3, FALSE),
    IFERROR(VLOOKUP(B616:B1001, Project_Management!B:D, 3, FALSE),"")
  )</f>
        <v/>
      </c>
      <c r="F617" s="221" t="str">
        <f>IFERROR(VLOOKUP(B617, Content_Creation!B:F, 5, FALSE), IFERROR(VLOOKUP(B617, Project_Management!B:F, 5, FALSE), ""))</f>
        <v/>
      </c>
      <c r="G617" s="222" t="s">
        <v>1317</v>
      </c>
      <c r="H617" s="223" t="str">
        <f>IFERROR(VLOOKUP(B617, Content_Creation!B:H, 7, FALSE), IFERROR(VLOOKUP(B617, Project_Management!B:H, 7, FALSE), ""))</f>
        <v/>
      </c>
      <c r="I617" s="224">
        <v>0.0</v>
      </c>
      <c r="J617" s="223" t="str">
        <f>IFERROR(VLOOKUP(C617, Content_Creation!B:H, 7, FALSE), IFERROR(VLOOKUP(C617, Project_Management!B:H, 7, FALSE), ""))</f>
        <v/>
      </c>
      <c r="K617" s="217"/>
      <c r="L617" s="225" t="str">
        <f>IFERROR(VLOOKUP(B617, Data_Validation!X:Y, 2, FALSE), "")</f>
        <v/>
      </c>
      <c r="M617" s="226" t="str">
        <f t="shared" si="1"/>
        <v> |  -  | </v>
      </c>
      <c r="N617" s="226"/>
      <c r="O617" s="226"/>
    </row>
    <row r="618" ht="24.0" customHeight="1">
      <c r="A618" s="216" t="str">
        <f>IFERROR(__xludf.DUMMYFUNCTION("ARRAYFORMULA(IFERROR(VLOOKUP(REGEXEXTRACT(B618, ""-(\w+)-""), {Data_Validation!$F$16:$F$29, Data_Validation!$E$16:$E$29}, 2, FALSE), """"))
"),"")</f>
        <v/>
      </c>
      <c r="B618" s="217"/>
      <c r="C618" s="218" t="str">
        <f>IFERROR(__xludf.DUMMYFUNCTION("IFERROR(REGEXEXTRACT(B618, ""^[A-Z]+-[A-Z]+-"") &amp; TEXT(VALUE(REGEXEXTRACT(B618, ""-(\d+)\."")), ""00""), """")"),"")</f>
        <v/>
      </c>
      <c r="D618" s="219" t="str">
        <f>IFERROR(VLOOKUP(C618, Content_Creation!B:D, 2, FALSE), IFERROR(VLOOKUP(C618, Project_Management!B:D, 2, FALSE), ""))
&amp; " - "
&amp; IFERROR(VLOOKUP(C618, Content_Creation!B:E, 4, FALSE), IFERROR(VLOOKUP(C618, Project_Management!B:E, 4, FALSE), ""))</f>
        <v> - </v>
      </c>
      <c r="E618" s="220" t="str">
        <f>IFERROR(
    VLOOKUP(B617:B1001, Content_Creation!B:D, 3, FALSE),
    IFERROR(VLOOKUP(B617:B1001, Project_Management!B:D, 3, FALSE),"")
  )</f>
        <v/>
      </c>
      <c r="F618" s="221" t="str">
        <f>IFERROR(VLOOKUP(B618, Content_Creation!B:F, 5, FALSE), IFERROR(VLOOKUP(B618, Project_Management!B:F, 5, FALSE), ""))</f>
        <v/>
      </c>
      <c r="G618" s="222" t="s">
        <v>1317</v>
      </c>
      <c r="H618" s="223" t="str">
        <f>IFERROR(VLOOKUP(B618, Content_Creation!B:H, 7, FALSE), IFERROR(VLOOKUP(B618, Project_Management!B:H, 7, FALSE), ""))</f>
        <v/>
      </c>
      <c r="I618" s="224">
        <v>0.0</v>
      </c>
      <c r="J618" s="223" t="str">
        <f>IFERROR(VLOOKUP(C618, Content_Creation!B:H, 7, FALSE), IFERROR(VLOOKUP(C618, Project_Management!B:H, 7, FALSE), ""))</f>
        <v/>
      </c>
      <c r="K618" s="217"/>
      <c r="L618" s="225" t="str">
        <f>IFERROR(VLOOKUP(B618, Data_Validation!X:Y, 2, FALSE), "")</f>
        <v/>
      </c>
      <c r="M618" s="226" t="str">
        <f t="shared" si="1"/>
        <v> |  -  | </v>
      </c>
      <c r="N618" s="226"/>
      <c r="O618" s="226"/>
    </row>
    <row r="619" ht="24.0" customHeight="1">
      <c r="A619" s="216" t="str">
        <f>IFERROR(__xludf.DUMMYFUNCTION("ARRAYFORMULA(IFERROR(VLOOKUP(REGEXEXTRACT(B619, ""-(\w+)-""), {Data_Validation!$F$16:$F$29, Data_Validation!$E$16:$E$29}, 2, FALSE), """"))
"),"")</f>
        <v/>
      </c>
      <c r="B619" s="217"/>
      <c r="C619" s="218" t="str">
        <f>IFERROR(__xludf.DUMMYFUNCTION("IFERROR(REGEXEXTRACT(B619, ""^[A-Z]+-[A-Z]+-"") &amp; TEXT(VALUE(REGEXEXTRACT(B619, ""-(\d+)\."")), ""00""), """")"),"")</f>
        <v/>
      </c>
      <c r="D619" s="219" t="str">
        <f>IFERROR(VLOOKUP(C619, Content_Creation!B:D, 2, FALSE), IFERROR(VLOOKUP(C619, Project_Management!B:D, 2, FALSE), ""))
&amp; " - "
&amp; IFERROR(VLOOKUP(C619, Content_Creation!B:E, 4, FALSE), IFERROR(VLOOKUP(C619, Project_Management!B:E, 4, FALSE), ""))</f>
        <v> - </v>
      </c>
      <c r="E619" s="220" t="str">
        <f>IFERROR(
    VLOOKUP(B618:B1001, Content_Creation!B:D, 3, FALSE),
    IFERROR(VLOOKUP(B618:B1001, Project_Management!B:D, 3, FALSE),"")
  )</f>
        <v/>
      </c>
      <c r="F619" s="221" t="str">
        <f>IFERROR(VLOOKUP(B619, Content_Creation!B:F, 5, FALSE), IFERROR(VLOOKUP(B619, Project_Management!B:F, 5, FALSE), ""))</f>
        <v/>
      </c>
      <c r="G619" s="222" t="s">
        <v>1317</v>
      </c>
      <c r="H619" s="223" t="str">
        <f>IFERROR(VLOOKUP(B619, Content_Creation!B:H, 7, FALSE), IFERROR(VLOOKUP(B619, Project_Management!B:H, 7, FALSE), ""))</f>
        <v/>
      </c>
      <c r="I619" s="224">
        <v>0.0</v>
      </c>
      <c r="J619" s="223" t="str">
        <f>IFERROR(VLOOKUP(C619, Content_Creation!B:H, 7, FALSE), IFERROR(VLOOKUP(C619, Project_Management!B:H, 7, FALSE), ""))</f>
        <v/>
      </c>
      <c r="K619" s="217"/>
      <c r="L619" s="225" t="str">
        <f>IFERROR(VLOOKUP(B619, Data_Validation!X:Y, 2, FALSE), "")</f>
        <v/>
      </c>
      <c r="M619" s="226" t="str">
        <f t="shared" si="1"/>
        <v> |  -  | </v>
      </c>
      <c r="N619" s="226"/>
      <c r="O619" s="226"/>
    </row>
    <row r="620" ht="24.0" customHeight="1">
      <c r="A620" s="216" t="str">
        <f>IFERROR(__xludf.DUMMYFUNCTION("ARRAYFORMULA(IFERROR(VLOOKUP(REGEXEXTRACT(B620, ""-(\w+)-""), {Data_Validation!$F$16:$F$29, Data_Validation!$E$16:$E$29}, 2, FALSE), """"))
"),"")</f>
        <v/>
      </c>
      <c r="B620" s="217"/>
      <c r="C620" s="218" t="str">
        <f>IFERROR(__xludf.DUMMYFUNCTION("IFERROR(REGEXEXTRACT(B620, ""^[A-Z]+-[A-Z]+-"") &amp; TEXT(VALUE(REGEXEXTRACT(B620, ""-(\d+)\."")), ""00""), """")"),"")</f>
        <v/>
      </c>
      <c r="D620" s="219" t="str">
        <f>IFERROR(VLOOKUP(C620, Content_Creation!B:D, 2, FALSE), IFERROR(VLOOKUP(C620, Project_Management!B:D, 2, FALSE), ""))
&amp; " - "
&amp; IFERROR(VLOOKUP(C620, Content_Creation!B:E, 4, FALSE), IFERROR(VLOOKUP(C620, Project_Management!B:E, 4, FALSE), ""))</f>
        <v> - </v>
      </c>
      <c r="E620" s="220" t="str">
        <f>IFERROR(
    VLOOKUP(B619:B1001, Content_Creation!B:D, 3, FALSE),
    IFERROR(VLOOKUP(B619:B1001, Project_Management!B:D, 3, FALSE),"")
  )</f>
        <v/>
      </c>
      <c r="F620" s="221" t="str">
        <f>IFERROR(VLOOKUP(B620, Content_Creation!B:F, 5, FALSE), IFERROR(VLOOKUP(B620, Project_Management!B:F, 5, FALSE), ""))</f>
        <v/>
      </c>
      <c r="G620" s="222" t="s">
        <v>1317</v>
      </c>
      <c r="H620" s="223" t="str">
        <f>IFERROR(VLOOKUP(B620, Content_Creation!B:H, 7, FALSE), IFERROR(VLOOKUP(B620, Project_Management!B:H, 7, FALSE), ""))</f>
        <v/>
      </c>
      <c r="I620" s="224">
        <v>0.0</v>
      </c>
      <c r="J620" s="223" t="str">
        <f>IFERROR(VLOOKUP(C620, Content_Creation!B:H, 7, FALSE), IFERROR(VLOOKUP(C620, Project_Management!B:H, 7, FALSE), ""))</f>
        <v/>
      </c>
      <c r="K620" s="217"/>
      <c r="L620" s="225" t="str">
        <f>IFERROR(VLOOKUP(B620, Data_Validation!X:Y, 2, FALSE), "")</f>
        <v/>
      </c>
      <c r="M620" s="226" t="str">
        <f t="shared" si="1"/>
        <v> |  -  | </v>
      </c>
      <c r="N620" s="226"/>
      <c r="O620" s="226"/>
    </row>
    <row r="621" ht="24.0" customHeight="1">
      <c r="A621" s="216" t="str">
        <f>IFERROR(__xludf.DUMMYFUNCTION("ARRAYFORMULA(IFERROR(VLOOKUP(REGEXEXTRACT(B621, ""-(\w+)-""), {Data_Validation!$F$16:$F$29, Data_Validation!$E$16:$E$29}, 2, FALSE), """"))
"),"")</f>
        <v/>
      </c>
      <c r="B621" s="217"/>
      <c r="C621" s="218" t="str">
        <f>IFERROR(__xludf.DUMMYFUNCTION("IFERROR(REGEXEXTRACT(B621, ""^[A-Z]+-[A-Z]+-"") &amp; TEXT(VALUE(REGEXEXTRACT(B621, ""-(\d+)\."")), ""00""), """")"),"")</f>
        <v/>
      </c>
      <c r="D621" s="219" t="str">
        <f>IFERROR(VLOOKUP(C621, Content_Creation!B:D, 2, FALSE), IFERROR(VLOOKUP(C621, Project_Management!B:D, 2, FALSE), ""))
&amp; " - "
&amp; IFERROR(VLOOKUP(C621, Content_Creation!B:E, 4, FALSE), IFERROR(VLOOKUP(C621, Project_Management!B:E, 4, FALSE), ""))</f>
        <v> - </v>
      </c>
      <c r="E621" s="220" t="str">
        <f>IFERROR(
    VLOOKUP(B620:B1001, Content_Creation!B:D, 3, FALSE),
    IFERROR(VLOOKUP(B620:B1001, Project_Management!B:D, 3, FALSE),"")
  )</f>
        <v/>
      </c>
      <c r="F621" s="221" t="str">
        <f>IFERROR(VLOOKUP(B621, Content_Creation!B:F, 5, FALSE), IFERROR(VLOOKUP(B621, Project_Management!B:F, 5, FALSE), ""))</f>
        <v/>
      </c>
      <c r="G621" s="222" t="s">
        <v>1317</v>
      </c>
      <c r="H621" s="223" t="str">
        <f>IFERROR(VLOOKUP(B621, Content_Creation!B:H, 7, FALSE), IFERROR(VLOOKUP(B621, Project_Management!B:H, 7, FALSE), ""))</f>
        <v/>
      </c>
      <c r="I621" s="224">
        <v>0.0</v>
      </c>
      <c r="J621" s="223" t="str">
        <f>IFERROR(VLOOKUP(C621, Content_Creation!B:H, 7, FALSE), IFERROR(VLOOKUP(C621, Project_Management!B:H, 7, FALSE), ""))</f>
        <v/>
      </c>
      <c r="K621" s="217"/>
      <c r="L621" s="225" t="str">
        <f>IFERROR(VLOOKUP(B621, Data_Validation!X:Y, 2, FALSE), "")</f>
        <v/>
      </c>
      <c r="M621" s="226" t="str">
        <f t="shared" si="1"/>
        <v> |  -  | </v>
      </c>
      <c r="N621" s="226"/>
      <c r="O621" s="226"/>
    </row>
    <row r="622" ht="24.0" customHeight="1">
      <c r="A622" s="216" t="str">
        <f>IFERROR(__xludf.DUMMYFUNCTION("ARRAYFORMULA(IFERROR(VLOOKUP(REGEXEXTRACT(B622, ""-(\w+)-""), {Data_Validation!$F$16:$F$29, Data_Validation!$E$16:$E$29}, 2, FALSE), """"))
"),"")</f>
        <v/>
      </c>
      <c r="B622" s="217"/>
      <c r="C622" s="218" t="str">
        <f>IFERROR(__xludf.DUMMYFUNCTION("IFERROR(REGEXEXTRACT(B622, ""^[A-Z]+-[A-Z]+-"") &amp; TEXT(VALUE(REGEXEXTRACT(B622, ""-(\d+)\."")), ""00""), """")"),"")</f>
        <v/>
      </c>
      <c r="D622" s="219" t="str">
        <f>IFERROR(VLOOKUP(C622, Content_Creation!B:D, 2, FALSE), IFERROR(VLOOKUP(C622, Project_Management!B:D, 2, FALSE), ""))
&amp; " - "
&amp; IFERROR(VLOOKUP(C622, Content_Creation!B:E, 4, FALSE), IFERROR(VLOOKUP(C622, Project_Management!B:E, 4, FALSE), ""))</f>
        <v> - </v>
      </c>
      <c r="E622" s="220" t="str">
        <f>IFERROR(
    VLOOKUP(B621:B1001, Content_Creation!B:D, 3, FALSE),
    IFERROR(VLOOKUP(B621:B1001, Project_Management!B:D, 3, FALSE),"")
  )</f>
        <v/>
      </c>
      <c r="F622" s="221" t="str">
        <f>IFERROR(VLOOKUP(B622, Content_Creation!B:F, 5, FALSE), IFERROR(VLOOKUP(B622, Project_Management!B:F, 5, FALSE), ""))</f>
        <v/>
      </c>
      <c r="G622" s="222" t="s">
        <v>1317</v>
      </c>
      <c r="H622" s="223" t="str">
        <f>IFERROR(VLOOKUP(B622, Content_Creation!B:H, 7, FALSE), IFERROR(VLOOKUP(B622, Project_Management!B:H, 7, FALSE), ""))</f>
        <v/>
      </c>
      <c r="I622" s="224">
        <v>0.0</v>
      </c>
      <c r="J622" s="223" t="str">
        <f>IFERROR(VLOOKUP(C622, Content_Creation!B:H, 7, FALSE), IFERROR(VLOOKUP(C622, Project_Management!B:H, 7, FALSE), ""))</f>
        <v/>
      </c>
      <c r="K622" s="217"/>
      <c r="L622" s="225" t="str">
        <f>IFERROR(VLOOKUP(B622, Data_Validation!X:Y, 2, FALSE), "")</f>
        <v/>
      </c>
      <c r="M622" s="226" t="str">
        <f t="shared" si="1"/>
        <v> |  -  | </v>
      </c>
      <c r="N622" s="226"/>
      <c r="O622" s="226"/>
    </row>
    <row r="623" ht="24.0" customHeight="1">
      <c r="A623" s="216" t="str">
        <f>IFERROR(__xludf.DUMMYFUNCTION("ARRAYFORMULA(IFERROR(VLOOKUP(REGEXEXTRACT(B623, ""-(\w+)-""), {Data_Validation!$F$16:$F$29, Data_Validation!$E$16:$E$29}, 2, FALSE), """"))
"),"")</f>
        <v/>
      </c>
      <c r="B623" s="217"/>
      <c r="C623" s="218" t="str">
        <f>IFERROR(__xludf.DUMMYFUNCTION("IFERROR(REGEXEXTRACT(B623, ""^[A-Z]+-[A-Z]+-"") &amp; TEXT(VALUE(REGEXEXTRACT(B623, ""-(\d+)\."")), ""00""), """")"),"")</f>
        <v/>
      </c>
      <c r="D623" s="219" t="str">
        <f>IFERROR(VLOOKUP(C623, Content_Creation!B:D, 2, FALSE), IFERROR(VLOOKUP(C623, Project_Management!B:D, 2, FALSE), ""))
&amp; " - "
&amp; IFERROR(VLOOKUP(C623, Content_Creation!B:E, 4, FALSE), IFERROR(VLOOKUP(C623, Project_Management!B:E, 4, FALSE), ""))</f>
        <v> - </v>
      </c>
      <c r="E623" s="220" t="str">
        <f>IFERROR(
    VLOOKUP(B622:B1001, Content_Creation!B:D, 3, FALSE),
    IFERROR(VLOOKUP(B622:B1001, Project_Management!B:D, 3, FALSE),"")
  )</f>
        <v/>
      </c>
      <c r="F623" s="221" t="str">
        <f>IFERROR(VLOOKUP(B623, Content_Creation!B:F, 5, FALSE), IFERROR(VLOOKUP(B623, Project_Management!B:F, 5, FALSE), ""))</f>
        <v/>
      </c>
      <c r="G623" s="222" t="s">
        <v>1317</v>
      </c>
      <c r="H623" s="223" t="str">
        <f>IFERROR(VLOOKUP(B623, Content_Creation!B:H, 7, FALSE), IFERROR(VLOOKUP(B623, Project_Management!B:H, 7, FALSE), ""))</f>
        <v/>
      </c>
      <c r="I623" s="224">
        <v>0.0</v>
      </c>
      <c r="J623" s="223" t="str">
        <f>IFERROR(VLOOKUP(C623, Content_Creation!B:H, 7, FALSE), IFERROR(VLOOKUP(C623, Project_Management!B:H, 7, FALSE), ""))</f>
        <v/>
      </c>
      <c r="K623" s="217"/>
      <c r="L623" s="225" t="str">
        <f>IFERROR(VLOOKUP(B623, Data_Validation!X:Y, 2, FALSE), "")</f>
        <v/>
      </c>
      <c r="M623" s="226" t="str">
        <f t="shared" si="1"/>
        <v> |  -  | </v>
      </c>
      <c r="N623" s="226"/>
      <c r="O623" s="226"/>
    </row>
    <row r="624" ht="24.0" customHeight="1">
      <c r="A624" s="216" t="str">
        <f>IFERROR(__xludf.DUMMYFUNCTION("ARRAYFORMULA(IFERROR(VLOOKUP(REGEXEXTRACT(B624, ""-(\w+)-""), {Data_Validation!$F$16:$F$29, Data_Validation!$E$16:$E$29}, 2, FALSE), """"))
"),"")</f>
        <v/>
      </c>
      <c r="B624" s="217"/>
      <c r="C624" s="218" t="str">
        <f>IFERROR(__xludf.DUMMYFUNCTION("IFERROR(REGEXEXTRACT(B624, ""^[A-Z]+-[A-Z]+-"") &amp; TEXT(VALUE(REGEXEXTRACT(B624, ""-(\d+)\."")), ""00""), """")"),"")</f>
        <v/>
      </c>
      <c r="D624" s="219" t="str">
        <f>IFERROR(VLOOKUP(C624, Content_Creation!B:D, 2, FALSE), IFERROR(VLOOKUP(C624, Project_Management!B:D, 2, FALSE), ""))
&amp; " - "
&amp; IFERROR(VLOOKUP(C624, Content_Creation!B:E, 4, FALSE), IFERROR(VLOOKUP(C624, Project_Management!B:E, 4, FALSE), ""))</f>
        <v> - </v>
      </c>
      <c r="E624" s="220" t="str">
        <f>IFERROR(
    VLOOKUP(B623:B1001, Content_Creation!B:D, 3, FALSE),
    IFERROR(VLOOKUP(B623:B1001, Project_Management!B:D, 3, FALSE),"")
  )</f>
        <v/>
      </c>
      <c r="F624" s="221" t="str">
        <f>IFERROR(VLOOKUP(B624, Content_Creation!B:F, 5, FALSE), IFERROR(VLOOKUP(B624, Project_Management!B:F, 5, FALSE), ""))</f>
        <v/>
      </c>
      <c r="G624" s="222" t="s">
        <v>1317</v>
      </c>
      <c r="H624" s="223" t="str">
        <f>IFERROR(VLOOKUP(B624, Content_Creation!B:H, 7, FALSE), IFERROR(VLOOKUP(B624, Project_Management!B:H, 7, FALSE), ""))</f>
        <v/>
      </c>
      <c r="I624" s="224">
        <v>0.0</v>
      </c>
      <c r="J624" s="223" t="str">
        <f>IFERROR(VLOOKUP(C624, Content_Creation!B:H, 7, FALSE), IFERROR(VLOOKUP(C624, Project_Management!B:H, 7, FALSE), ""))</f>
        <v/>
      </c>
      <c r="K624" s="217"/>
      <c r="L624" s="225" t="str">
        <f>IFERROR(VLOOKUP(B624, Data_Validation!X:Y, 2, FALSE), "")</f>
        <v/>
      </c>
      <c r="M624" s="226" t="str">
        <f t="shared" si="1"/>
        <v> |  -  | </v>
      </c>
      <c r="N624" s="226"/>
      <c r="O624" s="226"/>
    </row>
    <row r="625" ht="24.0" customHeight="1">
      <c r="A625" s="216" t="str">
        <f>IFERROR(__xludf.DUMMYFUNCTION("ARRAYFORMULA(IFERROR(VLOOKUP(REGEXEXTRACT(B625, ""-(\w+)-""), {Data_Validation!$F$16:$F$29, Data_Validation!$E$16:$E$29}, 2, FALSE), """"))
"),"")</f>
        <v/>
      </c>
      <c r="B625" s="217"/>
      <c r="C625" s="218" t="str">
        <f>IFERROR(__xludf.DUMMYFUNCTION("IFERROR(REGEXEXTRACT(B625, ""^[A-Z]+-[A-Z]+-"") &amp; TEXT(VALUE(REGEXEXTRACT(B625, ""-(\d+)\."")), ""00""), """")"),"")</f>
        <v/>
      </c>
      <c r="D625" s="219" t="str">
        <f>IFERROR(VLOOKUP(C625, Content_Creation!B:D, 2, FALSE), IFERROR(VLOOKUP(C625, Project_Management!B:D, 2, FALSE), ""))
&amp; " - "
&amp; IFERROR(VLOOKUP(C625, Content_Creation!B:E, 4, FALSE), IFERROR(VLOOKUP(C625, Project_Management!B:E, 4, FALSE), ""))</f>
        <v> - </v>
      </c>
      <c r="E625" s="220" t="str">
        <f>IFERROR(
    VLOOKUP(B624:B1001, Content_Creation!B:D, 3, FALSE),
    IFERROR(VLOOKUP(B624:B1001, Project_Management!B:D, 3, FALSE),"")
  )</f>
        <v/>
      </c>
      <c r="F625" s="221" t="str">
        <f>IFERROR(VLOOKUP(B625, Content_Creation!B:F, 5, FALSE), IFERROR(VLOOKUP(B625, Project_Management!B:F, 5, FALSE), ""))</f>
        <v/>
      </c>
      <c r="G625" s="222" t="s">
        <v>1317</v>
      </c>
      <c r="H625" s="223" t="str">
        <f>IFERROR(VLOOKUP(B625, Content_Creation!B:H, 7, FALSE), IFERROR(VLOOKUP(B625, Project_Management!B:H, 7, FALSE), ""))</f>
        <v/>
      </c>
      <c r="I625" s="224">
        <v>0.0</v>
      </c>
      <c r="J625" s="223" t="str">
        <f>IFERROR(VLOOKUP(C625, Content_Creation!B:H, 7, FALSE), IFERROR(VLOOKUP(C625, Project_Management!B:H, 7, FALSE), ""))</f>
        <v/>
      </c>
      <c r="K625" s="217"/>
      <c r="L625" s="225" t="str">
        <f>IFERROR(VLOOKUP(B625, Data_Validation!X:Y, 2, FALSE), "")</f>
        <v/>
      </c>
      <c r="M625" s="226" t="str">
        <f t="shared" si="1"/>
        <v> |  -  | </v>
      </c>
      <c r="N625" s="226"/>
      <c r="O625" s="226"/>
    </row>
    <row r="626" ht="24.0" customHeight="1">
      <c r="A626" s="216" t="str">
        <f>IFERROR(__xludf.DUMMYFUNCTION("ARRAYFORMULA(IFERROR(VLOOKUP(REGEXEXTRACT(B626, ""-(\w+)-""), {Data_Validation!$F$16:$F$29, Data_Validation!$E$16:$E$29}, 2, FALSE), """"))
"),"")</f>
        <v/>
      </c>
      <c r="B626" s="217"/>
      <c r="C626" s="218" t="str">
        <f>IFERROR(__xludf.DUMMYFUNCTION("IFERROR(REGEXEXTRACT(B626, ""^[A-Z]+-[A-Z]+-"") &amp; TEXT(VALUE(REGEXEXTRACT(B626, ""-(\d+)\."")), ""00""), """")"),"")</f>
        <v/>
      </c>
      <c r="D626" s="219" t="str">
        <f>IFERROR(VLOOKUP(C626, Content_Creation!B:D, 2, FALSE), IFERROR(VLOOKUP(C626, Project_Management!B:D, 2, FALSE), ""))
&amp; " - "
&amp; IFERROR(VLOOKUP(C626, Content_Creation!B:E, 4, FALSE), IFERROR(VLOOKUP(C626, Project_Management!B:E, 4, FALSE), ""))</f>
        <v> - </v>
      </c>
      <c r="E626" s="220" t="str">
        <f>IFERROR(
    VLOOKUP(B625:B1001, Content_Creation!B:D, 3, FALSE),
    IFERROR(VLOOKUP(B625:B1001, Project_Management!B:D, 3, FALSE),"")
  )</f>
        <v/>
      </c>
      <c r="F626" s="221" t="str">
        <f>IFERROR(VLOOKUP(B626, Content_Creation!B:F, 5, FALSE), IFERROR(VLOOKUP(B626, Project_Management!B:F, 5, FALSE), ""))</f>
        <v/>
      </c>
      <c r="G626" s="222" t="s">
        <v>1317</v>
      </c>
      <c r="H626" s="223" t="str">
        <f>IFERROR(VLOOKUP(B626, Content_Creation!B:H, 7, FALSE), IFERROR(VLOOKUP(B626, Project_Management!B:H, 7, FALSE), ""))</f>
        <v/>
      </c>
      <c r="I626" s="224">
        <v>0.0</v>
      </c>
      <c r="J626" s="223" t="str">
        <f>IFERROR(VLOOKUP(C626, Content_Creation!B:H, 7, FALSE), IFERROR(VLOOKUP(C626, Project_Management!B:H, 7, FALSE), ""))</f>
        <v/>
      </c>
      <c r="K626" s="217"/>
      <c r="L626" s="225" t="str">
        <f>IFERROR(VLOOKUP(B626, Data_Validation!X:Y, 2, FALSE), "")</f>
        <v/>
      </c>
      <c r="M626" s="226" t="str">
        <f t="shared" si="1"/>
        <v> |  -  | </v>
      </c>
      <c r="N626" s="226"/>
      <c r="O626" s="226"/>
    </row>
    <row r="627" ht="24.0" customHeight="1">
      <c r="A627" s="216" t="str">
        <f>IFERROR(__xludf.DUMMYFUNCTION("ARRAYFORMULA(IFERROR(VLOOKUP(REGEXEXTRACT(B627, ""-(\w+)-""), {Data_Validation!$F$16:$F$29, Data_Validation!$E$16:$E$29}, 2, FALSE), """"))
"),"")</f>
        <v/>
      </c>
      <c r="B627" s="217"/>
      <c r="C627" s="218" t="str">
        <f>IFERROR(__xludf.DUMMYFUNCTION("IFERROR(REGEXEXTRACT(B627, ""^[A-Z]+-[A-Z]+-"") &amp; TEXT(VALUE(REGEXEXTRACT(B627, ""-(\d+)\."")), ""00""), """")"),"")</f>
        <v/>
      </c>
      <c r="D627" s="219" t="str">
        <f>IFERROR(VLOOKUP(C627, Content_Creation!B:D, 2, FALSE), IFERROR(VLOOKUP(C627, Project_Management!B:D, 2, FALSE), ""))
&amp; " - "
&amp; IFERROR(VLOOKUP(C627, Content_Creation!B:E, 4, FALSE), IFERROR(VLOOKUP(C627, Project_Management!B:E, 4, FALSE), ""))</f>
        <v> - </v>
      </c>
      <c r="E627" s="220" t="str">
        <f>IFERROR(
    VLOOKUP(B626:B1001, Content_Creation!B:D, 3, FALSE),
    IFERROR(VLOOKUP(B626:B1001, Project_Management!B:D, 3, FALSE),"")
  )</f>
        <v/>
      </c>
      <c r="F627" s="221" t="str">
        <f>IFERROR(VLOOKUP(B627, Content_Creation!B:F, 5, FALSE), IFERROR(VLOOKUP(B627, Project_Management!B:F, 5, FALSE), ""))</f>
        <v/>
      </c>
      <c r="G627" s="222" t="s">
        <v>1317</v>
      </c>
      <c r="H627" s="223" t="str">
        <f>IFERROR(VLOOKUP(B627, Content_Creation!B:H, 7, FALSE), IFERROR(VLOOKUP(B627, Project_Management!B:H, 7, FALSE), ""))</f>
        <v/>
      </c>
      <c r="I627" s="224">
        <v>0.0</v>
      </c>
      <c r="J627" s="223" t="str">
        <f>IFERROR(VLOOKUP(C627, Content_Creation!B:H, 7, FALSE), IFERROR(VLOOKUP(C627, Project_Management!B:H, 7, FALSE), ""))</f>
        <v/>
      </c>
      <c r="K627" s="217"/>
      <c r="L627" s="225" t="str">
        <f>IFERROR(VLOOKUP(B627, Data_Validation!X:Y, 2, FALSE), "")</f>
        <v/>
      </c>
      <c r="M627" s="226" t="str">
        <f t="shared" si="1"/>
        <v> |  -  | </v>
      </c>
      <c r="N627" s="226"/>
      <c r="O627" s="226"/>
    </row>
    <row r="628" ht="24.0" customHeight="1">
      <c r="A628" s="216" t="str">
        <f>IFERROR(__xludf.DUMMYFUNCTION("ARRAYFORMULA(IFERROR(VLOOKUP(REGEXEXTRACT(B628, ""-(\w+)-""), {Data_Validation!$F$16:$F$29, Data_Validation!$E$16:$E$29}, 2, FALSE), """"))
"),"")</f>
        <v/>
      </c>
      <c r="B628" s="217"/>
      <c r="C628" s="218" t="str">
        <f>IFERROR(__xludf.DUMMYFUNCTION("IFERROR(REGEXEXTRACT(B628, ""^[A-Z]+-[A-Z]+-"") &amp; TEXT(VALUE(REGEXEXTRACT(B628, ""-(\d+)\."")), ""00""), """")"),"")</f>
        <v/>
      </c>
      <c r="D628" s="219" t="str">
        <f>IFERROR(VLOOKUP(C628, Content_Creation!B:D, 2, FALSE), IFERROR(VLOOKUP(C628, Project_Management!B:D, 2, FALSE), ""))
&amp; " - "
&amp; IFERROR(VLOOKUP(C628, Content_Creation!B:E, 4, FALSE), IFERROR(VLOOKUP(C628, Project_Management!B:E, 4, FALSE), ""))</f>
        <v> - </v>
      </c>
      <c r="E628" s="220" t="str">
        <f>IFERROR(
    VLOOKUP(B627:B1001, Content_Creation!B:D, 3, FALSE),
    IFERROR(VLOOKUP(B627:B1001, Project_Management!B:D, 3, FALSE),"")
  )</f>
        <v/>
      </c>
      <c r="F628" s="221" t="str">
        <f>IFERROR(VLOOKUP(B628, Content_Creation!B:F, 5, FALSE), IFERROR(VLOOKUP(B628, Project_Management!B:F, 5, FALSE), ""))</f>
        <v/>
      </c>
      <c r="G628" s="222" t="s">
        <v>1317</v>
      </c>
      <c r="H628" s="223" t="str">
        <f>IFERROR(VLOOKUP(B628, Content_Creation!B:H, 7, FALSE), IFERROR(VLOOKUP(B628, Project_Management!B:H, 7, FALSE), ""))</f>
        <v/>
      </c>
      <c r="I628" s="224">
        <v>0.0</v>
      </c>
      <c r="J628" s="223" t="str">
        <f>IFERROR(VLOOKUP(C628, Content_Creation!B:H, 7, FALSE), IFERROR(VLOOKUP(C628, Project_Management!B:H, 7, FALSE), ""))</f>
        <v/>
      </c>
      <c r="K628" s="217"/>
      <c r="L628" s="225" t="str">
        <f>IFERROR(VLOOKUP(B628, Data_Validation!X:Y, 2, FALSE), "")</f>
        <v/>
      </c>
      <c r="M628" s="226" t="str">
        <f t="shared" si="1"/>
        <v> |  -  | </v>
      </c>
      <c r="N628" s="226"/>
      <c r="O628" s="226"/>
    </row>
    <row r="629" ht="24.0" customHeight="1">
      <c r="A629" s="216" t="str">
        <f>IFERROR(__xludf.DUMMYFUNCTION("ARRAYFORMULA(IFERROR(VLOOKUP(REGEXEXTRACT(B629, ""-(\w+)-""), {Data_Validation!$F$16:$F$29, Data_Validation!$E$16:$E$29}, 2, FALSE), """"))
"),"")</f>
        <v/>
      </c>
      <c r="B629" s="217"/>
      <c r="C629" s="218" t="str">
        <f>IFERROR(__xludf.DUMMYFUNCTION("IFERROR(REGEXEXTRACT(B629, ""^[A-Z]+-[A-Z]+-"") &amp; TEXT(VALUE(REGEXEXTRACT(B629, ""-(\d+)\."")), ""00""), """")"),"")</f>
        <v/>
      </c>
      <c r="D629" s="219" t="str">
        <f>IFERROR(VLOOKUP(C629, Content_Creation!B:D, 2, FALSE), IFERROR(VLOOKUP(C629, Project_Management!B:D, 2, FALSE), ""))
&amp; " - "
&amp; IFERROR(VLOOKUP(C629, Content_Creation!B:E, 4, FALSE), IFERROR(VLOOKUP(C629, Project_Management!B:E, 4, FALSE), ""))</f>
        <v> - </v>
      </c>
      <c r="E629" s="220" t="str">
        <f>IFERROR(
    VLOOKUP(B628:B1001, Content_Creation!B:D, 3, FALSE),
    IFERROR(VLOOKUP(B628:B1001, Project_Management!B:D, 3, FALSE),"")
  )</f>
        <v/>
      </c>
      <c r="F629" s="221" t="str">
        <f>IFERROR(VLOOKUP(B629, Content_Creation!B:F, 5, FALSE), IFERROR(VLOOKUP(B629, Project_Management!B:F, 5, FALSE), ""))</f>
        <v/>
      </c>
      <c r="G629" s="222" t="s">
        <v>1317</v>
      </c>
      <c r="H629" s="223" t="str">
        <f>IFERROR(VLOOKUP(B629, Content_Creation!B:H, 7, FALSE), IFERROR(VLOOKUP(B629, Project_Management!B:H, 7, FALSE), ""))</f>
        <v/>
      </c>
      <c r="I629" s="224">
        <v>0.0</v>
      </c>
      <c r="J629" s="223" t="str">
        <f>IFERROR(VLOOKUP(C629, Content_Creation!B:H, 7, FALSE), IFERROR(VLOOKUP(C629, Project_Management!B:H, 7, FALSE), ""))</f>
        <v/>
      </c>
      <c r="K629" s="217"/>
      <c r="L629" s="225" t="str">
        <f>IFERROR(VLOOKUP(B629, Data_Validation!X:Y, 2, FALSE), "")</f>
        <v/>
      </c>
      <c r="M629" s="226" t="str">
        <f t="shared" si="1"/>
        <v> |  -  | </v>
      </c>
      <c r="N629" s="226"/>
      <c r="O629" s="226"/>
    </row>
    <row r="630" ht="24.0" customHeight="1">
      <c r="A630" s="216" t="str">
        <f>IFERROR(__xludf.DUMMYFUNCTION("ARRAYFORMULA(IFERROR(VLOOKUP(REGEXEXTRACT(B630, ""-(\w+)-""), {Data_Validation!$F$16:$F$29, Data_Validation!$E$16:$E$29}, 2, FALSE), """"))
"),"")</f>
        <v/>
      </c>
      <c r="B630" s="217"/>
      <c r="C630" s="218" t="str">
        <f>IFERROR(__xludf.DUMMYFUNCTION("IFERROR(REGEXEXTRACT(B630, ""^[A-Z]+-[A-Z]+-"") &amp; TEXT(VALUE(REGEXEXTRACT(B630, ""-(\d+)\."")), ""00""), """")"),"")</f>
        <v/>
      </c>
      <c r="D630" s="219" t="str">
        <f>IFERROR(VLOOKUP(C630, Content_Creation!B:D, 2, FALSE), IFERROR(VLOOKUP(C630, Project_Management!B:D, 2, FALSE), ""))
&amp; " - "
&amp; IFERROR(VLOOKUP(C630, Content_Creation!B:E, 4, FALSE), IFERROR(VLOOKUP(C630, Project_Management!B:E, 4, FALSE), ""))</f>
        <v> - </v>
      </c>
      <c r="E630" s="220" t="str">
        <f>IFERROR(
    VLOOKUP(B629:B1001, Content_Creation!B:D, 3, FALSE),
    IFERROR(VLOOKUP(B629:B1001, Project_Management!B:D, 3, FALSE),"")
  )</f>
        <v/>
      </c>
      <c r="F630" s="221" t="str">
        <f>IFERROR(VLOOKUP(B630, Content_Creation!B:F, 5, FALSE), IFERROR(VLOOKUP(B630, Project_Management!B:F, 5, FALSE), ""))</f>
        <v/>
      </c>
      <c r="G630" s="222" t="s">
        <v>1317</v>
      </c>
      <c r="H630" s="223" t="str">
        <f>IFERROR(VLOOKUP(B630, Content_Creation!B:H, 7, FALSE), IFERROR(VLOOKUP(B630, Project_Management!B:H, 7, FALSE), ""))</f>
        <v/>
      </c>
      <c r="I630" s="224">
        <v>0.0</v>
      </c>
      <c r="J630" s="223" t="str">
        <f>IFERROR(VLOOKUP(C630, Content_Creation!B:H, 7, FALSE), IFERROR(VLOOKUP(C630, Project_Management!B:H, 7, FALSE), ""))</f>
        <v/>
      </c>
      <c r="K630" s="217"/>
      <c r="L630" s="225" t="str">
        <f>IFERROR(VLOOKUP(B630, Data_Validation!X:Y, 2, FALSE), "")</f>
        <v/>
      </c>
      <c r="M630" s="226" t="str">
        <f t="shared" si="1"/>
        <v> |  -  | </v>
      </c>
      <c r="N630" s="226"/>
      <c r="O630" s="226"/>
    </row>
    <row r="631" ht="24.0" customHeight="1">
      <c r="A631" s="216" t="str">
        <f>IFERROR(__xludf.DUMMYFUNCTION("ARRAYFORMULA(IFERROR(VLOOKUP(REGEXEXTRACT(B631, ""-(\w+)-""), {Data_Validation!$F$16:$F$29, Data_Validation!$E$16:$E$29}, 2, FALSE), """"))
"),"")</f>
        <v/>
      </c>
      <c r="B631" s="217"/>
      <c r="C631" s="218" t="str">
        <f>IFERROR(__xludf.DUMMYFUNCTION("IFERROR(REGEXEXTRACT(B631, ""^[A-Z]+-[A-Z]+-"") &amp; TEXT(VALUE(REGEXEXTRACT(B631, ""-(\d+)\."")), ""00""), """")"),"")</f>
        <v/>
      </c>
      <c r="D631" s="219" t="str">
        <f>IFERROR(VLOOKUP(C631, Content_Creation!B:D, 2, FALSE), IFERROR(VLOOKUP(C631, Project_Management!B:D, 2, FALSE), ""))
&amp; " - "
&amp; IFERROR(VLOOKUP(C631, Content_Creation!B:E, 4, FALSE), IFERROR(VLOOKUP(C631, Project_Management!B:E, 4, FALSE), ""))</f>
        <v> - </v>
      </c>
      <c r="E631" s="220" t="str">
        <f>IFERROR(
    VLOOKUP(B630:B1001, Content_Creation!B:D, 3, FALSE),
    IFERROR(VLOOKUP(B630:B1001, Project_Management!B:D, 3, FALSE),"")
  )</f>
        <v/>
      </c>
      <c r="F631" s="221" t="str">
        <f>IFERROR(VLOOKUP(B631, Content_Creation!B:F, 5, FALSE), IFERROR(VLOOKUP(B631, Project_Management!B:F, 5, FALSE), ""))</f>
        <v/>
      </c>
      <c r="G631" s="222" t="s">
        <v>1317</v>
      </c>
      <c r="H631" s="223" t="str">
        <f>IFERROR(VLOOKUP(B631, Content_Creation!B:H, 7, FALSE), IFERROR(VLOOKUP(B631, Project_Management!B:H, 7, FALSE), ""))</f>
        <v/>
      </c>
      <c r="I631" s="224">
        <v>0.0</v>
      </c>
      <c r="J631" s="223" t="str">
        <f>IFERROR(VLOOKUP(C631, Content_Creation!B:H, 7, FALSE), IFERROR(VLOOKUP(C631, Project_Management!B:H, 7, FALSE), ""))</f>
        <v/>
      </c>
      <c r="K631" s="217"/>
      <c r="L631" s="225" t="str">
        <f>IFERROR(VLOOKUP(B631, Data_Validation!X:Y, 2, FALSE), "")</f>
        <v/>
      </c>
      <c r="M631" s="226" t="str">
        <f t="shared" si="1"/>
        <v> |  -  | </v>
      </c>
      <c r="N631" s="226"/>
      <c r="O631" s="226"/>
    </row>
    <row r="632" ht="24.0" customHeight="1">
      <c r="A632" s="216" t="str">
        <f>IFERROR(__xludf.DUMMYFUNCTION("ARRAYFORMULA(IFERROR(VLOOKUP(REGEXEXTRACT(B632, ""-(\w+)-""), {Data_Validation!$F$16:$F$29, Data_Validation!$E$16:$E$29}, 2, FALSE), """"))
"),"")</f>
        <v/>
      </c>
      <c r="B632" s="217"/>
      <c r="C632" s="218" t="str">
        <f>IFERROR(__xludf.DUMMYFUNCTION("IFERROR(REGEXEXTRACT(B632, ""^[A-Z]+-[A-Z]+-"") &amp; TEXT(VALUE(REGEXEXTRACT(B632, ""-(\d+)\."")), ""00""), """")"),"")</f>
        <v/>
      </c>
      <c r="D632" s="219" t="str">
        <f>IFERROR(VLOOKUP(C632, Content_Creation!B:D, 2, FALSE), IFERROR(VLOOKUP(C632, Project_Management!B:D, 2, FALSE), ""))
&amp; " - "
&amp; IFERROR(VLOOKUP(C632, Content_Creation!B:E, 4, FALSE), IFERROR(VLOOKUP(C632, Project_Management!B:E, 4, FALSE), ""))</f>
        <v> - </v>
      </c>
      <c r="E632" s="220" t="str">
        <f>IFERROR(
    VLOOKUP(B631:B1001, Content_Creation!B:D, 3, FALSE),
    IFERROR(VLOOKUP(B631:B1001, Project_Management!B:D, 3, FALSE),"")
  )</f>
        <v/>
      </c>
      <c r="F632" s="221" t="str">
        <f>IFERROR(VLOOKUP(B632, Content_Creation!B:F, 5, FALSE), IFERROR(VLOOKUP(B632, Project_Management!B:F, 5, FALSE), ""))</f>
        <v/>
      </c>
      <c r="G632" s="222" t="s">
        <v>1317</v>
      </c>
      <c r="H632" s="223" t="str">
        <f>IFERROR(VLOOKUP(B632, Content_Creation!B:H, 7, FALSE), IFERROR(VLOOKUP(B632, Project_Management!B:H, 7, FALSE), ""))</f>
        <v/>
      </c>
      <c r="I632" s="224">
        <v>0.0</v>
      </c>
      <c r="J632" s="223" t="str">
        <f>IFERROR(VLOOKUP(C632, Content_Creation!B:H, 7, FALSE), IFERROR(VLOOKUP(C632, Project_Management!B:H, 7, FALSE), ""))</f>
        <v/>
      </c>
      <c r="K632" s="217"/>
      <c r="L632" s="225" t="str">
        <f>IFERROR(VLOOKUP(B632, Data_Validation!X:Y, 2, FALSE), "")</f>
        <v/>
      </c>
      <c r="M632" s="226" t="str">
        <f t="shared" si="1"/>
        <v> |  -  | </v>
      </c>
      <c r="N632" s="226"/>
      <c r="O632" s="226"/>
    </row>
    <row r="633" ht="24.0" customHeight="1">
      <c r="A633" s="216" t="str">
        <f>IFERROR(__xludf.DUMMYFUNCTION("ARRAYFORMULA(IFERROR(VLOOKUP(REGEXEXTRACT(B633, ""-(\w+)-""), {Data_Validation!$F$16:$F$29, Data_Validation!$E$16:$E$29}, 2, FALSE), """"))
"),"")</f>
        <v/>
      </c>
      <c r="B633" s="217"/>
      <c r="C633" s="218" t="str">
        <f>IFERROR(__xludf.DUMMYFUNCTION("IFERROR(REGEXEXTRACT(B633, ""^[A-Z]+-[A-Z]+-"") &amp; TEXT(VALUE(REGEXEXTRACT(B633, ""-(\d+)\."")), ""00""), """")"),"")</f>
        <v/>
      </c>
      <c r="D633" s="219" t="str">
        <f>IFERROR(VLOOKUP(C633, Content_Creation!B:D, 2, FALSE), IFERROR(VLOOKUP(C633, Project_Management!B:D, 2, FALSE), ""))
&amp; " - "
&amp; IFERROR(VLOOKUP(C633, Content_Creation!B:E, 4, FALSE), IFERROR(VLOOKUP(C633, Project_Management!B:E, 4, FALSE), ""))</f>
        <v> - </v>
      </c>
      <c r="E633" s="220" t="str">
        <f>IFERROR(
    VLOOKUP(B632:B1001, Content_Creation!B:D, 3, FALSE),
    IFERROR(VLOOKUP(B632:B1001, Project_Management!B:D, 3, FALSE),"")
  )</f>
        <v/>
      </c>
      <c r="F633" s="221" t="str">
        <f>IFERROR(VLOOKUP(B633, Content_Creation!B:F, 5, FALSE), IFERROR(VLOOKUP(B633, Project_Management!B:F, 5, FALSE), ""))</f>
        <v/>
      </c>
      <c r="G633" s="222" t="s">
        <v>1317</v>
      </c>
      <c r="H633" s="223" t="str">
        <f>IFERROR(VLOOKUP(B633, Content_Creation!B:H, 7, FALSE), IFERROR(VLOOKUP(B633, Project_Management!B:H, 7, FALSE), ""))</f>
        <v/>
      </c>
      <c r="I633" s="224">
        <v>0.0</v>
      </c>
      <c r="J633" s="223" t="str">
        <f>IFERROR(VLOOKUP(C633, Content_Creation!B:H, 7, FALSE), IFERROR(VLOOKUP(C633, Project_Management!B:H, 7, FALSE), ""))</f>
        <v/>
      </c>
      <c r="K633" s="217"/>
      <c r="L633" s="225" t="str">
        <f>IFERROR(VLOOKUP(B633, Data_Validation!X:Y, 2, FALSE), "")</f>
        <v/>
      </c>
      <c r="M633" s="226" t="str">
        <f t="shared" si="1"/>
        <v> |  -  | </v>
      </c>
      <c r="N633" s="226"/>
      <c r="O633" s="226"/>
    </row>
    <row r="634" ht="24.0" customHeight="1">
      <c r="A634" s="216" t="str">
        <f>IFERROR(__xludf.DUMMYFUNCTION("ARRAYFORMULA(IFERROR(VLOOKUP(REGEXEXTRACT(B634, ""-(\w+)-""), {Data_Validation!$F$16:$F$29, Data_Validation!$E$16:$E$29}, 2, FALSE), """"))
"),"")</f>
        <v/>
      </c>
      <c r="B634" s="217"/>
      <c r="C634" s="218" t="str">
        <f>IFERROR(__xludf.DUMMYFUNCTION("IFERROR(REGEXEXTRACT(B634, ""^[A-Z]+-[A-Z]+-"") &amp; TEXT(VALUE(REGEXEXTRACT(B634, ""-(\d+)\."")), ""00""), """")"),"")</f>
        <v/>
      </c>
      <c r="D634" s="219" t="str">
        <f>IFERROR(VLOOKUP(C634, Content_Creation!B:D, 2, FALSE), IFERROR(VLOOKUP(C634, Project_Management!B:D, 2, FALSE), ""))
&amp; " - "
&amp; IFERROR(VLOOKUP(C634, Content_Creation!B:E, 4, FALSE), IFERROR(VLOOKUP(C634, Project_Management!B:E, 4, FALSE), ""))</f>
        <v> - </v>
      </c>
      <c r="E634" s="220" t="str">
        <f>IFERROR(
    VLOOKUP(B633:B1001, Content_Creation!B:D, 3, FALSE),
    IFERROR(VLOOKUP(B633:B1001, Project_Management!B:D, 3, FALSE),"")
  )</f>
        <v/>
      </c>
      <c r="F634" s="221" t="str">
        <f>IFERROR(VLOOKUP(B634, Content_Creation!B:F, 5, FALSE), IFERROR(VLOOKUP(B634, Project_Management!B:F, 5, FALSE), ""))</f>
        <v/>
      </c>
      <c r="G634" s="222" t="s">
        <v>1317</v>
      </c>
      <c r="H634" s="223" t="str">
        <f>IFERROR(VLOOKUP(B634, Content_Creation!B:H, 7, FALSE), IFERROR(VLOOKUP(B634, Project_Management!B:H, 7, FALSE), ""))</f>
        <v/>
      </c>
      <c r="I634" s="224">
        <v>0.0</v>
      </c>
      <c r="J634" s="223" t="str">
        <f>IFERROR(VLOOKUP(C634, Content_Creation!B:H, 7, FALSE), IFERROR(VLOOKUP(C634, Project_Management!B:H, 7, FALSE), ""))</f>
        <v/>
      </c>
      <c r="K634" s="217"/>
      <c r="L634" s="225" t="str">
        <f>IFERROR(VLOOKUP(B634, Data_Validation!X:Y, 2, FALSE), "")</f>
        <v/>
      </c>
      <c r="M634" s="226" t="str">
        <f t="shared" si="1"/>
        <v> |  -  | </v>
      </c>
      <c r="N634" s="226"/>
      <c r="O634" s="226"/>
    </row>
    <row r="635" ht="24.0" customHeight="1">
      <c r="A635" s="216" t="str">
        <f>IFERROR(__xludf.DUMMYFUNCTION("ARRAYFORMULA(IFERROR(VLOOKUP(REGEXEXTRACT(B635, ""-(\w+)-""), {Data_Validation!$F$16:$F$29, Data_Validation!$E$16:$E$29}, 2, FALSE), """"))
"),"")</f>
        <v/>
      </c>
      <c r="B635" s="217"/>
      <c r="C635" s="218" t="str">
        <f>IFERROR(__xludf.DUMMYFUNCTION("IFERROR(REGEXEXTRACT(B635, ""^[A-Z]+-[A-Z]+-"") &amp; TEXT(VALUE(REGEXEXTRACT(B635, ""-(\d+)\."")), ""00""), """")"),"")</f>
        <v/>
      </c>
      <c r="D635" s="219" t="str">
        <f>IFERROR(VLOOKUP(C635, Content_Creation!B:D, 2, FALSE), IFERROR(VLOOKUP(C635, Project_Management!B:D, 2, FALSE), ""))
&amp; " - "
&amp; IFERROR(VLOOKUP(C635, Content_Creation!B:E, 4, FALSE), IFERROR(VLOOKUP(C635, Project_Management!B:E, 4, FALSE), ""))</f>
        <v> - </v>
      </c>
      <c r="E635" s="220" t="str">
        <f>IFERROR(
    VLOOKUP(B634:B1001, Content_Creation!B:D, 3, FALSE),
    IFERROR(VLOOKUP(B634:B1001, Project_Management!B:D, 3, FALSE),"")
  )</f>
        <v/>
      </c>
      <c r="F635" s="221" t="str">
        <f>IFERROR(VLOOKUP(B635, Content_Creation!B:F, 5, FALSE), IFERROR(VLOOKUP(B635, Project_Management!B:F, 5, FALSE), ""))</f>
        <v/>
      </c>
      <c r="G635" s="222" t="s">
        <v>1317</v>
      </c>
      <c r="H635" s="223" t="str">
        <f>IFERROR(VLOOKUP(B635, Content_Creation!B:H, 7, FALSE), IFERROR(VLOOKUP(B635, Project_Management!B:H, 7, FALSE), ""))</f>
        <v/>
      </c>
      <c r="I635" s="224">
        <v>0.0</v>
      </c>
      <c r="J635" s="223" t="str">
        <f>IFERROR(VLOOKUP(C635, Content_Creation!B:H, 7, FALSE), IFERROR(VLOOKUP(C635, Project_Management!B:H, 7, FALSE), ""))</f>
        <v/>
      </c>
      <c r="K635" s="217"/>
      <c r="L635" s="225" t="str">
        <f>IFERROR(VLOOKUP(B635, Data_Validation!X:Y, 2, FALSE), "")</f>
        <v/>
      </c>
      <c r="M635" s="226" t="str">
        <f t="shared" si="1"/>
        <v> |  -  | </v>
      </c>
      <c r="N635" s="226"/>
      <c r="O635" s="226"/>
    </row>
    <row r="636" ht="24.0" customHeight="1">
      <c r="A636" s="216" t="str">
        <f>IFERROR(__xludf.DUMMYFUNCTION("ARRAYFORMULA(IFERROR(VLOOKUP(REGEXEXTRACT(B636, ""-(\w+)-""), {Data_Validation!$F$16:$F$29, Data_Validation!$E$16:$E$29}, 2, FALSE), """"))
"),"")</f>
        <v/>
      </c>
      <c r="B636" s="217"/>
      <c r="C636" s="218" t="str">
        <f>IFERROR(__xludf.DUMMYFUNCTION("IFERROR(REGEXEXTRACT(B636, ""^[A-Z]+-[A-Z]+-"") &amp; TEXT(VALUE(REGEXEXTRACT(B636, ""-(\d+)\."")), ""00""), """")"),"")</f>
        <v/>
      </c>
      <c r="D636" s="219" t="str">
        <f>IFERROR(VLOOKUP(C636, Content_Creation!B:D, 2, FALSE), IFERROR(VLOOKUP(C636, Project_Management!B:D, 2, FALSE), ""))
&amp; " - "
&amp; IFERROR(VLOOKUP(C636, Content_Creation!B:E, 4, FALSE), IFERROR(VLOOKUP(C636, Project_Management!B:E, 4, FALSE), ""))</f>
        <v> - </v>
      </c>
      <c r="E636" s="220" t="str">
        <f>IFERROR(
    VLOOKUP(B635:B1001, Content_Creation!B:D, 3, FALSE),
    IFERROR(VLOOKUP(B635:B1001, Project_Management!B:D, 3, FALSE),"")
  )</f>
        <v/>
      </c>
      <c r="F636" s="221" t="str">
        <f>IFERROR(VLOOKUP(B636, Content_Creation!B:F, 5, FALSE), IFERROR(VLOOKUP(B636, Project_Management!B:F, 5, FALSE), ""))</f>
        <v/>
      </c>
      <c r="G636" s="222" t="s">
        <v>1317</v>
      </c>
      <c r="H636" s="223" t="str">
        <f>IFERROR(VLOOKUP(B636, Content_Creation!B:H, 7, FALSE), IFERROR(VLOOKUP(B636, Project_Management!B:H, 7, FALSE), ""))</f>
        <v/>
      </c>
      <c r="I636" s="224">
        <v>0.0</v>
      </c>
      <c r="J636" s="217"/>
      <c r="K636" s="217"/>
      <c r="L636" s="225" t="str">
        <f>IFERROR(VLOOKUP(B636, Data_Validation!X:Y, 2, FALSE), "")</f>
        <v/>
      </c>
      <c r="M636" s="226" t="str">
        <f t="shared" si="1"/>
        <v> |  -  | </v>
      </c>
      <c r="N636" s="226"/>
      <c r="O636" s="226"/>
    </row>
    <row r="637" ht="24.0" customHeight="1">
      <c r="A637" s="216" t="str">
        <f>IFERROR(__xludf.DUMMYFUNCTION("ARRAYFORMULA(IFERROR(VLOOKUP(REGEXEXTRACT(B637, ""-(\w+)-""), {Data_Validation!$F$16:$F$29, Data_Validation!$E$16:$E$29}, 2, FALSE), """"))
"),"")</f>
        <v/>
      </c>
      <c r="B637" s="217"/>
      <c r="C637" s="218" t="str">
        <f>IFERROR(__xludf.DUMMYFUNCTION("IFERROR(REGEXEXTRACT(B637, ""^[A-Z]+-[A-Z]+-"") &amp; TEXT(VALUE(REGEXEXTRACT(B637, ""-(\d+)\."")), ""00""), """")"),"")</f>
        <v/>
      </c>
      <c r="D637" s="219" t="str">
        <f>IFERROR(VLOOKUP(C637, Content_Creation!B:D, 2, FALSE), IFERROR(VLOOKUP(C637, Project_Management!B:D, 2, FALSE), ""))
&amp; " - "
&amp; IFERROR(VLOOKUP(C637, Content_Creation!B:E, 4, FALSE), IFERROR(VLOOKUP(C637, Project_Management!B:E, 4, FALSE), ""))</f>
        <v> - </v>
      </c>
      <c r="E637" s="220" t="str">
        <f>IFERROR(
    VLOOKUP(B636:B1001, Content_Creation!B:D, 3, FALSE),
    IFERROR(VLOOKUP(B636:B1001, Project_Management!B:D, 3, FALSE),"")
  )</f>
        <v/>
      </c>
      <c r="F637" s="221" t="str">
        <f>IFERROR(VLOOKUP(B637, Content_Creation!B:F, 5, FALSE), IFERROR(VLOOKUP(B637, Project_Management!B:F, 5, FALSE), ""))</f>
        <v/>
      </c>
      <c r="G637" s="222" t="s">
        <v>1317</v>
      </c>
      <c r="H637" s="223" t="str">
        <f>IFERROR(VLOOKUP(B637, Content_Creation!B:H, 7, FALSE), IFERROR(VLOOKUP(B637, Project_Management!B:H, 7, FALSE), ""))</f>
        <v/>
      </c>
      <c r="I637" s="224">
        <v>0.0</v>
      </c>
      <c r="J637" s="217"/>
      <c r="K637" s="217"/>
      <c r="L637" s="225" t="str">
        <f>IFERROR(VLOOKUP(B637, Data_Validation!X:Y, 2, FALSE), "")</f>
        <v/>
      </c>
      <c r="M637" s="226" t="str">
        <f t="shared" si="1"/>
        <v> |  -  | </v>
      </c>
      <c r="N637" s="226"/>
      <c r="O637" s="226"/>
    </row>
    <row r="638" ht="24.0" customHeight="1">
      <c r="A638" s="216" t="str">
        <f>IFERROR(__xludf.DUMMYFUNCTION("ARRAYFORMULA(IFERROR(VLOOKUP(REGEXEXTRACT(B638, ""-(\w+)-""), {Data_Validation!$F$16:$F$29, Data_Validation!$E$16:$E$29}, 2, FALSE), """"))
"),"")</f>
        <v/>
      </c>
      <c r="B638" s="217"/>
      <c r="C638" s="218" t="str">
        <f>IFERROR(__xludf.DUMMYFUNCTION("IFERROR(REGEXEXTRACT(B638, ""^[A-Z]+-[A-Z]+-"") &amp; TEXT(VALUE(REGEXEXTRACT(B638, ""-(\d+)\."")), ""00""), """")"),"")</f>
        <v/>
      </c>
      <c r="D638" s="219" t="str">
        <f>IFERROR(VLOOKUP(C638, Content_Creation!B:D, 2, FALSE), IFERROR(VLOOKUP(C638, Project_Management!B:D, 2, FALSE), ""))
&amp; " - "
&amp; IFERROR(VLOOKUP(C638, Content_Creation!B:E, 4, FALSE), IFERROR(VLOOKUP(C638, Project_Management!B:E, 4, FALSE), ""))</f>
        <v> - </v>
      </c>
      <c r="E638" s="220" t="str">
        <f>IFERROR(
    VLOOKUP(B637:B1001, Content_Creation!B:D, 3, FALSE),
    IFERROR(VLOOKUP(B637:B1001, Project_Management!B:D, 3, FALSE),"")
  )</f>
        <v/>
      </c>
      <c r="F638" s="221" t="str">
        <f>IFERROR(VLOOKUP(B638, Content_Creation!B:F, 5, FALSE), IFERROR(VLOOKUP(B638, Project_Management!B:F, 5, FALSE), ""))</f>
        <v/>
      </c>
      <c r="G638" s="222" t="s">
        <v>1317</v>
      </c>
      <c r="H638" s="223" t="str">
        <f>IFERROR(VLOOKUP(B638, Content_Creation!B:H, 7, FALSE), IFERROR(VLOOKUP(B638, Project_Management!B:H, 7, FALSE), ""))</f>
        <v/>
      </c>
      <c r="I638" s="224">
        <v>0.0</v>
      </c>
      <c r="J638" s="217"/>
      <c r="K638" s="217"/>
      <c r="L638" s="225" t="str">
        <f>IFERROR(VLOOKUP(B638, Data_Validation!X:Y, 2, FALSE), "")</f>
        <v/>
      </c>
      <c r="M638" s="226" t="str">
        <f t="shared" si="1"/>
        <v> |  -  | </v>
      </c>
      <c r="N638" s="226"/>
      <c r="O638" s="226"/>
    </row>
    <row r="639" ht="24.0" customHeight="1">
      <c r="A639" s="216" t="str">
        <f>IFERROR(__xludf.DUMMYFUNCTION("ARRAYFORMULA(IFERROR(VLOOKUP(REGEXEXTRACT(B639, ""-(\w+)-""), {Data_Validation!$F$16:$F$29, Data_Validation!$E$16:$E$29}, 2, FALSE), """"))
"),"")</f>
        <v/>
      </c>
      <c r="B639" s="217"/>
      <c r="C639" s="218" t="str">
        <f>IFERROR(__xludf.DUMMYFUNCTION("IFERROR(REGEXEXTRACT(B639, ""^[A-Z]+-[A-Z]+-"") &amp; TEXT(VALUE(REGEXEXTRACT(B639, ""-(\d+)\."")), ""00""), """")"),"")</f>
        <v/>
      </c>
      <c r="D639" s="219" t="str">
        <f>IFERROR(VLOOKUP(C639, Content_Creation!B:D, 2, FALSE), IFERROR(VLOOKUP(C639, Project_Management!B:D, 2, FALSE), ""))
&amp; " - "
&amp; IFERROR(VLOOKUP(C639, Content_Creation!B:E, 4, FALSE), IFERROR(VLOOKUP(C639, Project_Management!B:E, 4, FALSE), ""))</f>
        <v> - </v>
      </c>
      <c r="E639" s="220" t="str">
        <f>IFERROR(
    VLOOKUP(B638:B1001, Content_Creation!B:D, 3, FALSE),
    IFERROR(VLOOKUP(B638:B1001, Project_Management!B:D, 3, FALSE),"")
  )</f>
        <v/>
      </c>
      <c r="F639" s="221" t="str">
        <f>IFERROR(VLOOKUP(B639, Content_Creation!B:F, 5, FALSE), IFERROR(VLOOKUP(B639, Project_Management!B:F, 5, FALSE), ""))</f>
        <v/>
      </c>
      <c r="G639" s="222" t="s">
        <v>1317</v>
      </c>
      <c r="H639" s="223" t="str">
        <f>IFERROR(VLOOKUP(B639, Content_Creation!B:H, 7, FALSE), IFERROR(VLOOKUP(B639, Project_Management!B:H, 7, FALSE), ""))</f>
        <v/>
      </c>
      <c r="I639" s="224">
        <v>0.0</v>
      </c>
      <c r="J639" s="217"/>
      <c r="K639" s="217"/>
      <c r="L639" s="225" t="str">
        <f>IFERROR(VLOOKUP(B639, Data_Validation!X:Y, 2, FALSE), "")</f>
        <v/>
      </c>
      <c r="M639" s="226" t="str">
        <f t="shared" si="1"/>
        <v> |  -  | </v>
      </c>
      <c r="N639" s="226"/>
      <c r="O639" s="226"/>
    </row>
    <row r="640" ht="24.0" customHeight="1">
      <c r="A640" s="216" t="str">
        <f>IFERROR(__xludf.DUMMYFUNCTION("ARRAYFORMULA(IFERROR(VLOOKUP(REGEXEXTRACT(B640, ""-(\w+)-""), {Data_Validation!$F$16:$F$29, Data_Validation!$E$16:$E$29}, 2, FALSE), """"))
"),"")</f>
        <v/>
      </c>
      <c r="B640" s="217"/>
      <c r="C640" s="218" t="str">
        <f>IFERROR(__xludf.DUMMYFUNCTION("IFERROR(REGEXEXTRACT(B640, ""^[A-Z]+-[A-Z]+-"") &amp; TEXT(VALUE(REGEXEXTRACT(B640, ""-(\d+)\."")), ""00""), """")"),"")</f>
        <v/>
      </c>
      <c r="D640" s="219" t="str">
        <f>IFERROR(VLOOKUP(C640, Content_Creation!B:D, 2, FALSE), IFERROR(VLOOKUP(C640, Project_Management!B:D, 2, FALSE), ""))
&amp; " - "
&amp; IFERROR(VLOOKUP(C640, Content_Creation!B:E, 4, FALSE), IFERROR(VLOOKUP(C640, Project_Management!B:E, 4, FALSE), ""))</f>
        <v> - </v>
      </c>
      <c r="E640" s="220" t="str">
        <f>IFERROR(
    VLOOKUP(B639:B1001, Content_Creation!B:D, 3, FALSE),
    IFERROR(VLOOKUP(B639:B1001, Project_Management!B:D, 3, FALSE),"")
  )</f>
        <v/>
      </c>
      <c r="F640" s="221" t="str">
        <f>IFERROR(VLOOKUP(B640, Content_Creation!B:F, 5, FALSE), IFERROR(VLOOKUP(B640, Project_Management!B:F, 5, FALSE), ""))</f>
        <v/>
      </c>
      <c r="G640" s="222" t="s">
        <v>1317</v>
      </c>
      <c r="H640" s="223" t="str">
        <f>IFERROR(VLOOKUP(B640, Content_Creation!B:H, 7, FALSE), IFERROR(VLOOKUP(B640, Project_Management!B:H, 7, FALSE), ""))</f>
        <v/>
      </c>
      <c r="I640" s="224">
        <v>0.0</v>
      </c>
      <c r="J640" s="217"/>
      <c r="K640" s="217"/>
      <c r="L640" s="225" t="str">
        <f>IFERROR(VLOOKUP(B640, Data_Validation!X:Y, 2, FALSE), "")</f>
        <v/>
      </c>
      <c r="M640" s="226" t="str">
        <f t="shared" si="1"/>
        <v> |  -  | </v>
      </c>
      <c r="N640" s="226"/>
      <c r="O640" s="226"/>
    </row>
    <row r="641" ht="24.0" customHeight="1">
      <c r="A641" s="216" t="str">
        <f>IFERROR(__xludf.DUMMYFUNCTION("ARRAYFORMULA(IFERROR(VLOOKUP(REGEXEXTRACT(B641, ""-(\w+)-""), {Data_Validation!$F$16:$F$29, Data_Validation!$E$16:$E$29}, 2, FALSE), """"))
"),"")</f>
        <v/>
      </c>
      <c r="B641" s="217"/>
      <c r="C641" s="218" t="str">
        <f>IFERROR(__xludf.DUMMYFUNCTION("IFERROR(REGEXEXTRACT(B641, ""^[A-Z]+-[A-Z]+-"") &amp; TEXT(VALUE(REGEXEXTRACT(B641, ""-(\d+)\."")), ""00""), """")"),"")</f>
        <v/>
      </c>
      <c r="D641" s="219" t="str">
        <f>IFERROR(VLOOKUP(C641, Content_Creation!B:D, 2, FALSE), IFERROR(VLOOKUP(C641, Project_Management!B:D, 2, FALSE), ""))
&amp; " - "
&amp; IFERROR(VLOOKUP(C641, Content_Creation!B:E, 4, FALSE), IFERROR(VLOOKUP(C641, Project_Management!B:E, 4, FALSE), ""))</f>
        <v> - </v>
      </c>
      <c r="E641" s="220" t="str">
        <f>IFERROR(
    VLOOKUP(B640:B1001, Content_Creation!B:D, 3, FALSE),
    IFERROR(VLOOKUP(B640:B1001, Project_Management!B:D, 3, FALSE),"")
  )</f>
        <v/>
      </c>
      <c r="F641" s="221" t="str">
        <f>IFERROR(VLOOKUP(B641, Content_Creation!B:F, 5, FALSE), IFERROR(VLOOKUP(B641, Project_Management!B:F, 5, FALSE), ""))</f>
        <v/>
      </c>
      <c r="G641" s="222" t="s">
        <v>1317</v>
      </c>
      <c r="H641" s="223" t="str">
        <f>IFERROR(VLOOKUP(B641, Content_Creation!B:H, 7, FALSE), IFERROR(VLOOKUP(B641, Project_Management!B:H, 7, FALSE), ""))</f>
        <v/>
      </c>
      <c r="I641" s="224">
        <v>0.0</v>
      </c>
      <c r="J641" s="217"/>
      <c r="K641" s="217"/>
      <c r="L641" s="225" t="str">
        <f>IFERROR(VLOOKUP(B641, Data_Validation!X:Y, 2, FALSE), "")</f>
        <v/>
      </c>
      <c r="M641" s="226" t="str">
        <f t="shared" si="1"/>
        <v> |  -  | </v>
      </c>
      <c r="N641" s="226"/>
      <c r="O641" s="226"/>
    </row>
    <row r="642" ht="24.0" customHeight="1">
      <c r="A642" s="216" t="str">
        <f>IFERROR(__xludf.DUMMYFUNCTION("ARRAYFORMULA(IFERROR(VLOOKUP(REGEXEXTRACT(B642, ""-(\w+)-""), {Data_Validation!$F$16:$F$29, Data_Validation!$E$16:$E$29}, 2, FALSE), """"))
"),"")</f>
        <v/>
      </c>
      <c r="B642" s="217"/>
      <c r="C642" s="218" t="str">
        <f>IFERROR(__xludf.DUMMYFUNCTION("IFERROR(REGEXEXTRACT(B642, ""^[A-Z]+-[A-Z]+-"") &amp; TEXT(VALUE(REGEXEXTRACT(B642, ""-(\d+)\."")), ""00""), """")"),"")</f>
        <v/>
      </c>
      <c r="D642" s="219" t="str">
        <f>IFERROR(VLOOKUP(C642, Content_Creation!B:D, 2, FALSE), IFERROR(VLOOKUP(C642, Project_Management!B:D, 2, FALSE), ""))
&amp; " - "
&amp; IFERROR(VLOOKUP(C642, Content_Creation!B:E, 4, FALSE), IFERROR(VLOOKUP(C642, Project_Management!B:E, 4, FALSE), ""))</f>
        <v> - </v>
      </c>
      <c r="E642" s="220" t="str">
        <f>IFERROR(
    VLOOKUP(B641:B1001, Content_Creation!B:D, 3, FALSE),
    IFERROR(VLOOKUP(B641:B1001, Project_Management!B:D, 3, FALSE),"")
  )</f>
        <v/>
      </c>
      <c r="F642" s="221" t="str">
        <f>IFERROR(VLOOKUP(B642, Content_Creation!B:F, 5, FALSE), IFERROR(VLOOKUP(B642, Project_Management!B:F, 5, FALSE), ""))</f>
        <v/>
      </c>
      <c r="G642" s="222" t="s">
        <v>1317</v>
      </c>
      <c r="H642" s="223" t="str">
        <f>IFERROR(VLOOKUP(B642, Content_Creation!B:H, 7, FALSE), IFERROR(VLOOKUP(B642, Project_Management!B:H, 7, FALSE), ""))</f>
        <v/>
      </c>
      <c r="I642" s="224">
        <v>0.0</v>
      </c>
      <c r="J642" s="217"/>
      <c r="K642" s="217"/>
      <c r="L642" s="225" t="str">
        <f>IFERROR(VLOOKUP(B642, Data_Validation!X:Y, 2, FALSE), "")</f>
        <v/>
      </c>
      <c r="M642" s="226" t="str">
        <f t="shared" si="1"/>
        <v> |  -  | </v>
      </c>
      <c r="N642" s="226"/>
      <c r="O642" s="226"/>
    </row>
    <row r="643" ht="24.0" customHeight="1">
      <c r="A643" s="216" t="str">
        <f>IFERROR(__xludf.DUMMYFUNCTION("ARRAYFORMULA(IFERROR(VLOOKUP(REGEXEXTRACT(B643, ""-(\w+)-""), {Data_Validation!$F$16:$F$29, Data_Validation!$E$16:$E$29}, 2, FALSE), """"))
"),"")</f>
        <v/>
      </c>
      <c r="B643" s="217"/>
      <c r="C643" s="218" t="str">
        <f>IFERROR(__xludf.DUMMYFUNCTION("IFERROR(REGEXEXTRACT(B643, ""^[A-Z]+-[A-Z]+-"") &amp; TEXT(VALUE(REGEXEXTRACT(B643, ""-(\d+)\."")), ""00""), """")"),"")</f>
        <v/>
      </c>
      <c r="D643" s="219" t="str">
        <f>IFERROR(VLOOKUP(C643, Content_Creation!B:D, 2, FALSE), IFERROR(VLOOKUP(C643, Project_Management!B:D, 2, FALSE), ""))
&amp; " - "
&amp; IFERROR(VLOOKUP(C643, Content_Creation!B:E, 4, FALSE), IFERROR(VLOOKUP(C643, Project_Management!B:E, 4, FALSE), ""))</f>
        <v> - </v>
      </c>
      <c r="E643" s="220" t="str">
        <f>IFERROR(
    VLOOKUP(B642:B1001, Content_Creation!B:D, 3, FALSE),
    IFERROR(VLOOKUP(B642:B1001, Project_Management!B:D, 3, FALSE),"")
  )</f>
        <v/>
      </c>
      <c r="F643" s="221" t="str">
        <f>IFERROR(VLOOKUP(B643, Content_Creation!B:F, 5, FALSE), IFERROR(VLOOKUP(B643, Project_Management!B:F, 5, FALSE), ""))</f>
        <v/>
      </c>
      <c r="G643" s="222" t="s">
        <v>1317</v>
      </c>
      <c r="H643" s="223" t="str">
        <f>IFERROR(VLOOKUP(B643, Content_Creation!B:H, 7, FALSE), IFERROR(VLOOKUP(B643, Project_Management!B:H, 7, FALSE), ""))</f>
        <v/>
      </c>
      <c r="I643" s="224">
        <v>0.0</v>
      </c>
      <c r="J643" s="217"/>
      <c r="K643" s="217"/>
      <c r="L643" s="225" t="str">
        <f>IFERROR(VLOOKUP(B643, Data_Validation!X:Y, 2, FALSE), "")</f>
        <v/>
      </c>
      <c r="M643" s="226" t="str">
        <f t="shared" si="1"/>
        <v> |  -  | </v>
      </c>
      <c r="N643" s="226"/>
      <c r="O643" s="226"/>
    </row>
    <row r="644" ht="24.0" customHeight="1">
      <c r="A644" s="216" t="str">
        <f>IFERROR(__xludf.DUMMYFUNCTION("ARRAYFORMULA(IFERROR(VLOOKUP(REGEXEXTRACT(B644, ""-(\w+)-""), {Data_Validation!$F$16:$F$29, Data_Validation!$E$16:$E$29}, 2, FALSE), """"))
"),"")</f>
        <v/>
      </c>
      <c r="B644" s="217"/>
      <c r="C644" s="218" t="str">
        <f>IFERROR(__xludf.DUMMYFUNCTION("IFERROR(REGEXEXTRACT(B644, ""^[A-Z]+-[A-Z]+-"") &amp; TEXT(VALUE(REGEXEXTRACT(B644, ""-(\d+)\."")), ""00""), """")"),"")</f>
        <v/>
      </c>
      <c r="D644" s="219" t="str">
        <f>IFERROR(VLOOKUP(C644, Content_Creation!B:D, 2, FALSE), IFERROR(VLOOKUP(C644, Project_Management!B:D, 2, FALSE), ""))
&amp; " - "
&amp; IFERROR(VLOOKUP(C644, Content_Creation!B:E, 4, FALSE), IFERROR(VLOOKUP(C644, Project_Management!B:E, 4, FALSE), ""))</f>
        <v> - </v>
      </c>
      <c r="E644" s="220" t="str">
        <f>IFERROR(
    VLOOKUP(B643:B1001, Content_Creation!B:D, 3, FALSE),
    IFERROR(VLOOKUP(B643:B1001, Project_Management!B:D, 3, FALSE),"")
  )</f>
        <v/>
      </c>
      <c r="F644" s="221" t="str">
        <f>IFERROR(VLOOKUP(B644, Content_Creation!B:F, 5, FALSE), IFERROR(VLOOKUP(B644, Project_Management!B:F, 5, FALSE), ""))</f>
        <v/>
      </c>
      <c r="G644" s="222" t="s">
        <v>1317</v>
      </c>
      <c r="H644" s="223" t="str">
        <f>IFERROR(VLOOKUP(B644, Content_Creation!B:H, 7, FALSE), IFERROR(VLOOKUP(B644, Project_Management!B:H, 7, FALSE), ""))</f>
        <v/>
      </c>
      <c r="I644" s="224">
        <v>0.0</v>
      </c>
      <c r="J644" s="217"/>
      <c r="K644" s="217"/>
      <c r="L644" s="225" t="str">
        <f>IFERROR(VLOOKUP(B644, Data_Validation!X:Y, 2, FALSE), "")</f>
        <v/>
      </c>
      <c r="M644" s="226" t="str">
        <f t="shared" si="1"/>
        <v> |  -  | </v>
      </c>
      <c r="N644" s="226"/>
      <c r="O644" s="226"/>
    </row>
    <row r="645" ht="24.0" customHeight="1">
      <c r="A645" s="216" t="str">
        <f>IFERROR(__xludf.DUMMYFUNCTION("ARRAYFORMULA(IFERROR(VLOOKUP(REGEXEXTRACT(B645, ""-(\w+)-""), {Data_Validation!$F$16:$F$29, Data_Validation!$E$16:$E$29}, 2, FALSE), """"))
"),"")</f>
        <v/>
      </c>
      <c r="B645" s="217"/>
      <c r="C645" s="218" t="str">
        <f>IFERROR(__xludf.DUMMYFUNCTION("IFERROR(REGEXEXTRACT(B645, ""^[A-Z]+-[A-Z]+-"") &amp; TEXT(VALUE(REGEXEXTRACT(B645, ""-(\d+)\."")), ""00""), """")"),"")</f>
        <v/>
      </c>
      <c r="D645" s="219" t="str">
        <f>IFERROR(VLOOKUP(C645, Content_Creation!B:D, 2, FALSE), IFERROR(VLOOKUP(C645, Project_Management!B:D, 2, FALSE), ""))
&amp; " - "
&amp; IFERROR(VLOOKUP(C645, Content_Creation!B:E, 4, FALSE), IFERROR(VLOOKUP(C645, Project_Management!B:E, 4, FALSE), ""))</f>
        <v> - </v>
      </c>
      <c r="E645" s="220" t="str">
        <f>IFERROR(
    VLOOKUP(B644:B1001, Content_Creation!B:D, 3, FALSE),
    IFERROR(VLOOKUP(B644:B1001, Project_Management!B:D, 3, FALSE),"")
  )</f>
        <v/>
      </c>
      <c r="F645" s="221" t="str">
        <f>IFERROR(VLOOKUP(B645, Content_Creation!B:F, 5, FALSE), IFERROR(VLOOKUP(B645, Project_Management!B:F, 5, FALSE), ""))</f>
        <v/>
      </c>
      <c r="G645" s="222" t="s">
        <v>1317</v>
      </c>
      <c r="H645" s="223" t="str">
        <f>IFERROR(VLOOKUP(B645, Content_Creation!B:H, 7, FALSE), IFERROR(VLOOKUP(B645, Project_Management!B:H, 7, FALSE), ""))</f>
        <v/>
      </c>
      <c r="I645" s="224">
        <v>0.0</v>
      </c>
      <c r="J645" s="217"/>
      <c r="K645" s="217"/>
      <c r="L645" s="225" t="str">
        <f>IFERROR(VLOOKUP(B645, Data_Validation!X:Y, 2, FALSE), "")</f>
        <v/>
      </c>
      <c r="M645" s="226" t="str">
        <f t="shared" si="1"/>
        <v> |  -  | </v>
      </c>
      <c r="N645" s="226"/>
      <c r="O645" s="226"/>
    </row>
    <row r="646" ht="24.0" customHeight="1">
      <c r="A646" s="216" t="str">
        <f>IFERROR(__xludf.DUMMYFUNCTION("ARRAYFORMULA(IFERROR(VLOOKUP(REGEXEXTRACT(B646, ""-(\w+)-""), {Data_Validation!$F$16:$F$29, Data_Validation!$E$16:$E$29}, 2, FALSE), """"))
"),"")</f>
        <v/>
      </c>
      <c r="B646" s="217"/>
      <c r="C646" s="218" t="str">
        <f>IFERROR(__xludf.DUMMYFUNCTION("IFERROR(REGEXEXTRACT(B646, ""^[A-Z]+-[A-Z]+-"") &amp; TEXT(VALUE(REGEXEXTRACT(B646, ""-(\d+)\."")), ""00""), """")"),"")</f>
        <v/>
      </c>
      <c r="D646" s="219" t="str">
        <f>IFERROR(VLOOKUP(C646, Content_Creation!B:D, 2, FALSE), IFERROR(VLOOKUP(C646, Project_Management!B:D, 2, FALSE), ""))
&amp; " - "
&amp; IFERROR(VLOOKUP(C646, Content_Creation!B:E, 4, FALSE), IFERROR(VLOOKUP(C646, Project_Management!B:E, 4, FALSE), ""))</f>
        <v> - </v>
      </c>
      <c r="E646" s="220" t="str">
        <f>IFERROR(
    VLOOKUP(B645:B1001, Content_Creation!B:D, 3, FALSE),
    IFERROR(VLOOKUP(B645:B1001, Project_Management!B:D, 3, FALSE),"")
  )</f>
        <v/>
      </c>
      <c r="F646" s="221" t="str">
        <f>IFERROR(VLOOKUP(B646, Content_Creation!B:F, 5, FALSE), IFERROR(VLOOKUP(B646, Project_Management!B:F, 5, FALSE), ""))</f>
        <v/>
      </c>
      <c r="G646" s="222" t="s">
        <v>1317</v>
      </c>
      <c r="H646" s="223" t="str">
        <f>IFERROR(VLOOKUP(B646, Content_Creation!B:H, 7, FALSE), IFERROR(VLOOKUP(B646, Project_Management!B:H, 7, FALSE), ""))</f>
        <v/>
      </c>
      <c r="I646" s="224">
        <v>0.0</v>
      </c>
      <c r="J646" s="217"/>
      <c r="K646" s="217"/>
      <c r="L646" s="225" t="str">
        <f>IFERROR(VLOOKUP(B646, Data_Validation!X:Y, 2, FALSE), "")</f>
        <v/>
      </c>
      <c r="M646" s="226" t="str">
        <f t="shared" si="1"/>
        <v> |  -  | </v>
      </c>
      <c r="N646" s="226"/>
      <c r="O646" s="226"/>
    </row>
    <row r="647" ht="24.0" customHeight="1">
      <c r="A647" s="216" t="str">
        <f>IFERROR(__xludf.DUMMYFUNCTION("ARRAYFORMULA(IFERROR(VLOOKUP(REGEXEXTRACT(B647, ""-(\w+)-""), {Data_Validation!$F$16:$F$29, Data_Validation!$E$16:$E$29}, 2, FALSE), """"))
"),"")</f>
        <v/>
      </c>
      <c r="B647" s="217"/>
      <c r="C647" s="218" t="str">
        <f>IFERROR(__xludf.DUMMYFUNCTION("IFERROR(REGEXEXTRACT(B647, ""^[A-Z]+-[A-Z]+-"") &amp; TEXT(VALUE(REGEXEXTRACT(B647, ""-(\d+)\."")), ""00""), """")"),"")</f>
        <v/>
      </c>
      <c r="D647" s="219" t="str">
        <f>IFERROR(VLOOKUP(C647, Content_Creation!B:D, 2, FALSE), IFERROR(VLOOKUP(C647, Project_Management!B:D, 2, FALSE), ""))
&amp; " - "
&amp; IFERROR(VLOOKUP(C647, Content_Creation!B:E, 4, FALSE), IFERROR(VLOOKUP(C647, Project_Management!B:E, 4, FALSE), ""))</f>
        <v> - </v>
      </c>
      <c r="E647" s="220" t="str">
        <f>IFERROR(
    VLOOKUP(B646:B1001, Content_Creation!B:D, 3, FALSE),
    IFERROR(VLOOKUP(B646:B1001, Project_Management!B:D, 3, FALSE),"")
  )</f>
        <v/>
      </c>
      <c r="F647" s="221" t="str">
        <f>IFERROR(VLOOKUP(B647, Content_Creation!B:F, 5, FALSE), IFERROR(VLOOKUP(B647, Project_Management!B:F, 5, FALSE), ""))</f>
        <v/>
      </c>
      <c r="G647" s="222" t="s">
        <v>1317</v>
      </c>
      <c r="H647" s="223" t="str">
        <f>IFERROR(VLOOKUP(B647, Content_Creation!B:H, 7, FALSE), IFERROR(VLOOKUP(B647, Project_Management!B:H, 7, FALSE), ""))</f>
        <v/>
      </c>
      <c r="I647" s="224">
        <v>0.0</v>
      </c>
      <c r="J647" s="217"/>
      <c r="K647" s="217"/>
      <c r="L647" s="225" t="str">
        <f>IFERROR(VLOOKUP(B647, Data_Validation!X:Y, 2, FALSE), "")</f>
        <v/>
      </c>
      <c r="M647" s="226" t="str">
        <f t="shared" si="1"/>
        <v> |  -  | </v>
      </c>
      <c r="N647" s="226"/>
      <c r="O647" s="226"/>
    </row>
    <row r="648" ht="24.0" customHeight="1">
      <c r="A648" s="216" t="str">
        <f>IFERROR(__xludf.DUMMYFUNCTION("ARRAYFORMULA(IFERROR(VLOOKUP(REGEXEXTRACT(B648, ""-(\w+)-""), {Data_Validation!$F$16:$F$29, Data_Validation!$E$16:$E$29}, 2, FALSE), """"))
"),"")</f>
        <v/>
      </c>
      <c r="B648" s="217"/>
      <c r="C648" s="218" t="str">
        <f>IFERROR(__xludf.DUMMYFUNCTION("IFERROR(REGEXEXTRACT(B648, ""^[A-Z]+-[A-Z]+-"") &amp; TEXT(VALUE(REGEXEXTRACT(B648, ""-(\d+)\."")), ""00""), """")"),"")</f>
        <v/>
      </c>
      <c r="D648" s="219" t="str">
        <f>IFERROR(VLOOKUP(C648, Content_Creation!B:D, 2, FALSE), IFERROR(VLOOKUP(C648, Project_Management!B:D, 2, FALSE), ""))
&amp; " - "
&amp; IFERROR(VLOOKUP(C648, Content_Creation!B:E, 4, FALSE), IFERROR(VLOOKUP(C648, Project_Management!B:E, 4, FALSE), ""))</f>
        <v> - </v>
      </c>
      <c r="E648" s="220" t="str">
        <f>IFERROR(
    VLOOKUP(B647:B1001, Content_Creation!B:D, 3, FALSE),
    IFERROR(VLOOKUP(B647:B1001, Project_Management!B:D, 3, FALSE),"")
  )</f>
        <v/>
      </c>
      <c r="F648" s="221" t="str">
        <f>IFERROR(VLOOKUP(B648, Content_Creation!B:F, 5, FALSE), IFERROR(VLOOKUP(B648, Project_Management!B:F, 5, FALSE), ""))</f>
        <v/>
      </c>
      <c r="G648" s="222" t="s">
        <v>1317</v>
      </c>
      <c r="H648" s="223" t="str">
        <f>IFERROR(VLOOKUP(B648, Content_Creation!B:H, 7, FALSE), IFERROR(VLOOKUP(B648, Project_Management!B:H, 7, FALSE), ""))</f>
        <v/>
      </c>
      <c r="I648" s="224">
        <v>0.0</v>
      </c>
      <c r="J648" s="217"/>
      <c r="K648" s="217"/>
      <c r="L648" s="225" t="str">
        <f>IFERROR(VLOOKUP(B648, Data_Validation!X:Y, 2, FALSE), "")</f>
        <v/>
      </c>
      <c r="M648" s="226" t="str">
        <f t="shared" si="1"/>
        <v> |  -  | </v>
      </c>
      <c r="N648" s="226"/>
      <c r="O648" s="226"/>
    </row>
    <row r="649" ht="24.0" customHeight="1">
      <c r="A649" s="216" t="str">
        <f>IFERROR(__xludf.DUMMYFUNCTION("ARRAYFORMULA(IFERROR(VLOOKUP(REGEXEXTRACT(B649, ""-(\w+)-""), {Data_Validation!$F$16:$F$29, Data_Validation!$E$16:$E$29}, 2, FALSE), """"))
"),"")</f>
        <v/>
      </c>
      <c r="B649" s="217"/>
      <c r="C649" s="218" t="str">
        <f>IFERROR(__xludf.DUMMYFUNCTION("IFERROR(REGEXEXTRACT(B649, ""^[A-Z]+-[A-Z]+-"") &amp; TEXT(VALUE(REGEXEXTRACT(B649, ""-(\d+)\."")), ""00""), """")"),"")</f>
        <v/>
      </c>
      <c r="D649" s="219" t="str">
        <f>IFERROR(VLOOKUP(C649, Content_Creation!B:D, 2, FALSE), IFERROR(VLOOKUP(C649, Project_Management!B:D, 2, FALSE), ""))
&amp; " - "
&amp; IFERROR(VLOOKUP(C649, Content_Creation!B:E, 4, FALSE), IFERROR(VLOOKUP(C649, Project_Management!B:E, 4, FALSE), ""))</f>
        <v> - </v>
      </c>
      <c r="E649" s="220" t="str">
        <f>IFERROR(
    VLOOKUP(B648:B1001, Content_Creation!B:D, 3, FALSE),
    IFERROR(VLOOKUP(B648:B1001, Project_Management!B:D, 3, FALSE),"")
  )</f>
        <v/>
      </c>
      <c r="F649" s="221" t="str">
        <f>IFERROR(VLOOKUP(B649, Content_Creation!B:F, 5, FALSE), IFERROR(VLOOKUP(B649, Project_Management!B:F, 5, FALSE), ""))</f>
        <v/>
      </c>
      <c r="G649" s="222" t="s">
        <v>1317</v>
      </c>
      <c r="H649" s="223" t="str">
        <f>IFERROR(VLOOKUP(B649, Content_Creation!B:H, 7, FALSE), IFERROR(VLOOKUP(B649, Project_Management!B:H, 7, FALSE), ""))</f>
        <v/>
      </c>
      <c r="I649" s="224">
        <v>0.0</v>
      </c>
      <c r="J649" s="217"/>
      <c r="K649" s="217"/>
      <c r="L649" s="225" t="str">
        <f>IFERROR(VLOOKUP(B649, Data_Validation!X:Y, 2, FALSE), "")</f>
        <v/>
      </c>
      <c r="M649" s="226" t="str">
        <f t="shared" si="1"/>
        <v> |  -  | </v>
      </c>
      <c r="N649" s="226"/>
      <c r="O649" s="226"/>
    </row>
    <row r="650" ht="24.0" customHeight="1">
      <c r="A650" s="216" t="str">
        <f>IFERROR(__xludf.DUMMYFUNCTION("ARRAYFORMULA(IFERROR(VLOOKUP(REGEXEXTRACT(B650, ""-(\w+)-""), {Data_Validation!$F$16:$F$29, Data_Validation!$E$16:$E$29}, 2, FALSE), """"))
"),"")</f>
        <v/>
      </c>
      <c r="B650" s="217"/>
      <c r="C650" s="218" t="str">
        <f>IFERROR(__xludf.DUMMYFUNCTION("IFERROR(REGEXEXTRACT(B650, ""^[A-Z]+-[A-Z]+-"") &amp; TEXT(VALUE(REGEXEXTRACT(B650, ""-(\d+)\."")), ""00""), """")"),"")</f>
        <v/>
      </c>
      <c r="D650" s="219" t="str">
        <f>IFERROR(VLOOKUP(C650, Content_Creation!B:D, 2, FALSE), IFERROR(VLOOKUP(C650, Project_Management!B:D, 2, FALSE), ""))
&amp; " - "
&amp; IFERROR(VLOOKUP(C650, Content_Creation!B:E, 4, FALSE), IFERROR(VLOOKUP(C650, Project_Management!B:E, 4, FALSE), ""))</f>
        <v> - </v>
      </c>
      <c r="E650" s="220" t="str">
        <f>IFERROR(
    VLOOKUP(B649:B1001, Content_Creation!B:D, 3, FALSE),
    IFERROR(VLOOKUP(B649:B1001, Project_Management!B:D, 3, FALSE),"")
  )</f>
        <v/>
      </c>
      <c r="F650" s="221" t="str">
        <f>IFERROR(VLOOKUP(B650, Content_Creation!B:F, 5, FALSE), IFERROR(VLOOKUP(B650, Project_Management!B:F, 5, FALSE), ""))</f>
        <v/>
      </c>
      <c r="G650" s="222" t="s">
        <v>1317</v>
      </c>
      <c r="H650" s="223" t="str">
        <f>IFERROR(VLOOKUP(B650, Content_Creation!B:H, 7, FALSE), IFERROR(VLOOKUP(B650, Project_Management!B:H, 7, FALSE), ""))</f>
        <v/>
      </c>
      <c r="I650" s="224">
        <v>0.0</v>
      </c>
      <c r="J650" s="217"/>
      <c r="K650" s="217"/>
      <c r="L650" s="225" t="str">
        <f>IFERROR(VLOOKUP(B650, Data_Validation!X:Y, 2, FALSE), "")</f>
        <v/>
      </c>
      <c r="M650" s="226" t="str">
        <f t="shared" si="1"/>
        <v> |  -  | </v>
      </c>
      <c r="N650" s="226"/>
      <c r="O650" s="226"/>
    </row>
    <row r="651" ht="24.0" customHeight="1">
      <c r="A651" s="216" t="str">
        <f>IFERROR(__xludf.DUMMYFUNCTION("ARRAYFORMULA(IFERROR(VLOOKUP(REGEXEXTRACT(B651, ""-(\w+)-""), {Data_Validation!$F$16:$F$29, Data_Validation!$E$16:$E$29}, 2, FALSE), """"))
"),"")</f>
        <v/>
      </c>
      <c r="B651" s="217"/>
      <c r="C651" s="218" t="str">
        <f>IFERROR(__xludf.DUMMYFUNCTION("IFERROR(REGEXEXTRACT(B651, ""^[A-Z]+-[A-Z]+-"") &amp; TEXT(VALUE(REGEXEXTRACT(B651, ""-(\d+)\."")), ""00""), """")"),"")</f>
        <v/>
      </c>
      <c r="D651" s="219" t="str">
        <f>IFERROR(VLOOKUP(C651, Content_Creation!B:D, 2, FALSE), IFERROR(VLOOKUP(C651, Project_Management!B:D, 2, FALSE), ""))
&amp; " - "
&amp; IFERROR(VLOOKUP(C651, Content_Creation!B:E, 4, FALSE), IFERROR(VLOOKUP(C651, Project_Management!B:E, 4, FALSE), ""))</f>
        <v> - </v>
      </c>
      <c r="E651" s="220" t="str">
        <f>IFERROR(
    VLOOKUP(B650:B1001, Content_Creation!B:D, 3, FALSE),
    IFERROR(VLOOKUP(B650:B1001, Project_Management!B:D, 3, FALSE),"")
  )</f>
        <v/>
      </c>
      <c r="F651" s="221" t="str">
        <f>IFERROR(VLOOKUP(B651, Content_Creation!B:F, 5, FALSE), IFERROR(VLOOKUP(B651, Project_Management!B:F, 5, FALSE), ""))</f>
        <v/>
      </c>
      <c r="G651" s="222" t="s">
        <v>1317</v>
      </c>
      <c r="H651" s="223" t="str">
        <f>IFERROR(VLOOKUP(B651, Content_Creation!B:H, 7, FALSE), IFERROR(VLOOKUP(B651, Project_Management!B:H, 7, FALSE), ""))</f>
        <v/>
      </c>
      <c r="I651" s="224">
        <v>0.0</v>
      </c>
      <c r="J651" s="217"/>
      <c r="K651" s="217"/>
      <c r="L651" s="225" t="str">
        <f>IFERROR(VLOOKUP(B651, Data_Validation!X:Y, 2, FALSE), "")</f>
        <v/>
      </c>
      <c r="M651" s="226" t="str">
        <f t="shared" si="1"/>
        <v> |  -  | </v>
      </c>
      <c r="N651" s="226"/>
      <c r="O651" s="226"/>
    </row>
    <row r="652" ht="24.0" customHeight="1">
      <c r="A652" s="216" t="str">
        <f>IFERROR(__xludf.DUMMYFUNCTION("ARRAYFORMULA(IFERROR(VLOOKUP(REGEXEXTRACT(B652, ""-(\w+)-""), {Data_Validation!$F$16:$F$29, Data_Validation!$E$16:$E$29}, 2, FALSE), """"))
"),"")</f>
        <v/>
      </c>
      <c r="B652" s="217"/>
      <c r="C652" s="218" t="str">
        <f>IFERROR(__xludf.DUMMYFUNCTION("IFERROR(REGEXEXTRACT(B652, ""^[A-Z]+-[A-Z]+-"") &amp; TEXT(VALUE(REGEXEXTRACT(B652, ""-(\d+)\."")), ""00""), """")"),"")</f>
        <v/>
      </c>
      <c r="D652" s="219" t="str">
        <f>IFERROR(VLOOKUP(C652, Content_Creation!B:D, 2, FALSE), IFERROR(VLOOKUP(C652, Project_Management!B:D, 2, FALSE), ""))
&amp; " - "
&amp; IFERROR(VLOOKUP(C652, Content_Creation!B:E, 4, FALSE), IFERROR(VLOOKUP(C652, Project_Management!B:E, 4, FALSE), ""))</f>
        <v> - </v>
      </c>
      <c r="E652" s="220" t="str">
        <f>IFERROR(
    VLOOKUP(B651:B1001, Content_Creation!B:D, 3, FALSE),
    IFERROR(VLOOKUP(B651:B1001, Project_Management!B:D, 3, FALSE),"")
  )</f>
        <v/>
      </c>
      <c r="F652" s="221" t="str">
        <f>IFERROR(VLOOKUP(B652, Content_Creation!B:F, 5, FALSE), IFERROR(VLOOKUP(B652, Project_Management!B:F, 5, FALSE), ""))</f>
        <v/>
      </c>
      <c r="G652" s="222" t="s">
        <v>1317</v>
      </c>
      <c r="H652" s="223" t="str">
        <f>IFERROR(VLOOKUP(B652, Content_Creation!B:H, 7, FALSE), IFERROR(VLOOKUP(B652, Project_Management!B:H, 7, FALSE), ""))</f>
        <v/>
      </c>
      <c r="I652" s="224">
        <v>0.0</v>
      </c>
      <c r="J652" s="217"/>
      <c r="K652" s="217"/>
      <c r="L652" s="225" t="str">
        <f>IFERROR(VLOOKUP(B652, Data_Validation!X:Y, 2, FALSE), "")</f>
        <v/>
      </c>
      <c r="M652" s="226" t="str">
        <f t="shared" si="1"/>
        <v> |  -  | </v>
      </c>
      <c r="N652" s="226"/>
      <c r="O652" s="226"/>
    </row>
    <row r="653" ht="24.0" customHeight="1">
      <c r="A653" s="216" t="str">
        <f>IFERROR(__xludf.DUMMYFUNCTION("ARRAYFORMULA(IFERROR(VLOOKUP(REGEXEXTRACT(B653, ""-(\w+)-""), {Data_Validation!$F$16:$F$29, Data_Validation!$E$16:$E$29}, 2, FALSE), """"))
"),"")</f>
        <v/>
      </c>
      <c r="B653" s="217"/>
      <c r="C653" s="218" t="str">
        <f>IFERROR(__xludf.DUMMYFUNCTION("IFERROR(REGEXEXTRACT(B653, ""^[A-Z]+-[A-Z]+-"") &amp; TEXT(VALUE(REGEXEXTRACT(B653, ""-(\d+)\."")), ""00""), """")"),"")</f>
        <v/>
      </c>
      <c r="D653" s="219" t="str">
        <f>IFERROR(VLOOKUP(C653, Content_Creation!B:D, 2, FALSE), IFERROR(VLOOKUP(C653, Project_Management!B:D, 2, FALSE), ""))
&amp; " - "
&amp; IFERROR(VLOOKUP(C653, Content_Creation!B:E, 4, FALSE), IFERROR(VLOOKUP(C653, Project_Management!B:E, 4, FALSE), ""))</f>
        <v> - </v>
      </c>
      <c r="E653" s="220" t="str">
        <f>IFERROR(
    VLOOKUP(B652:B1001, Content_Creation!B:D, 3, FALSE),
    IFERROR(VLOOKUP(B652:B1001, Project_Management!B:D, 3, FALSE),"")
  )</f>
        <v/>
      </c>
      <c r="F653" s="221" t="str">
        <f>IFERROR(VLOOKUP(B653, Content_Creation!B:F, 5, FALSE), IFERROR(VLOOKUP(B653, Project_Management!B:F, 5, FALSE), ""))</f>
        <v/>
      </c>
      <c r="G653" s="222" t="s">
        <v>1317</v>
      </c>
      <c r="H653" s="223" t="str">
        <f>IFERROR(VLOOKUP(B653, Content_Creation!B:H, 7, FALSE), IFERROR(VLOOKUP(B653, Project_Management!B:H, 7, FALSE), ""))</f>
        <v/>
      </c>
      <c r="I653" s="224">
        <v>0.0</v>
      </c>
      <c r="J653" s="217"/>
      <c r="K653" s="217"/>
      <c r="L653" s="225" t="str">
        <f>IFERROR(VLOOKUP(B653, Data_Validation!X:Y, 2, FALSE), "")</f>
        <v/>
      </c>
      <c r="M653" s="226" t="str">
        <f t="shared" si="1"/>
        <v> |  -  | </v>
      </c>
      <c r="N653" s="226"/>
      <c r="O653" s="226"/>
    </row>
    <row r="654" ht="24.0" customHeight="1">
      <c r="A654" s="216" t="str">
        <f>IFERROR(__xludf.DUMMYFUNCTION("ARRAYFORMULA(IFERROR(VLOOKUP(REGEXEXTRACT(B654, ""-(\w+)-""), {Data_Validation!$F$16:$F$29, Data_Validation!$E$16:$E$29}, 2, FALSE), """"))
"),"")</f>
        <v/>
      </c>
      <c r="B654" s="217"/>
      <c r="C654" s="218" t="str">
        <f>IFERROR(__xludf.DUMMYFUNCTION("IFERROR(REGEXEXTRACT(B654, ""^[A-Z]+-[A-Z]+-"") &amp; TEXT(VALUE(REGEXEXTRACT(B654, ""-(\d+)\."")), ""00""), """")"),"")</f>
        <v/>
      </c>
      <c r="D654" s="219" t="str">
        <f>IFERROR(VLOOKUP(C654, Content_Creation!B:D, 2, FALSE), IFERROR(VLOOKUP(C654, Project_Management!B:D, 2, FALSE), ""))
&amp; " - "
&amp; IFERROR(VLOOKUP(C654, Content_Creation!B:E, 4, FALSE), IFERROR(VLOOKUP(C654, Project_Management!B:E, 4, FALSE), ""))</f>
        <v> - </v>
      </c>
      <c r="E654" s="220" t="str">
        <f>IFERROR(
    VLOOKUP(B653:B1001, Content_Creation!B:D, 3, FALSE),
    IFERROR(VLOOKUP(B653:B1001, Project_Management!B:D, 3, FALSE),"")
  )</f>
        <v/>
      </c>
      <c r="F654" s="221" t="str">
        <f>IFERROR(VLOOKUP(B654, Content_Creation!B:F, 5, FALSE), IFERROR(VLOOKUP(B654, Project_Management!B:F, 5, FALSE), ""))</f>
        <v/>
      </c>
      <c r="G654" s="222" t="s">
        <v>1317</v>
      </c>
      <c r="H654" s="223" t="str">
        <f>IFERROR(VLOOKUP(B654, Content_Creation!B:H, 7, FALSE), IFERROR(VLOOKUP(B654, Project_Management!B:H, 7, FALSE), ""))</f>
        <v/>
      </c>
      <c r="I654" s="224">
        <v>0.0</v>
      </c>
      <c r="J654" s="217"/>
      <c r="K654" s="217"/>
      <c r="L654" s="225" t="str">
        <f>IFERROR(VLOOKUP(B654, Data_Validation!X:Y, 2, FALSE), "")</f>
        <v/>
      </c>
      <c r="M654" s="226" t="str">
        <f t="shared" si="1"/>
        <v> |  -  | </v>
      </c>
      <c r="N654" s="226"/>
      <c r="O654" s="226"/>
    </row>
    <row r="655" ht="24.0" customHeight="1">
      <c r="A655" s="216" t="str">
        <f>IFERROR(__xludf.DUMMYFUNCTION("ARRAYFORMULA(IFERROR(VLOOKUP(REGEXEXTRACT(B655, ""-(\w+)-""), {Data_Validation!$F$16:$F$29, Data_Validation!$E$16:$E$29}, 2, FALSE), """"))
"),"")</f>
        <v/>
      </c>
      <c r="B655" s="217"/>
      <c r="C655" s="218" t="str">
        <f>IFERROR(__xludf.DUMMYFUNCTION("IFERROR(REGEXEXTRACT(B655, ""^[A-Z]+-[A-Z]+-"") &amp; TEXT(VALUE(REGEXEXTRACT(B655, ""-(\d+)\."")), ""00""), """")"),"")</f>
        <v/>
      </c>
      <c r="D655" s="219" t="str">
        <f>IFERROR(VLOOKUP(C655, Content_Creation!B:D, 2, FALSE), IFERROR(VLOOKUP(C655, Project_Management!B:D, 2, FALSE), ""))
&amp; " - "
&amp; IFERROR(VLOOKUP(C655, Content_Creation!B:E, 4, FALSE), IFERROR(VLOOKUP(C655, Project_Management!B:E, 4, FALSE), ""))</f>
        <v> - </v>
      </c>
      <c r="E655" s="220" t="str">
        <f>IFERROR(
    VLOOKUP(B654:B1001, Content_Creation!B:D, 3, FALSE),
    IFERROR(VLOOKUP(B654:B1001, Project_Management!B:D, 3, FALSE),"")
  )</f>
        <v/>
      </c>
      <c r="F655" s="221" t="str">
        <f>IFERROR(VLOOKUP(B655, Content_Creation!B:F, 5, FALSE), IFERROR(VLOOKUP(B655, Project_Management!B:F, 5, FALSE), ""))</f>
        <v/>
      </c>
      <c r="G655" s="222" t="s">
        <v>1317</v>
      </c>
      <c r="H655" s="223" t="str">
        <f>IFERROR(VLOOKUP(B655, Content_Creation!B:H, 7, FALSE), IFERROR(VLOOKUP(B655, Project_Management!B:H, 7, FALSE), ""))</f>
        <v/>
      </c>
      <c r="I655" s="224">
        <v>0.0</v>
      </c>
      <c r="J655" s="217"/>
      <c r="K655" s="217"/>
      <c r="L655" s="225" t="str">
        <f>IFERROR(VLOOKUP(B655, Data_Validation!X:Y, 2, FALSE), "")</f>
        <v/>
      </c>
      <c r="M655" s="226" t="str">
        <f t="shared" si="1"/>
        <v> |  -  | </v>
      </c>
      <c r="N655" s="226"/>
      <c r="O655" s="226"/>
    </row>
    <row r="656" ht="24.0" customHeight="1">
      <c r="A656" s="216" t="str">
        <f>IFERROR(__xludf.DUMMYFUNCTION("ARRAYFORMULA(IFERROR(VLOOKUP(REGEXEXTRACT(B656, ""-(\w+)-""), {Data_Validation!$F$16:$F$29, Data_Validation!$E$16:$E$29}, 2, FALSE), """"))
"),"")</f>
        <v/>
      </c>
      <c r="B656" s="217"/>
      <c r="C656" s="218" t="str">
        <f>IFERROR(__xludf.DUMMYFUNCTION("IFERROR(REGEXEXTRACT(B656, ""^[A-Z]+-[A-Z]+-"") &amp; TEXT(VALUE(REGEXEXTRACT(B656, ""-(\d+)\."")), ""00""), """")"),"")</f>
        <v/>
      </c>
      <c r="D656" s="219" t="str">
        <f>IFERROR(VLOOKUP(C656, Content_Creation!B:D, 2, FALSE), IFERROR(VLOOKUP(C656, Project_Management!B:D, 2, FALSE), ""))
&amp; " - "
&amp; IFERROR(VLOOKUP(C656, Content_Creation!B:E, 4, FALSE), IFERROR(VLOOKUP(C656, Project_Management!B:E, 4, FALSE), ""))</f>
        <v> - </v>
      </c>
      <c r="E656" s="220" t="str">
        <f>IFERROR(
    VLOOKUP(B655:B1001, Content_Creation!B:D, 3, FALSE),
    IFERROR(VLOOKUP(B655:B1001, Project_Management!B:D, 3, FALSE),"")
  )</f>
        <v/>
      </c>
      <c r="F656" s="221" t="str">
        <f>IFERROR(VLOOKUP(B656, Content_Creation!B:F, 5, FALSE), IFERROR(VLOOKUP(B656, Project_Management!B:F, 5, FALSE), ""))</f>
        <v/>
      </c>
      <c r="G656" s="222" t="s">
        <v>1317</v>
      </c>
      <c r="H656" s="223" t="str">
        <f>IFERROR(VLOOKUP(B656, Content_Creation!B:H, 7, FALSE), IFERROR(VLOOKUP(B656, Project_Management!B:H, 7, FALSE), ""))</f>
        <v/>
      </c>
      <c r="I656" s="224">
        <v>0.0</v>
      </c>
      <c r="J656" s="217"/>
      <c r="K656" s="217"/>
      <c r="L656" s="225" t="str">
        <f>IFERROR(VLOOKUP(B656, Data_Validation!X:Y, 2, FALSE), "")</f>
        <v/>
      </c>
      <c r="M656" s="226" t="str">
        <f t="shared" si="1"/>
        <v> |  -  | </v>
      </c>
      <c r="N656" s="226"/>
      <c r="O656" s="226"/>
    </row>
    <row r="657" ht="24.0" customHeight="1">
      <c r="A657" s="216" t="str">
        <f>IFERROR(__xludf.DUMMYFUNCTION("ARRAYFORMULA(IFERROR(VLOOKUP(REGEXEXTRACT(B657, ""-(\w+)-""), {Data_Validation!$F$16:$F$29, Data_Validation!$E$16:$E$29}, 2, FALSE), """"))
"),"")</f>
        <v/>
      </c>
      <c r="B657" s="217"/>
      <c r="C657" s="218" t="str">
        <f>IFERROR(__xludf.DUMMYFUNCTION("IFERROR(REGEXEXTRACT(B657, ""^[A-Z]+-[A-Z]+-"") &amp; TEXT(VALUE(REGEXEXTRACT(B657, ""-(\d+)\."")), ""00""), """")"),"")</f>
        <v/>
      </c>
      <c r="D657" s="219" t="str">
        <f>IFERROR(VLOOKUP(C657, Content_Creation!B:D, 2, FALSE), IFERROR(VLOOKUP(C657, Project_Management!B:D, 2, FALSE), ""))
&amp; " - "
&amp; IFERROR(VLOOKUP(C657, Content_Creation!B:E, 4, FALSE), IFERROR(VLOOKUP(C657, Project_Management!B:E, 4, FALSE), ""))</f>
        <v> - </v>
      </c>
      <c r="E657" s="220" t="str">
        <f>IFERROR(
    VLOOKUP(B656:B1001, Content_Creation!B:D, 3, FALSE),
    IFERROR(VLOOKUP(B656:B1001, Project_Management!B:D, 3, FALSE),"")
  )</f>
        <v/>
      </c>
      <c r="F657" s="221" t="str">
        <f>IFERROR(VLOOKUP(B657, Content_Creation!B:F, 5, FALSE), IFERROR(VLOOKUP(B657, Project_Management!B:F, 5, FALSE), ""))</f>
        <v/>
      </c>
      <c r="G657" s="222" t="s">
        <v>1317</v>
      </c>
      <c r="H657" s="223" t="str">
        <f>IFERROR(VLOOKUP(B657, Content_Creation!B:H, 7, FALSE), IFERROR(VLOOKUP(B657, Project_Management!B:H, 7, FALSE), ""))</f>
        <v/>
      </c>
      <c r="I657" s="224">
        <v>0.0</v>
      </c>
      <c r="J657" s="217"/>
      <c r="K657" s="217"/>
      <c r="L657" s="225" t="str">
        <f>IFERROR(VLOOKUP(B657, Data_Validation!X:Y, 2, FALSE), "")</f>
        <v/>
      </c>
      <c r="M657" s="226" t="str">
        <f t="shared" si="1"/>
        <v> |  -  | </v>
      </c>
      <c r="N657" s="226"/>
      <c r="O657" s="226"/>
    </row>
    <row r="658" ht="24.0" customHeight="1">
      <c r="A658" s="216" t="str">
        <f>IFERROR(__xludf.DUMMYFUNCTION("ARRAYFORMULA(IFERROR(VLOOKUP(REGEXEXTRACT(B658, ""-(\w+)-""), {Data_Validation!$F$16:$F$29, Data_Validation!$E$16:$E$29}, 2, FALSE), """"))
"),"")</f>
        <v/>
      </c>
      <c r="B658" s="217"/>
      <c r="C658" s="218" t="str">
        <f>IFERROR(__xludf.DUMMYFUNCTION("IFERROR(REGEXEXTRACT(B658, ""^[A-Z]+-[A-Z]+-"") &amp; TEXT(VALUE(REGEXEXTRACT(B658, ""-(\d+)\."")), ""00""), """")"),"")</f>
        <v/>
      </c>
      <c r="D658" s="219" t="str">
        <f>IFERROR(VLOOKUP(C658, Content_Creation!B:D, 2, FALSE), IFERROR(VLOOKUP(C658, Project_Management!B:D, 2, FALSE), ""))
&amp; " - "
&amp; IFERROR(VLOOKUP(C658, Content_Creation!B:E, 4, FALSE), IFERROR(VLOOKUP(C658, Project_Management!B:E, 4, FALSE), ""))</f>
        <v> - </v>
      </c>
      <c r="E658" s="220" t="str">
        <f>IFERROR(
    VLOOKUP(B657:B1001, Content_Creation!B:D, 3, FALSE),
    IFERROR(VLOOKUP(B657:B1001, Project_Management!B:D, 3, FALSE),"")
  )</f>
        <v/>
      </c>
      <c r="F658" s="221" t="str">
        <f>IFERROR(VLOOKUP(B658, Content_Creation!B:F, 5, FALSE), IFERROR(VLOOKUP(B658, Project_Management!B:F, 5, FALSE), ""))</f>
        <v/>
      </c>
      <c r="G658" s="222" t="s">
        <v>1317</v>
      </c>
      <c r="H658" s="223" t="str">
        <f>IFERROR(VLOOKUP(B658, Content_Creation!B:H, 7, FALSE), IFERROR(VLOOKUP(B658, Project_Management!B:H, 7, FALSE), ""))</f>
        <v/>
      </c>
      <c r="I658" s="224">
        <v>0.0</v>
      </c>
      <c r="J658" s="217"/>
      <c r="K658" s="217"/>
      <c r="L658" s="225" t="str">
        <f>IFERROR(VLOOKUP(B658, Data_Validation!X:Y, 2, FALSE), "")</f>
        <v/>
      </c>
      <c r="M658" s="226" t="str">
        <f t="shared" si="1"/>
        <v> |  -  | </v>
      </c>
      <c r="N658" s="226"/>
      <c r="O658" s="226"/>
    </row>
    <row r="659" ht="24.0" customHeight="1">
      <c r="A659" s="216" t="str">
        <f>IFERROR(__xludf.DUMMYFUNCTION("ARRAYFORMULA(IFERROR(VLOOKUP(REGEXEXTRACT(B659, ""-(\w+)-""), {Data_Validation!$F$16:$F$29, Data_Validation!$E$16:$E$29}, 2, FALSE), """"))
"),"")</f>
        <v/>
      </c>
      <c r="B659" s="217"/>
      <c r="C659" s="218" t="str">
        <f>IFERROR(__xludf.DUMMYFUNCTION("IFERROR(REGEXEXTRACT(B659, ""^[A-Z]+-[A-Z]+-"") &amp; TEXT(VALUE(REGEXEXTRACT(B659, ""-(\d+)\."")), ""00""), """")"),"")</f>
        <v/>
      </c>
      <c r="D659" s="219" t="str">
        <f>IFERROR(VLOOKUP(C659, Content_Creation!B:D, 2, FALSE), IFERROR(VLOOKUP(C659, Project_Management!B:D, 2, FALSE), ""))
&amp; " - "
&amp; IFERROR(VLOOKUP(C659, Content_Creation!B:E, 4, FALSE), IFERROR(VLOOKUP(C659, Project_Management!B:E, 4, FALSE), ""))</f>
        <v> - </v>
      </c>
      <c r="E659" s="220" t="str">
        <f>IFERROR(
    VLOOKUP(B658:B1001, Content_Creation!B:D, 3, FALSE),
    IFERROR(VLOOKUP(B658:B1001, Project_Management!B:D, 3, FALSE),"")
  )</f>
        <v/>
      </c>
      <c r="F659" s="221" t="str">
        <f>IFERROR(VLOOKUP(B659, Content_Creation!B:F, 5, FALSE), IFERROR(VLOOKUP(B659, Project_Management!B:F, 5, FALSE), ""))</f>
        <v/>
      </c>
      <c r="G659" s="222" t="s">
        <v>1317</v>
      </c>
      <c r="H659" s="223" t="str">
        <f>IFERROR(VLOOKUP(B659, Content_Creation!B:H, 7, FALSE), IFERROR(VLOOKUP(B659, Project_Management!B:H, 7, FALSE), ""))</f>
        <v/>
      </c>
      <c r="I659" s="224">
        <v>0.0</v>
      </c>
      <c r="J659" s="217"/>
      <c r="K659" s="217"/>
      <c r="L659" s="225" t="str">
        <f>IFERROR(VLOOKUP(B659, Data_Validation!X:Y, 2, FALSE), "")</f>
        <v/>
      </c>
      <c r="M659" s="226" t="str">
        <f t="shared" si="1"/>
        <v> |  -  | </v>
      </c>
      <c r="N659" s="226"/>
      <c r="O659" s="226"/>
    </row>
    <row r="660" ht="24.0" customHeight="1">
      <c r="A660" s="216" t="str">
        <f>IFERROR(__xludf.DUMMYFUNCTION("ARRAYFORMULA(IFERROR(VLOOKUP(REGEXEXTRACT(B660, ""-(\w+)-""), {Data_Validation!$F$16:$F$29, Data_Validation!$E$16:$E$29}, 2, FALSE), """"))
"),"")</f>
        <v/>
      </c>
      <c r="B660" s="217"/>
      <c r="C660" s="218" t="str">
        <f>IFERROR(__xludf.DUMMYFUNCTION("IFERROR(REGEXEXTRACT(B660, ""^[A-Z]+-[A-Z]+-"") &amp; TEXT(VALUE(REGEXEXTRACT(B660, ""-(\d+)\."")), ""00""), """")"),"")</f>
        <v/>
      </c>
      <c r="D660" s="219" t="str">
        <f>IFERROR(VLOOKUP(C660, Content_Creation!B:D, 2, FALSE), IFERROR(VLOOKUP(C660, Project_Management!B:D, 2, FALSE), ""))
&amp; " - "
&amp; IFERROR(VLOOKUP(C660, Content_Creation!B:E, 4, FALSE), IFERROR(VLOOKUP(C660, Project_Management!B:E, 4, FALSE), ""))</f>
        <v> - </v>
      </c>
      <c r="E660" s="220" t="str">
        <f>IFERROR(
    VLOOKUP(B659:B1001, Content_Creation!B:D, 3, FALSE),
    IFERROR(VLOOKUP(B659:B1001, Project_Management!B:D, 3, FALSE),"")
  )</f>
        <v/>
      </c>
      <c r="F660" s="221" t="str">
        <f>IFERROR(VLOOKUP(B660, Content_Creation!B:F, 5, FALSE), IFERROR(VLOOKUP(B660, Project_Management!B:F, 5, FALSE), ""))</f>
        <v/>
      </c>
      <c r="G660" s="222" t="s">
        <v>1317</v>
      </c>
      <c r="H660" s="223" t="str">
        <f>IFERROR(VLOOKUP(B660, Content_Creation!B:H, 7, FALSE), IFERROR(VLOOKUP(B660, Project_Management!B:H, 7, FALSE), ""))</f>
        <v/>
      </c>
      <c r="I660" s="224">
        <v>0.0</v>
      </c>
      <c r="J660" s="217"/>
      <c r="K660" s="217"/>
      <c r="L660" s="225" t="str">
        <f>IFERROR(VLOOKUP(B660, Data_Validation!X:Y, 2, FALSE), "")</f>
        <v/>
      </c>
      <c r="M660" s="226" t="str">
        <f t="shared" si="1"/>
        <v> |  -  | </v>
      </c>
      <c r="N660" s="226"/>
      <c r="O660" s="226"/>
    </row>
    <row r="661" ht="24.0" customHeight="1">
      <c r="A661" s="216" t="str">
        <f>IFERROR(__xludf.DUMMYFUNCTION("ARRAYFORMULA(IFERROR(VLOOKUP(REGEXEXTRACT(B661, ""-(\w+)-""), {Data_Validation!$F$16:$F$29, Data_Validation!$E$16:$E$29}, 2, FALSE), """"))
"),"")</f>
        <v/>
      </c>
      <c r="B661" s="217"/>
      <c r="C661" s="218" t="str">
        <f>IFERROR(__xludf.DUMMYFUNCTION("IFERROR(REGEXEXTRACT(B661, ""^[A-Z]+-[A-Z]+-"") &amp; TEXT(VALUE(REGEXEXTRACT(B661, ""-(\d+)\."")), ""00""), """")"),"")</f>
        <v/>
      </c>
      <c r="D661" s="219" t="str">
        <f>IFERROR(VLOOKUP(C661, Content_Creation!B:D, 2, FALSE), IFERROR(VLOOKUP(C661, Project_Management!B:D, 2, FALSE), ""))
&amp; " - "
&amp; IFERROR(VLOOKUP(C661, Content_Creation!B:E, 4, FALSE), IFERROR(VLOOKUP(C661, Project_Management!B:E, 4, FALSE), ""))</f>
        <v> - </v>
      </c>
      <c r="E661" s="220" t="str">
        <f>IFERROR(
    VLOOKUP(B660:B1001, Content_Creation!B:D, 3, FALSE),
    IFERROR(VLOOKUP(B660:B1001, Project_Management!B:D, 3, FALSE),"")
  )</f>
        <v/>
      </c>
      <c r="F661" s="221" t="str">
        <f>IFERROR(VLOOKUP(B661, Content_Creation!B:F, 5, FALSE), IFERROR(VLOOKUP(B661, Project_Management!B:F, 5, FALSE), ""))</f>
        <v/>
      </c>
      <c r="G661" s="222" t="s">
        <v>1317</v>
      </c>
      <c r="H661" s="223" t="str">
        <f>IFERROR(VLOOKUP(B661, Content_Creation!B:H, 7, FALSE), IFERROR(VLOOKUP(B661, Project_Management!B:H, 7, FALSE), ""))</f>
        <v/>
      </c>
      <c r="I661" s="224">
        <v>0.0</v>
      </c>
      <c r="J661" s="217"/>
      <c r="K661" s="217"/>
      <c r="L661" s="225" t="str">
        <f>IFERROR(VLOOKUP(B661, Data_Validation!X:Y, 2, FALSE), "")</f>
        <v/>
      </c>
      <c r="M661" s="226" t="str">
        <f t="shared" si="1"/>
        <v> |  -  | </v>
      </c>
      <c r="N661" s="226"/>
      <c r="O661" s="226"/>
    </row>
    <row r="662" ht="24.0" customHeight="1">
      <c r="A662" s="216" t="str">
        <f>IFERROR(__xludf.DUMMYFUNCTION("ARRAYFORMULA(IFERROR(VLOOKUP(REGEXEXTRACT(B662, ""-(\w+)-""), {Data_Validation!$F$16:$F$29, Data_Validation!$E$16:$E$29}, 2, FALSE), """"))
"),"")</f>
        <v/>
      </c>
      <c r="B662" s="217"/>
      <c r="C662" s="218" t="str">
        <f>IFERROR(__xludf.DUMMYFUNCTION("IFERROR(REGEXEXTRACT(B662, ""^[A-Z]+-[A-Z]+-"") &amp; TEXT(VALUE(REGEXEXTRACT(B662, ""-(\d+)\."")), ""00""), """")"),"")</f>
        <v/>
      </c>
      <c r="D662" s="219" t="str">
        <f>IFERROR(VLOOKUP(C662, Content_Creation!B:D, 2, FALSE), IFERROR(VLOOKUP(C662, Project_Management!B:D, 2, FALSE), ""))
&amp; " - "
&amp; IFERROR(VLOOKUP(C662, Content_Creation!B:E, 4, FALSE), IFERROR(VLOOKUP(C662, Project_Management!B:E, 4, FALSE), ""))</f>
        <v> - </v>
      </c>
      <c r="E662" s="220" t="str">
        <f>IFERROR(
    VLOOKUP(B661:B1001, Content_Creation!B:D, 3, FALSE),
    IFERROR(VLOOKUP(B661:B1001, Project_Management!B:D, 3, FALSE),"")
  )</f>
        <v/>
      </c>
      <c r="F662" s="221" t="str">
        <f>IFERROR(VLOOKUP(B662, Content_Creation!B:F, 5, FALSE), IFERROR(VLOOKUP(B662, Project_Management!B:F, 5, FALSE), ""))</f>
        <v/>
      </c>
      <c r="G662" s="222" t="s">
        <v>1317</v>
      </c>
      <c r="H662" s="223" t="str">
        <f>IFERROR(VLOOKUP(B662, Content_Creation!B:H, 7, FALSE), IFERROR(VLOOKUP(B662, Project_Management!B:H, 7, FALSE), ""))</f>
        <v/>
      </c>
      <c r="I662" s="224">
        <v>0.0</v>
      </c>
      <c r="J662" s="217"/>
      <c r="K662" s="217"/>
      <c r="L662" s="225" t="str">
        <f>IFERROR(VLOOKUP(B662, Data_Validation!X:Y, 2, FALSE), "")</f>
        <v/>
      </c>
      <c r="M662" s="226" t="str">
        <f t="shared" si="1"/>
        <v> |  -  | </v>
      </c>
      <c r="N662" s="226"/>
      <c r="O662" s="226"/>
    </row>
    <row r="663" ht="24.0" customHeight="1">
      <c r="A663" s="216" t="str">
        <f>IFERROR(__xludf.DUMMYFUNCTION("ARRAYFORMULA(IFERROR(VLOOKUP(REGEXEXTRACT(B663, ""-(\w+)-""), {Data_Validation!$F$16:$F$29, Data_Validation!$E$16:$E$29}, 2, FALSE), """"))
"),"")</f>
        <v/>
      </c>
      <c r="B663" s="217"/>
      <c r="C663" s="218" t="str">
        <f>IFERROR(__xludf.DUMMYFUNCTION("IFERROR(REGEXEXTRACT(B663, ""^[A-Z]+-[A-Z]+-"") &amp; TEXT(VALUE(REGEXEXTRACT(B663, ""-(\d+)\."")), ""00""), """")"),"")</f>
        <v/>
      </c>
      <c r="D663" s="219" t="str">
        <f>IFERROR(VLOOKUP(C663, Content_Creation!B:D, 2, FALSE), IFERROR(VLOOKUP(C663, Project_Management!B:D, 2, FALSE), ""))
&amp; " - "
&amp; IFERROR(VLOOKUP(C663, Content_Creation!B:E, 4, FALSE), IFERROR(VLOOKUP(C663, Project_Management!B:E, 4, FALSE), ""))</f>
        <v> - </v>
      </c>
      <c r="E663" s="220" t="str">
        <f>IFERROR(
    VLOOKUP(B662:B1001, Content_Creation!B:D, 3, FALSE),
    IFERROR(VLOOKUP(B662:B1001, Project_Management!B:D, 3, FALSE),"")
  )</f>
        <v/>
      </c>
      <c r="F663" s="221" t="str">
        <f>IFERROR(VLOOKUP(B663, Content_Creation!B:F, 5, FALSE), IFERROR(VLOOKUP(B663, Project_Management!B:F, 5, FALSE), ""))</f>
        <v/>
      </c>
      <c r="G663" s="222" t="s">
        <v>1317</v>
      </c>
      <c r="H663" s="223" t="str">
        <f>IFERROR(VLOOKUP(B663, Content_Creation!B:H, 7, FALSE), IFERROR(VLOOKUP(B663, Project_Management!B:H, 7, FALSE), ""))</f>
        <v/>
      </c>
      <c r="I663" s="224">
        <v>0.0</v>
      </c>
      <c r="J663" s="217"/>
      <c r="K663" s="217"/>
      <c r="L663" s="225" t="str">
        <f>IFERROR(VLOOKUP(B663, Data_Validation!X:Y, 2, FALSE), "")</f>
        <v/>
      </c>
      <c r="M663" s="226" t="str">
        <f t="shared" si="1"/>
        <v> |  -  | </v>
      </c>
      <c r="N663" s="226"/>
      <c r="O663" s="226"/>
    </row>
    <row r="664" ht="24.0" customHeight="1">
      <c r="A664" s="216" t="str">
        <f>IFERROR(__xludf.DUMMYFUNCTION("ARRAYFORMULA(IFERROR(VLOOKUP(REGEXEXTRACT(B664, ""-(\w+)-""), {Data_Validation!$F$16:$F$29, Data_Validation!$E$16:$E$29}, 2, FALSE), """"))
"),"")</f>
        <v/>
      </c>
      <c r="B664" s="217"/>
      <c r="C664" s="218" t="str">
        <f>IFERROR(__xludf.DUMMYFUNCTION("IFERROR(REGEXEXTRACT(B664, ""^[A-Z]+-[A-Z]+-"") &amp; TEXT(VALUE(REGEXEXTRACT(B664, ""-(\d+)\."")), ""00""), """")"),"")</f>
        <v/>
      </c>
      <c r="D664" s="219" t="str">
        <f>IFERROR(VLOOKUP(C664, Content_Creation!B:D, 2, FALSE), IFERROR(VLOOKUP(C664, Project_Management!B:D, 2, FALSE), ""))
&amp; " - "
&amp; IFERROR(VLOOKUP(C664, Content_Creation!B:E, 4, FALSE), IFERROR(VLOOKUP(C664, Project_Management!B:E, 4, FALSE), ""))</f>
        <v> - </v>
      </c>
      <c r="E664" s="220" t="str">
        <f>IFERROR(
    VLOOKUP(B663:B1001, Content_Creation!B:D, 3, FALSE),
    IFERROR(VLOOKUP(B663:B1001, Project_Management!B:D, 3, FALSE),"")
  )</f>
        <v/>
      </c>
      <c r="F664" s="221" t="str">
        <f>IFERROR(VLOOKUP(B664, Content_Creation!B:F, 5, FALSE), IFERROR(VLOOKUP(B664, Project_Management!B:F, 5, FALSE), ""))</f>
        <v/>
      </c>
      <c r="G664" s="222" t="s">
        <v>1317</v>
      </c>
      <c r="H664" s="223" t="str">
        <f>IFERROR(VLOOKUP(B664, Content_Creation!B:H, 7, FALSE), IFERROR(VLOOKUP(B664, Project_Management!B:H, 7, FALSE), ""))</f>
        <v/>
      </c>
      <c r="I664" s="224">
        <v>0.0</v>
      </c>
      <c r="J664" s="217"/>
      <c r="K664" s="217"/>
      <c r="L664" s="225" t="str">
        <f>IFERROR(VLOOKUP(B664, Data_Validation!X:Y, 2, FALSE), "")</f>
        <v/>
      </c>
      <c r="M664" s="226" t="str">
        <f t="shared" si="1"/>
        <v> |  -  | </v>
      </c>
      <c r="N664" s="226"/>
      <c r="O664" s="226"/>
    </row>
    <row r="665" ht="24.0" customHeight="1">
      <c r="A665" s="216" t="str">
        <f>IFERROR(__xludf.DUMMYFUNCTION("ARRAYFORMULA(IFERROR(VLOOKUP(REGEXEXTRACT(B665, ""-(\w+)-""), {Data_Validation!$F$16:$F$29, Data_Validation!$E$16:$E$29}, 2, FALSE), """"))
"),"")</f>
        <v/>
      </c>
      <c r="B665" s="217"/>
      <c r="C665" s="218" t="str">
        <f>IFERROR(__xludf.DUMMYFUNCTION("IFERROR(REGEXEXTRACT(B665, ""^[A-Z]+-[A-Z]+-"") &amp; TEXT(VALUE(REGEXEXTRACT(B665, ""-(\d+)\."")), ""00""), """")"),"")</f>
        <v/>
      </c>
      <c r="D665" s="219" t="str">
        <f>IFERROR(VLOOKUP(C665, Content_Creation!B:D, 2, FALSE), IFERROR(VLOOKUP(C665, Project_Management!B:D, 2, FALSE), ""))
&amp; " - "
&amp; IFERROR(VLOOKUP(C665, Content_Creation!B:E, 4, FALSE), IFERROR(VLOOKUP(C665, Project_Management!B:E, 4, FALSE), ""))</f>
        <v> - </v>
      </c>
      <c r="E665" s="220" t="str">
        <f>IFERROR(
    VLOOKUP(B664:B1001, Content_Creation!B:D, 3, FALSE),
    IFERROR(VLOOKUP(B664:B1001, Project_Management!B:D, 3, FALSE),"")
  )</f>
        <v/>
      </c>
      <c r="F665" s="221" t="str">
        <f>IFERROR(VLOOKUP(B665, Content_Creation!B:F, 5, FALSE), IFERROR(VLOOKUP(B665, Project_Management!B:F, 5, FALSE), ""))</f>
        <v/>
      </c>
      <c r="G665" s="222" t="s">
        <v>1317</v>
      </c>
      <c r="H665" s="223" t="str">
        <f>IFERROR(VLOOKUP(B665, Content_Creation!B:H, 7, FALSE), IFERROR(VLOOKUP(B665, Project_Management!B:H, 7, FALSE), ""))</f>
        <v/>
      </c>
      <c r="I665" s="224">
        <v>0.0</v>
      </c>
      <c r="J665" s="217"/>
      <c r="K665" s="217"/>
      <c r="L665" s="225" t="str">
        <f>IFERROR(VLOOKUP(B665, Data_Validation!X:Y, 2, FALSE), "")</f>
        <v/>
      </c>
      <c r="M665" s="226" t="str">
        <f t="shared" si="1"/>
        <v> |  -  | </v>
      </c>
      <c r="N665" s="226"/>
      <c r="O665" s="226"/>
    </row>
    <row r="666" ht="24.0" customHeight="1">
      <c r="A666" s="216" t="str">
        <f>IFERROR(__xludf.DUMMYFUNCTION("ARRAYFORMULA(IFERROR(VLOOKUP(REGEXEXTRACT(B666, ""-(\w+)-""), {Data_Validation!$F$16:$F$29, Data_Validation!$E$16:$E$29}, 2, FALSE), """"))
"),"")</f>
        <v/>
      </c>
      <c r="B666" s="217"/>
      <c r="C666" s="218" t="str">
        <f>IFERROR(__xludf.DUMMYFUNCTION("IFERROR(REGEXEXTRACT(B666, ""^[A-Z]+-[A-Z]+-"") &amp; TEXT(VALUE(REGEXEXTRACT(B666, ""-(\d+)\."")), ""00""), """")"),"")</f>
        <v/>
      </c>
      <c r="D666" s="219" t="str">
        <f>IFERROR(VLOOKUP(C666, Content_Creation!B:D, 2, FALSE), IFERROR(VLOOKUP(C666, Project_Management!B:D, 2, FALSE), ""))
&amp; " - "
&amp; IFERROR(VLOOKUP(C666, Content_Creation!B:E, 4, FALSE), IFERROR(VLOOKUP(C666, Project_Management!B:E, 4, FALSE), ""))</f>
        <v> - </v>
      </c>
      <c r="E666" s="220" t="str">
        <f>IFERROR(
    VLOOKUP(B665:B1001, Content_Creation!B:D, 3, FALSE),
    IFERROR(VLOOKUP(B665:B1001, Project_Management!B:D, 3, FALSE),"")
  )</f>
        <v/>
      </c>
      <c r="F666" s="221" t="str">
        <f>IFERROR(VLOOKUP(B666, Content_Creation!B:F, 5, FALSE), IFERROR(VLOOKUP(B666, Project_Management!B:F, 5, FALSE), ""))</f>
        <v/>
      </c>
      <c r="G666" s="222" t="s">
        <v>1317</v>
      </c>
      <c r="H666" s="223" t="str">
        <f>IFERROR(VLOOKUP(B666, Content_Creation!B:H, 7, FALSE), IFERROR(VLOOKUP(B666, Project_Management!B:H, 7, FALSE), ""))</f>
        <v/>
      </c>
      <c r="I666" s="224">
        <v>0.0</v>
      </c>
      <c r="J666" s="217"/>
      <c r="K666" s="217"/>
      <c r="L666" s="225" t="str">
        <f>IFERROR(VLOOKUP(B666, Data_Validation!X:Y, 2, FALSE), "")</f>
        <v/>
      </c>
      <c r="M666" s="226" t="str">
        <f t="shared" si="1"/>
        <v> |  -  | </v>
      </c>
      <c r="N666" s="226"/>
      <c r="O666" s="226"/>
    </row>
    <row r="667" ht="24.0" customHeight="1">
      <c r="A667" s="216" t="str">
        <f>IFERROR(__xludf.DUMMYFUNCTION("ARRAYFORMULA(IFERROR(VLOOKUP(REGEXEXTRACT(B667, ""-(\w+)-""), {Data_Validation!$F$16:$F$29, Data_Validation!$E$16:$E$29}, 2, FALSE), """"))
"),"")</f>
        <v/>
      </c>
      <c r="B667" s="217"/>
      <c r="C667" s="218" t="str">
        <f>IFERROR(__xludf.DUMMYFUNCTION("IFERROR(REGEXEXTRACT(B667, ""^[A-Z]+-[A-Z]+-"") &amp; TEXT(VALUE(REGEXEXTRACT(B667, ""-(\d+)\."")), ""00""), """")"),"")</f>
        <v/>
      </c>
      <c r="D667" s="219" t="str">
        <f>IFERROR(VLOOKUP(C667, Content_Creation!B:D, 2, FALSE), IFERROR(VLOOKUP(C667, Project_Management!B:D, 2, FALSE), ""))
&amp; " - "
&amp; IFERROR(VLOOKUP(C667, Content_Creation!B:E, 4, FALSE), IFERROR(VLOOKUP(C667, Project_Management!B:E, 4, FALSE), ""))</f>
        <v> - </v>
      </c>
      <c r="E667" s="220" t="str">
        <f>IFERROR(
    VLOOKUP(B666:B1001, Content_Creation!B:D, 3, FALSE),
    IFERROR(VLOOKUP(B666:B1001, Project_Management!B:D, 3, FALSE),"")
  )</f>
        <v/>
      </c>
      <c r="F667" s="221" t="str">
        <f>IFERROR(VLOOKUP(B667, Content_Creation!B:F, 5, FALSE), IFERROR(VLOOKUP(B667, Project_Management!B:F, 5, FALSE), ""))</f>
        <v/>
      </c>
      <c r="G667" s="222" t="s">
        <v>1317</v>
      </c>
      <c r="H667" s="223" t="str">
        <f>IFERROR(VLOOKUP(B667, Content_Creation!B:H, 7, FALSE), IFERROR(VLOOKUP(B667, Project_Management!B:H, 7, FALSE), ""))</f>
        <v/>
      </c>
      <c r="I667" s="224">
        <v>0.0</v>
      </c>
      <c r="J667" s="217"/>
      <c r="K667" s="217"/>
      <c r="L667" s="225" t="str">
        <f>IFERROR(VLOOKUP(B667, Data_Validation!X:Y, 2, FALSE), "")</f>
        <v/>
      </c>
      <c r="M667" s="226" t="str">
        <f t="shared" si="1"/>
        <v> |  -  | </v>
      </c>
      <c r="N667" s="226"/>
      <c r="O667" s="226"/>
    </row>
    <row r="668" ht="24.0" customHeight="1">
      <c r="A668" s="216" t="str">
        <f>IFERROR(__xludf.DUMMYFUNCTION("ARRAYFORMULA(IFERROR(VLOOKUP(REGEXEXTRACT(B668, ""-(\w+)-""), {Data_Validation!$F$16:$F$29, Data_Validation!$E$16:$E$29}, 2, FALSE), """"))
"),"")</f>
        <v/>
      </c>
      <c r="B668" s="217"/>
      <c r="C668" s="218" t="str">
        <f>IFERROR(__xludf.DUMMYFUNCTION("IFERROR(REGEXEXTRACT(B668, ""^[A-Z]+-[A-Z]+-"") &amp; TEXT(VALUE(REGEXEXTRACT(B668, ""-(\d+)\."")), ""00""), """")"),"")</f>
        <v/>
      </c>
      <c r="D668" s="219" t="str">
        <f>IFERROR(VLOOKUP(C668, Content_Creation!B:D, 2, FALSE), IFERROR(VLOOKUP(C668, Project_Management!B:D, 2, FALSE), ""))
&amp; " - "
&amp; IFERROR(VLOOKUP(C668, Content_Creation!B:E, 4, FALSE), IFERROR(VLOOKUP(C668, Project_Management!B:E, 4, FALSE), ""))</f>
        <v> - </v>
      </c>
      <c r="E668" s="220" t="str">
        <f>IFERROR(
    VLOOKUP(B667:B1001, Content_Creation!B:D, 3, FALSE),
    IFERROR(VLOOKUP(B667:B1001, Project_Management!B:D, 3, FALSE),"")
  )</f>
        <v/>
      </c>
      <c r="F668" s="221" t="str">
        <f>IFERROR(VLOOKUP(B668, Content_Creation!B:F, 5, FALSE), IFERROR(VLOOKUP(B668, Project_Management!B:F, 5, FALSE), ""))</f>
        <v/>
      </c>
      <c r="G668" s="222" t="s">
        <v>1317</v>
      </c>
      <c r="H668" s="223" t="str">
        <f>IFERROR(VLOOKUP(B668, Content_Creation!B:H, 7, FALSE), IFERROR(VLOOKUP(B668, Project_Management!B:H, 7, FALSE), ""))</f>
        <v/>
      </c>
      <c r="I668" s="224">
        <v>0.0</v>
      </c>
      <c r="J668" s="217"/>
      <c r="K668" s="217"/>
      <c r="L668" s="225" t="str">
        <f>IFERROR(VLOOKUP(B668, Data_Validation!X:Y, 2, FALSE), "")</f>
        <v/>
      </c>
      <c r="M668" s="226" t="str">
        <f t="shared" si="1"/>
        <v> |  -  | </v>
      </c>
      <c r="N668" s="226"/>
      <c r="O668" s="226"/>
    </row>
    <row r="669" ht="24.0" customHeight="1">
      <c r="A669" s="216" t="str">
        <f>IFERROR(__xludf.DUMMYFUNCTION("ARRAYFORMULA(IFERROR(VLOOKUP(REGEXEXTRACT(B669, ""-(\w+)-""), {Data_Validation!$F$16:$F$29, Data_Validation!$E$16:$E$29}, 2, FALSE), """"))
"),"")</f>
        <v/>
      </c>
      <c r="B669" s="217"/>
      <c r="C669" s="218" t="str">
        <f>IFERROR(__xludf.DUMMYFUNCTION("IFERROR(REGEXEXTRACT(B669, ""^[A-Z]+-[A-Z]+-"") &amp; TEXT(VALUE(REGEXEXTRACT(B669, ""-(\d+)\."")), ""00""), """")"),"")</f>
        <v/>
      </c>
      <c r="D669" s="219" t="str">
        <f>IFERROR(VLOOKUP(C669, Content_Creation!B:D, 2, FALSE), IFERROR(VLOOKUP(C669, Project_Management!B:D, 2, FALSE), ""))
&amp; " - "
&amp; IFERROR(VLOOKUP(C669, Content_Creation!B:E, 4, FALSE), IFERROR(VLOOKUP(C669, Project_Management!B:E, 4, FALSE), ""))</f>
        <v> - </v>
      </c>
      <c r="E669" s="220" t="str">
        <f>IFERROR(
    VLOOKUP(B668:B1001, Content_Creation!B:D, 3, FALSE),
    IFERROR(VLOOKUP(B668:B1001, Project_Management!B:D, 3, FALSE),"")
  )</f>
        <v/>
      </c>
      <c r="F669" s="221" t="str">
        <f>IFERROR(VLOOKUP(B669, Content_Creation!B:F, 5, FALSE), IFERROR(VLOOKUP(B669, Project_Management!B:F, 5, FALSE), ""))</f>
        <v/>
      </c>
      <c r="G669" s="222" t="s">
        <v>1317</v>
      </c>
      <c r="H669" s="223" t="str">
        <f>IFERROR(VLOOKUP(B669, Content_Creation!B:H, 7, FALSE), IFERROR(VLOOKUP(B669, Project_Management!B:H, 7, FALSE), ""))</f>
        <v/>
      </c>
      <c r="I669" s="224">
        <v>0.0</v>
      </c>
      <c r="J669" s="217"/>
      <c r="K669" s="217"/>
      <c r="L669" s="225" t="str">
        <f>IFERROR(VLOOKUP(B669, Data_Validation!X:Y, 2, FALSE), "")</f>
        <v/>
      </c>
      <c r="M669" s="226" t="str">
        <f t="shared" si="1"/>
        <v> |  -  | </v>
      </c>
      <c r="N669" s="226"/>
      <c r="O669" s="226"/>
    </row>
    <row r="670" ht="24.0" customHeight="1">
      <c r="A670" s="216" t="str">
        <f>IFERROR(__xludf.DUMMYFUNCTION("ARRAYFORMULA(IFERROR(VLOOKUP(REGEXEXTRACT(B670, ""-(\w+)-""), {Data_Validation!$F$16:$F$29, Data_Validation!$E$16:$E$29}, 2, FALSE), """"))
"),"")</f>
        <v/>
      </c>
      <c r="B670" s="217"/>
      <c r="C670" s="218" t="str">
        <f>IFERROR(__xludf.DUMMYFUNCTION("IFERROR(REGEXEXTRACT(B670, ""^[A-Z]+-[A-Z]+-"") &amp; TEXT(VALUE(REGEXEXTRACT(B670, ""-(\d+)\."")), ""00""), """")"),"")</f>
        <v/>
      </c>
      <c r="D670" s="219" t="str">
        <f>IFERROR(VLOOKUP(C670, Content_Creation!B:D, 2, FALSE), IFERROR(VLOOKUP(C670, Project_Management!B:D, 2, FALSE), ""))
&amp; " - "
&amp; IFERROR(VLOOKUP(C670, Content_Creation!B:E, 4, FALSE), IFERROR(VLOOKUP(C670, Project_Management!B:E, 4, FALSE), ""))</f>
        <v> - </v>
      </c>
      <c r="E670" s="220" t="str">
        <f>IFERROR(
    VLOOKUP(B669:B1001, Content_Creation!B:D, 3, FALSE),
    IFERROR(VLOOKUP(B669:B1001, Project_Management!B:D, 3, FALSE),"")
  )</f>
        <v/>
      </c>
      <c r="F670" s="221" t="str">
        <f>IFERROR(VLOOKUP(B670, Content_Creation!B:F, 5, FALSE), IFERROR(VLOOKUP(B670, Project_Management!B:F, 5, FALSE), ""))</f>
        <v/>
      </c>
      <c r="G670" s="222" t="s">
        <v>1317</v>
      </c>
      <c r="H670" s="223" t="str">
        <f>IFERROR(VLOOKUP(B670, Content_Creation!B:H, 7, FALSE), IFERROR(VLOOKUP(B670, Project_Management!B:H, 7, FALSE), ""))</f>
        <v/>
      </c>
      <c r="I670" s="224">
        <v>0.0</v>
      </c>
      <c r="J670" s="217"/>
      <c r="K670" s="217"/>
      <c r="L670" s="225" t="str">
        <f>IFERROR(VLOOKUP(B670, Data_Validation!X:Y, 2, FALSE), "")</f>
        <v/>
      </c>
      <c r="M670" s="226" t="str">
        <f t="shared" si="1"/>
        <v> |  -  | </v>
      </c>
      <c r="N670" s="226"/>
      <c r="O670" s="226"/>
    </row>
    <row r="671" ht="24.0" customHeight="1">
      <c r="A671" s="216" t="str">
        <f>IFERROR(__xludf.DUMMYFUNCTION("ARRAYFORMULA(IFERROR(VLOOKUP(REGEXEXTRACT(B671, ""-(\w+)-""), {Data_Validation!$F$16:$F$29, Data_Validation!$E$16:$E$29}, 2, FALSE), """"))
"),"")</f>
        <v/>
      </c>
      <c r="B671" s="217"/>
      <c r="C671" s="218" t="str">
        <f>IFERROR(__xludf.DUMMYFUNCTION("IFERROR(REGEXEXTRACT(B671, ""^[A-Z]+-[A-Z]+-"") &amp; TEXT(VALUE(REGEXEXTRACT(B671, ""-(\d+)\."")), ""00""), """")"),"")</f>
        <v/>
      </c>
      <c r="D671" s="219" t="str">
        <f>IFERROR(VLOOKUP(C671, Content_Creation!B:D, 2, FALSE), IFERROR(VLOOKUP(C671, Project_Management!B:D, 2, FALSE), ""))
&amp; " - "
&amp; IFERROR(VLOOKUP(C671, Content_Creation!B:E, 4, FALSE), IFERROR(VLOOKUP(C671, Project_Management!B:E, 4, FALSE), ""))</f>
        <v> - </v>
      </c>
      <c r="E671" s="220" t="str">
        <f>IFERROR(
    VLOOKUP(B670:B1001, Content_Creation!B:D, 3, FALSE),
    IFERROR(VLOOKUP(B670:B1001, Project_Management!B:D, 3, FALSE),"")
  )</f>
        <v/>
      </c>
      <c r="F671" s="221" t="str">
        <f>IFERROR(VLOOKUP(B671, Content_Creation!B:F, 5, FALSE), IFERROR(VLOOKUP(B671, Project_Management!B:F, 5, FALSE), ""))</f>
        <v/>
      </c>
      <c r="G671" s="222" t="s">
        <v>1317</v>
      </c>
      <c r="H671" s="223" t="str">
        <f>IFERROR(VLOOKUP(B671, Content_Creation!B:H, 7, FALSE), IFERROR(VLOOKUP(B671, Project_Management!B:H, 7, FALSE), ""))</f>
        <v/>
      </c>
      <c r="I671" s="224">
        <v>0.0</v>
      </c>
      <c r="J671" s="217"/>
      <c r="K671" s="217"/>
      <c r="L671" s="225" t="str">
        <f>IFERROR(VLOOKUP(B671, Data_Validation!X:Y, 2, FALSE), "")</f>
        <v/>
      </c>
      <c r="M671" s="226" t="str">
        <f t="shared" si="1"/>
        <v> |  -  | </v>
      </c>
      <c r="N671" s="226"/>
      <c r="O671" s="226"/>
    </row>
    <row r="672" ht="24.0" customHeight="1">
      <c r="A672" s="216" t="str">
        <f>IFERROR(__xludf.DUMMYFUNCTION("ARRAYFORMULA(IFERROR(VLOOKUP(REGEXEXTRACT(B672, ""-(\w+)-""), {Data_Validation!$F$16:$F$29, Data_Validation!$E$16:$E$29}, 2, FALSE), """"))
"),"")</f>
        <v/>
      </c>
      <c r="B672" s="217"/>
      <c r="C672" s="218" t="str">
        <f>IFERROR(__xludf.DUMMYFUNCTION("IFERROR(REGEXEXTRACT(B672, ""^[A-Z]+-[A-Z]+-"") &amp; TEXT(VALUE(REGEXEXTRACT(B672, ""-(\d+)\."")), ""00""), """")"),"")</f>
        <v/>
      </c>
      <c r="D672" s="219" t="str">
        <f>IFERROR(VLOOKUP(C672, Content_Creation!B:D, 2, FALSE), IFERROR(VLOOKUP(C672, Project_Management!B:D, 2, FALSE), ""))
&amp; " - "
&amp; IFERROR(VLOOKUP(C672, Content_Creation!B:E, 4, FALSE), IFERROR(VLOOKUP(C672, Project_Management!B:E, 4, FALSE), ""))</f>
        <v> - </v>
      </c>
      <c r="E672" s="220" t="str">
        <f>IFERROR(
    VLOOKUP(B671:B1001, Content_Creation!B:D, 3, FALSE),
    IFERROR(VLOOKUP(B671:B1001, Project_Management!B:D, 3, FALSE),"")
  )</f>
        <v/>
      </c>
      <c r="F672" s="221" t="str">
        <f>IFERROR(VLOOKUP(B672, Content_Creation!B:F, 5, FALSE), IFERROR(VLOOKUP(B672, Project_Management!B:F, 5, FALSE), ""))</f>
        <v/>
      </c>
      <c r="G672" s="222" t="s">
        <v>1317</v>
      </c>
      <c r="H672" s="223" t="str">
        <f>IFERROR(VLOOKUP(B672, Content_Creation!B:H, 7, FALSE), IFERROR(VLOOKUP(B672, Project_Management!B:H, 7, FALSE), ""))</f>
        <v/>
      </c>
      <c r="I672" s="224">
        <v>0.0</v>
      </c>
      <c r="J672" s="217"/>
      <c r="K672" s="217"/>
      <c r="L672" s="225" t="str">
        <f>IFERROR(VLOOKUP(B672, Data_Validation!X:Y, 2, FALSE), "")</f>
        <v/>
      </c>
      <c r="M672" s="226" t="str">
        <f t="shared" si="1"/>
        <v> |  -  | </v>
      </c>
      <c r="N672" s="226"/>
      <c r="O672" s="226"/>
    </row>
    <row r="673" ht="24.0" customHeight="1">
      <c r="A673" s="216" t="str">
        <f>IFERROR(__xludf.DUMMYFUNCTION("ARRAYFORMULA(IFERROR(VLOOKUP(REGEXEXTRACT(B673, ""-(\w+)-""), {Data_Validation!$F$16:$F$29, Data_Validation!$E$16:$E$29}, 2, FALSE), """"))
"),"")</f>
        <v/>
      </c>
      <c r="B673" s="217"/>
      <c r="C673" s="218" t="str">
        <f>IFERROR(__xludf.DUMMYFUNCTION("IFERROR(REGEXEXTRACT(B673, ""^[A-Z]+-[A-Z]+-"") &amp; TEXT(VALUE(REGEXEXTRACT(B673, ""-(\d+)\."")), ""00""), """")"),"")</f>
        <v/>
      </c>
      <c r="D673" s="219" t="str">
        <f>IFERROR(VLOOKUP(C673, Content_Creation!B:D, 2, FALSE), IFERROR(VLOOKUP(C673, Project_Management!B:D, 2, FALSE), ""))
&amp; " - "
&amp; IFERROR(VLOOKUP(C673, Content_Creation!B:E, 4, FALSE), IFERROR(VLOOKUP(C673, Project_Management!B:E, 4, FALSE), ""))</f>
        <v> - </v>
      </c>
      <c r="E673" s="220" t="str">
        <f>IFERROR(
    VLOOKUP(B672:B1001, Content_Creation!B:D, 3, FALSE),
    IFERROR(VLOOKUP(B672:B1001, Project_Management!B:D, 3, FALSE),"")
  )</f>
        <v/>
      </c>
      <c r="F673" s="221" t="str">
        <f>IFERROR(VLOOKUP(B673, Content_Creation!B:F, 5, FALSE), IFERROR(VLOOKUP(B673, Project_Management!B:F, 5, FALSE), ""))</f>
        <v/>
      </c>
      <c r="G673" s="222" t="s">
        <v>1317</v>
      </c>
      <c r="H673" s="223" t="str">
        <f>IFERROR(VLOOKUP(B673, Content_Creation!B:H, 7, FALSE), IFERROR(VLOOKUP(B673, Project_Management!B:H, 7, FALSE), ""))</f>
        <v/>
      </c>
      <c r="I673" s="224">
        <v>0.0</v>
      </c>
      <c r="J673" s="217"/>
      <c r="K673" s="217"/>
      <c r="L673" s="225" t="str">
        <f>IFERROR(VLOOKUP(B673, Data_Validation!X:Y, 2, FALSE), "")</f>
        <v/>
      </c>
      <c r="M673" s="226" t="str">
        <f t="shared" si="1"/>
        <v> |  -  | </v>
      </c>
      <c r="N673" s="226"/>
      <c r="O673" s="226"/>
    </row>
    <row r="674" ht="24.0" customHeight="1">
      <c r="A674" s="216" t="str">
        <f>IFERROR(__xludf.DUMMYFUNCTION("ARRAYFORMULA(IFERROR(VLOOKUP(REGEXEXTRACT(B674, ""-(\w+)-""), {Data_Validation!$F$16:$F$29, Data_Validation!$E$16:$E$29}, 2, FALSE), """"))
"),"")</f>
        <v/>
      </c>
      <c r="B674" s="217"/>
      <c r="C674" s="218" t="str">
        <f>IFERROR(__xludf.DUMMYFUNCTION("IFERROR(REGEXEXTRACT(B674, ""^[A-Z]+-[A-Z]+-"") &amp; TEXT(VALUE(REGEXEXTRACT(B674, ""-(\d+)\."")), ""00""), """")"),"")</f>
        <v/>
      </c>
      <c r="D674" s="219" t="str">
        <f>IFERROR(VLOOKUP(C674, Content_Creation!B:D, 2, FALSE), IFERROR(VLOOKUP(C674, Project_Management!B:D, 2, FALSE), ""))
&amp; " - "
&amp; IFERROR(VLOOKUP(C674, Content_Creation!B:E, 4, FALSE), IFERROR(VLOOKUP(C674, Project_Management!B:E, 4, FALSE), ""))</f>
        <v> - </v>
      </c>
      <c r="E674" s="220" t="str">
        <f>IFERROR(
    VLOOKUP(B673:B1001, Content_Creation!B:D, 3, FALSE),
    IFERROR(VLOOKUP(B673:B1001, Project_Management!B:D, 3, FALSE),"")
  )</f>
        <v/>
      </c>
      <c r="F674" s="221" t="str">
        <f>IFERROR(VLOOKUP(B674, Content_Creation!B:F, 5, FALSE), IFERROR(VLOOKUP(B674, Project_Management!B:F, 5, FALSE), ""))</f>
        <v/>
      </c>
      <c r="G674" s="222" t="s">
        <v>1317</v>
      </c>
      <c r="H674" s="223" t="str">
        <f>IFERROR(VLOOKUP(B674, Content_Creation!B:H, 7, FALSE), IFERROR(VLOOKUP(B674, Project_Management!B:H, 7, FALSE), ""))</f>
        <v/>
      </c>
      <c r="I674" s="224">
        <v>0.0</v>
      </c>
      <c r="J674" s="217"/>
      <c r="K674" s="217"/>
      <c r="L674" s="225" t="str">
        <f>IFERROR(VLOOKUP(B674, Data_Validation!X:Y, 2, FALSE), "")</f>
        <v/>
      </c>
      <c r="M674" s="226" t="str">
        <f t="shared" si="1"/>
        <v> |  -  | </v>
      </c>
      <c r="N674" s="226"/>
      <c r="O674" s="226"/>
    </row>
    <row r="675" ht="24.0" customHeight="1">
      <c r="A675" s="216" t="str">
        <f>IFERROR(__xludf.DUMMYFUNCTION("ARRAYFORMULA(IFERROR(VLOOKUP(REGEXEXTRACT(B675, ""-(\w+)-""), {Data_Validation!$F$16:$F$29, Data_Validation!$E$16:$E$29}, 2, FALSE), """"))
"),"")</f>
        <v/>
      </c>
      <c r="B675" s="217"/>
      <c r="C675" s="218" t="str">
        <f>IFERROR(__xludf.DUMMYFUNCTION("IFERROR(REGEXEXTRACT(B675, ""^[A-Z]+-[A-Z]+-"") &amp; TEXT(VALUE(REGEXEXTRACT(B675, ""-(\d+)\."")), ""00""), """")"),"")</f>
        <v/>
      </c>
      <c r="D675" s="219" t="str">
        <f>IFERROR(VLOOKUP(C675, Content_Creation!B:D, 2, FALSE), IFERROR(VLOOKUP(C675, Project_Management!B:D, 2, FALSE), ""))
&amp; " - "
&amp; IFERROR(VLOOKUP(C675, Content_Creation!B:E, 4, FALSE), IFERROR(VLOOKUP(C675, Project_Management!B:E, 4, FALSE), ""))</f>
        <v> - </v>
      </c>
      <c r="E675" s="220" t="str">
        <f>IFERROR(
    VLOOKUP(B674:B1001, Content_Creation!B:D, 3, FALSE),
    IFERROR(VLOOKUP(B674:B1001, Project_Management!B:D, 3, FALSE),"")
  )</f>
        <v/>
      </c>
      <c r="F675" s="221" t="str">
        <f>IFERROR(VLOOKUP(B675, Content_Creation!B:F, 5, FALSE), IFERROR(VLOOKUP(B675, Project_Management!B:F, 5, FALSE), ""))</f>
        <v/>
      </c>
      <c r="G675" s="222" t="s">
        <v>1317</v>
      </c>
      <c r="H675" s="223" t="str">
        <f>IFERROR(VLOOKUP(B675, Content_Creation!B:H, 7, FALSE), IFERROR(VLOOKUP(B675, Project_Management!B:H, 7, FALSE), ""))</f>
        <v/>
      </c>
      <c r="I675" s="224">
        <v>0.0</v>
      </c>
      <c r="J675" s="217"/>
      <c r="K675" s="217"/>
      <c r="L675" s="225" t="str">
        <f>IFERROR(VLOOKUP(B675, Data_Validation!X:Y, 2, FALSE), "")</f>
        <v/>
      </c>
      <c r="M675" s="226" t="str">
        <f t="shared" si="1"/>
        <v> |  -  | </v>
      </c>
      <c r="N675" s="226"/>
      <c r="O675" s="226"/>
    </row>
    <row r="676" ht="24.0" customHeight="1">
      <c r="A676" s="216" t="str">
        <f>IFERROR(__xludf.DUMMYFUNCTION("ARRAYFORMULA(IFERROR(VLOOKUP(REGEXEXTRACT(B676, ""-(\w+)-""), {Data_Validation!$F$16:$F$29, Data_Validation!$E$16:$E$29}, 2, FALSE), """"))
"),"")</f>
        <v/>
      </c>
      <c r="B676" s="217"/>
      <c r="C676" s="218" t="str">
        <f>IFERROR(__xludf.DUMMYFUNCTION("IFERROR(REGEXEXTRACT(B676, ""^[A-Z]+-[A-Z]+-"") &amp; TEXT(VALUE(REGEXEXTRACT(B676, ""-(\d+)\."")), ""00""), """")"),"")</f>
        <v/>
      </c>
      <c r="D676" s="219" t="str">
        <f>IFERROR(VLOOKUP(C676, Content_Creation!B:D, 2, FALSE), IFERROR(VLOOKUP(C676, Project_Management!B:D, 2, FALSE), ""))
&amp; " - "
&amp; IFERROR(VLOOKUP(C676, Content_Creation!B:E, 4, FALSE), IFERROR(VLOOKUP(C676, Project_Management!B:E, 4, FALSE), ""))</f>
        <v> - </v>
      </c>
      <c r="E676" s="220" t="str">
        <f>IFERROR(
    VLOOKUP(B675:B1001, Content_Creation!B:D, 3, FALSE),
    IFERROR(VLOOKUP(B675:B1001, Project_Management!B:D, 3, FALSE),"")
  )</f>
        <v/>
      </c>
      <c r="F676" s="221" t="str">
        <f>IFERROR(VLOOKUP(B676, Content_Creation!B:F, 5, FALSE), IFERROR(VLOOKUP(B676, Project_Management!B:F, 5, FALSE), ""))</f>
        <v/>
      </c>
      <c r="G676" s="222" t="s">
        <v>1317</v>
      </c>
      <c r="H676" s="223" t="str">
        <f>IFERROR(VLOOKUP(B676, Content_Creation!B:H, 7, FALSE), IFERROR(VLOOKUP(B676, Project_Management!B:H, 7, FALSE), ""))</f>
        <v/>
      </c>
      <c r="I676" s="224">
        <v>0.0</v>
      </c>
      <c r="J676" s="217"/>
      <c r="K676" s="217"/>
      <c r="L676" s="225" t="str">
        <f>IFERROR(VLOOKUP(B676, Data_Validation!X:Y, 2, FALSE), "")</f>
        <v/>
      </c>
      <c r="M676" s="226" t="str">
        <f t="shared" si="1"/>
        <v> |  -  | </v>
      </c>
      <c r="N676" s="226"/>
      <c r="O676" s="226"/>
    </row>
    <row r="677" ht="24.0" customHeight="1">
      <c r="A677" s="216" t="str">
        <f>IFERROR(__xludf.DUMMYFUNCTION("ARRAYFORMULA(IFERROR(VLOOKUP(REGEXEXTRACT(B677, ""-(\w+)-""), {Data_Validation!$F$16:$F$29, Data_Validation!$E$16:$E$29}, 2, FALSE), """"))
"),"")</f>
        <v/>
      </c>
      <c r="B677" s="217"/>
      <c r="C677" s="218" t="str">
        <f>IFERROR(__xludf.DUMMYFUNCTION("IFERROR(REGEXEXTRACT(B677, ""^[A-Z]+-[A-Z]+-"") &amp; TEXT(VALUE(REGEXEXTRACT(B677, ""-(\d+)\."")), ""00""), """")"),"")</f>
        <v/>
      </c>
      <c r="D677" s="219" t="str">
        <f>IFERROR(VLOOKUP(C677, Content_Creation!B:D, 2, FALSE), IFERROR(VLOOKUP(C677, Project_Management!B:D, 2, FALSE), ""))
&amp; " - "
&amp; IFERROR(VLOOKUP(C677, Content_Creation!B:E, 4, FALSE), IFERROR(VLOOKUP(C677, Project_Management!B:E, 4, FALSE), ""))</f>
        <v> - </v>
      </c>
      <c r="E677" s="220" t="str">
        <f>IFERROR(
    VLOOKUP(B676:B1001, Content_Creation!B:D, 3, FALSE),
    IFERROR(VLOOKUP(B676:B1001, Project_Management!B:D, 3, FALSE),"")
  )</f>
        <v/>
      </c>
      <c r="F677" s="221" t="str">
        <f>IFERROR(VLOOKUP(B677, Content_Creation!B:F, 5, FALSE), IFERROR(VLOOKUP(B677, Project_Management!B:F, 5, FALSE), ""))</f>
        <v/>
      </c>
      <c r="G677" s="222" t="s">
        <v>1317</v>
      </c>
      <c r="H677" s="223" t="str">
        <f>IFERROR(VLOOKUP(B677, Content_Creation!B:H, 7, FALSE), IFERROR(VLOOKUP(B677, Project_Management!B:H, 7, FALSE), ""))</f>
        <v/>
      </c>
      <c r="I677" s="224">
        <v>0.0</v>
      </c>
      <c r="J677" s="217"/>
      <c r="K677" s="217"/>
      <c r="L677" s="225" t="str">
        <f>IFERROR(VLOOKUP(B677, Data_Validation!X:Y, 2, FALSE), "")</f>
        <v/>
      </c>
      <c r="M677" s="226" t="str">
        <f t="shared" si="1"/>
        <v> |  -  | </v>
      </c>
      <c r="N677" s="226"/>
      <c r="O677" s="226"/>
    </row>
    <row r="678" ht="24.0" customHeight="1">
      <c r="A678" s="216" t="str">
        <f>IFERROR(__xludf.DUMMYFUNCTION("ARRAYFORMULA(IFERROR(VLOOKUP(REGEXEXTRACT(B678, ""-(\w+)-""), {Data_Validation!$F$16:$F$29, Data_Validation!$E$16:$E$29}, 2, FALSE), """"))
"),"")</f>
        <v/>
      </c>
      <c r="B678" s="217"/>
      <c r="C678" s="218" t="str">
        <f>IFERROR(__xludf.DUMMYFUNCTION("IFERROR(REGEXEXTRACT(B678, ""^[A-Z]+-[A-Z]+-"") &amp; TEXT(VALUE(REGEXEXTRACT(B678, ""-(\d+)\."")), ""00""), """")"),"")</f>
        <v/>
      </c>
      <c r="D678" s="219" t="str">
        <f>IFERROR(VLOOKUP(C678, Content_Creation!B:D, 2, FALSE), IFERROR(VLOOKUP(C678, Project_Management!B:D, 2, FALSE), ""))
&amp; " - "
&amp; IFERROR(VLOOKUP(C678, Content_Creation!B:E, 4, FALSE), IFERROR(VLOOKUP(C678, Project_Management!B:E, 4, FALSE), ""))</f>
        <v> - </v>
      </c>
      <c r="E678" s="220" t="str">
        <f>IFERROR(
    VLOOKUP(B677:B1001, Content_Creation!B:D, 3, FALSE),
    IFERROR(VLOOKUP(B677:B1001, Project_Management!B:D, 3, FALSE),"")
  )</f>
        <v/>
      </c>
      <c r="F678" s="221" t="str">
        <f>IFERROR(VLOOKUP(B678, Content_Creation!B:F, 5, FALSE), IFERROR(VLOOKUP(B678, Project_Management!B:F, 5, FALSE), ""))</f>
        <v/>
      </c>
      <c r="G678" s="222" t="s">
        <v>1317</v>
      </c>
      <c r="H678" s="223" t="str">
        <f>IFERROR(VLOOKUP(B678, Content_Creation!B:H, 7, FALSE), IFERROR(VLOOKUP(B678, Project_Management!B:H, 7, FALSE), ""))</f>
        <v/>
      </c>
      <c r="I678" s="224">
        <v>0.0</v>
      </c>
      <c r="J678" s="217"/>
      <c r="K678" s="217"/>
      <c r="L678" s="225" t="str">
        <f>IFERROR(VLOOKUP(B678, Data_Validation!X:Y, 2, FALSE), "")</f>
        <v/>
      </c>
      <c r="M678" s="226" t="str">
        <f t="shared" si="1"/>
        <v> |  -  | </v>
      </c>
      <c r="N678" s="226"/>
      <c r="O678" s="226"/>
    </row>
    <row r="679" ht="24.0" customHeight="1">
      <c r="A679" s="216" t="str">
        <f>IFERROR(__xludf.DUMMYFUNCTION("ARRAYFORMULA(IFERROR(VLOOKUP(REGEXEXTRACT(B679, ""-(\w+)-""), {Data_Validation!$F$16:$F$29, Data_Validation!$E$16:$E$29}, 2, FALSE), """"))
"),"")</f>
        <v/>
      </c>
      <c r="B679" s="217"/>
      <c r="C679" s="218" t="str">
        <f>IFERROR(__xludf.DUMMYFUNCTION("IFERROR(REGEXEXTRACT(B679, ""^[A-Z]+-[A-Z]+-"") &amp; TEXT(VALUE(REGEXEXTRACT(B679, ""-(\d+)\."")), ""00""), """")"),"")</f>
        <v/>
      </c>
      <c r="D679" s="219" t="str">
        <f>IFERROR(VLOOKUP(C679, Content_Creation!B:D, 2, FALSE), IFERROR(VLOOKUP(C679, Project_Management!B:D, 2, FALSE), ""))
&amp; " - "
&amp; IFERROR(VLOOKUP(C679, Content_Creation!B:E, 4, FALSE), IFERROR(VLOOKUP(C679, Project_Management!B:E, 4, FALSE), ""))</f>
        <v> - </v>
      </c>
      <c r="E679" s="220" t="str">
        <f>IFERROR(
    VLOOKUP(B678:B1001, Content_Creation!B:D, 3, FALSE),
    IFERROR(VLOOKUP(B678:B1001, Project_Management!B:D, 3, FALSE),"")
  )</f>
        <v/>
      </c>
      <c r="F679" s="221" t="str">
        <f>IFERROR(VLOOKUP(B679, Content_Creation!B:F, 5, FALSE), IFERROR(VLOOKUP(B679, Project_Management!B:F, 5, FALSE), ""))</f>
        <v/>
      </c>
      <c r="G679" s="222" t="s">
        <v>1317</v>
      </c>
      <c r="H679" s="223" t="str">
        <f>IFERROR(VLOOKUP(B679, Content_Creation!B:H, 7, FALSE), IFERROR(VLOOKUP(B679, Project_Management!B:H, 7, FALSE), ""))</f>
        <v/>
      </c>
      <c r="I679" s="224">
        <v>0.0</v>
      </c>
      <c r="J679" s="217"/>
      <c r="K679" s="217"/>
      <c r="L679" s="225" t="str">
        <f>IFERROR(VLOOKUP(B679, Data_Validation!X:Y, 2, FALSE), "")</f>
        <v/>
      </c>
      <c r="M679" s="226" t="str">
        <f t="shared" si="1"/>
        <v> |  -  | </v>
      </c>
      <c r="N679" s="226"/>
      <c r="O679" s="226"/>
    </row>
    <row r="680" ht="24.0" customHeight="1">
      <c r="A680" s="216" t="str">
        <f>IFERROR(__xludf.DUMMYFUNCTION("ARRAYFORMULA(IFERROR(VLOOKUP(REGEXEXTRACT(B680, ""-(\w+)-""), {Data_Validation!$F$16:$F$29, Data_Validation!$E$16:$E$29}, 2, FALSE), """"))
"),"")</f>
        <v/>
      </c>
      <c r="B680" s="217"/>
      <c r="C680" s="218" t="str">
        <f>IFERROR(__xludf.DUMMYFUNCTION("IFERROR(REGEXEXTRACT(B680, ""^[A-Z]+-[A-Z]+-"") &amp; TEXT(VALUE(REGEXEXTRACT(B680, ""-(\d+)\."")), ""00""), """")"),"")</f>
        <v/>
      </c>
      <c r="D680" s="219" t="str">
        <f>IFERROR(VLOOKUP(C680, Content_Creation!B:D, 2, FALSE), IFERROR(VLOOKUP(C680, Project_Management!B:D, 2, FALSE), ""))
&amp; " - "
&amp; IFERROR(VLOOKUP(C680, Content_Creation!B:E, 4, FALSE), IFERROR(VLOOKUP(C680, Project_Management!B:E, 4, FALSE), ""))</f>
        <v> - </v>
      </c>
      <c r="E680" s="220" t="str">
        <f>IFERROR(
    VLOOKUP(B679:B1001, Content_Creation!B:D, 3, FALSE),
    IFERROR(VLOOKUP(B679:B1001, Project_Management!B:D, 3, FALSE),"")
  )</f>
        <v/>
      </c>
      <c r="F680" s="221" t="str">
        <f>IFERROR(VLOOKUP(B680, Content_Creation!B:F, 5, FALSE), IFERROR(VLOOKUP(B680, Project_Management!B:F, 5, FALSE), ""))</f>
        <v/>
      </c>
      <c r="G680" s="222" t="s">
        <v>1317</v>
      </c>
      <c r="H680" s="223" t="str">
        <f>IFERROR(VLOOKUP(B680, Content_Creation!B:H, 7, FALSE), IFERROR(VLOOKUP(B680, Project_Management!B:H, 7, FALSE), ""))</f>
        <v/>
      </c>
      <c r="I680" s="224">
        <v>0.0</v>
      </c>
      <c r="J680" s="217"/>
      <c r="K680" s="217"/>
      <c r="L680" s="225" t="str">
        <f>IFERROR(VLOOKUP(B680, Data_Validation!X:Y, 2, FALSE), "")</f>
        <v/>
      </c>
      <c r="M680" s="226" t="str">
        <f t="shared" si="1"/>
        <v> |  -  | </v>
      </c>
      <c r="N680" s="226"/>
      <c r="O680" s="226"/>
    </row>
    <row r="681" ht="24.0" customHeight="1">
      <c r="A681" s="216" t="str">
        <f>IFERROR(__xludf.DUMMYFUNCTION("ARRAYFORMULA(IFERROR(VLOOKUP(REGEXEXTRACT(B681, ""-(\w+)-""), {Data_Validation!$F$16:$F$29, Data_Validation!$E$16:$E$29}, 2, FALSE), """"))
"),"")</f>
        <v/>
      </c>
      <c r="B681" s="217"/>
      <c r="C681" s="218" t="str">
        <f>IFERROR(__xludf.DUMMYFUNCTION("IFERROR(REGEXEXTRACT(B681, ""^[A-Z]+-[A-Z]+-"") &amp; TEXT(VALUE(REGEXEXTRACT(B681, ""-(\d+)\."")), ""00""), """")"),"")</f>
        <v/>
      </c>
      <c r="D681" s="219" t="str">
        <f>IFERROR(VLOOKUP(C681, Content_Creation!B:D, 2, FALSE), IFERROR(VLOOKUP(C681, Project_Management!B:D, 2, FALSE), ""))
&amp; " - "
&amp; IFERROR(VLOOKUP(C681, Content_Creation!B:E, 4, FALSE), IFERROR(VLOOKUP(C681, Project_Management!B:E, 4, FALSE), ""))</f>
        <v> - </v>
      </c>
      <c r="E681" s="220" t="str">
        <f>IFERROR(
    VLOOKUP(B680:B1001, Content_Creation!B:D, 3, FALSE),
    IFERROR(VLOOKUP(B680:B1001, Project_Management!B:D, 3, FALSE),"")
  )</f>
        <v/>
      </c>
      <c r="F681" s="221" t="str">
        <f>IFERROR(VLOOKUP(B681, Content_Creation!B:F, 5, FALSE), IFERROR(VLOOKUP(B681, Project_Management!B:F, 5, FALSE), ""))</f>
        <v/>
      </c>
      <c r="G681" s="222" t="s">
        <v>1317</v>
      </c>
      <c r="H681" s="223" t="str">
        <f>IFERROR(VLOOKUP(B681, Content_Creation!B:H, 7, FALSE), IFERROR(VLOOKUP(B681, Project_Management!B:H, 7, FALSE), ""))</f>
        <v/>
      </c>
      <c r="I681" s="224">
        <v>0.0</v>
      </c>
      <c r="J681" s="217"/>
      <c r="K681" s="217"/>
      <c r="L681" s="225" t="str">
        <f>IFERROR(VLOOKUP(B681, Data_Validation!X:Y, 2, FALSE), "")</f>
        <v/>
      </c>
      <c r="M681" s="226" t="str">
        <f t="shared" si="1"/>
        <v> |  -  | </v>
      </c>
      <c r="N681" s="226"/>
      <c r="O681" s="226"/>
    </row>
    <row r="682" ht="24.0" customHeight="1">
      <c r="A682" s="216" t="str">
        <f>IFERROR(__xludf.DUMMYFUNCTION("ARRAYFORMULA(IFERROR(VLOOKUP(REGEXEXTRACT(B682, ""-(\w+)-""), {Data_Validation!$F$16:$F$29, Data_Validation!$E$16:$E$29}, 2, FALSE), """"))
"),"")</f>
        <v/>
      </c>
      <c r="B682" s="217"/>
      <c r="C682" s="218" t="str">
        <f>IFERROR(__xludf.DUMMYFUNCTION("IFERROR(REGEXEXTRACT(B682, ""^[A-Z]+-[A-Z]+-"") &amp; TEXT(VALUE(REGEXEXTRACT(B682, ""-(\d+)\."")), ""00""), """")"),"")</f>
        <v/>
      </c>
      <c r="D682" s="219" t="str">
        <f>IFERROR(VLOOKUP(C682, Content_Creation!B:D, 2, FALSE), IFERROR(VLOOKUP(C682, Project_Management!B:D, 2, FALSE), ""))
&amp; " - "
&amp; IFERROR(VLOOKUP(C682, Content_Creation!B:E, 4, FALSE), IFERROR(VLOOKUP(C682, Project_Management!B:E, 4, FALSE), ""))</f>
        <v> - </v>
      </c>
      <c r="E682" s="220" t="str">
        <f>IFERROR(
    VLOOKUP(B681:B1001, Content_Creation!B:D, 3, FALSE),
    IFERROR(VLOOKUP(B681:B1001, Project_Management!B:D, 3, FALSE),"")
  )</f>
        <v/>
      </c>
      <c r="F682" s="221" t="str">
        <f>IFERROR(VLOOKUP(B682, Content_Creation!B:F, 5, FALSE), IFERROR(VLOOKUP(B682, Project_Management!B:F, 5, FALSE), ""))</f>
        <v/>
      </c>
      <c r="G682" s="222" t="s">
        <v>1317</v>
      </c>
      <c r="H682" s="223" t="str">
        <f>IFERROR(VLOOKUP(B682, Content_Creation!B:H, 7, FALSE), IFERROR(VLOOKUP(B682, Project_Management!B:H, 7, FALSE), ""))</f>
        <v/>
      </c>
      <c r="I682" s="224">
        <v>0.0</v>
      </c>
      <c r="J682" s="217"/>
      <c r="K682" s="217"/>
      <c r="L682" s="225" t="str">
        <f>IFERROR(VLOOKUP(B682, Data_Validation!X:Y, 2, FALSE), "")</f>
        <v/>
      </c>
      <c r="M682" s="226" t="str">
        <f t="shared" si="1"/>
        <v> |  -  | </v>
      </c>
      <c r="N682" s="226"/>
      <c r="O682" s="226"/>
    </row>
    <row r="683" ht="24.0" customHeight="1">
      <c r="A683" s="216" t="str">
        <f>IFERROR(__xludf.DUMMYFUNCTION("ARRAYFORMULA(IFERROR(VLOOKUP(REGEXEXTRACT(B683, ""-(\w+)-""), {Data_Validation!$F$16:$F$29, Data_Validation!$E$16:$E$29}, 2, FALSE), """"))
"),"")</f>
        <v/>
      </c>
      <c r="B683" s="217"/>
      <c r="C683" s="218" t="str">
        <f>IFERROR(__xludf.DUMMYFUNCTION("IFERROR(REGEXEXTRACT(B683, ""^[A-Z]+-[A-Z]+-"") &amp; TEXT(VALUE(REGEXEXTRACT(B683, ""-(\d+)\."")), ""00""), """")"),"")</f>
        <v/>
      </c>
      <c r="D683" s="219" t="str">
        <f>IFERROR(VLOOKUP(C683, Content_Creation!B:D, 2, FALSE), IFERROR(VLOOKUP(C683, Project_Management!B:D, 2, FALSE), ""))
&amp; " - "
&amp; IFERROR(VLOOKUP(C683, Content_Creation!B:E, 4, FALSE), IFERROR(VLOOKUP(C683, Project_Management!B:E, 4, FALSE), ""))</f>
        <v> - </v>
      </c>
      <c r="E683" s="220" t="str">
        <f>IFERROR(
    VLOOKUP(B682:B1001, Content_Creation!B:D, 3, FALSE),
    IFERROR(VLOOKUP(B682:B1001, Project_Management!B:D, 3, FALSE),"")
  )</f>
        <v/>
      </c>
      <c r="F683" s="221" t="str">
        <f>IFERROR(VLOOKUP(B683, Content_Creation!B:F, 5, FALSE), IFERROR(VLOOKUP(B683, Project_Management!B:F, 5, FALSE), ""))</f>
        <v/>
      </c>
      <c r="G683" s="222" t="s">
        <v>1317</v>
      </c>
      <c r="H683" s="223" t="str">
        <f>IFERROR(VLOOKUP(B683, Content_Creation!B:H, 7, FALSE), IFERROR(VLOOKUP(B683, Project_Management!B:H, 7, FALSE), ""))</f>
        <v/>
      </c>
      <c r="I683" s="224">
        <v>0.0</v>
      </c>
      <c r="J683" s="217"/>
      <c r="K683" s="217"/>
      <c r="L683" s="225" t="str">
        <f>IFERROR(VLOOKUP(B683, Data_Validation!X:Y, 2, FALSE), "")</f>
        <v/>
      </c>
      <c r="M683" s="226" t="str">
        <f t="shared" si="1"/>
        <v> |  -  | </v>
      </c>
      <c r="N683" s="226"/>
      <c r="O683" s="226"/>
    </row>
    <row r="684" ht="24.0" customHeight="1">
      <c r="A684" s="216" t="str">
        <f>IFERROR(__xludf.DUMMYFUNCTION("ARRAYFORMULA(IFERROR(VLOOKUP(REGEXEXTRACT(B684, ""-(\w+)-""), {Data_Validation!$F$16:$F$29, Data_Validation!$E$16:$E$29}, 2, FALSE), """"))
"),"")</f>
        <v/>
      </c>
      <c r="B684" s="217"/>
      <c r="C684" s="218" t="str">
        <f>IFERROR(__xludf.DUMMYFUNCTION("IFERROR(REGEXEXTRACT(B684, ""^[A-Z]+-[A-Z]+-"") &amp; TEXT(VALUE(REGEXEXTRACT(B684, ""-(\d+)\."")), ""00""), """")"),"")</f>
        <v/>
      </c>
      <c r="D684" s="219" t="str">
        <f>IFERROR(VLOOKUP(C684, Content_Creation!B:D, 2, FALSE), IFERROR(VLOOKUP(C684, Project_Management!B:D, 2, FALSE), ""))
&amp; " - "
&amp; IFERROR(VLOOKUP(C684, Content_Creation!B:E, 4, FALSE), IFERROR(VLOOKUP(C684, Project_Management!B:E, 4, FALSE), ""))</f>
        <v> - </v>
      </c>
      <c r="E684" s="220" t="str">
        <f>IFERROR(
    VLOOKUP(B683:B1001, Content_Creation!B:D, 3, FALSE),
    IFERROR(VLOOKUP(B683:B1001, Project_Management!B:D, 3, FALSE),"")
  )</f>
        <v/>
      </c>
      <c r="F684" s="221" t="str">
        <f>IFERROR(VLOOKUP(B684, Content_Creation!B:F, 5, FALSE), IFERROR(VLOOKUP(B684, Project_Management!B:F, 5, FALSE), ""))</f>
        <v/>
      </c>
      <c r="G684" s="222" t="s">
        <v>1317</v>
      </c>
      <c r="H684" s="223" t="str">
        <f>IFERROR(VLOOKUP(B684, Content_Creation!B:H, 7, FALSE), IFERROR(VLOOKUP(B684, Project_Management!B:H, 7, FALSE), ""))</f>
        <v/>
      </c>
      <c r="I684" s="224">
        <v>0.0</v>
      </c>
      <c r="J684" s="217"/>
      <c r="K684" s="217"/>
      <c r="L684" s="225" t="str">
        <f>IFERROR(VLOOKUP(B684, Data_Validation!X:Y, 2, FALSE), "")</f>
        <v/>
      </c>
      <c r="M684" s="226" t="str">
        <f t="shared" si="1"/>
        <v> |  -  | </v>
      </c>
      <c r="N684" s="226"/>
      <c r="O684" s="226"/>
    </row>
    <row r="685" ht="24.0" customHeight="1">
      <c r="A685" s="216" t="str">
        <f>IFERROR(__xludf.DUMMYFUNCTION("ARRAYFORMULA(IFERROR(VLOOKUP(REGEXEXTRACT(B685, ""-(\w+)-""), {Data_Validation!$F$16:$F$29, Data_Validation!$E$16:$E$29}, 2, FALSE), """"))
"),"")</f>
        <v/>
      </c>
      <c r="B685" s="217"/>
      <c r="C685" s="218" t="str">
        <f>IFERROR(__xludf.DUMMYFUNCTION("IFERROR(REGEXEXTRACT(B685, ""^[A-Z]+-[A-Z]+-"") &amp; TEXT(VALUE(REGEXEXTRACT(B685, ""-(\d+)\."")), ""00""), """")"),"")</f>
        <v/>
      </c>
      <c r="D685" s="219" t="str">
        <f>IFERROR(VLOOKUP(C685, Content_Creation!B:D, 2, FALSE), IFERROR(VLOOKUP(C685, Project_Management!B:D, 2, FALSE), ""))
&amp; " - "
&amp; IFERROR(VLOOKUP(C685, Content_Creation!B:E, 4, FALSE), IFERROR(VLOOKUP(C685, Project_Management!B:E, 4, FALSE), ""))</f>
        <v> - </v>
      </c>
      <c r="E685" s="220" t="str">
        <f>IFERROR(
    VLOOKUP(B684:B1001, Content_Creation!B:D, 3, FALSE),
    IFERROR(VLOOKUP(B684:B1001, Project_Management!B:D, 3, FALSE),"")
  )</f>
        <v/>
      </c>
      <c r="F685" s="221" t="str">
        <f>IFERROR(VLOOKUP(B685, Content_Creation!B:F, 5, FALSE), IFERROR(VLOOKUP(B685, Project_Management!B:F, 5, FALSE), ""))</f>
        <v/>
      </c>
      <c r="G685" s="222" t="s">
        <v>1317</v>
      </c>
      <c r="H685" s="223" t="str">
        <f>IFERROR(VLOOKUP(B685, Content_Creation!B:H, 7, FALSE), IFERROR(VLOOKUP(B685, Project_Management!B:H, 7, FALSE), ""))</f>
        <v/>
      </c>
      <c r="I685" s="224">
        <v>0.0</v>
      </c>
      <c r="J685" s="217"/>
      <c r="K685" s="217"/>
      <c r="L685" s="225" t="str">
        <f>IFERROR(VLOOKUP(B685, Data_Validation!X:Y, 2, FALSE), "")</f>
        <v/>
      </c>
      <c r="M685" s="226" t="str">
        <f t="shared" si="1"/>
        <v> |  -  | </v>
      </c>
      <c r="N685" s="226"/>
      <c r="O685" s="226"/>
    </row>
    <row r="686" ht="24.0" customHeight="1">
      <c r="A686" s="216" t="str">
        <f>IFERROR(__xludf.DUMMYFUNCTION("ARRAYFORMULA(IFERROR(VLOOKUP(REGEXEXTRACT(B686, ""-(\w+)-""), {Data_Validation!$F$16:$F$29, Data_Validation!$E$16:$E$29}, 2, FALSE), """"))
"),"")</f>
        <v/>
      </c>
      <c r="B686" s="217"/>
      <c r="C686" s="218" t="str">
        <f>IFERROR(__xludf.DUMMYFUNCTION("IFERROR(REGEXEXTRACT(B686, ""^[A-Z]+-[A-Z]+-"") &amp; TEXT(VALUE(REGEXEXTRACT(B686, ""-(\d+)\."")), ""00""), """")"),"")</f>
        <v/>
      </c>
      <c r="D686" s="219" t="str">
        <f>IFERROR(VLOOKUP(C686, Content_Creation!B:D, 2, FALSE), IFERROR(VLOOKUP(C686, Project_Management!B:D, 2, FALSE), ""))
&amp; " - "
&amp; IFERROR(VLOOKUP(C686, Content_Creation!B:E, 4, FALSE), IFERROR(VLOOKUP(C686, Project_Management!B:E, 4, FALSE), ""))</f>
        <v> - </v>
      </c>
      <c r="E686" s="220" t="str">
        <f>IFERROR(
    VLOOKUP(B685:B1001, Content_Creation!B:D, 3, FALSE),
    IFERROR(VLOOKUP(B685:B1001, Project_Management!B:D, 3, FALSE),"")
  )</f>
        <v/>
      </c>
      <c r="F686" s="221" t="str">
        <f>IFERROR(VLOOKUP(B686, Content_Creation!B:F, 5, FALSE), IFERROR(VLOOKUP(B686, Project_Management!B:F, 5, FALSE), ""))</f>
        <v/>
      </c>
      <c r="G686" s="222" t="s">
        <v>1317</v>
      </c>
      <c r="H686" s="223" t="str">
        <f>IFERROR(VLOOKUP(B686, Content_Creation!B:H, 7, FALSE), IFERROR(VLOOKUP(B686, Project_Management!B:H, 7, FALSE), ""))</f>
        <v/>
      </c>
      <c r="I686" s="224">
        <v>0.0</v>
      </c>
      <c r="J686" s="217"/>
      <c r="K686" s="217"/>
      <c r="L686" s="225" t="str">
        <f>IFERROR(VLOOKUP(B686, Data_Validation!X:Y, 2, FALSE), "")</f>
        <v/>
      </c>
      <c r="M686" s="226" t="str">
        <f t="shared" si="1"/>
        <v> |  -  | </v>
      </c>
      <c r="N686" s="226"/>
      <c r="O686" s="226"/>
    </row>
    <row r="687" ht="24.0" customHeight="1">
      <c r="A687" s="216" t="str">
        <f>IFERROR(__xludf.DUMMYFUNCTION("ARRAYFORMULA(IFERROR(VLOOKUP(REGEXEXTRACT(B687, ""-(\w+)-""), {Data_Validation!$F$16:$F$29, Data_Validation!$E$16:$E$29}, 2, FALSE), """"))
"),"")</f>
        <v/>
      </c>
      <c r="B687" s="217"/>
      <c r="C687" s="218" t="str">
        <f>IFERROR(__xludf.DUMMYFUNCTION("IFERROR(REGEXEXTRACT(B687, ""^[A-Z]+-[A-Z]+-"") &amp; TEXT(VALUE(REGEXEXTRACT(B687, ""-(\d+)\."")), ""00""), """")"),"")</f>
        <v/>
      </c>
      <c r="D687" s="219" t="str">
        <f>IFERROR(VLOOKUP(C687, Content_Creation!B:D, 2, FALSE), IFERROR(VLOOKUP(C687, Project_Management!B:D, 2, FALSE), ""))
&amp; " - "
&amp; IFERROR(VLOOKUP(C687, Content_Creation!B:E, 4, FALSE), IFERROR(VLOOKUP(C687, Project_Management!B:E, 4, FALSE), ""))</f>
        <v> - </v>
      </c>
      <c r="E687" s="220" t="str">
        <f>IFERROR(
    VLOOKUP(B686:B1001, Content_Creation!B:D, 3, FALSE),
    IFERROR(VLOOKUP(B686:B1001, Project_Management!B:D, 3, FALSE),"")
  )</f>
        <v/>
      </c>
      <c r="F687" s="221" t="str">
        <f>IFERROR(VLOOKUP(B687, Content_Creation!B:F, 5, FALSE), IFERROR(VLOOKUP(B687, Project_Management!B:F, 5, FALSE), ""))</f>
        <v/>
      </c>
      <c r="G687" s="222" t="s">
        <v>1317</v>
      </c>
      <c r="H687" s="223" t="str">
        <f>IFERROR(VLOOKUP(B687, Content_Creation!B:H, 7, FALSE), IFERROR(VLOOKUP(B687, Project_Management!B:H, 7, FALSE), ""))</f>
        <v/>
      </c>
      <c r="I687" s="224">
        <v>0.0</v>
      </c>
      <c r="J687" s="217"/>
      <c r="K687" s="217"/>
      <c r="L687" s="225" t="str">
        <f>IFERROR(VLOOKUP(B687, Data_Validation!X:Y, 2, FALSE), "")</f>
        <v/>
      </c>
      <c r="M687" s="226" t="str">
        <f t="shared" si="1"/>
        <v> |  -  | </v>
      </c>
      <c r="N687" s="226"/>
      <c r="O687" s="226"/>
    </row>
    <row r="688" ht="24.0" customHeight="1">
      <c r="A688" s="216" t="str">
        <f>IFERROR(__xludf.DUMMYFUNCTION("ARRAYFORMULA(IFERROR(VLOOKUP(REGEXEXTRACT(B688, ""-(\w+)-""), {Data_Validation!$F$16:$F$29, Data_Validation!$E$16:$E$29}, 2, FALSE), """"))
"),"")</f>
        <v/>
      </c>
      <c r="B688" s="217"/>
      <c r="C688" s="218" t="str">
        <f>IFERROR(__xludf.DUMMYFUNCTION("IFERROR(REGEXEXTRACT(B688, ""^[A-Z]+-[A-Z]+-"") &amp; TEXT(VALUE(REGEXEXTRACT(B688, ""-(\d+)\."")), ""00""), """")"),"")</f>
        <v/>
      </c>
      <c r="D688" s="219" t="str">
        <f>IFERROR(VLOOKUP(C688, Content_Creation!B:D, 2, FALSE), IFERROR(VLOOKUP(C688, Project_Management!B:D, 2, FALSE), ""))
&amp; " - "
&amp; IFERROR(VLOOKUP(C688, Content_Creation!B:E, 4, FALSE), IFERROR(VLOOKUP(C688, Project_Management!B:E, 4, FALSE), ""))</f>
        <v> - </v>
      </c>
      <c r="E688" s="220" t="str">
        <f>IFERROR(
    VLOOKUP(B687:B1001, Content_Creation!B:D, 3, FALSE),
    IFERROR(VLOOKUP(B687:B1001, Project_Management!B:D, 3, FALSE),"")
  )</f>
        <v/>
      </c>
      <c r="F688" s="221" t="str">
        <f>IFERROR(VLOOKUP(B688, Content_Creation!B:F, 5, FALSE), IFERROR(VLOOKUP(B688, Project_Management!B:F, 5, FALSE), ""))</f>
        <v/>
      </c>
      <c r="G688" s="222" t="s">
        <v>1317</v>
      </c>
      <c r="H688" s="223" t="str">
        <f>IFERROR(VLOOKUP(B688, Content_Creation!B:H, 7, FALSE), IFERROR(VLOOKUP(B688, Project_Management!B:H, 7, FALSE), ""))</f>
        <v/>
      </c>
      <c r="I688" s="224">
        <v>0.0</v>
      </c>
      <c r="J688" s="217"/>
      <c r="K688" s="217"/>
      <c r="L688" s="225" t="str">
        <f>IFERROR(VLOOKUP(B688, Data_Validation!X:Y, 2, FALSE), "")</f>
        <v/>
      </c>
      <c r="M688" s="226" t="str">
        <f t="shared" si="1"/>
        <v> |  -  | </v>
      </c>
      <c r="N688" s="226"/>
      <c r="O688" s="226"/>
    </row>
    <row r="689" ht="24.0" customHeight="1">
      <c r="A689" s="216" t="str">
        <f>IFERROR(__xludf.DUMMYFUNCTION("ARRAYFORMULA(IFERROR(VLOOKUP(REGEXEXTRACT(B689, ""-(\w+)-""), {Data_Validation!$F$16:$F$29, Data_Validation!$E$16:$E$29}, 2, FALSE), """"))
"),"")</f>
        <v/>
      </c>
      <c r="B689" s="217"/>
      <c r="C689" s="218" t="str">
        <f>IFERROR(__xludf.DUMMYFUNCTION("IFERROR(REGEXEXTRACT(B689, ""^[A-Z]+-[A-Z]+-"") &amp; TEXT(VALUE(REGEXEXTRACT(B689, ""-(\d+)\."")), ""00""), """")"),"")</f>
        <v/>
      </c>
      <c r="D689" s="219" t="str">
        <f>IFERROR(VLOOKUP(C689, Content_Creation!B:D, 2, FALSE), IFERROR(VLOOKUP(C689, Project_Management!B:D, 2, FALSE), ""))
&amp; " - "
&amp; IFERROR(VLOOKUP(C689, Content_Creation!B:E, 4, FALSE), IFERROR(VLOOKUP(C689, Project_Management!B:E, 4, FALSE), ""))</f>
        <v> - </v>
      </c>
      <c r="E689" s="220" t="str">
        <f>IFERROR(
    VLOOKUP(B688:B1001, Content_Creation!B:D, 3, FALSE),
    IFERROR(VLOOKUP(B688:B1001, Project_Management!B:D, 3, FALSE),"")
  )</f>
        <v/>
      </c>
      <c r="F689" s="221" t="str">
        <f>IFERROR(VLOOKUP(B689, Content_Creation!B:F, 5, FALSE), IFERROR(VLOOKUP(B689, Project_Management!B:F, 5, FALSE), ""))</f>
        <v/>
      </c>
      <c r="G689" s="222" t="s">
        <v>1317</v>
      </c>
      <c r="H689" s="223" t="str">
        <f>IFERROR(VLOOKUP(B689, Content_Creation!B:H, 7, FALSE), IFERROR(VLOOKUP(B689, Project_Management!B:H, 7, FALSE), ""))</f>
        <v/>
      </c>
      <c r="I689" s="224">
        <v>0.0</v>
      </c>
      <c r="J689" s="217"/>
      <c r="K689" s="217"/>
      <c r="L689" s="225" t="str">
        <f>IFERROR(VLOOKUP(B689, Data_Validation!X:Y, 2, FALSE), "")</f>
        <v/>
      </c>
      <c r="M689" s="226" t="str">
        <f t="shared" si="1"/>
        <v> |  -  | </v>
      </c>
      <c r="N689" s="226"/>
      <c r="O689" s="226"/>
    </row>
    <row r="690" ht="24.0" customHeight="1">
      <c r="A690" s="216" t="str">
        <f>IFERROR(__xludf.DUMMYFUNCTION("ARRAYFORMULA(IFERROR(VLOOKUP(REGEXEXTRACT(B690, ""-(\w+)-""), {Data_Validation!$F$16:$F$29, Data_Validation!$E$16:$E$29}, 2, FALSE), """"))
"),"")</f>
        <v/>
      </c>
      <c r="B690" s="217"/>
      <c r="C690" s="218" t="str">
        <f>IFERROR(__xludf.DUMMYFUNCTION("IFERROR(REGEXEXTRACT(B690, ""^[A-Z]+-[A-Z]+-"") &amp; TEXT(VALUE(REGEXEXTRACT(B690, ""-(\d+)\."")), ""00""), """")"),"")</f>
        <v/>
      </c>
      <c r="D690" s="219" t="str">
        <f>IFERROR(VLOOKUP(C690, Content_Creation!B:D, 2, FALSE), IFERROR(VLOOKUP(C690, Project_Management!B:D, 2, FALSE), ""))
&amp; " - "
&amp; IFERROR(VLOOKUP(C690, Content_Creation!B:E, 4, FALSE), IFERROR(VLOOKUP(C690, Project_Management!B:E, 4, FALSE), ""))</f>
        <v> - </v>
      </c>
      <c r="E690" s="220" t="str">
        <f>IFERROR(
    VLOOKUP(B689:B1001, Content_Creation!B:D, 3, FALSE),
    IFERROR(VLOOKUP(B689:B1001, Project_Management!B:D, 3, FALSE),"")
  )</f>
        <v/>
      </c>
      <c r="F690" s="221" t="str">
        <f>IFERROR(VLOOKUP(B690, Content_Creation!B:F, 5, FALSE), IFERROR(VLOOKUP(B690, Project_Management!B:F, 5, FALSE), ""))</f>
        <v/>
      </c>
      <c r="G690" s="222" t="s">
        <v>1317</v>
      </c>
      <c r="H690" s="223" t="str">
        <f>IFERROR(VLOOKUP(B690, Content_Creation!B:H, 7, FALSE), IFERROR(VLOOKUP(B690, Project_Management!B:H, 7, FALSE), ""))</f>
        <v/>
      </c>
      <c r="I690" s="224">
        <v>0.0</v>
      </c>
      <c r="J690" s="217"/>
      <c r="K690" s="217"/>
      <c r="L690" s="225" t="str">
        <f>IFERROR(VLOOKUP(B690, Data_Validation!X:Y, 2, FALSE), "")</f>
        <v/>
      </c>
      <c r="M690" s="226" t="str">
        <f t="shared" si="1"/>
        <v> |  -  | </v>
      </c>
      <c r="N690" s="226"/>
      <c r="O690" s="226"/>
    </row>
    <row r="691" ht="24.0" customHeight="1">
      <c r="A691" s="216" t="str">
        <f>IFERROR(__xludf.DUMMYFUNCTION("ARRAYFORMULA(IFERROR(VLOOKUP(REGEXEXTRACT(B691, ""-(\w+)-""), {Data_Validation!$F$16:$F$29, Data_Validation!$E$16:$E$29}, 2, FALSE), """"))
"),"")</f>
        <v/>
      </c>
      <c r="B691" s="217"/>
      <c r="C691" s="218" t="str">
        <f>IFERROR(__xludf.DUMMYFUNCTION("IFERROR(REGEXEXTRACT(B691, ""^[A-Z]+-[A-Z]+-"") &amp; TEXT(VALUE(REGEXEXTRACT(B691, ""-(\d+)\."")), ""00""), """")"),"")</f>
        <v/>
      </c>
      <c r="D691" s="219" t="str">
        <f>IFERROR(VLOOKUP(C691, Content_Creation!B:D, 2, FALSE), IFERROR(VLOOKUP(C691, Project_Management!B:D, 2, FALSE), ""))
&amp; " - "
&amp; IFERROR(VLOOKUP(C691, Content_Creation!B:E, 4, FALSE), IFERROR(VLOOKUP(C691, Project_Management!B:E, 4, FALSE), ""))</f>
        <v> - </v>
      </c>
      <c r="E691" s="220" t="str">
        <f>IFERROR(
    VLOOKUP(B690:B1001, Content_Creation!B:D, 3, FALSE),
    IFERROR(VLOOKUP(B690:B1001, Project_Management!B:D, 3, FALSE),"")
  )</f>
        <v/>
      </c>
      <c r="F691" s="221" t="str">
        <f>IFERROR(VLOOKUP(B691, Content_Creation!B:F, 5, FALSE), IFERROR(VLOOKUP(B691, Project_Management!B:F, 5, FALSE), ""))</f>
        <v/>
      </c>
      <c r="G691" s="222" t="s">
        <v>1317</v>
      </c>
      <c r="H691" s="223" t="str">
        <f>IFERROR(VLOOKUP(B691, Content_Creation!B:H, 7, FALSE), IFERROR(VLOOKUP(B691, Project_Management!B:H, 7, FALSE), ""))</f>
        <v/>
      </c>
      <c r="I691" s="224">
        <v>0.0</v>
      </c>
      <c r="J691" s="217"/>
      <c r="K691" s="217"/>
      <c r="L691" s="225" t="str">
        <f>IFERROR(VLOOKUP(B691, Data_Validation!X:Y, 2, FALSE), "")</f>
        <v/>
      </c>
      <c r="M691" s="226" t="str">
        <f t="shared" si="1"/>
        <v> |  -  | </v>
      </c>
      <c r="N691" s="226"/>
      <c r="O691" s="226"/>
    </row>
    <row r="692" ht="24.0" customHeight="1">
      <c r="A692" s="216" t="str">
        <f>IFERROR(__xludf.DUMMYFUNCTION("ARRAYFORMULA(IFERROR(VLOOKUP(REGEXEXTRACT(B692, ""-(\w+)-""), {Data_Validation!$F$16:$F$29, Data_Validation!$E$16:$E$29}, 2, FALSE), """"))
"),"")</f>
        <v/>
      </c>
      <c r="B692" s="217"/>
      <c r="C692" s="218" t="str">
        <f>IFERROR(__xludf.DUMMYFUNCTION("IFERROR(REGEXEXTRACT(B692, ""^[A-Z]+-[A-Z]+-"") &amp; TEXT(VALUE(REGEXEXTRACT(B692, ""-(\d+)\."")), ""00""), """")"),"")</f>
        <v/>
      </c>
      <c r="D692" s="219" t="str">
        <f>IFERROR(VLOOKUP(C692, Content_Creation!B:D, 2, FALSE), IFERROR(VLOOKUP(C692, Project_Management!B:D, 2, FALSE), ""))
&amp; " - "
&amp; IFERROR(VLOOKUP(C692, Content_Creation!B:E, 4, FALSE), IFERROR(VLOOKUP(C692, Project_Management!B:E, 4, FALSE), ""))</f>
        <v> - </v>
      </c>
      <c r="E692" s="220" t="str">
        <f>IFERROR(
    VLOOKUP(B691:B1001, Content_Creation!B:D, 3, FALSE),
    IFERROR(VLOOKUP(B691:B1001, Project_Management!B:D, 3, FALSE),"")
  )</f>
        <v/>
      </c>
      <c r="F692" s="221" t="str">
        <f>IFERROR(VLOOKUP(B692, Content_Creation!B:F, 5, FALSE), IFERROR(VLOOKUP(B692, Project_Management!B:F, 5, FALSE), ""))</f>
        <v/>
      </c>
      <c r="G692" s="222" t="s">
        <v>1317</v>
      </c>
      <c r="H692" s="223" t="str">
        <f>IFERROR(VLOOKUP(B692, Content_Creation!B:H, 7, FALSE), IFERROR(VLOOKUP(B692, Project_Management!B:H, 7, FALSE), ""))</f>
        <v/>
      </c>
      <c r="I692" s="224">
        <v>0.0</v>
      </c>
      <c r="J692" s="217"/>
      <c r="K692" s="217"/>
      <c r="L692" s="225" t="str">
        <f>IFERROR(VLOOKUP(B692, Data_Validation!X:Y, 2, FALSE), "")</f>
        <v/>
      </c>
      <c r="M692" s="226" t="str">
        <f t="shared" si="1"/>
        <v> |  -  | </v>
      </c>
      <c r="N692" s="226"/>
      <c r="O692" s="226"/>
    </row>
    <row r="693" ht="24.0" customHeight="1">
      <c r="A693" s="216" t="str">
        <f>IFERROR(__xludf.DUMMYFUNCTION("ARRAYFORMULA(IFERROR(VLOOKUP(REGEXEXTRACT(B693, ""-(\w+)-""), {Data_Validation!$F$16:$F$29, Data_Validation!$E$16:$E$29}, 2, FALSE), """"))
"),"")</f>
        <v/>
      </c>
      <c r="B693" s="217"/>
      <c r="C693" s="218" t="str">
        <f>IFERROR(__xludf.DUMMYFUNCTION("IFERROR(REGEXEXTRACT(B693, ""^[A-Z]+-[A-Z]+-"") &amp; TEXT(VALUE(REGEXEXTRACT(B693, ""-(\d+)\."")), ""00""), """")"),"")</f>
        <v/>
      </c>
      <c r="D693" s="219" t="str">
        <f>IFERROR(VLOOKUP(C693, Content_Creation!B:D, 2, FALSE), IFERROR(VLOOKUP(C693, Project_Management!B:D, 2, FALSE), ""))
&amp; " - "
&amp; IFERROR(VLOOKUP(C693, Content_Creation!B:E, 4, FALSE), IFERROR(VLOOKUP(C693, Project_Management!B:E, 4, FALSE), ""))</f>
        <v> - </v>
      </c>
      <c r="E693" s="220" t="str">
        <f>IFERROR(
    VLOOKUP(B692:B1001, Content_Creation!B:D, 3, FALSE),
    IFERROR(VLOOKUP(B692:B1001, Project_Management!B:D, 3, FALSE),"")
  )</f>
        <v/>
      </c>
      <c r="F693" s="221" t="str">
        <f>IFERROR(VLOOKUP(B693, Content_Creation!B:F, 5, FALSE), IFERROR(VLOOKUP(B693, Project_Management!B:F, 5, FALSE), ""))</f>
        <v/>
      </c>
      <c r="G693" s="222" t="s">
        <v>1317</v>
      </c>
      <c r="H693" s="223" t="str">
        <f>IFERROR(VLOOKUP(B693, Content_Creation!B:H, 7, FALSE), IFERROR(VLOOKUP(B693, Project_Management!B:H, 7, FALSE), ""))</f>
        <v/>
      </c>
      <c r="I693" s="224">
        <v>0.0</v>
      </c>
      <c r="J693" s="217"/>
      <c r="K693" s="217"/>
      <c r="L693" s="225" t="str">
        <f>IFERROR(VLOOKUP(B693, Data_Validation!X:Y, 2, FALSE), "")</f>
        <v/>
      </c>
      <c r="M693" s="226" t="str">
        <f t="shared" si="1"/>
        <v> |  -  | </v>
      </c>
      <c r="N693" s="226"/>
      <c r="O693" s="226"/>
    </row>
    <row r="694" ht="24.0" customHeight="1">
      <c r="A694" s="216" t="str">
        <f>IFERROR(__xludf.DUMMYFUNCTION("ARRAYFORMULA(IFERROR(VLOOKUP(REGEXEXTRACT(B694, ""-(\w+)-""), {Data_Validation!$F$16:$F$29, Data_Validation!$E$16:$E$29}, 2, FALSE), """"))
"),"")</f>
        <v/>
      </c>
      <c r="B694" s="217"/>
      <c r="C694" s="218" t="str">
        <f>IFERROR(__xludf.DUMMYFUNCTION("IFERROR(REGEXEXTRACT(B694, ""^[A-Z]+-[A-Z]+-"") &amp; TEXT(VALUE(REGEXEXTRACT(B694, ""-(\d+)\."")), ""00""), """")"),"")</f>
        <v/>
      </c>
      <c r="D694" s="219" t="str">
        <f>IFERROR(VLOOKUP(C694, Content_Creation!B:D, 2, FALSE), IFERROR(VLOOKUP(C694, Project_Management!B:D, 2, FALSE), ""))
&amp; " - "
&amp; IFERROR(VLOOKUP(C694, Content_Creation!B:E, 4, FALSE), IFERROR(VLOOKUP(C694, Project_Management!B:E, 4, FALSE), ""))</f>
        <v> - </v>
      </c>
      <c r="E694" s="220" t="str">
        <f>IFERROR(
    VLOOKUP(B693:B1001, Content_Creation!B:D, 3, FALSE),
    IFERROR(VLOOKUP(B693:B1001, Project_Management!B:D, 3, FALSE),"")
  )</f>
        <v/>
      </c>
      <c r="F694" s="221" t="str">
        <f>IFERROR(VLOOKUP(B694, Content_Creation!B:F, 5, FALSE), IFERROR(VLOOKUP(B694, Project_Management!B:F, 5, FALSE), ""))</f>
        <v/>
      </c>
      <c r="G694" s="222" t="s">
        <v>1317</v>
      </c>
      <c r="H694" s="223" t="str">
        <f>IFERROR(VLOOKUP(B694, Content_Creation!B:H, 7, FALSE), IFERROR(VLOOKUP(B694, Project_Management!B:H, 7, FALSE), ""))</f>
        <v/>
      </c>
      <c r="I694" s="224">
        <v>0.0</v>
      </c>
      <c r="J694" s="217"/>
      <c r="K694" s="217"/>
      <c r="L694" s="225" t="str">
        <f>IFERROR(VLOOKUP(B694, Data_Validation!X:Y, 2, FALSE), "")</f>
        <v/>
      </c>
      <c r="M694" s="226" t="str">
        <f t="shared" si="1"/>
        <v> |  -  | </v>
      </c>
      <c r="N694" s="226"/>
      <c r="O694" s="226"/>
    </row>
    <row r="695" ht="24.0" customHeight="1">
      <c r="A695" s="216" t="str">
        <f>IFERROR(__xludf.DUMMYFUNCTION("ARRAYFORMULA(IFERROR(VLOOKUP(REGEXEXTRACT(B695, ""-(\w+)-""), {Data_Validation!$F$16:$F$29, Data_Validation!$E$16:$E$29}, 2, FALSE), """"))
"),"")</f>
        <v/>
      </c>
      <c r="B695" s="217"/>
      <c r="C695" s="218" t="str">
        <f>IFERROR(__xludf.DUMMYFUNCTION("IFERROR(REGEXEXTRACT(B695, ""^[A-Z]+-[A-Z]+-"") &amp; TEXT(VALUE(REGEXEXTRACT(B695, ""-(\d+)\."")), ""00""), """")"),"")</f>
        <v/>
      </c>
      <c r="D695" s="219" t="str">
        <f>IFERROR(VLOOKUP(C695, Content_Creation!B:D, 2, FALSE), IFERROR(VLOOKUP(C695, Project_Management!B:D, 2, FALSE), ""))
&amp; " - "
&amp; IFERROR(VLOOKUP(C695, Content_Creation!B:E, 4, FALSE), IFERROR(VLOOKUP(C695, Project_Management!B:E, 4, FALSE), ""))</f>
        <v> - </v>
      </c>
      <c r="E695" s="220" t="str">
        <f>IFERROR(
    VLOOKUP(B694:B1001, Content_Creation!B:D, 3, FALSE),
    IFERROR(VLOOKUP(B694:B1001, Project_Management!B:D, 3, FALSE),"")
  )</f>
        <v/>
      </c>
      <c r="F695" s="221" t="str">
        <f>IFERROR(VLOOKUP(B695, Content_Creation!B:F, 5, FALSE), IFERROR(VLOOKUP(B695, Project_Management!B:F, 5, FALSE), ""))</f>
        <v/>
      </c>
      <c r="G695" s="222" t="s">
        <v>1317</v>
      </c>
      <c r="H695" s="223" t="str">
        <f>IFERROR(VLOOKUP(B695, Content_Creation!B:H, 7, FALSE), IFERROR(VLOOKUP(B695, Project_Management!B:H, 7, FALSE), ""))</f>
        <v/>
      </c>
      <c r="I695" s="224">
        <v>0.0</v>
      </c>
      <c r="J695" s="217"/>
      <c r="K695" s="217"/>
      <c r="L695" s="225" t="str">
        <f>IFERROR(VLOOKUP(B695, Data_Validation!X:Y, 2, FALSE), "")</f>
        <v/>
      </c>
      <c r="M695" s="226" t="str">
        <f t="shared" si="1"/>
        <v> |  -  | </v>
      </c>
      <c r="N695" s="226"/>
      <c r="O695" s="226"/>
    </row>
    <row r="696" ht="24.0" customHeight="1">
      <c r="A696" s="216" t="str">
        <f>IFERROR(__xludf.DUMMYFUNCTION("ARRAYFORMULA(IFERROR(VLOOKUP(REGEXEXTRACT(B696, ""-(\w+)-""), {Data_Validation!$F$16:$F$29, Data_Validation!$E$16:$E$29}, 2, FALSE), """"))
"),"")</f>
        <v/>
      </c>
      <c r="B696" s="217"/>
      <c r="C696" s="218" t="str">
        <f>IFERROR(__xludf.DUMMYFUNCTION("IFERROR(REGEXEXTRACT(B696, ""^[A-Z]+-[A-Z]+-"") &amp; TEXT(VALUE(REGEXEXTRACT(B696, ""-(\d+)\."")), ""00""), """")"),"")</f>
        <v/>
      </c>
      <c r="D696" s="219" t="str">
        <f>IFERROR(VLOOKUP(C696, Content_Creation!B:D, 2, FALSE), IFERROR(VLOOKUP(C696, Project_Management!B:D, 2, FALSE), ""))
&amp; " - "
&amp; IFERROR(VLOOKUP(C696, Content_Creation!B:E, 4, FALSE), IFERROR(VLOOKUP(C696, Project_Management!B:E, 4, FALSE), ""))</f>
        <v> - </v>
      </c>
      <c r="E696" s="220" t="str">
        <f>IFERROR(
    VLOOKUP(B695:B1001, Content_Creation!B:D, 3, FALSE),
    IFERROR(VLOOKUP(B695:B1001, Project_Management!B:D, 3, FALSE),"")
  )</f>
        <v/>
      </c>
      <c r="F696" s="221" t="str">
        <f>IFERROR(VLOOKUP(B696, Content_Creation!B:F, 5, FALSE), IFERROR(VLOOKUP(B696, Project_Management!B:F, 5, FALSE), ""))</f>
        <v/>
      </c>
      <c r="G696" s="222" t="s">
        <v>1317</v>
      </c>
      <c r="H696" s="223" t="str">
        <f>IFERROR(VLOOKUP(B696, Content_Creation!B:H, 7, FALSE), IFERROR(VLOOKUP(B696, Project_Management!B:H, 7, FALSE), ""))</f>
        <v/>
      </c>
      <c r="I696" s="224">
        <v>0.0</v>
      </c>
      <c r="J696" s="217"/>
      <c r="K696" s="217"/>
      <c r="L696" s="225" t="str">
        <f>IFERROR(VLOOKUP(B696, Data_Validation!X:Y, 2, FALSE), "")</f>
        <v/>
      </c>
      <c r="M696" s="226" t="str">
        <f t="shared" si="1"/>
        <v> |  -  | </v>
      </c>
      <c r="N696" s="226"/>
      <c r="O696" s="226"/>
    </row>
    <row r="697" ht="24.0" customHeight="1">
      <c r="A697" s="216" t="str">
        <f>IFERROR(__xludf.DUMMYFUNCTION("ARRAYFORMULA(IFERROR(VLOOKUP(REGEXEXTRACT(B697, ""-(\w+)-""), {Data_Validation!$F$16:$F$29, Data_Validation!$E$16:$E$29}, 2, FALSE), """"))
"),"")</f>
        <v/>
      </c>
      <c r="B697" s="217"/>
      <c r="C697" s="218" t="str">
        <f>IFERROR(__xludf.DUMMYFUNCTION("IFERROR(REGEXEXTRACT(B697, ""^[A-Z]+-[A-Z]+-"") &amp; TEXT(VALUE(REGEXEXTRACT(B697, ""-(\d+)\."")), ""00""), """")"),"")</f>
        <v/>
      </c>
      <c r="D697" s="219" t="str">
        <f>IFERROR(VLOOKUP(C697, Content_Creation!B:D, 2, FALSE), IFERROR(VLOOKUP(C697, Project_Management!B:D, 2, FALSE), ""))
&amp; " - "
&amp; IFERROR(VLOOKUP(C697, Content_Creation!B:E, 4, FALSE), IFERROR(VLOOKUP(C697, Project_Management!B:E, 4, FALSE), ""))</f>
        <v> - </v>
      </c>
      <c r="E697" s="220" t="str">
        <f>IFERROR(
    VLOOKUP(B696:B1001, Content_Creation!B:D, 3, FALSE),
    IFERROR(VLOOKUP(B696:B1001, Project_Management!B:D, 3, FALSE),"")
  )</f>
        <v/>
      </c>
      <c r="F697" s="221" t="str">
        <f>IFERROR(VLOOKUP(B697, Content_Creation!B:F, 5, FALSE), IFERROR(VLOOKUP(B697, Project_Management!B:F, 5, FALSE), ""))</f>
        <v/>
      </c>
      <c r="G697" s="222" t="s">
        <v>1317</v>
      </c>
      <c r="H697" s="223" t="str">
        <f>IFERROR(VLOOKUP(B697, Content_Creation!B:H, 7, FALSE), IFERROR(VLOOKUP(B697, Project_Management!B:H, 7, FALSE), ""))</f>
        <v/>
      </c>
      <c r="I697" s="224">
        <v>0.0</v>
      </c>
      <c r="J697" s="217"/>
      <c r="K697" s="217"/>
      <c r="L697" s="225" t="str">
        <f>IFERROR(VLOOKUP(B697, Data_Validation!X:Y, 2, FALSE), "")</f>
        <v/>
      </c>
      <c r="M697" s="226" t="str">
        <f t="shared" si="1"/>
        <v> |  -  | </v>
      </c>
      <c r="N697" s="226"/>
      <c r="O697" s="226"/>
    </row>
    <row r="698" ht="24.0" customHeight="1">
      <c r="A698" s="216" t="str">
        <f>IFERROR(__xludf.DUMMYFUNCTION("ARRAYFORMULA(IFERROR(VLOOKUP(REGEXEXTRACT(B698, ""-(\w+)-""), {Data_Validation!$F$16:$F$29, Data_Validation!$E$16:$E$29}, 2, FALSE), """"))
"),"")</f>
        <v/>
      </c>
      <c r="B698" s="217"/>
      <c r="C698" s="218" t="str">
        <f>IFERROR(__xludf.DUMMYFUNCTION("IFERROR(REGEXEXTRACT(B698, ""^[A-Z]+-[A-Z]+-"") &amp; TEXT(VALUE(REGEXEXTRACT(B698, ""-(\d+)\."")), ""00""), """")"),"")</f>
        <v/>
      </c>
      <c r="D698" s="219" t="str">
        <f>IFERROR(VLOOKUP(C698, Content_Creation!B:D, 2, FALSE), IFERROR(VLOOKUP(C698, Project_Management!B:D, 2, FALSE), ""))
&amp; " - "
&amp; IFERROR(VLOOKUP(C698, Content_Creation!B:E, 4, FALSE), IFERROR(VLOOKUP(C698, Project_Management!B:E, 4, FALSE), ""))</f>
        <v> - </v>
      </c>
      <c r="E698" s="220" t="str">
        <f>IFERROR(
    VLOOKUP(B697:B1001, Content_Creation!B:D, 3, FALSE),
    IFERROR(VLOOKUP(B697:B1001, Project_Management!B:D, 3, FALSE),"")
  )</f>
        <v/>
      </c>
      <c r="F698" s="221" t="str">
        <f>IFERROR(VLOOKUP(B698, Content_Creation!B:F, 5, FALSE), IFERROR(VLOOKUP(B698, Project_Management!B:F, 5, FALSE), ""))</f>
        <v/>
      </c>
      <c r="G698" s="222" t="s">
        <v>1317</v>
      </c>
      <c r="H698" s="223" t="str">
        <f>IFERROR(VLOOKUP(B698, Content_Creation!B:H, 7, FALSE), IFERROR(VLOOKUP(B698, Project_Management!B:H, 7, FALSE), ""))</f>
        <v/>
      </c>
      <c r="I698" s="224">
        <v>0.0</v>
      </c>
      <c r="J698" s="217"/>
      <c r="K698" s="217"/>
      <c r="L698" s="225" t="str">
        <f>IFERROR(VLOOKUP(B698, Data_Validation!X:Y, 2, FALSE), "")</f>
        <v/>
      </c>
      <c r="M698" s="226" t="str">
        <f t="shared" si="1"/>
        <v> |  -  | </v>
      </c>
      <c r="N698" s="226"/>
      <c r="O698" s="226"/>
    </row>
    <row r="699" ht="24.0" customHeight="1">
      <c r="A699" s="216" t="str">
        <f>IFERROR(__xludf.DUMMYFUNCTION("ARRAYFORMULA(IFERROR(VLOOKUP(REGEXEXTRACT(B699, ""-(\w+)-""), {Data_Validation!$F$16:$F$29, Data_Validation!$E$16:$E$29}, 2, FALSE), """"))
"),"")</f>
        <v/>
      </c>
      <c r="B699" s="217"/>
      <c r="C699" s="218" t="str">
        <f>IFERROR(__xludf.DUMMYFUNCTION("IFERROR(REGEXEXTRACT(B699, ""^[A-Z]+-[A-Z]+-"") &amp; TEXT(VALUE(REGEXEXTRACT(B699, ""-(\d+)\."")), ""00""), """")"),"")</f>
        <v/>
      </c>
      <c r="D699" s="219" t="str">
        <f>IFERROR(VLOOKUP(C699, Content_Creation!B:D, 2, FALSE), IFERROR(VLOOKUP(C699, Project_Management!B:D, 2, FALSE), ""))
&amp; " - "
&amp; IFERROR(VLOOKUP(C699, Content_Creation!B:E, 4, FALSE), IFERROR(VLOOKUP(C699, Project_Management!B:E, 4, FALSE), ""))</f>
        <v> - </v>
      </c>
      <c r="E699" s="220" t="str">
        <f>IFERROR(
    VLOOKUP(B698:B1001, Content_Creation!B:D, 3, FALSE),
    IFERROR(VLOOKUP(B698:B1001, Project_Management!B:D, 3, FALSE),"")
  )</f>
        <v/>
      </c>
      <c r="F699" s="221" t="str">
        <f>IFERROR(VLOOKUP(B699, Content_Creation!B:F, 5, FALSE), IFERROR(VLOOKUP(B699, Project_Management!B:F, 5, FALSE), ""))</f>
        <v/>
      </c>
      <c r="G699" s="222" t="s">
        <v>1317</v>
      </c>
      <c r="H699" s="223" t="str">
        <f>IFERROR(VLOOKUP(B699, Content_Creation!B:H, 7, FALSE), IFERROR(VLOOKUP(B699, Project_Management!B:H, 7, FALSE), ""))</f>
        <v/>
      </c>
      <c r="I699" s="224">
        <v>0.0</v>
      </c>
      <c r="J699" s="217"/>
      <c r="K699" s="217"/>
      <c r="L699" s="225" t="str">
        <f>IFERROR(VLOOKUP(B699, Data_Validation!X:Y, 2, FALSE), "")</f>
        <v/>
      </c>
      <c r="M699" s="226" t="str">
        <f t="shared" si="1"/>
        <v> |  -  | </v>
      </c>
      <c r="N699" s="226"/>
      <c r="O699" s="226"/>
    </row>
    <row r="700" ht="24.0" customHeight="1">
      <c r="A700" s="216" t="str">
        <f>IFERROR(__xludf.DUMMYFUNCTION("ARRAYFORMULA(IFERROR(VLOOKUP(REGEXEXTRACT(B700, ""-(\w+)-""), {Data_Validation!$F$16:$F$29, Data_Validation!$E$16:$E$29}, 2, FALSE), """"))
"),"")</f>
        <v/>
      </c>
      <c r="B700" s="217"/>
      <c r="C700" s="218" t="str">
        <f>IFERROR(__xludf.DUMMYFUNCTION("IFERROR(REGEXEXTRACT(B700, ""^[A-Z]+-[A-Z]+-"") &amp; TEXT(VALUE(REGEXEXTRACT(B700, ""-(\d+)\."")), ""00""), """")"),"")</f>
        <v/>
      </c>
      <c r="D700" s="219" t="str">
        <f>IFERROR(VLOOKUP(C700, Content_Creation!B:D, 2, FALSE), IFERROR(VLOOKUP(C700, Project_Management!B:D, 2, FALSE), ""))
&amp; " - "
&amp; IFERROR(VLOOKUP(C700, Content_Creation!B:E, 4, FALSE), IFERROR(VLOOKUP(C700, Project_Management!B:E, 4, FALSE), ""))</f>
        <v> - </v>
      </c>
      <c r="E700" s="220" t="str">
        <f>IFERROR(
    VLOOKUP(B699:B1001, Content_Creation!B:D, 3, FALSE),
    IFERROR(VLOOKUP(B699:B1001, Project_Management!B:D, 3, FALSE),"")
  )</f>
        <v/>
      </c>
      <c r="F700" s="221" t="str">
        <f>IFERROR(VLOOKUP(B700, Content_Creation!B:F, 5, FALSE), IFERROR(VLOOKUP(B700, Project_Management!B:F, 5, FALSE), ""))</f>
        <v/>
      </c>
      <c r="G700" s="222" t="s">
        <v>1317</v>
      </c>
      <c r="H700" s="223" t="str">
        <f>IFERROR(VLOOKUP(B700, Content_Creation!B:H, 7, FALSE), IFERROR(VLOOKUP(B700, Project_Management!B:H, 7, FALSE), ""))</f>
        <v/>
      </c>
      <c r="I700" s="224">
        <v>0.0</v>
      </c>
      <c r="J700" s="217"/>
      <c r="K700" s="217"/>
      <c r="L700" s="225" t="str">
        <f>IFERROR(VLOOKUP(B700, Data_Validation!X:Y, 2, FALSE), "")</f>
        <v/>
      </c>
      <c r="M700" s="226" t="str">
        <f t="shared" si="1"/>
        <v> |  -  | </v>
      </c>
      <c r="N700" s="226"/>
      <c r="O700" s="226"/>
    </row>
    <row r="701" ht="24.0" customHeight="1">
      <c r="A701" s="216" t="str">
        <f>IFERROR(__xludf.DUMMYFUNCTION("ARRAYFORMULA(IFERROR(VLOOKUP(REGEXEXTRACT(B701, ""-(\w+)-""), {Data_Validation!$F$16:$F$29, Data_Validation!$E$16:$E$29}, 2, FALSE), """"))
"),"")</f>
        <v/>
      </c>
      <c r="B701" s="217"/>
      <c r="C701" s="218" t="str">
        <f>IFERROR(__xludf.DUMMYFUNCTION("IFERROR(REGEXEXTRACT(B701, ""^[A-Z]+-[A-Z]+-"") &amp; TEXT(VALUE(REGEXEXTRACT(B701, ""-(\d+)\."")), ""00""), """")"),"")</f>
        <v/>
      </c>
      <c r="D701" s="219" t="str">
        <f>IFERROR(VLOOKUP(C701, Content_Creation!B:D, 2, FALSE), IFERROR(VLOOKUP(C701, Project_Management!B:D, 2, FALSE), ""))
&amp; " - "
&amp; IFERROR(VLOOKUP(C701, Content_Creation!B:E, 4, FALSE), IFERROR(VLOOKUP(C701, Project_Management!B:E, 4, FALSE), ""))</f>
        <v> - </v>
      </c>
      <c r="E701" s="220" t="str">
        <f>IFERROR(
    VLOOKUP(B700:B1001, Content_Creation!B:D, 3, FALSE),
    IFERROR(VLOOKUP(B700:B1001, Project_Management!B:D, 3, FALSE),"")
  )</f>
        <v/>
      </c>
      <c r="F701" s="221" t="str">
        <f>IFERROR(VLOOKUP(B701, Content_Creation!B:F, 5, FALSE), IFERROR(VLOOKUP(B701, Project_Management!B:F, 5, FALSE), ""))</f>
        <v/>
      </c>
      <c r="G701" s="222" t="s">
        <v>1317</v>
      </c>
      <c r="H701" s="223" t="str">
        <f>IFERROR(VLOOKUP(B701, Content_Creation!B:H, 7, FALSE), IFERROR(VLOOKUP(B701, Project_Management!B:H, 7, FALSE), ""))</f>
        <v/>
      </c>
      <c r="I701" s="224">
        <v>0.0</v>
      </c>
      <c r="J701" s="217"/>
      <c r="K701" s="217"/>
      <c r="L701" s="225" t="str">
        <f>IFERROR(VLOOKUP(B701, Data_Validation!X:Y, 2, FALSE), "")</f>
        <v/>
      </c>
      <c r="M701" s="226" t="str">
        <f t="shared" si="1"/>
        <v> |  -  | </v>
      </c>
      <c r="N701" s="226"/>
      <c r="O701" s="226"/>
    </row>
    <row r="702" ht="24.0" customHeight="1">
      <c r="A702" s="216" t="str">
        <f>IFERROR(__xludf.DUMMYFUNCTION("ARRAYFORMULA(IFERROR(VLOOKUP(REGEXEXTRACT(B702, ""-(\w+)-""), {Data_Validation!$F$16:$F$29, Data_Validation!$E$16:$E$29}, 2, FALSE), """"))
"),"")</f>
        <v/>
      </c>
      <c r="B702" s="217"/>
      <c r="C702" s="218" t="str">
        <f>IFERROR(__xludf.DUMMYFUNCTION("IFERROR(REGEXEXTRACT(B702, ""^[A-Z]+-[A-Z]+-"") &amp; TEXT(VALUE(REGEXEXTRACT(B702, ""-(\d+)\."")), ""00""), """")"),"")</f>
        <v/>
      </c>
      <c r="D702" s="219" t="str">
        <f>IFERROR(VLOOKUP(C702, Content_Creation!B:D, 2, FALSE), IFERROR(VLOOKUP(C702, Project_Management!B:D, 2, FALSE), ""))
&amp; " - "
&amp; IFERROR(VLOOKUP(C702, Content_Creation!B:E, 4, FALSE), IFERROR(VLOOKUP(C702, Project_Management!B:E, 4, FALSE), ""))</f>
        <v> - </v>
      </c>
      <c r="E702" s="220" t="str">
        <f>IFERROR(
    VLOOKUP(B701:B1001, Content_Creation!B:D, 3, FALSE),
    IFERROR(VLOOKUP(B701:B1001, Project_Management!B:D, 3, FALSE),"")
  )</f>
        <v/>
      </c>
      <c r="F702" s="221" t="str">
        <f>IFERROR(VLOOKUP(B702, Content_Creation!B:F, 5, FALSE), IFERROR(VLOOKUP(B702, Project_Management!B:F, 5, FALSE), ""))</f>
        <v/>
      </c>
      <c r="G702" s="222" t="s">
        <v>1317</v>
      </c>
      <c r="H702" s="223" t="str">
        <f>IFERROR(VLOOKUP(B702, Content_Creation!B:H, 7, FALSE), IFERROR(VLOOKUP(B702, Project_Management!B:H, 7, FALSE), ""))</f>
        <v/>
      </c>
      <c r="I702" s="224">
        <v>0.0</v>
      </c>
      <c r="J702" s="217"/>
      <c r="K702" s="217"/>
      <c r="L702" s="225" t="str">
        <f>IFERROR(VLOOKUP(B702, Data_Validation!X:Y, 2, FALSE), "")</f>
        <v/>
      </c>
      <c r="M702" s="226" t="str">
        <f t="shared" si="1"/>
        <v> |  -  | </v>
      </c>
      <c r="N702" s="226"/>
      <c r="O702" s="226"/>
    </row>
    <row r="703" ht="24.0" customHeight="1">
      <c r="A703" s="216" t="str">
        <f>IFERROR(__xludf.DUMMYFUNCTION("ARRAYFORMULA(IFERROR(VLOOKUP(REGEXEXTRACT(B703, ""-(\w+)-""), {Data_Validation!$F$16:$F$29, Data_Validation!$E$16:$E$29}, 2, FALSE), """"))
"),"")</f>
        <v/>
      </c>
      <c r="B703" s="217"/>
      <c r="C703" s="218" t="str">
        <f>IFERROR(__xludf.DUMMYFUNCTION("IFERROR(REGEXEXTRACT(B703, ""^[A-Z]+-[A-Z]+-"") &amp; TEXT(VALUE(REGEXEXTRACT(B703, ""-(\d+)\."")), ""00""), """")"),"")</f>
        <v/>
      </c>
      <c r="D703" s="219" t="str">
        <f>IFERROR(VLOOKUP(C703, Content_Creation!B:D, 2, FALSE), IFERROR(VLOOKUP(C703, Project_Management!B:D, 2, FALSE), ""))
&amp; " - "
&amp; IFERROR(VLOOKUP(C703, Content_Creation!B:E, 4, FALSE), IFERROR(VLOOKUP(C703, Project_Management!B:E, 4, FALSE), ""))</f>
        <v> - </v>
      </c>
      <c r="E703" s="220" t="str">
        <f>IFERROR(
    VLOOKUP(B702:B1001, Content_Creation!B:D, 3, FALSE),
    IFERROR(VLOOKUP(B702:B1001, Project_Management!B:D, 3, FALSE),"")
  )</f>
        <v/>
      </c>
      <c r="F703" s="221" t="str">
        <f>IFERROR(VLOOKUP(B703, Content_Creation!B:F, 5, FALSE), IFERROR(VLOOKUP(B703, Project_Management!B:F, 5, FALSE), ""))</f>
        <v/>
      </c>
      <c r="G703" s="222" t="s">
        <v>1317</v>
      </c>
      <c r="H703" s="223" t="str">
        <f>IFERROR(VLOOKUP(B703, Content_Creation!B:H, 7, FALSE), IFERROR(VLOOKUP(B703, Project_Management!B:H, 7, FALSE), ""))</f>
        <v/>
      </c>
      <c r="I703" s="224">
        <v>0.0</v>
      </c>
      <c r="J703" s="217"/>
      <c r="K703" s="217"/>
      <c r="L703" s="225" t="str">
        <f>IFERROR(VLOOKUP(B703, Data_Validation!X:Y, 2, FALSE), "")</f>
        <v/>
      </c>
      <c r="M703" s="226" t="str">
        <f t="shared" si="1"/>
        <v> |  -  | </v>
      </c>
      <c r="N703" s="226"/>
      <c r="O703" s="226"/>
    </row>
    <row r="704" ht="24.0" customHeight="1">
      <c r="A704" s="216" t="str">
        <f>IFERROR(__xludf.DUMMYFUNCTION("ARRAYFORMULA(IFERROR(VLOOKUP(REGEXEXTRACT(B704, ""-(\w+)-""), {Data_Validation!$F$16:$F$29, Data_Validation!$E$16:$E$29}, 2, FALSE), """"))
"),"")</f>
        <v/>
      </c>
      <c r="B704" s="217"/>
      <c r="C704" s="218" t="str">
        <f>IFERROR(__xludf.DUMMYFUNCTION("IFERROR(REGEXEXTRACT(B704, ""^[A-Z]+-[A-Z]+-"") &amp; TEXT(VALUE(REGEXEXTRACT(B704, ""-(\d+)\."")), ""00""), """")"),"")</f>
        <v/>
      </c>
      <c r="D704" s="219" t="str">
        <f>IFERROR(VLOOKUP(C704, Content_Creation!B:D, 2, FALSE), IFERROR(VLOOKUP(C704, Project_Management!B:D, 2, FALSE), ""))
&amp; " - "
&amp; IFERROR(VLOOKUP(C704, Content_Creation!B:E, 4, FALSE), IFERROR(VLOOKUP(C704, Project_Management!B:E, 4, FALSE), ""))</f>
        <v> - </v>
      </c>
      <c r="E704" s="220" t="str">
        <f>IFERROR(
    VLOOKUP(B703:B1001, Content_Creation!B:D, 3, FALSE),
    IFERROR(VLOOKUP(B703:B1001, Project_Management!B:D, 3, FALSE),"")
  )</f>
        <v/>
      </c>
      <c r="F704" s="221" t="str">
        <f>IFERROR(VLOOKUP(B704, Content_Creation!B:F, 5, FALSE), IFERROR(VLOOKUP(B704, Project_Management!B:F, 5, FALSE), ""))</f>
        <v/>
      </c>
      <c r="G704" s="222" t="s">
        <v>1317</v>
      </c>
      <c r="H704" s="223" t="str">
        <f>IFERROR(VLOOKUP(B704, Content_Creation!B:H, 7, FALSE), IFERROR(VLOOKUP(B704, Project_Management!B:H, 7, FALSE), ""))</f>
        <v/>
      </c>
      <c r="I704" s="224">
        <v>0.0</v>
      </c>
      <c r="J704" s="217"/>
      <c r="K704" s="217"/>
      <c r="L704" s="225" t="str">
        <f>IFERROR(VLOOKUP(B704, Data_Validation!X:Y, 2, FALSE), "")</f>
        <v/>
      </c>
      <c r="M704" s="226" t="str">
        <f t="shared" si="1"/>
        <v> |  -  | </v>
      </c>
      <c r="N704" s="226"/>
      <c r="O704" s="226"/>
    </row>
    <row r="705" ht="24.0" customHeight="1">
      <c r="A705" s="216" t="str">
        <f>IFERROR(__xludf.DUMMYFUNCTION("ARRAYFORMULA(IFERROR(VLOOKUP(REGEXEXTRACT(B705, ""-(\w+)-""), {Data_Validation!$F$16:$F$29, Data_Validation!$E$16:$E$29}, 2, FALSE), """"))
"),"")</f>
        <v/>
      </c>
      <c r="B705" s="217"/>
      <c r="C705" s="218" t="str">
        <f>IFERROR(__xludf.DUMMYFUNCTION("IFERROR(REGEXEXTRACT(B705, ""^[A-Z]+-[A-Z]+-"") &amp; TEXT(VALUE(REGEXEXTRACT(B705, ""-(\d+)\."")), ""00""), """")"),"")</f>
        <v/>
      </c>
      <c r="D705" s="219" t="str">
        <f>IFERROR(VLOOKUP(C705, Content_Creation!B:D, 2, FALSE), IFERROR(VLOOKUP(C705, Project_Management!B:D, 2, FALSE), ""))
&amp; " - "
&amp; IFERROR(VLOOKUP(C705, Content_Creation!B:E, 4, FALSE), IFERROR(VLOOKUP(C705, Project_Management!B:E, 4, FALSE), ""))</f>
        <v> - </v>
      </c>
      <c r="E705" s="220" t="str">
        <f>IFERROR(
    VLOOKUP(B704:B1001, Content_Creation!B:D, 3, FALSE),
    IFERROR(VLOOKUP(B704:B1001, Project_Management!B:D, 3, FALSE),"")
  )</f>
        <v/>
      </c>
      <c r="F705" s="221" t="str">
        <f>IFERROR(VLOOKUP(B705, Content_Creation!B:F, 5, FALSE), IFERROR(VLOOKUP(B705, Project_Management!B:F, 5, FALSE), ""))</f>
        <v/>
      </c>
      <c r="G705" s="222" t="s">
        <v>1317</v>
      </c>
      <c r="H705" s="223" t="str">
        <f>IFERROR(VLOOKUP(B705, Content_Creation!B:H, 7, FALSE), IFERROR(VLOOKUP(B705, Project_Management!B:H, 7, FALSE), ""))</f>
        <v/>
      </c>
      <c r="I705" s="224">
        <v>0.0</v>
      </c>
      <c r="J705" s="217"/>
      <c r="K705" s="217"/>
      <c r="L705" s="225" t="str">
        <f>IFERROR(VLOOKUP(B705, Data_Validation!X:Y, 2, FALSE), "")</f>
        <v/>
      </c>
      <c r="M705" s="226" t="str">
        <f t="shared" si="1"/>
        <v> |  -  | </v>
      </c>
      <c r="N705" s="226"/>
      <c r="O705" s="226"/>
    </row>
    <row r="706" ht="24.0" customHeight="1">
      <c r="A706" s="216" t="str">
        <f>IFERROR(__xludf.DUMMYFUNCTION("ARRAYFORMULA(IFERROR(VLOOKUP(REGEXEXTRACT(B706, ""-(\w+)-""), {Data_Validation!$F$16:$F$29, Data_Validation!$E$16:$E$29}, 2, FALSE), """"))
"),"")</f>
        <v/>
      </c>
      <c r="B706" s="217"/>
      <c r="C706" s="218" t="str">
        <f>IFERROR(__xludf.DUMMYFUNCTION("IFERROR(REGEXEXTRACT(B706, ""^[A-Z]+-[A-Z]+-"") &amp; TEXT(VALUE(REGEXEXTRACT(B706, ""-(\d+)\."")), ""00""), """")"),"")</f>
        <v/>
      </c>
      <c r="D706" s="219" t="str">
        <f>IFERROR(VLOOKUP(C706, Content_Creation!B:D, 2, FALSE), IFERROR(VLOOKUP(C706, Project_Management!B:D, 2, FALSE), ""))
&amp; " - "
&amp; IFERROR(VLOOKUP(C706, Content_Creation!B:E, 4, FALSE), IFERROR(VLOOKUP(C706, Project_Management!B:E, 4, FALSE), ""))</f>
        <v> - </v>
      </c>
      <c r="E706" s="220" t="str">
        <f>IFERROR(
    VLOOKUP(B705:B1001, Content_Creation!B:D, 3, FALSE),
    IFERROR(VLOOKUP(B705:B1001, Project_Management!B:D, 3, FALSE),"")
  )</f>
        <v/>
      </c>
      <c r="F706" s="221" t="str">
        <f>IFERROR(VLOOKUP(B706, Content_Creation!B:F, 5, FALSE), IFERROR(VLOOKUP(B706, Project_Management!B:F, 5, FALSE), ""))</f>
        <v/>
      </c>
      <c r="G706" s="222" t="s">
        <v>1317</v>
      </c>
      <c r="H706" s="223" t="str">
        <f>IFERROR(VLOOKUP(B706, Content_Creation!B:H, 7, FALSE), IFERROR(VLOOKUP(B706, Project_Management!B:H, 7, FALSE), ""))</f>
        <v/>
      </c>
      <c r="I706" s="224">
        <v>0.0</v>
      </c>
      <c r="J706" s="217"/>
      <c r="K706" s="217"/>
      <c r="L706" s="225" t="str">
        <f>IFERROR(VLOOKUP(B706, Data_Validation!X:Y, 2, FALSE), "")</f>
        <v/>
      </c>
      <c r="M706" s="226" t="str">
        <f t="shared" si="1"/>
        <v> |  -  | </v>
      </c>
      <c r="N706" s="226"/>
      <c r="O706" s="226"/>
    </row>
    <row r="707" ht="24.0" customHeight="1">
      <c r="A707" s="216" t="str">
        <f>IFERROR(__xludf.DUMMYFUNCTION("ARRAYFORMULA(IFERROR(VLOOKUP(REGEXEXTRACT(B707, ""-(\w+)-""), {Data_Validation!$F$16:$F$29, Data_Validation!$E$16:$E$29}, 2, FALSE), """"))
"),"")</f>
        <v/>
      </c>
      <c r="B707" s="217"/>
      <c r="C707" s="218" t="str">
        <f>IFERROR(__xludf.DUMMYFUNCTION("IFERROR(REGEXEXTRACT(B707, ""^[A-Z]+-[A-Z]+-"") &amp; TEXT(VALUE(REGEXEXTRACT(B707, ""-(\d+)\."")), ""00""), """")"),"")</f>
        <v/>
      </c>
      <c r="D707" s="219" t="str">
        <f>IFERROR(VLOOKUP(C707, Content_Creation!B:D, 2, FALSE), IFERROR(VLOOKUP(C707, Project_Management!B:D, 2, FALSE), ""))
&amp; " - "
&amp; IFERROR(VLOOKUP(C707, Content_Creation!B:E, 4, FALSE), IFERROR(VLOOKUP(C707, Project_Management!B:E, 4, FALSE), ""))</f>
        <v> - </v>
      </c>
      <c r="E707" s="220" t="str">
        <f>IFERROR(
    VLOOKUP(B706:B1001, Content_Creation!B:D, 3, FALSE),
    IFERROR(VLOOKUP(B706:B1001, Project_Management!B:D, 3, FALSE),"")
  )</f>
        <v/>
      </c>
      <c r="F707" s="221" t="str">
        <f>IFERROR(VLOOKUP(B707, Content_Creation!B:F, 5, FALSE), IFERROR(VLOOKUP(B707, Project_Management!B:F, 5, FALSE), ""))</f>
        <v/>
      </c>
      <c r="G707" s="222" t="s">
        <v>1317</v>
      </c>
      <c r="H707" s="223" t="str">
        <f>IFERROR(VLOOKUP(B707, Content_Creation!B:H, 7, FALSE), IFERROR(VLOOKUP(B707, Project_Management!B:H, 7, FALSE), ""))</f>
        <v/>
      </c>
      <c r="I707" s="224">
        <v>0.0</v>
      </c>
      <c r="J707" s="217"/>
      <c r="K707" s="217"/>
      <c r="L707" s="225" t="str">
        <f>IFERROR(VLOOKUP(B707, Data_Validation!X:Y, 2, FALSE), "")</f>
        <v/>
      </c>
      <c r="M707" s="226" t="str">
        <f t="shared" si="1"/>
        <v> |  -  | </v>
      </c>
      <c r="N707" s="226"/>
      <c r="O707" s="226"/>
    </row>
    <row r="708" ht="24.0" customHeight="1">
      <c r="A708" s="216" t="str">
        <f>IFERROR(__xludf.DUMMYFUNCTION("ARRAYFORMULA(IFERROR(VLOOKUP(REGEXEXTRACT(B708, ""-(\w+)-""), {Data_Validation!$F$16:$F$29, Data_Validation!$E$16:$E$29}, 2, FALSE), """"))
"),"")</f>
        <v/>
      </c>
      <c r="B708" s="217"/>
      <c r="C708" s="218" t="str">
        <f>IFERROR(__xludf.DUMMYFUNCTION("IFERROR(REGEXEXTRACT(B708, ""^[A-Z]+-[A-Z]+-"") &amp; TEXT(VALUE(REGEXEXTRACT(B708, ""-(\d+)\."")), ""00""), """")"),"")</f>
        <v/>
      </c>
      <c r="D708" s="219" t="str">
        <f>IFERROR(VLOOKUP(C708, Content_Creation!B:D, 2, FALSE), IFERROR(VLOOKUP(C708, Project_Management!B:D, 2, FALSE), ""))
&amp; " - "
&amp; IFERROR(VLOOKUP(C708, Content_Creation!B:E, 4, FALSE), IFERROR(VLOOKUP(C708, Project_Management!B:E, 4, FALSE), ""))</f>
        <v> - </v>
      </c>
      <c r="E708" s="220" t="str">
        <f>IFERROR(
    VLOOKUP(B707:B1001, Content_Creation!B:D, 3, FALSE),
    IFERROR(VLOOKUP(B707:B1001, Project_Management!B:D, 3, FALSE),"")
  )</f>
        <v/>
      </c>
      <c r="F708" s="221" t="str">
        <f>IFERROR(VLOOKUP(B708, Content_Creation!B:F, 5, FALSE), IFERROR(VLOOKUP(B708, Project_Management!B:F, 5, FALSE), ""))</f>
        <v/>
      </c>
      <c r="G708" s="222" t="s">
        <v>1317</v>
      </c>
      <c r="H708" s="223" t="str">
        <f>IFERROR(VLOOKUP(B708, Content_Creation!B:H, 7, FALSE), IFERROR(VLOOKUP(B708, Project_Management!B:H, 7, FALSE), ""))</f>
        <v/>
      </c>
      <c r="I708" s="224">
        <v>0.0</v>
      </c>
      <c r="J708" s="217"/>
      <c r="K708" s="217"/>
      <c r="L708" s="225" t="str">
        <f>IFERROR(VLOOKUP(B708, Data_Validation!X:Y, 2, FALSE), "")</f>
        <v/>
      </c>
      <c r="M708" s="226" t="str">
        <f t="shared" si="1"/>
        <v> |  -  | </v>
      </c>
      <c r="N708" s="226"/>
      <c r="O708" s="226"/>
    </row>
    <row r="709" ht="24.0" customHeight="1">
      <c r="A709" s="216" t="str">
        <f>IFERROR(__xludf.DUMMYFUNCTION("ARRAYFORMULA(IFERROR(VLOOKUP(REGEXEXTRACT(B709, ""-(\w+)-""), {Data_Validation!$F$16:$F$29, Data_Validation!$E$16:$E$29}, 2, FALSE), """"))
"),"")</f>
        <v/>
      </c>
      <c r="B709" s="217"/>
      <c r="C709" s="218" t="str">
        <f>IFERROR(__xludf.DUMMYFUNCTION("IFERROR(REGEXEXTRACT(B709, ""^[A-Z]+-[A-Z]+-"") &amp; TEXT(VALUE(REGEXEXTRACT(B709, ""-(\d+)\."")), ""00""), """")"),"")</f>
        <v/>
      </c>
      <c r="D709" s="219" t="str">
        <f>IFERROR(VLOOKUP(C709, Content_Creation!B:D, 2, FALSE), IFERROR(VLOOKUP(C709, Project_Management!B:D, 2, FALSE), ""))
&amp; " - "
&amp; IFERROR(VLOOKUP(C709, Content_Creation!B:E, 4, FALSE), IFERROR(VLOOKUP(C709, Project_Management!B:E, 4, FALSE), ""))</f>
        <v> - </v>
      </c>
      <c r="E709" s="220" t="str">
        <f>IFERROR(
    VLOOKUP(B708:B1001, Content_Creation!B:D, 3, FALSE),
    IFERROR(VLOOKUP(B708:B1001, Project_Management!B:D, 3, FALSE),"")
  )</f>
        <v/>
      </c>
      <c r="F709" s="221" t="str">
        <f>IFERROR(VLOOKUP(B709, Content_Creation!B:F, 5, FALSE), IFERROR(VLOOKUP(B709, Project_Management!B:F, 5, FALSE), ""))</f>
        <v/>
      </c>
      <c r="G709" s="222" t="s">
        <v>1317</v>
      </c>
      <c r="H709" s="223" t="str">
        <f>IFERROR(VLOOKUP(B709, Content_Creation!B:H, 7, FALSE), IFERROR(VLOOKUP(B709, Project_Management!B:H, 7, FALSE), ""))</f>
        <v/>
      </c>
      <c r="I709" s="224">
        <v>0.0</v>
      </c>
      <c r="J709" s="217"/>
      <c r="K709" s="217"/>
      <c r="L709" s="225" t="str">
        <f>IFERROR(VLOOKUP(B709, Data_Validation!X:Y, 2, FALSE), "")</f>
        <v/>
      </c>
      <c r="M709" s="226" t="str">
        <f t="shared" si="1"/>
        <v> |  -  | </v>
      </c>
      <c r="N709" s="226"/>
      <c r="O709" s="226"/>
    </row>
    <row r="710" ht="24.0" customHeight="1">
      <c r="A710" s="216" t="str">
        <f>IFERROR(__xludf.DUMMYFUNCTION("ARRAYFORMULA(IFERROR(VLOOKUP(REGEXEXTRACT(B710, ""-(\w+)-""), {Data_Validation!$F$16:$F$29, Data_Validation!$E$16:$E$29}, 2, FALSE), """"))
"),"")</f>
        <v/>
      </c>
      <c r="B710" s="217"/>
      <c r="C710" s="218" t="str">
        <f>IFERROR(__xludf.DUMMYFUNCTION("IFERROR(REGEXEXTRACT(B710, ""^[A-Z]+-[A-Z]+-"") &amp; TEXT(VALUE(REGEXEXTRACT(B710, ""-(\d+)\."")), ""00""), """")"),"")</f>
        <v/>
      </c>
      <c r="D710" s="219" t="str">
        <f>IFERROR(VLOOKUP(C710, Content_Creation!B:D, 2, FALSE), IFERROR(VLOOKUP(C710, Project_Management!B:D, 2, FALSE), ""))
&amp; " - "
&amp; IFERROR(VLOOKUP(C710, Content_Creation!B:E, 4, FALSE), IFERROR(VLOOKUP(C710, Project_Management!B:E, 4, FALSE), ""))</f>
        <v> - </v>
      </c>
      <c r="E710" s="220" t="str">
        <f>IFERROR(
    VLOOKUP(B709:B1001, Content_Creation!B:D, 3, FALSE),
    IFERROR(VLOOKUP(B709:B1001, Project_Management!B:D, 3, FALSE),"")
  )</f>
        <v/>
      </c>
      <c r="F710" s="221" t="str">
        <f>IFERROR(VLOOKUP(B710, Content_Creation!B:F, 5, FALSE), IFERROR(VLOOKUP(B710, Project_Management!B:F, 5, FALSE), ""))</f>
        <v/>
      </c>
      <c r="G710" s="222" t="s">
        <v>1317</v>
      </c>
      <c r="H710" s="223" t="str">
        <f>IFERROR(VLOOKUP(B710, Content_Creation!B:H, 7, FALSE), IFERROR(VLOOKUP(B710, Project_Management!B:H, 7, FALSE), ""))</f>
        <v/>
      </c>
      <c r="I710" s="224">
        <v>0.0</v>
      </c>
      <c r="J710" s="217"/>
      <c r="K710" s="217"/>
      <c r="L710" s="225" t="str">
        <f>IFERROR(VLOOKUP(B710, Data_Validation!X:Y, 2, FALSE), "")</f>
        <v/>
      </c>
      <c r="M710" s="226" t="str">
        <f t="shared" si="1"/>
        <v> |  -  | </v>
      </c>
      <c r="N710" s="226"/>
      <c r="O710" s="226"/>
    </row>
    <row r="711" ht="24.0" customHeight="1">
      <c r="A711" s="216" t="str">
        <f>IFERROR(__xludf.DUMMYFUNCTION("ARRAYFORMULA(IFERROR(VLOOKUP(REGEXEXTRACT(B711, ""-(\w+)-""), {Data_Validation!$F$16:$F$29, Data_Validation!$E$16:$E$29}, 2, FALSE), """"))
"),"")</f>
        <v/>
      </c>
      <c r="B711" s="217"/>
      <c r="C711" s="218" t="str">
        <f>IFERROR(__xludf.DUMMYFUNCTION("IFERROR(REGEXEXTRACT(B711, ""^[A-Z]+-[A-Z]+-"") &amp; TEXT(VALUE(REGEXEXTRACT(B711, ""-(\d+)\."")), ""00""), """")"),"")</f>
        <v/>
      </c>
      <c r="D711" s="219" t="str">
        <f>IFERROR(VLOOKUP(C711, Content_Creation!B:D, 2, FALSE), IFERROR(VLOOKUP(C711, Project_Management!B:D, 2, FALSE), ""))
&amp; " - "
&amp; IFERROR(VLOOKUP(C711, Content_Creation!B:E, 4, FALSE), IFERROR(VLOOKUP(C711, Project_Management!B:E, 4, FALSE), ""))</f>
        <v> - </v>
      </c>
      <c r="E711" s="220" t="str">
        <f>IFERROR(
    VLOOKUP(B710:B1001, Content_Creation!B:D, 3, FALSE),
    IFERROR(VLOOKUP(B710:B1001, Project_Management!B:D, 3, FALSE),"")
  )</f>
        <v/>
      </c>
      <c r="F711" s="221" t="str">
        <f>IFERROR(VLOOKUP(B711, Content_Creation!B:F, 5, FALSE), IFERROR(VLOOKUP(B711, Project_Management!B:F, 5, FALSE), ""))</f>
        <v/>
      </c>
      <c r="G711" s="222" t="s">
        <v>1317</v>
      </c>
      <c r="H711" s="223" t="str">
        <f>IFERROR(VLOOKUP(B711, Content_Creation!B:H, 7, FALSE), IFERROR(VLOOKUP(B711, Project_Management!B:H, 7, FALSE), ""))</f>
        <v/>
      </c>
      <c r="I711" s="224">
        <v>0.0</v>
      </c>
      <c r="J711" s="217"/>
      <c r="K711" s="217"/>
      <c r="L711" s="225" t="str">
        <f>IFERROR(VLOOKUP(B711, Data_Validation!X:Y, 2, FALSE), "")</f>
        <v/>
      </c>
      <c r="M711" s="226" t="str">
        <f t="shared" si="1"/>
        <v> |  -  | </v>
      </c>
      <c r="N711" s="226"/>
      <c r="O711" s="226"/>
    </row>
    <row r="712" ht="24.0" customHeight="1">
      <c r="A712" s="216" t="str">
        <f>IFERROR(__xludf.DUMMYFUNCTION("ARRAYFORMULA(IFERROR(VLOOKUP(REGEXEXTRACT(B712, ""-(\w+)-""), {Data_Validation!$F$16:$F$29, Data_Validation!$E$16:$E$29}, 2, FALSE), """"))
"),"")</f>
        <v/>
      </c>
      <c r="B712" s="217"/>
      <c r="C712" s="218" t="str">
        <f>IFERROR(__xludf.DUMMYFUNCTION("IFERROR(REGEXEXTRACT(B712, ""^[A-Z]+-[A-Z]+-"") &amp; TEXT(VALUE(REGEXEXTRACT(B712, ""-(\d+)\."")), ""00""), """")"),"")</f>
        <v/>
      </c>
      <c r="D712" s="219" t="str">
        <f>IFERROR(VLOOKUP(C712, Content_Creation!B:D, 2, FALSE), IFERROR(VLOOKUP(C712, Project_Management!B:D, 2, FALSE), ""))
&amp; " - "
&amp; IFERROR(VLOOKUP(C712, Content_Creation!B:E, 4, FALSE), IFERROR(VLOOKUP(C712, Project_Management!B:E, 4, FALSE), ""))</f>
        <v> - </v>
      </c>
      <c r="E712" s="220" t="str">
        <f>IFERROR(
    VLOOKUP(B711:B1001, Content_Creation!B:D, 3, FALSE),
    IFERROR(VLOOKUP(B711:B1001, Project_Management!B:D, 3, FALSE),"")
  )</f>
        <v/>
      </c>
      <c r="F712" s="221" t="str">
        <f>IFERROR(VLOOKUP(B712, Content_Creation!B:F, 5, FALSE), IFERROR(VLOOKUP(B712, Project_Management!B:F, 5, FALSE), ""))</f>
        <v/>
      </c>
      <c r="G712" s="222" t="s">
        <v>1317</v>
      </c>
      <c r="H712" s="223" t="str">
        <f>IFERROR(VLOOKUP(B712, Content_Creation!B:H, 7, FALSE), IFERROR(VLOOKUP(B712, Project_Management!B:H, 7, FALSE), ""))</f>
        <v/>
      </c>
      <c r="I712" s="224">
        <v>0.0</v>
      </c>
      <c r="J712" s="217"/>
      <c r="K712" s="217"/>
      <c r="L712" s="225" t="str">
        <f>IFERROR(VLOOKUP(B712, Data_Validation!X:Y, 2, FALSE), "")</f>
        <v/>
      </c>
      <c r="M712" s="226" t="str">
        <f t="shared" si="1"/>
        <v> |  -  | </v>
      </c>
      <c r="N712" s="226"/>
      <c r="O712" s="226"/>
    </row>
    <row r="713" ht="24.0" customHeight="1">
      <c r="A713" s="216" t="str">
        <f>IFERROR(__xludf.DUMMYFUNCTION("ARRAYFORMULA(IFERROR(VLOOKUP(REGEXEXTRACT(B713, ""-(\w+)-""), {Data_Validation!$F$16:$F$29, Data_Validation!$E$16:$E$29}, 2, FALSE), """"))
"),"")</f>
        <v/>
      </c>
      <c r="B713" s="217"/>
      <c r="C713" s="218" t="str">
        <f>IFERROR(__xludf.DUMMYFUNCTION("IFERROR(REGEXEXTRACT(B713, ""^[A-Z]+-[A-Z]+-"") &amp; TEXT(VALUE(REGEXEXTRACT(B713, ""-(\d+)\."")), ""00""), """")"),"")</f>
        <v/>
      </c>
      <c r="D713" s="219" t="str">
        <f>IFERROR(VLOOKUP(C713, Content_Creation!B:D, 2, FALSE), IFERROR(VLOOKUP(C713, Project_Management!B:D, 2, FALSE), ""))
&amp; " - "
&amp; IFERROR(VLOOKUP(C713, Content_Creation!B:E, 4, FALSE), IFERROR(VLOOKUP(C713, Project_Management!B:E, 4, FALSE), ""))</f>
        <v> - </v>
      </c>
      <c r="E713" s="220" t="str">
        <f>IFERROR(
    VLOOKUP(B712:B1001, Content_Creation!B:D, 3, FALSE),
    IFERROR(VLOOKUP(B712:B1001, Project_Management!B:D, 3, FALSE),"")
  )</f>
        <v/>
      </c>
      <c r="F713" s="221" t="str">
        <f>IFERROR(VLOOKUP(B713, Content_Creation!B:F, 5, FALSE), IFERROR(VLOOKUP(B713, Project_Management!B:F, 5, FALSE), ""))</f>
        <v/>
      </c>
      <c r="G713" s="222" t="s">
        <v>1317</v>
      </c>
      <c r="H713" s="223" t="str">
        <f>IFERROR(VLOOKUP(B713, Content_Creation!B:H, 7, FALSE), IFERROR(VLOOKUP(B713, Project_Management!B:H, 7, FALSE), ""))</f>
        <v/>
      </c>
      <c r="I713" s="224">
        <v>0.0</v>
      </c>
      <c r="J713" s="217"/>
      <c r="K713" s="217"/>
      <c r="L713" s="225" t="str">
        <f>IFERROR(VLOOKUP(B713, Data_Validation!X:Y, 2, FALSE), "")</f>
        <v/>
      </c>
      <c r="M713" s="226" t="str">
        <f t="shared" si="1"/>
        <v> |  -  | </v>
      </c>
      <c r="N713" s="226"/>
      <c r="O713" s="226"/>
    </row>
    <row r="714" ht="24.0" customHeight="1">
      <c r="A714" s="216" t="str">
        <f>IFERROR(__xludf.DUMMYFUNCTION("ARRAYFORMULA(IFERROR(VLOOKUP(REGEXEXTRACT(B714, ""-(\w+)-""), {Data_Validation!$F$16:$F$29, Data_Validation!$E$16:$E$29}, 2, FALSE), """"))
"),"")</f>
        <v/>
      </c>
      <c r="B714" s="217"/>
      <c r="C714" s="218" t="str">
        <f>IFERROR(__xludf.DUMMYFUNCTION("IFERROR(REGEXEXTRACT(B714, ""^[A-Z]+-[A-Z]+-"") &amp; TEXT(VALUE(REGEXEXTRACT(B714, ""-(\d+)\."")), ""00""), """")"),"")</f>
        <v/>
      </c>
      <c r="D714" s="219" t="str">
        <f>IFERROR(VLOOKUP(C714, Content_Creation!B:D, 2, FALSE), IFERROR(VLOOKUP(C714, Project_Management!B:D, 2, FALSE), ""))
&amp; " - "
&amp; IFERROR(VLOOKUP(C714, Content_Creation!B:E, 4, FALSE), IFERROR(VLOOKUP(C714, Project_Management!B:E, 4, FALSE), ""))</f>
        <v> - </v>
      </c>
      <c r="E714" s="220" t="str">
        <f>IFERROR(
    VLOOKUP(B713:B1001, Content_Creation!B:D, 3, FALSE),
    IFERROR(VLOOKUP(B713:B1001, Project_Management!B:D, 3, FALSE),"")
  )</f>
        <v/>
      </c>
      <c r="F714" s="221" t="str">
        <f>IFERROR(VLOOKUP(B714, Content_Creation!B:F, 5, FALSE), IFERROR(VLOOKUP(B714, Project_Management!B:F, 5, FALSE), ""))</f>
        <v/>
      </c>
      <c r="G714" s="222" t="s">
        <v>1317</v>
      </c>
      <c r="H714" s="223" t="str">
        <f>IFERROR(VLOOKUP(B714, Content_Creation!B:H, 7, FALSE), IFERROR(VLOOKUP(B714, Project_Management!B:H, 7, FALSE), ""))</f>
        <v/>
      </c>
      <c r="I714" s="224">
        <v>0.0</v>
      </c>
      <c r="J714" s="217"/>
      <c r="K714" s="217"/>
      <c r="L714" s="225" t="str">
        <f>IFERROR(VLOOKUP(B714, Data_Validation!X:Y, 2, FALSE), "")</f>
        <v/>
      </c>
      <c r="M714" s="226" t="str">
        <f t="shared" si="1"/>
        <v> |  -  | </v>
      </c>
      <c r="N714" s="226"/>
      <c r="O714" s="226"/>
    </row>
    <row r="715" ht="24.0" customHeight="1">
      <c r="A715" s="216" t="str">
        <f>IFERROR(__xludf.DUMMYFUNCTION("ARRAYFORMULA(IFERROR(VLOOKUP(REGEXEXTRACT(B715, ""-(\w+)-""), {Data_Validation!$F$16:$F$29, Data_Validation!$E$16:$E$29}, 2, FALSE), """"))
"),"")</f>
        <v/>
      </c>
      <c r="B715" s="217"/>
      <c r="C715" s="218" t="str">
        <f>IFERROR(__xludf.DUMMYFUNCTION("IFERROR(REGEXEXTRACT(B715, ""^[A-Z]+-[A-Z]+-"") &amp; TEXT(VALUE(REGEXEXTRACT(B715, ""-(\d+)\."")), ""00""), """")"),"")</f>
        <v/>
      </c>
      <c r="D715" s="219" t="str">
        <f>IFERROR(VLOOKUP(C715, Content_Creation!B:D, 2, FALSE), IFERROR(VLOOKUP(C715, Project_Management!B:D, 2, FALSE), ""))
&amp; " - "
&amp; IFERROR(VLOOKUP(C715, Content_Creation!B:E, 4, FALSE), IFERROR(VLOOKUP(C715, Project_Management!B:E, 4, FALSE), ""))</f>
        <v> - </v>
      </c>
      <c r="E715" s="220" t="str">
        <f>IFERROR(
    VLOOKUP(B714:B1001, Content_Creation!B:D, 3, FALSE),
    IFERROR(VLOOKUP(B714:B1001, Project_Management!B:D, 3, FALSE),"")
  )</f>
        <v/>
      </c>
      <c r="F715" s="221" t="str">
        <f>IFERROR(VLOOKUP(B715, Content_Creation!B:F, 5, FALSE), IFERROR(VLOOKUP(B715, Project_Management!B:F, 5, FALSE), ""))</f>
        <v/>
      </c>
      <c r="G715" s="222" t="s">
        <v>1317</v>
      </c>
      <c r="H715" s="223" t="str">
        <f>IFERROR(VLOOKUP(B715, Content_Creation!B:H, 7, FALSE), IFERROR(VLOOKUP(B715, Project_Management!B:H, 7, FALSE), ""))</f>
        <v/>
      </c>
      <c r="I715" s="224">
        <v>0.0</v>
      </c>
      <c r="J715" s="217"/>
      <c r="K715" s="217"/>
      <c r="L715" s="225" t="str">
        <f>IFERROR(VLOOKUP(B715, Data_Validation!X:Y, 2, FALSE), "")</f>
        <v/>
      </c>
      <c r="M715" s="226" t="str">
        <f t="shared" si="1"/>
        <v> |  -  | </v>
      </c>
      <c r="N715" s="226"/>
      <c r="O715" s="226"/>
    </row>
    <row r="716" ht="24.0" customHeight="1">
      <c r="A716" s="216" t="str">
        <f>IFERROR(__xludf.DUMMYFUNCTION("ARRAYFORMULA(IFERROR(VLOOKUP(REGEXEXTRACT(B716, ""-(\w+)-""), {Data_Validation!$F$16:$F$29, Data_Validation!$E$16:$E$29}, 2, FALSE), """"))
"),"")</f>
        <v/>
      </c>
      <c r="B716" s="217"/>
      <c r="C716" s="218" t="str">
        <f>IFERROR(__xludf.DUMMYFUNCTION("IFERROR(REGEXEXTRACT(B716, ""^[A-Z]+-[A-Z]+-"") &amp; TEXT(VALUE(REGEXEXTRACT(B716, ""-(\d+)\."")), ""00""), """")"),"")</f>
        <v/>
      </c>
      <c r="D716" s="219" t="str">
        <f>IFERROR(VLOOKUP(C716, Content_Creation!B:D, 2, FALSE), IFERROR(VLOOKUP(C716, Project_Management!B:D, 2, FALSE), ""))
&amp; " - "
&amp; IFERROR(VLOOKUP(C716, Content_Creation!B:E, 4, FALSE), IFERROR(VLOOKUP(C716, Project_Management!B:E, 4, FALSE), ""))</f>
        <v> - </v>
      </c>
      <c r="E716" s="220" t="str">
        <f>IFERROR(
    VLOOKUP(B715:B1001, Content_Creation!B:D, 3, FALSE),
    IFERROR(VLOOKUP(B715:B1001, Project_Management!B:D, 3, FALSE),"")
  )</f>
        <v/>
      </c>
      <c r="F716" s="221" t="str">
        <f>IFERROR(VLOOKUP(B716, Content_Creation!B:F, 5, FALSE), IFERROR(VLOOKUP(B716, Project_Management!B:F, 5, FALSE), ""))</f>
        <v/>
      </c>
      <c r="G716" s="222" t="s">
        <v>1317</v>
      </c>
      <c r="H716" s="223" t="str">
        <f>IFERROR(VLOOKUP(B716, Content_Creation!B:H, 7, FALSE), IFERROR(VLOOKUP(B716, Project_Management!B:H, 7, FALSE), ""))</f>
        <v/>
      </c>
      <c r="I716" s="224">
        <v>0.0</v>
      </c>
      <c r="J716" s="217"/>
      <c r="K716" s="217"/>
      <c r="L716" s="225" t="str">
        <f>IFERROR(VLOOKUP(B716, Data_Validation!X:Y, 2, FALSE), "")</f>
        <v/>
      </c>
      <c r="M716" s="226" t="str">
        <f t="shared" si="1"/>
        <v> |  -  | </v>
      </c>
      <c r="N716" s="226"/>
      <c r="O716" s="226"/>
    </row>
    <row r="717" ht="24.0" customHeight="1">
      <c r="A717" s="216" t="str">
        <f>IFERROR(__xludf.DUMMYFUNCTION("ARRAYFORMULA(IFERROR(VLOOKUP(REGEXEXTRACT(B717, ""-(\w+)-""), {Data_Validation!$F$16:$F$29, Data_Validation!$E$16:$E$29}, 2, FALSE), """"))
"),"")</f>
        <v/>
      </c>
      <c r="B717" s="217"/>
      <c r="C717" s="218" t="str">
        <f>IFERROR(__xludf.DUMMYFUNCTION("IFERROR(REGEXEXTRACT(B717, ""^[A-Z]+-[A-Z]+-"") &amp; TEXT(VALUE(REGEXEXTRACT(B717, ""-(\d+)\."")), ""00""), """")"),"")</f>
        <v/>
      </c>
      <c r="D717" s="219" t="str">
        <f>IFERROR(VLOOKUP(C717, Content_Creation!B:D, 2, FALSE), IFERROR(VLOOKUP(C717, Project_Management!B:D, 2, FALSE), ""))
&amp; " - "
&amp; IFERROR(VLOOKUP(C717, Content_Creation!B:E, 4, FALSE), IFERROR(VLOOKUP(C717, Project_Management!B:E, 4, FALSE), ""))</f>
        <v> - </v>
      </c>
      <c r="E717" s="220" t="str">
        <f>IFERROR(
    VLOOKUP(B716:B1001, Content_Creation!B:D, 3, FALSE),
    IFERROR(VLOOKUP(B716:B1001, Project_Management!B:D, 3, FALSE),"")
  )</f>
        <v/>
      </c>
      <c r="F717" s="221" t="str">
        <f>IFERROR(VLOOKUP(B717, Content_Creation!B:F, 5, FALSE), IFERROR(VLOOKUP(B717, Project_Management!B:F, 5, FALSE), ""))</f>
        <v/>
      </c>
      <c r="G717" s="222" t="s">
        <v>1317</v>
      </c>
      <c r="H717" s="223" t="str">
        <f>IFERROR(VLOOKUP(B717, Content_Creation!B:H, 7, FALSE), IFERROR(VLOOKUP(B717, Project_Management!B:H, 7, FALSE), ""))</f>
        <v/>
      </c>
      <c r="I717" s="224">
        <v>0.0</v>
      </c>
      <c r="J717" s="217"/>
      <c r="K717" s="217"/>
      <c r="L717" s="225" t="str">
        <f>IFERROR(VLOOKUP(B717, Data_Validation!X:Y, 2, FALSE), "")</f>
        <v/>
      </c>
      <c r="M717" s="226" t="str">
        <f t="shared" si="1"/>
        <v> |  -  | </v>
      </c>
      <c r="N717" s="226"/>
      <c r="O717" s="226"/>
    </row>
    <row r="718" ht="24.0" customHeight="1">
      <c r="A718" s="216" t="str">
        <f>IFERROR(__xludf.DUMMYFUNCTION("ARRAYFORMULA(IFERROR(VLOOKUP(REGEXEXTRACT(B718, ""-(\w+)-""), {Data_Validation!$F$16:$F$29, Data_Validation!$E$16:$E$29}, 2, FALSE), """"))
"),"")</f>
        <v/>
      </c>
      <c r="B718" s="217"/>
      <c r="C718" s="218" t="str">
        <f>IFERROR(__xludf.DUMMYFUNCTION("IFERROR(REGEXEXTRACT(B718, ""^[A-Z]+-[A-Z]+-"") &amp; TEXT(VALUE(REGEXEXTRACT(B718, ""-(\d+)\."")), ""00""), """")"),"")</f>
        <v/>
      </c>
      <c r="D718" s="219" t="str">
        <f>IFERROR(VLOOKUP(C718, Content_Creation!B:D, 2, FALSE), IFERROR(VLOOKUP(C718, Project_Management!B:D, 2, FALSE), ""))
&amp; " - "
&amp; IFERROR(VLOOKUP(C718, Content_Creation!B:E, 4, FALSE), IFERROR(VLOOKUP(C718, Project_Management!B:E, 4, FALSE), ""))</f>
        <v> - </v>
      </c>
      <c r="E718" s="220" t="str">
        <f>IFERROR(
    VLOOKUP(B717:B1001, Content_Creation!B:D, 3, FALSE),
    IFERROR(VLOOKUP(B717:B1001, Project_Management!B:D, 3, FALSE),"")
  )</f>
        <v/>
      </c>
      <c r="F718" s="221" t="str">
        <f>IFERROR(VLOOKUP(B718, Content_Creation!B:F, 5, FALSE), IFERROR(VLOOKUP(B718, Project_Management!B:F, 5, FALSE), ""))</f>
        <v/>
      </c>
      <c r="G718" s="222" t="s">
        <v>1317</v>
      </c>
      <c r="H718" s="223" t="str">
        <f>IFERROR(VLOOKUP(B718, Content_Creation!B:H, 7, FALSE), IFERROR(VLOOKUP(B718, Project_Management!B:H, 7, FALSE), ""))</f>
        <v/>
      </c>
      <c r="I718" s="224">
        <v>0.0</v>
      </c>
      <c r="J718" s="217"/>
      <c r="K718" s="217"/>
      <c r="L718" s="225" t="str">
        <f>IFERROR(VLOOKUP(B718, Data_Validation!X:Y, 2, FALSE), "")</f>
        <v/>
      </c>
      <c r="M718" s="226" t="str">
        <f t="shared" si="1"/>
        <v> |  -  | </v>
      </c>
      <c r="N718" s="226"/>
      <c r="O718" s="226"/>
    </row>
    <row r="719" ht="24.0" customHeight="1">
      <c r="A719" s="216" t="str">
        <f>IFERROR(__xludf.DUMMYFUNCTION("ARRAYFORMULA(IFERROR(VLOOKUP(REGEXEXTRACT(B719, ""-(\w+)-""), {Data_Validation!$F$16:$F$29, Data_Validation!$E$16:$E$29}, 2, FALSE), """"))
"),"")</f>
        <v/>
      </c>
      <c r="B719" s="217"/>
      <c r="C719" s="218" t="str">
        <f>IFERROR(__xludf.DUMMYFUNCTION("IFERROR(REGEXEXTRACT(B719, ""^[A-Z]+-[A-Z]+-"") &amp; TEXT(VALUE(REGEXEXTRACT(B719, ""-(\d+)\."")), ""00""), """")"),"")</f>
        <v/>
      </c>
      <c r="D719" s="219" t="str">
        <f>IFERROR(VLOOKUP(C719, Content_Creation!B:D, 2, FALSE), IFERROR(VLOOKUP(C719, Project_Management!B:D, 2, FALSE), ""))
&amp; " - "
&amp; IFERROR(VLOOKUP(C719, Content_Creation!B:E, 4, FALSE), IFERROR(VLOOKUP(C719, Project_Management!B:E, 4, FALSE), ""))</f>
        <v> - </v>
      </c>
      <c r="E719" s="220" t="str">
        <f>IFERROR(
    VLOOKUP(B718:B1001, Content_Creation!B:D, 3, FALSE),
    IFERROR(VLOOKUP(B718:B1001, Project_Management!B:D, 3, FALSE),"")
  )</f>
        <v/>
      </c>
      <c r="F719" s="221" t="str">
        <f>IFERROR(VLOOKUP(B719, Content_Creation!B:F, 5, FALSE), IFERROR(VLOOKUP(B719, Project_Management!B:F, 5, FALSE), ""))</f>
        <v/>
      </c>
      <c r="G719" s="222" t="s">
        <v>1317</v>
      </c>
      <c r="H719" s="223" t="str">
        <f>IFERROR(VLOOKUP(B719, Content_Creation!B:H, 7, FALSE), IFERROR(VLOOKUP(B719, Project_Management!B:H, 7, FALSE), ""))</f>
        <v/>
      </c>
      <c r="I719" s="224">
        <v>0.0</v>
      </c>
      <c r="J719" s="217"/>
      <c r="K719" s="217"/>
      <c r="L719" s="225" t="str">
        <f>IFERROR(VLOOKUP(B719, Data_Validation!X:Y, 2, FALSE), "")</f>
        <v/>
      </c>
      <c r="M719" s="226" t="str">
        <f t="shared" si="1"/>
        <v> |  -  | </v>
      </c>
      <c r="N719" s="226"/>
      <c r="O719" s="226"/>
    </row>
    <row r="720" ht="24.0" customHeight="1">
      <c r="A720" s="216" t="str">
        <f>IFERROR(__xludf.DUMMYFUNCTION("ARRAYFORMULA(IFERROR(VLOOKUP(REGEXEXTRACT(B720, ""-(\w+)-""), {Data_Validation!$F$16:$F$29, Data_Validation!$E$16:$E$29}, 2, FALSE), """"))
"),"")</f>
        <v/>
      </c>
      <c r="B720" s="217"/>
      <c r="C720" s="218" t="str">
        <f>IFERROR(__xludf.DUMMYFUNCTION("IFERROR(REGEXEXTRACT(B720, ""^[A-Z]+-[A-Z]+-"") &amp; TEXT(VALUE(REGEXEXTRACT(B720, ""-(\d+)\."")), ""00""), """")"),"")</f>
        <v/>
      </c>
      <c r="D720" s="219" t="str">
        <f>IFERROR(VLOOKUP(C720, Content_Creation!B:D, 2, FALSE), IFERROR(VLOOKUP(C720, Project_Management!B:D, 2, FALSE), ""))
&amp; " - "
&amp; IFERROR(VLOOKUP(C720, Content_Creation!B:E, 4, FALSE), IFERROR(VLOOKUP(C720, Project_Management!B:E, 4, FALSE), ""))</f>
        <v> - </v>
      </c>
      <c r="E720" s="220" t="str">
        <f>IFERROR(
    VLOOKUP(B719:B1001, Content_Creation!B:D, 3, FALSE),
    IFERROR(VLOOKUP(B719:B1001, Project_Management!B:D, 3, FALSE),"")
  )</f>
        <v/>
      </c>
      <c r="F720" s="221" t="str">
        <f>IFERROR(VLOOKUP(B720, Content_Creation!B:F, 5, FALSE), IFERROR(VLOOKUP(B720, Project_Management!B:F, 5, FALSE), ""))</f>
        <v/>
      </c>
      <c r="G720" s="222" t="s">
        <v>1317</v>
      </c>
      <c r="H720" s="223" t="str">
        <f>IFERROR(VLOOKUP(B720, Content_Creation!B:H, 7, FALSE), IFERROR(VLOOKUP(B720, Project_Management!B:H, 7, FALSE), ""))</f>
        <v/>
      </c>
      <c r="I720" s="224">
        <v>0.0</v>
      </c>
      <c r="J720" s="217"/>
      <c r="K720" s="217"/>
      <c r="L720" s="225" t="str">
        <f>IFERROR(VLOOKUP(B720, Data_Validation!X:Y, 2, FALSE), "")</f>
        <v/>
      </c>
      <c r="M720" s="226" t="str">
        <f t="shared" si="1"/>
        <v> |  -  | </v>
      </c>
      <c r="N720" s="226"/>
      <c r="O720" s="226"/>
    </row>
    <row r="721" ht="24.0" customHeight="1">
      <c r="A721" s="216" t="str">
        <f>IFERROR(__xludf.DUMMYFUNCTION("ARRAYFORMULA(IFERROR(VLOOKUP(REGEXEXTRACT(B721, ""-(\w+)-""), {Data_Validation!$F$16:$F$29, Data_Validation!$E$16:$E$29}, 2, FALSE), """"))
"),"")</f>
        <v/>
      </c>
      <c r="B721" s="217"/>
      <c r="C721" s="218" t="str">
        <f>IFERROR(__xludf.DUMMYFUNCTION("IFERROR(REGEXEXTRACT(B721, ""^[A-Z]+-[A-Z]+-"") &amp; TEXT(VALUE(REGEXEXTRACT(B721, ""-(\d+)\."")), ""00""), """")"),"")</f>
        <v/>
      </c>
      <c r="D721" s="219" t="str">
        <f>IFERROR(VLOOKUP(C721, Content_Creation!B:D, 2, FALSE), IFERROR(VLOOKUP(C721, Project_Management!B:D, 2, FALSE), ""))
&amp; " - "
&amp; IFERROR(VLOOKUP(C721, Content_Creation!B:E, 4, FALSE), IFERROR(VLOOKUP(C721, Project_Management!B:E, 4, FALSE), ""))</f>
        <v> - </v>
      </c>
      <c r="E721" s="220" t="str">
        <f>IFERROR(
    VLOOKUP(B720:B1001, Content_Creation!B:D, 3, FALSE),
    IFERROR(VLOOKUP(B720:B1001, Project_Management!B:D, 3, FALSE),"")
  )</f>
        <v/>
      </c>
      <c r="F721" s="221" t="str">
        <f>IFERROR(VLOOKUP(B721, Content_Creation!B:F, 5, FALSE), IFERROR(VLOOKUP(B721, Project_Management!B:F, 5, FALSE), ""))</f>
        <v/>
      </c>
      <c r="G721" s="222" t="s">
        <v>1317</v>
      </c>
      <c r="H721" s="223" t="str">
        <f>IFERROR(VLOOKUP(B721, Content_Creation!B:H, 7, FALSE), IFERROR(VLOOKUP(B721, Project_Management!B:H, 7, FALSE), ""))</f>
        <v/>
      </c>
      <c r="I721" s="224">
        <v>0.0</v>
      </c>
      <c r="J721" s="217"/>
      <c r="K721" s="217"/>
      <c r="L721" s="225" t="str">
        <f>IFERROR(VLOOKUP(B721, Data_Validation!X:Y, 2, FALSE), "")</f>
        <v/>
      </c>
      <c r="M721" s="226" t="str">
        <f t="shared" si="1"/>
        <v> |  -  | </v>
      </c>
      <c r="N721" s="226"/>
      <c r="O721" s="226"/>
    </row>
    <row r="722" ht="24.0" customHeight="1">
      <c r="A722" s="216" t="str">
        <f>IFERROR(__xludf.DUMMYFUNCTION("ARRAYFORMULA(IFERROR(VLOOKUP(REGEXEXTRACT(B722, ""-(\w+)-""), {Data_Validation!$F$16:$F$29, Data_Validation!$E$16:$E$29}, 2, FALSE), """"))
"),"")</f>
        <v/>
      </c>
      <c r="B722" s="217"/>
      <c r="C722" s="218" t="str">
        <f>IFERROR(__xludf.DUMMYFUNCTION("IFERROR(REGEXEXTRACT(B722, ""^[A-Z]+-[A-Z]+-"") &amp; TEXT(VALUE(REGEXEXTRACT(B722, ""-(\d+)\."")), ""00""), """")"),"")</f>
        <v/>
      </c>
      <c r="D722" s="219" t="str">
        <f>IFERROR(VLOOKUP(C722, Content_Creation!B:D, 2, FALSE), IFERROR(VLOOKUP(C722, Project_Management!B:D, 2, FALSE), ""))
&amp; " - "
&amp; IFERROR(VLOOKUP(C722, Content_Creation!B:E, 4, FALSE), IFERROR(VLOOKUP(C722, Project_Management!B:E, 4, FALSE), ""))</f>
        <v> - </v>
      </c>
      <c r="E722" s="220" t="str">
        <f>IFERROR(
    VLOOKUP(B721:B1001, Content_Creation!B:D, 3, FALSE),
    IFERROR(VLOOKUP(B721:B1001, Project_Management!B:D, 3, FALSE),"")
  )</f>
        <v/>
      </c>
      <c r="F722" s="221" t="str">
        <f>IFERROR(VLOOKUP(B722, Content_Creation!B:F, 5, FALSE), IFERROR(VLOOKUP(B722, Project_Management!B:F, 5, FALSE), ""))</f>
        <v/>
      </c>
      <c r="G722" s="222" t="s">
        <v>1317</v>
      </c>
      <c r="H722" s="223" t="str">
        <f>IFERROR(VLOOKUP(B722, Content_Creation!B:H, 7, FALSE), IFERROR(VLOOKUP(B722, Project_Management!B:H, 7, FALSE), ""))</f>
        <v/>
      </c>
      <c r="I722" s="224">
        <v>0.0</v>
      </c>
      <c r="J722" s="217"/>
      <c r="K722" s="217"/>
      <c r="L722" s="225" t="str">
        <f>IFERROR(VLOOKUP(B722, Data_Validation!X:Y, 2, FALSE), "")</f>
        <v/>
      </c>
      <c r="M722" s="226" t="str">
        <f t="shared" si="1"/>
        <v> |  -  | </v>
      </c>
      <c r="N722" s="226"/>
      <c r="O722" s="226"/>
    </row>
    <row r="723" ht="24.0" customHeight="1">
      <c r="A723" s="216" t="str">
        <f>IFERROR(__xludf.DUMMYFUNCTION("ARRAYFORMULA(IFERROR(VLOOKUP(REGEXEXTRACT(B723, ""-(\w+)-""), {Data_Validation!$F$16:$F$29, Data_Validation!$E$16:$E$29}, 2, FALSE), """"))
"),"")</f>
        <v/>
      </c>
      <c r="B723" s="217"/>
      <c r="C723" s="218" t="str">
        <f>IFERROR(__xludf.DUMMYFUNCTION("IFERROR(REGEXEXTRACT(B723, ""^[A-Z]+-[A-Z]+-"") &amp; TEXT(VALUE(REGEXEXTRACT(B723, ""-(\d+)\."")), ""00""), """")"),"")</f>
        <v/>
      </c>
      <c r="D723" s="219" t="str">
        <f>IFERROR(VLOOKUP(C723, Content_Creation!B:D, 2, FALSE), IFERROR(VLOOKUP(C723, Project_Management!B:D, 2, FALSE), ""))
&amp; " - "
&amp; IFERROR(VLOOKUP(C723, Content_Creation!B:E, 4, FALSE), IFERROR(VLOOKUP(C723, Project_Management!B:E, 4, FALSE), ""))</f>
        <v> - </v>
      </c>
      <c r="E723" s="220" t="str">
        <f>IFERROR(
    VLOOKUP(B722:B1001, Content_Creation!B:D, 3, FALSE),
    IFERROR(VLOOKUP(B722:B1001, Project_Management!B:D, 3, FALSE),"")
  )</f>
        <v/>
      </c>
      <c r="F723" s="221" t="str">
        <f>IFERROR(VLOOKUP(B723, Content_Creation!B:F, 5, FALSE), IFERROR(VLOOKUP(B723, Project_Management!B:F, 5, FALSE), ""))</f>
        <v/>
      </c>
      <c r="G723" s="222" t="s">
        <v>1317</v>
      </c>
      <c r="H723" s="223" t="str">
        <f>IFERROR(VLOOKUP(B723, Content_Creation!B:H, 7, FALSE), IFERROR(VLOOKUP(B723, Project_Management!B:H, 7, FALSE), ""))</f>
        <v/>
      </c>
      <c r="I723" s="224">
        <v>0.0</v>
      </c>
      <c r="J723" s="217"/>
      <c r="K723" s="217"/>
      <c r="L723" s="225" t="str">
        <f>IFERROR(VLOOKUP(B723, Data_Validation!X:Y, 2, FALSE), "")</f>
        <v/>
      </c>
      <c r="M723" s="226" t="str">
        <f t="shared" si="1"/>
        <v> |  -  | </v>
      </c>
      <c r="N723" s="226"/>
      <c r="O723" s="226"/>
    </row>
    <row r="724" ht="24.0" customHeight="1">
      <c r="A724" s="216" t="str">
        <f>IFERROR(__xludf.DUMMYFUNCTION("ARRAYFORMULA(IFERROR(VLOOKUP(REGEXEXTRACT(B724, ""-(\w+)-""), {Data_Validation!$F$16:$F$29, Data_Validation!$E$16:$E$29}, 2, FALSE), """"))
"),"")</f>
        <v/>
      </c>
      <c r="B724" s="217"/>
      <c r="C724" s="218" t="str">
        <f>IFERROR(__xludf.DUMMYFUNCTION("IFERROR(REGEXEXTRACT(B724, ""^[A-Z]+-[A-Z]+-"") &amp; TEXT(VALUE(REGEXEXTRACT(B724, ""-(\d+)\."")), ""00""), """")"),"")</f>
        <v/>
      </c>
      <c r="D724" s="219" t="str">
        <f>IFERROR(VLOOKUP(C724, Content_Creation!B:D, 2, FALSE), IFERROR(VLOOKUP(C724, Project_Management!B:D, 2, FALSE), ""))
&amp; " - "
&amp; IFERROR(VLOOKUP(C724, Content_Creation!B:E, 4, FALSE), IFERROR(VLOOKUP(C724, Project_Management!B:E, 4, FALSE), ""))</f>
        <v> - </v>
      </c>
      <c r="E724" s="220" t="str">
        <f>IFERROR(
    VLOOKUP(B723:B1001, Content_Creation!B:D, 3, FALSE),
    IFERROR(VLOOKUP(B723:B1001, Project_Management!B:D, 3, FALSE),"")
  )</f>
        <v/>
      </c>
      <c r="F724" s="221" t="str">
        <f>IFERROR(VLOOKUP(B724, Content_Creation!B:F, 5, FALSE), IFERROR(VLOOKUP(B724, Project_Management!B:F, 5, FALSE), ""))</f>
        <v/>
      </c>
      <c r="G724" s="222" t="s">
        <v>1317</v>
      </c>
      <c r="H724" s="223" t="str">
        <f>IFERROR(VLOOKUP(B724, Content_Creation!B:H, 7, FALSE), IFERROR(VLOOKUP(B724, Project_Management!B:H, 7, FALSE), ""))</f>
        <v/>
      </c>
      <c r="I724" s="224">
        <v>0.0</v>
      </c>
      <c r="J724" s="217"/>
      <c r="K724" s="217"/>
      <c r="L724" s="225" t="str">
        <f>IFERROR(VLOOKUP(B724, Data_Validation!X:Y, 2, FALSE), "")</f>
        <v/>
      </c>
      <c r="M724" s="226" t="str">
        <f t="shared" si="1"/>
        <v> |  -  | </v>
      </c>
      <c r="N724" s="226"/>
      <c r="O724" s="226"/>
    </row>
    <row r="725" ht="24.0" customHeight="1">
      <c r="A725" s="216" t="str">
        <f>IFERROR(__xludf.DUMMYFUNCTION("ARRAYFORMULA(IFERROR(VLOOKUP(REGEXEXTRACT(B725, ""-(\w+)-""), {Data_Validation!$F$16:$F$29, Data_Validation!$E$16:$E$29}, 2, FALSE), """"))
"),"")</f>
        <v/>
      </c>
      <c r="B725" s="217"/>
      <c r="C725" s="218" t="str">
        <f>IFERROR(__xludf.DUMMYFUNCTION("IFERROR(REGEXEXTRACT(B725, ""^[A-Z]+-[A-Z]+-"") &amp; TEXT(VALUE(REGEXEXTRACT(B725, ""-(\d+)\."")), ""00""), """")"),"")</f>
        <v/>
      </c>
      <c r="D725" s="219" t="str">
        <f>IFERROR(VLOOKUP(C725, Content_Creation!B:D, 2, FALSE), IFERROR(VLOOKUP(C725, Project_Management!B:D, 2, FALSE), ""))
&amp; " - "
&amp; IFERROR(VLOOKUP(C725, Content_Creation!B:E, 4, FALSE), IFERROR(VLOOKUP(C725, Project_Management!B:E, 4, FALSE), ""))</f>
        <v> - </v>
      </c>
      <c r="E725" s="220" t="str">
        <f>IFERROR(
    VLOOKUP(B724:B1001, Content_Creation!B:D, 3, FALSE),
    IFERROR(VLOOKUP(B724:B1001, Project_Management!B:D, 3, FALSE),"")
  )</f>
        <v/>
      </c>
      <c r="F725" s="221" t="str">
        <f>IFERROR(VLOOKUP(B725, Content_Creation!B:F, 5, FALSE), IFERROR(VLOOKUP(B725, Project_Management!B:F, 5, FALSE), ""))</f>
        <v/>
      </c>
      <c r="G725" s="222" t="s">
        <v>1317</v>
      </c>
      <c r="H725" s="223" t="str">
        <f>IFERROR(VLOOKUP(B725, Content_Creation!B:H, 7, FALSE), IFERROR(VLOOKUP(B725, Project_Management!B:H, 7, FALSE), ""))</f>
        <v/>
      </c>
      <c r="I725" s="224">
        <v>0.0</v>
      </c>
      <c r="J725" s="217"/>
      <c r="K725" s="217"/>
      <c r="L725" s="225" t="str">
        <f>IFERROR(VLOOKUP(B725, Data_Validation!X:Y, 2, FALSE), "")</f>
        <v/>
      </c>
      <c r="M725" s="226" t="str">
        <f t="shared" si="1"/>
        <v> |  -  | </v>
      </c>
      <c r="N725" s="226"/>
      <c r="O725" s="226"/>
    </row>
    <row r="726" ht="24.0" customHeight="1">
      <c r="A726" s="216" t="str">
        <f>IFERROR(__xludf.DUMMYFUNCTION("ARRAYFORMULA(IFERROR(VLOOKUP(REGEXEXTRACT(B726, ""-(\w+)-""), {Data_Validation!$F$16:$F$29, Data_Validation!$E$16:$E$29}, 2, FALSE), """"))
"),"")</f>
        <v/>
      </c>
      <c r="B726" s="217"/>
      <c r="C726" s="218" t="str">
        <f>IFERROR(__xludf.DUMMYFUNCTION("IFERROR(REGEXEXTRACT(B726, ""^[A-Z]+-[A-Z]+-"") &amp; TEXT(VALUE(REGEXEXTRACT(B726, ""-(\d+)\."")), ""00""), """")"),"")</f>
        <v/>
      </c>
      <c r="D726" s="219" t="str">
        <f>IFERROR(VLOOKUP(C726, Content_Creation!B:D, 2, FALSE), IFERROR(VLOOKUP(C726, Project_Management!B:D, 2, FALSE), ""))
&amp; " - "
&amp; IFERROR(VLOOKUP(C726, Content_Creation!B:E, 4, FALSE), IFERROR(VLOOKUP(C726, Project_Management!B:E, 4, FALSE), ""))</f>
        <v> - </v>
      </c>
      <c r="E726" s="220" t="str">
        <f>IFERROR(
    VLOOKUP(B725:B1001, Content_Creation!B:D, 3, FALSE),
    IFERROR(VLOOKUP(B725:B1001, Project_Management!B:D, 3, FALSE),"")
  )</f>
        <v/>
      </c>
      <c r="F726" s="221" t="str">
        <f>IFERROR(VLOOKUP(B726, Content_Creation!B:F, 5, FALSE), IFERROR(VLOOKUP(B726, Project_Management!B:F, 5, FALSE), ""))</f>
        <v/>
      </c>
      <c r="G726" s="222" t="s">
        <v>1317</v>
      </c>
      <c r="H726" s="223" t="str">
        <f>IFERROR(VLOOKUP(B726, Content_Creation!B:H, 7, FALSE), IFERROR(VLOOKUP(B726, Project_Management!B:H, 7, FALSE), ""))</f>
        <v/>
      </c>
      <c r="I726" s="224">
        <v>0.0</v>
      </c>
      <c r="J726" s="217"/>
      <c r="K726" s="217"/>
      <c r="L726" s="225" t="str">
        <f>IFERROR(VLOOKUP(B726, Data_Validation!X:Y, 2, FALSE), "")</f>
        <v/>
      </c>
      <c r="M726" s="226" t="str">
        <f t="shared" si="1"/>
        <v> |  -  | </v>
      </c>
      <c r="N726" s="226"/>
      <c r="O726" s="226"/>
    </row>
    <row r="727" ht="24.0" customHeight="1">
      <c r="A727" s="216" t="str">
        <f>IFERROR(__xludf.DUMMYFUNCTION("ARRAYFORMULA(IFERROR(VLOOKUP(REGEXEXTRACT(B727, ""-(\w+)-""), {Data_Validation!$F$16:$F$29, Data_Validation!$E$16:$E$29}, 2, FALSE), """"))
"),"")</f>
        <v/>
      </c>
      <c r="B727" s="217"/>
      <c r="C727" s="218" t="str">
        <f>IFERROR(__xludf.DUMMYFUNCTION("IFERROR(REGEXEXTRACT(B727, ""^[A-Z]+-[A-Z]+-"") &amp; TEXT(VALUE(REGEXEXTRACT(B727, ""-(\d+)\."")), ""00""), """")"),"")</f>
        <v/>
      </c>
      <c r="D727" s="219" t="str">
        <f>IFERROR(VLOOKUP(C727, Content_Creation!B:D, 2, FALSE), IFERROR(VLOOKUP(C727, Project_Management!B:D, 2, FALSE), ""))
&amp; " - "
&amp; IFERROR(VLOOKUP(C727, Content_Creation!B:E, 4, FALSE), IFERROR(VLOOKUP(C727, Project_Management!B:E, 4, FALSE), ""))</f>
        <v> - </v>
      </c>
      <c r="E727" s="220" t="str">
        <f>IFERROR(
    VLOOKUP(B726:B1001, Content_Creation!B:D, 3, FALSE),
    IFERROR(VLOOKUP(B726:B1001, Project_Management!B:D, 3, FALSE),"")
  )</f>
        <v/>
      </c>
      <c r="F727" s="221" t="str">
        <f>IFERROR(VLOOKUP(B727, Content_Creation!B:F, 5, FALSE), IFERROR(VLOOKUP(B727, Project_Management!B:F, 5, FALSE), ""))</f>
        <v/>
      </c>
      <c r="G727" s="222" t="s">
        <v>1317</v>
      </c>
      <c r="H727" s="223" t="str">
        <f>IFERROR(VLOOKUP(B727, Content_Creation!B:H, 7, FALSE), IFERROR(VLOOKUP(B727, Project_Management!B:H, 7, FALSE), ""))</f>
        <v/>
      </c>
      <c r="I727" s="224">
        <v>0.0</v>
      </c>
      <c r="J727" s="217"/>
      <c r="K727" s="217"/>
      <c r="L727" s="225" t="str">
        <f>IFERROR(VLOOKUP(B727, Data_Validation!X:Y, 2, FALSE), "")</f>
        <v/>
      </c>
      <c r="M727" s="226" t="str">
        <f t="shared" si="1"/>
        <v> |  -  | </v>
      </c>
      <c r="N727" s="226"/>
      <c r="O727" s="226"/>
    </row>
    <row r="728" ht="24.0" customHeight="1">
      <c r="A728" s="216" t="str">
        <f>IFERROR(__xludf.DUMMYFUNCTION("ARRAYFORMULA(IFERROR(VLOOKUP(REGEXEXTRACT(B728, ""-(\w+)-""), {Data_Validation!$F$16:$F$29, Data_Validation!$E$16:$E$29}, 2, FALSE), """"))
"),"")</f>
        <v/>
      </c>
      <c r="B728" s="217"/>
      <c r="C728" s="218" t="str">
        <f>IFERROR(__xludf.DUMMYFUNCTION("IFERROR(REGEXEXTRACT(B728, ""^[A-Z]+-[A-Z]+-"") &amp; TEXT(VALUE(REGEXEXTRACT(B728, ""-(\d+)\."")), ""00""), """")"),"")</f>
        <v/>
      </c>
      <c r="D728" s="219" t="str">
        <f>IFERROR(VLOOKUP(C728, Content_Creation!B:D, 2, FALSE), IFERROR(VLOOKUP(C728, Project_Management!B:D, 2, FALSE), ""))
&amp; " - "
&amp; IFERROR(VLOOKUP(C728, Content_Creation!B:E, 4, FALSE), IFERROR(VLOOKUP(C728, Project_Management!B:E, 4, FALSE), ""))</f>
        <v> - </v>
      </c>
      <c r="E728" s="220" t="str">
        <f>IFERROR(
    VLOOKUP(B727:B1001, Content_Creation!B:D, 3, FALSE),
    IFERROR(VLOOKUP(B727:B1001, Project_Management!B:D, 3, FALSE),"")
  )</f>
        <v/>
      </c>
      <c r="F728" s="221" t="str">
        <f>IFERROR(VLOOKUP(B728, Content_Creation!B:F, 5, FALSE), IFERROR(VLOOKUP(B728, Project_Management!B:F, 5, FALSE), ""))</f>
        <v/>
      </c>
      <c r="G728" s="222" t="s">
        <v>1317</v>
      </c>
      <c r="H728" s="223" t="str">
        <f>IFERROR(VLOOKUP(B728, Content_Creation!B:H, 7, FALSE), IFERROR(VLOOKUP(B728, Project_Management!B:H, 7, FALSE), ""))</f>
        <v/>
      </c>
      <c r="I728" s="224">
        <v>0.0</v>
      </c>
      <c r="J728" s="217"/>
      <c r="K728" s="217"/>
      <c r="L728" s="225" t="str">
        <f>IFERROR(VLOOKUP(B728, Data_Validation!X:Y, 2, FALSE), "")</f>
        <v/>
      </c>
      <c r="M728" s="226" t="str">
        <f t="shared" si="1"/>
        <v> |  -  | </v>
      </c>
      <c r="N728" s="226"/>
      <c r="O728" s="226"/>
    </row>
    <row r="729" ht="24.0" customHeight="1">
      <c r="A729" s="216" t="str">
        <f>IFERROR(__xludf.DUMMYFUNCTION("ARRAYFORMULA(IFERROR(VLOOKUP(REGEXEXTRACT(B729, ""-(\w+)-""), {Data_Validation!$F$16:$F$29, Data_Validation!$E$16:$E$29}, 2, FALSE), """"))
"),"")</f>
        <v/>
      </c>
      <c r="B729" s="217"/>
      <c r="C729" s="218" t="str">
        <f>IFERROR(__xludf.DUMMYFUNCTION("IFERROR(REGEXEXTRACT(B729, ""^[A-Z]+-[A-Z]+-"") &amp; TEXT(VALUE(REGEXEXTRACT(B729, ""-(\d+)\."")), ""00""), """")"),"")</f>
        <v/>
      </c>
      <c r="D729" s="219" t="str">
        <f>IFERROR(VLOOKUP(C729, Content_Creation!B:D, 2, FALSE), IFERROR(VLOOKUP(C729, Project_Management!B:D, 2, FALSE), ""))
&amp; " - "
&amp; IFERROR(VLOOKUP(C729, Content_Creation!B:E, 4, FALSE), IFERROR(VLOOKUP(C729, Project_Management!B:E, 4, FALSE), ""))</f>
        <v> - </v>
      </c>
      <c r="E729" s="220" t="str">
        <f>IFERROR(
    VLOOKUP(B728:B1001, Content_Creation!B:D, 3, FALSE),
    IFERROR(VLOOKUP(B728:B1001, Project_Management!B:D, 3, FALSE),"")
  )</f>
        <v/>
      </c>
      <c r="F729" s="221" t="str">
        <f>IFERROR(VLOOKUP(B729, Content_Creation!B:F, 5, FALSE), IFERROR(VLOOKUP(B729, Project_Management!B:F, 5, FALSE), ""))</f>
        <v/>
      </c>
      <c r="G729" s="222" t="s">
        <v>1317</v>
      </c>
      <c r="H729" s="223" t="str">
        <f>IFERROR(VLOOKUP(B729, Content_Creation!B:H, 7, FALSE), IFERROR(VLOOKUP(B729, Project_Management!B:H, 7, FALSE), ""))</f>
        <v/>
      </c>
      <c r="I729" s="224">
        <v>0.0</v>
      </c>
      <c r="J729" s="217"/>
      <c r="K729" s="217"/>
      <c r="L729" s="225" t="str">
        <f>IFERROR(VLOOKUP(B729, Data_Validation!X:Y, 2, FALSE), "")</f>
        <v/>
      </c>
      <c r="M729" s="226" t="str">
        <f t="shared" si="1"/>
        <v> |  -  | </v>
      </c>
      <c r="N729" s="226"/>
      <c r="O729" s="226"/>
    </row>
    <row r="730" ht="24.0" customHeight="1">
      <c r="A730" s="216" t="str">
        <f>IFERROR(__xludf.DUMMYFUNCTION("ARRAYFORMULA(IFERROR(VLOOKUP(REGEXEXTRACT(B730, ""-(\w+)-""), {Data_Validation!$F$16:$F$29, Data_Validation!$E$16:$E$29}, 2, FALSE), """"))
"),"")</f>
        <v/>
      </c>
      <c r="B730" s="217"/>
      <c r="C730" s="218" t="str">
        <f>IFERROR(__xludf.DUMMYFUNCTION("IFERROR(REGEXEXTRACT(B730, ""^[A-Z]+-[A-Z]+-"") &amp; TEXT(VALUE(REGEXEXTRACT(B730, ""-(\d+)\."")), ""00""), """")"),"")</f>
        <v/>
      </c>
      <c r="D730" s="219" t="str">
        <f>IFERROR(VLOOKUP(C730, Content_Creation!B:D, 2, FALSE), IFERROR(VLOOKUP(C730, Project_Management!B:D, 2, FALSE), ""))
&amp; " - "
&amp; IFERROR(VLOOKUP(C730, Content_Creation!B:E, 4, FALSE), IFERROR(VLOOKUP(C730, Project_Management!B:E, 4, FALSE), ""))</f>
        <v> - </v>
      </c>
      <c r="E730" s="220" t="str">
        <f>IFERROR(
    VLOOKUP(B729:B1001, Content_Creation!B:D, 3, FALSE),
    IFERROR(VLOOKUP(B729:B1001, Project_Management!B:D, 3, FALSE),"")
  )</f>
        <v/>
      </c>
      <c r="F730" s="221" t="str">
        <f>IFERROR(VLOOKUP(B730, Content_Creation!B:F, 5, FALSE), IFERROR(VLOOKUP(B730, Project_Management!B:F, 5, FALSE), ""))</f>
        <v/>
      </c>
      <c r="G730" s="222" t="s">
        <v>1317</v>
      </c>
      <c r="H730" s="223" t="str">
        <f>IFERROR(VLOOKUP(B730, Content_Creation!B:H, 7, FALSE), IFERROR(VLOOKUP(B730, Project_Management!B:H, 7, FALSE), ""))</f>
        <v/>
      </c>
      <c r="I730" s="224">
        <v>0.0</v>
      </c>
      <c r="J730" s="217"/>
      <c r="K730" s="217"/>
      <c r="L730" s="225" t="str">
        <f>IFERROR(VLOOKUP(B730, Data_Validation!X:Y, 2, FALSE), "")</f>
        <v/>
      </c>
      <c r="M730" s="226" t="str">
        <f t="shared" si="1"/>
        <v> |  -  | </v>
      </c>
      <c r="N730" s="226"/>
      <c r="O730" s="226"/>
    </row>
    <row r="731" ht="24.0" customHeight="1">
      <c r="A731" s="216" t="str">
        <f>IFERROR(__xludf.DUMMYFUNCTION("ARRAYFORMULA(IFERROR(VLOOKUP(REGEXEXTRACT(B731, ""-(\w+)-""), {Data_Validation!$F$16:$F$29, Data_Validation!$E$16:$E$29}, 2, FALSE), """"))
"),"")</f>
        <v/>
      </c>
      <c r="B731" s="217"/>
      <c r="C731" s="218" t="str">
        <f>IFERROR(__xludf.DUMMYFUNCTION("IFERROR(REGEXEXTRACT(B731, ""^[A-Z]+-[A-Z]+-"") &amp; TEXT(VALUE(REGEXEXTRACT(B731, ""-(\d+)\."")), ""00""), """")"),"")</f>
        <v/>
      </c>
      <c r="D731" s="219" t="str">
        <f>IFERROR(VLOOKUP(C731, Content_Creation!B:D, 2, FALSE), IFERROR(VLOOKUP(C731, Project_Management!B:D, 2, FALSE), ""))
&amp; " - "
&amp; IFERROR(VLOOKUP(C731, Content_Creation!B:E, 4, FALSE), IFERROR(VLOOKUP(C731, Project_Management!B:E, 4, FALSE), ""))</f>
        <v> - </v>
      </c>
      <c r="E731" s="220" t="str">
        <f>IFERROR(
    VLOOKUP(B730:B1001, Content_Creation!B:D, 3, FALSE),
    IFERROR(VLOOKUP(B730:B1001, Project_Management!B:D, 3, FALSE),"")
  )</f>
        <v/>
      </c>
      <c r="F731" s="221" t="str">
        <f>IFERROR(VLOOKUP(B731, Content_Creation!B:F, 5, FALSE), IFERROR(VLOOKUP(B731, Project_Management!B:F, 5, FALSE), ""))</f>
        <v/>
      </c>
      <c r="G731" s="222" t="s">
        <v>1317</v>
      </c>
      <c r="H731" s="223" t="str">
        <f>IFERROR(VLOOKUP(B731, Content_Creation!B:H, 7, FALSE), IFERROR(VLOOKUP(B731, Project_Management!B:H, 7, FALSE), ""))</f>
        <v/>
      </c>
      <c r="I731" s="224">
        <v>0.0</v>
      </c>
      <c r="J731" s="217"/>
      <c r="K731" s="217"/>
      <c r="L731" s="225" t="str">
        <f>IFERROR(VLOOKUP(B731, Data_Validation!X:Y, 2, FALSE), "")</f>
        <v/>
      </c>
      <c r="M731" s="226" t="str">
        <f t="shared" si="1"/>
        <v> |  -  | </v>
      </c>
      <c r="N731" s="226"/>
      <c r="O731" s="226"/>
    </row>
    <row r="732" ht="24.0" customHeight="1">
      <c r="A732" s="216" t="str">
        <f>IFERROR(__xludf.DUMMYFUNCTION("ARRAYFORMULA(IFERROR(VLOOKUP(REGEXEXTRACT(B732, ""-(\w+)-""), {Data_Validation!$F$16:$F$29, Data_Validation!$E$16:$E$29}, 2, FALSE), """"))
"),"")</f>
        <v/>
      </c>
      <c r="B732" s="217"/>
      <c r="C732" s="218" t="str">
        <f>IFERROR(__xludf.DUMMYFUNCTION("IFERROR(REGEXEXTRACT(B732, ""^[A-Z]+-[A-Z]+-"") &amp; TEXT(VALUE(REGEXEXTRACT(B732, ""-(\d+)\."")), ""00""), """")"),"")</f>
        <v/>
      </c>
      <c r="D732" s="219" t="str">
        <f>IFERROR(VLOOKUP(C732, Content_Creation!B:D, 2, FALSE), IFERROR(VLOOKUP(C732, Project_Management!B:D, 2, FALSE), ""))
&amp; " - "
&amp; IFERROR(VLOOKUP(C732, Content_Creation!B:E, 4, FALSE), IFERROR(VLOOKUP(C732, Project_Management!B:E, 4, FALSE), ""))</f>
        <v> - </v>
      </c>
      <c r="E732" s="220" t="str">
        <f>IFERROR(
    VLOOKUP(B731:B1001, Content_Creation!B:D, 3, FALSE),
    IFERROR(VLOOKUP(B731:B1001, Project_Management!B:D, 3, FALSE),"")
  )</f>
        <v/>
      </c>
      <c r="F732" s="221" t="str">
        <f>IFERROR(VLOOKUP(B732, Content_Creation!B:F, 5, FALSE), IFERROR(VLOOKUP(B732, Project_Management!B:F, 5, FALSE), ""))</f>
        <v/>
      </c>
      <c r="G732" s="222" t="s">
        <v>1317</v>
      </c>
      <c r="H732" s="223" t="str">
        <f>IFERROR(VLOOKUP(B732, Content_Creation!B:H, 7, FALSE), IFERROR(VLOOKUP(B732, Project_Management!B:H, 7, FALSE), ""))</f>
        <v/>
      </c>
      <c r="I732" s="224">
        <v>0.0</v>
      </c>
      <c r="J732" s="217"/>
      <c r="K732" s="217"/>
      <c r="L732" s="225" t="str">
        <f>IFERROR(VLOOKUP(B732, Data_Validation!X:Y, 2, FALSE), "")</f>
        <v/>
      </c>
      <c r="M732" s="226" t="str">
        <f t="shared" si="1"/>
        <v> |  -  | </v>
      </c>
      <c r="N732" s="226"/>
      <c r="O732" s="226"/>
    </row>
    <row r="733" ht="24.0" customHeight="1">
      <c r="A733" s="216" t="str">
        <f>IFERROR(__xludf.DUMMYFUNCTION("ARRAYFORMULA(IFERROR(VLOOKUP(REGEXEXTRACT(B733, ""-(\w+)-""), {Data_Validation!$F$16:$F$29, Data_Validation!$E$16:$E$29}, 2, FALSE), """"))
"),"")</f>
        <v/>
      </c>
      <c r="B733" s="217"/>
      <c r="C733" s="218" t="str">
        <f>IFERROR(__xludf.DUMMYFUNCTION("IFERROR(REGEXEXTRACT(B733, ""^[A-Z]+-[A-Z]+-"") &amp; TEXT(VALUE(REGEXEXTRACT(B733, ""-(\d+)\."")), ""00""), """")"),"")</f>
        <v/>
      </c>
      <c r="D733" s="219" t="str">
        <f>IFERROR(VLOOKUP(C733, Content_Creation!B:D, 2, FALSE), IFERROR(VLOOKUP(C733, Project_Management!B:D, 2, FALSE), ""))
&amp; " - "
&amp; IFERROR(VLOOKUP(C733, Content_Creation!B:E, 4, FALSE), IFERROR(VLOOKUP(C733, Project_Management!B:E, 4, FALSE), ""))</f>
        <v> - </v>
      </c>
      <c r="E733" s="220" t="str">
        <f>IFERROR(
    VLOOKUP(B732:B1001, Content_Creation!B:D, 3, FALSE),
    IFERROR(VLOOKUP(B732:B1001, Project_Management!B:D, 3, FALSE),"")
  )</f>
        <v/>
      </c>
      <c r="F733" s="221" t="str">
        <f>IFERROR(VLOOKUP(B733, Content_Creation!B:F, 5, FALSE), IFERROR(VLOOKUP(B733, Project_Management!B:F, 5, FALSE), ""))</f>
        <v/>
      </c>
      <c r="G733" s="222" t="s">
        <v>1317</v>
      </c>
      <c r="H733" s="223" t="str">
        <f>IFERROR(VLOOKUP(B733, Content_Creation!B:H, 7, FALSE), IFERROR(VLOOKUP(B733, Project_Management!B:H, 7, FALSE), ""))</f>
        <v/>
      </c>
      <c r="I733" s="224">
        <v>0.0</v>
      </c>
      <c r="J733" s="217"/>
      <c r="K733" s="217"/>
      <c r="L733" s="225" t="str">
        <f>IFERROR(VLOOKUP(B733, Data_Validation!X:Y, 2, FALSE), "")</f>
        <v/>
      </c>
      <c r="M733" s="226" t="str">
        <f t="shared" si="1"/>
        <v> |  -  | </v>
      </c>
      <c r="N733" s="226"/>
      <c r="O733" s="226"/>
    </row>
    <row r="734" ht="24.0" customHeight="1">
      <c r="A734" s="216" t="str">
        <f>IFERROR(__xludf.DUMMYFUNCTION("ARRAYFORMULA(IFERROR(VLOOKUP(REGEXEXTRACT(B734, ""-(\w+)-""), {Data_Validation!$F$16:$F$29, Data_Validation!$E$16:$E$29}, 2, FALSE), """"))
"),"")</f>
        <v/>
      </c>
      <c r="B734" s="217"/>
      <c r="C734" s="218" t="str">
        <f>IFERROR(__xludf.DUMMYFUNCTION("IFERROR(REGEXEXTRACT(B734, ""^[A-Z]+-[A-Z]+-"") &amp; TEXT(VALUE(REGEXEXTRACT(B734, ""-(\d+)\."")), ""00""), """")"),"")</f>
        <v/>
      </c>
      <c r="D734" s="219" t="str">
        <f>IFERROR(VLOOKUP(C734, Content_Creation!B:D, 2, FALSE), IFERROR(VLOOKUP(C734, Project_Management!B:D, 2, FALSE), ""))
&amp; " - "
&amp; IFERROR(VLOOKUP(C734, Content_Creation!B:E, 4, FALSE), IFERROR(VLOOKUP(C734, Project_Management!B:E, 4, FALSE), ""))</f>
        <v> - </v>
      </c>
      <c r="E734" s="220" t="str">
        <f>IFERROR(
    VLOOKUP(B733:B1001, Content_Creation!B:D, 3, FALSE),
    IFERROR(VLOOKUP(B733:B1001, Project_Management!B:D, 3, FALSE),"")
  )</f>
        <v/>
      </c>
      <c r="F734" s="221" t="str">
        <f>IFERROR(VLOOKUP(B734, Content_Creation!B:F, 5, FALSE), IFERROR(VLOOKUP(B734, Project_Management!B:F, 5, FALSE), ""))</f>
        <v/>
      </c>
      <c r="G734" s="222" t="s">
        <v>1317</v>
      </c>
      <c r="H734" s="223" t="str">
        <f>IFERROR(VLOOKUP(B734, Content_Creation!B:H, 7, FALSE), IFERROR(VLOOKUP(B734, Project_Management!B:H, 7, FALSE), ""))</f>
        <v/>
      </c>
      <c r="I734" s="224">
        <v>0.0</v>
      </c>
      <c r="J734" s="217"/>
      <c r="K734" s="217"/>
      <c r="L734" s="225" t="str">
        <f>IFERROR(VLOOKUP(B734, Data_Validation!X:Y, 2, FALSE), "")</f>
        <v/>
      </c>
      <c r="M734" s="226" t="str">
        <f t="shared" si="1"/>
        <v> |  -  | </v>
      </c>
      <c r="N734" s="226"/>
      <c r="O734" s="226"/>
    </row>
    <row r="735" ht="24.0" customHeight="1">
      <c r="A735" s="216" t="str">
        <f>IFERROR(__xludf.DUMMYFUNCTION("ARRAYFORMULA(IFERROR(VLOOKUP(REGEXEXTRACT(B735, ""-(\w+)-""), {Data_Validation!$F$16:$F$29, Data_Validation!$E$16:$E$29}, 2, FALSE), """"))
"),"")</f>
        <v/>
      </c>
      <c r="B735" s="217"/>
      <c r="C735" s="218" t="str">
        <f>IFERROR(__xludf.DUMMYFUNCTION("IFERROR(REGEXEXTRACT(B735, ""^[A-Z]+-[A-Z]+-"") &amp; TEXT(VALUE(REGEXEXTRACT(B735, ""-(\d+)\."")), ""00""), """")"),"")</f>
        <v/>
      </c>
      <c r="D735" s="219" t="str">
        <f>IFERROR(VLOOKUP(C735, Content_Creation!B:D, 2, FALSE), IFERROR(VLOOKUP(C735, Project_Management!B:D, 2, FALSE), ""))
&amp; " - "
&amp; IFERROR(VLOOKUP(C735, Content_Creation!B:E, 4, FALSE), IFERROR(VLOOKUP(C735, Project_Management!B:E, 4, FALSE), ""))</f>
        <v> - </v>
      </c>
      <c r="E735" s="220" t="str">
        <f>IFERROR(
    VLOOKUP(B734:B1001, Content_Creation!B:D, 3, FALSE),
    IFERROR(VLOOKUP(B734:B1001, Project_Management!B:D, 3, FALSE),"")
  )</f>
        <v/>
      </c>
      <c r="F735" s="221" t="str">
        <f>IFERROR(VLOOKUP(B735, Content_Creation!B:F, 5, FALSE), IFERROR(VLOOKUP(B735, Project_Management!B:F, 5, FALSE), ""))</f>
        <v/>
      </c>
      <c r="G735" s="222" t="s">
        <v>1317</v>
      </c>
      <c r="H735" s="223" t="str">
        <f>IFERROR(VLOOKUP(B735, Content_Creation!B:H, 7, FALSE), IFERROR(VLOOKUP(B735, Project_Management!B:H, 7, FALSE), ""))</f>
        <v/>
      </c>
      <c r="I735" s="224">
        <v>0.0</v>
      </c>
      <c r="J735" s="217"/>
      <c r="K735" s="217"/>
      <c r="L735" s="225" t="str">
        <f>IFERROR(VLOOKUP(B735, Data_Validation!X:Y, 2, FALSE), "")</f>
        <v/>
      </c>
      <c r="M735" s="226" t="str">
        <f t="shared" si="1"/>
        <v> |  -  | </v>
      </c>
      <c r="N735" s="226"/>
      <c r="O735" s="226"/>
    </row>
    <row r="736" ht="24.0" customHeight="1">
      <c r="A736" s="216" t="str">
        <f>IFERROR(__xludf.DUMMYFUNCTION("ARRAYFORMULA(IFERROR(VLOOKUP(REGEXEXTRACT(B736, ""-(\w+)-""), {Data_Validation!$F$16:$F$29, Data_Validation!$E$16:$E$29}, 2, FALSE), """"))
"),"")</f>
        <v/>
      </c>
      <c r="B736" s="217"/>
      <c r="C736" s="218" t="str">
        <f>IFERROR(__xludf.DUMMYFUNCTION("IFERROR(REGEXEXTRACT(B736, ""^[A-Z]+-[A-Z]+-"") &amp; TEXT(VALUE(REGEXEXTRACT(B736, ""-(\d+)\."")), ""00""), """")"),"")</f>
        <v/>
      </c>
      <c r="D736" s="219" t="str">
        <f>IFERROR(VLOOKUP(C736, Content_Creation!B:D, 2, FALSE), IFERROR(VLOOKUP(C736, Project_Management!B:D, 2, FALSE), ""))
&amp; " - "
&amp; IFERROR(VLOOKUP(C736, Content_Creation!B:E, 4, FALSE), IFERROR(VLOOKUP(C736, Project_Management!B:E, 4, FALSE), ""))</f>
        <v> - </v>
      </c>
      <c r="E736" s="220" t="str">
        <f>IFERROR(
    VLOOKUP(B735:B1001, Content_Creation!B:D, 3, FALSE),
    IFERROR(VLOOKUP(B735:B1001, Project_Management!B:D, 3, FALSE),"")
  )</f>
        <v/>
      </c>
      <c r="F736" s="221" t="str">
        <f>IFERROR(VLOOKUP(B736, Content_Creation!B:F, 5, FALSE), IFERROR(VLOOKUP(B736, Project_Management!B:F, 5, FALSE), ""))</f>
        <v/>
      </c>
      <c r="G736" s="222" t="s">
        <v>1317</v>
      </c>
      <c r="H736" s="223" t="str">
        <f>IFERROR(VLOOKUP(B736, Content_Creation!B:H, 7, FALSE), IFERROR(VLOOKUP(B736, Project_Management!B:H, 7, FALSE), ""))</f>
        <v/>
      </c>
      <c r="I736" s="224">
        <v>0.0</v>
      </c>
      <c r="J736" s="217"/>
      <c r="K736" s="217"/>
      <c r="L736" s="225" t="str">
        <f>IFERROR(VLOOKUP(B736, Data_Validation!X:Y, 2, FALSE), "")</f>
        <v/>
      </c>
      <c r="M736" s="226" t="str">
        <f t="shared" si="1"/>
        <v> |  -  | </v>
      </c>
      <c r="N736" s="226"/>
      <c r="O736" s="226"/>
    </row>
    <row r="737" ht="24.0" customHeight="1">
      <c r="A737" s="216" t="str">
        <f>IFERROR(__xludf.DUMMYFUNCTION("ARRAYFORMULA(IFERROR(VLOOKUP(REGEXEXTRACT(B737, ""-(\w+)-""), {Data_Validation!$F$16:$F$29, Data_Validation!$E$16:$E$29}, 2, FALSE), """"))
"),"")</f>
        <v/>
      </c>
      <c r="B737" s="217"/>
      <c r="C737" s="218" t="str">
        <f>IFERROR(__xludf.DUMMYFUNCTION("IFERROR(REGEXEXTRACT(B737, ""^[A-Z]+-[A-Z]+-"") &amp; TEXT(VALUE(REGEXEXTRACT(B737, ""-(\d+)\."")), ""00""), """")"),"")</f>
        <v/>
      </c>
      <c r="D737" s="219" t="str">
        <f>IFERROR(VLOOKUP(C737, Content_Creation!B:D, 2, FALSE), IFERROR(VLOOKUP(C737, Project_Management!B:D, 2, FALSE), ""))
&amp; " - "
&amp; IFERROR(VLOOKUP(C737, Content_Creation!B:E, 4, FALSE), IFERROR(VLOOKUP(C737, Project_Management!B:E, 4, FALSE), ""))</f>
        <v> - </v>
      </c>
      <c r="E737" s="220" t="str">
        <f>IFERROR(
    VLOOKUP(B736:B1001, Content_Creation!B:D, 3, FALSE),
    IFERROR(VLOOKUP(B736:B1001, Project_Management!B:D, 3, FALSE),"")
  )</f>
        <v/>
      </c>
      <c r="F737" s="221" t="str">
        <f>IFERROR(VLOOKUP(B737, Content_Creation!B:F, 5, FALSE), IFERROR(VLOOKUP(B737, Project_Management!B:F, 5, FALSE), ""))</f>
        <v/>
      </c>
      <c r="G737" s="222" t="s">
        <v>1317</v>
      </c>
      <c r="H737" s="223" t="str">
        <f>IFERROR(VLOOKUP(B737, Content_Creation!B:H, 7, FALSE), IFERROR(VLOOKUP(B737, Project_Management!B:H, 7, FALSE), ""))</f>
        <v/>
      </c>
      <c r="I737" s="224">
        <v>0.0</v>
      </c>
      <c r="J737" s="217"/>
      <c r="K737" s="217"/>
      <c r="L737" s="225" t="str">
        <f>IFERROR(VLOOKUP(B737, Data_Validation!X:Y, 2, FALSE), "")</f>
        <v/>
      </c>
      <c r="M737" s="226" t="str">
        <f t="shared" si="1"/>
        <v> |  -  | </v>
      </c>
      <c r="N737" s="226"/>
      <c r="O737" s="226"/>
    </row>
    <row r="738" ht="24.0" customHeight="1">
      <c r="A738" s="216" t="str">
        <f>IFERROR(__xludf.DUMMYFUNCTION("ARRAYFORMULA(IFERROR(VLOOKUP(REGEXEXTRACT(B738, ""-(\w+)-""), {Data_Validation!$F$16:$F$29, Data_Validation!$E$16:$E$29}, 2, FALSE), """"))
"),"")</f>
        <v/>
      </c>
      <c r="B738" s="217"/>
      <c r="C738" s="218" t="str">
        <f>IFERROR(__xludf.DUMMYFUNCTION("IFERROR(REGEXEXTRACT(B738, ""^[A-Z]+-[A-Z]+-"") &amp; TEXT(VALUE(REGEXEXTRACT(B738, ""-(\d+)\."")), ""00""), """")"),"")</f>
        <v/>
      </c>
      <c r="D738" s="219" t="str">
        <f>IFERROR(VLOOKUP(C738, Content_Creation!B:D, 2, FALSE), IFERROR(VLOOKUP(C738, Project_Management!B:D, 2, FALSE), ""))
&amp; " - "
&amp; IFERROR(VLOOKUP(C738, Content_Creation!B:E, 4, FALSE), IFERROR(VLOOKUP(C738, Project_Management!B:E, 4, FALSE), ""))</f>
        <v> - </v>
      </c>
      <c r="E738" s="220" t="str">
        <f>IFERROR(
    VLOOKUP(B737:B1001, Content_Creation!B:D, 3, FALSE),
    IFERROR(VLOOKUP(B737:B1001, Project_Management!B:D, 3, FALSE),"")
  )</f>
        <v/>
      </c>
      <c r="F738" s="221" t="str">
        <f>IFERROR(VLOOKUP(B738, Content_Creation!B:F, 5, FALSE), IFERROR(VLOOKUP(B738, Project_Management!B:F, 5, FALSE), ""))</f>
        <v/>
      </c>
      <c r="G738" s="222" t="s">
        <v>1317</v>
      </c>
      <c r="H738" s="223" t="str">
        <f>IFERROR(VLOOKUP(B738, Content_Creation!B:H, 7, FALSE), IFERROR(VLOOKUP(B738, Project_Management!B:H, 7, FALSE), ""))</f>
        <v/>
      </c>
      <c r="I738" s="224">
        <v>0.0</v>
      </c>
      <c r="J738" s="217"/>
      <c r="K738" s="217"/>
      <c r="L738" s="225" t="str">
        <f>IFERROR(VLOOKUP(B738, Data_Validation!X:Y, 2, FALSE), "")</f>
        <v/>
      </c>
      <c r="M738" s="226" t="str">
        <f t="shared" si="1"/>
        <v> |  -  | </v>
      </c>
      <c r="N738" s="226"/>
      <c r="O738" s="226"/>
    </row>
    <row r="739" ht="24.0" customHeight="1">
      <c r="A739" s="216" t="str">
        <f>IFERROR(__xludf.DUMMYFUNCTION("ARRAYFORMULA(IFERROR(VLOOKUP(REGEXEXTRACT(B739, ""-(\w+)-""), {Data_Validation!$F$16:$F$29, Data_Validation!$E$16:$E$29}, 2, FALSE), """"))
"),"")</f>
        <v/>
      </c>
      <c r="B739" s="217"/>
      <c r="C739" s="218" t="str">
        <f>IFERROR(__xludf.DUMMYFUNCTION("IFERROR(REGEXEXTRACT(B739, ""^[A-Z]+-[A-Z]+-"") &amp; TEXT(VALUE(REGEXEXTRACT(B739, ""-(\d+)\."")), ""00""), """")"),"")</f>
        <v/>
      </c>
      <c r="D739" s="219" t="str">
        <f>IFERROR(VLOOKUP(C739, Content_Creation!B:D, 2, FALSE), IFERROR(VLOOKUP(C739, Project_Management!B:D, 2, FALSE), ""))
&amp; " - "
&amp; IFERROR(VLOOKUP(C739, Content_Creation!B:E, 4, FALSE), IFERROR(VLOOKUP(C739, Project_Management!B:E, 4, FALSE), ""))</f>
        <v> - </v>
      </c>
      <c r="E739" s="220" t="str">
        <f>IFERROR(
    VLOOKUP(B738:B1001, Content_Creation!B:D, 3, FALSE),
    IFERROR(VLOOKUP(B738:B1001, Project_Management!B:D, 3, FALSE),"")
  )</f>
        <v/>
      </c>
      <c r="F739" s="221" t="str">
        <f>IFERROR(VLOOKUP(B739, Content_Creation!B:F, 5, FALSE), IFERROR(VLOOKUP(B739, Project_Management!B:F, 5, FALSE), ""))</f>
        <v/>
      </c>
      <c r="G739" s="222" t="s">
        <v>1317</v>
      </c>
      <c r="H739" s="223" t="str">
        <f>IFERROR(VLOOKUP(B739, Content_Creation!B:H, 7, FALSE), IFERROR(VLOOKUP(B739, Project_Management!B:H, 7, FALSE), ""))</f>
        <v/>
      </c>
      <c r="I739" s="224">
        <v>0.0</v>
      </c>
      <c r="J739" s="217"/>
      <c r="K739" s="217"/>
      <c r="L739" s="225" t="str">
        <f>IFERROR(VLOOKUP(B739, Data_Validation!X:Y, 2, FALSE), "")</f>
        <v/>
      </c>
      <c r="M739" s="226" t="str">
        <f t="shared" si="1"/>
        <v> |  -  | </v>
      </c>
      <c r="N739" s="226"/>
      <c r="O739" s="226"/>
    </row>
    <row r="740" ht="24.0" customHeight="1">
      <c r="A740" s="216" t="str">
        <f>IFERROR(__xludf.DUMMYFUNCTION("ARRAYFORMULA(IFERROR(VLOOKUP(REGEXEXTRACT(B740, ""-(\w+)-""), {Data_Validation!$F$16:$F$29, Data_Validation!$E$16:$E$29}, 2, FALSE), """"))
"),"")</f>
        <v/>
      </c>
      <c r="B740" s="217"/>
      <c r="C740" s="218" t="str">
        <f>IFERROR(__xludf.DUMMYFUNCTION("IFERROR(REGEXEXTRACT(B740, ""^[A-Z]+-[A-Z]+-"") &amp; TEXT(VALUE(REGEXEXTRACT(B740, ""-(\d+)\."")), ""00""), """")"),"")</f>
        <v/>
      </c>
      <c r="D740" s="219" t="str">
        <f>IFERROR(VLOOKUP(C740, Content_Creation!B:D, 2, FALSE), IFERROR(VLOOKUP(C740, Project_Management!B:D, 2, FALSE), ""))
&amp; " - "
&amp; IFERROR(VLOOKUP(C740, Content_Creation!B:E, 4, FALSE), IFERROR(VLOOKUP(C740, Project_Management!B:E, 4, FALSE), ""))</f>
        <v> - </v>
      </c>
      <c r="E740" s="220" t="str">
        <f>IFERROR(
    VLOOKUP(B739:B1001, Content_Creation!B:D, 3, FALSE),
    IFERROR(VLOOKUP(B739:B1001, Project_Management!B:D, 3, FALSE),"")
  )</f>
        <v/>
      </c>
      <c r="F740" s="221" t="str">
        <f>IFERROR(VLOOKUP(B740, Content_Creation!B:F, 5, FALSE), IFERROR(VLOOKUP(B740, Project_Management!B:F, 5, FALSE), ""))</f>
        <v/>
      </c>
      <c r="G740" s="222" t="s">
        <v>1317</v>
      </c>
      <c r="H740" s="223" t="str">
        <f>IFERROR(VLOOKUP(B740, Content_Creation!B:H, 7, FALSE), IFERROR(VLOOKUP(B740, Project_Management!B:H, 7, FALSE), ""))</f>
        <v/>
      </c>
      <c r="I740" s="224">
        <v>0.0</v>
      </c>
      <c r="J740" s="217"/>
      <c r="K740" s="217"/>
      <c r="L740" s="225" t="str">
        <f>IFERROR(VLOOKUP(B740, Data_Validation!X:Y, 2, FALSE), "")</f>
        <v/>
      </c>
      <c r="M740" s="226" t="str">
        <f t="shared" si="1"/>
        <v> |  -  | </v>
      </c>
      <c r="N740" s="226"/>
      <c r="O740" s="226"/>
    </row>
    <row r="741" ht="24.0" customHeight="1">
      <c r="A741" s="216" t="str">
        <f>IFERROR(__xludf.DUMMYFUNCTION("ARRAYFORMULA(IFERROR(VLOOKUP(REGEXEXTRACT(B741, ""-(\w+)-""), {Data_Validation!$F$16:$F$29, Data_Validation!$E$16:$E$29}, 2, FALSE), """"))
"),"")</f>
        <v/>
      </c>
      <c r="B741" s="217"/>
      <c r="C741" s="218" t="str">
        <f>IFERROR(__xludf.DUMMYFUNCTION("IFERROR(REGEXEXTRACT(B741, ""^[A-Z]+-[A-Z]+-"") &amp; TEXT(VALUE(REGEXEXTRACT(B741, ""-(\d+)\."")), ""00""), """")"),"")</f>
        <v/>
      </c>
      <c r="D741" s="219" t="str">
        <f>IFERROR(VLOOKUP(C741, Content_Creation!B:D, 2, FALSE), IFERROR(VLOOKUP(C741, Project_Management!B:D, 2, FALSE), ""))
&amp; " - "
&amp; IFERROR(VLOOKUP(C741, Content_Creation!B:E, 4, FALSE), IFERROR(VLOOKUP(C741, Project_Management!B:E, 4, FALSE), ""))</f>
        <v> - </v>
      </c>
      <c r="E741" s="220" t="str">
        <f>IFERROR(
    VLOOKUP(B740:B1001, Content_Creation!B:D, 3, FALSE),
    IFERROR(VLOOKUP(B740:B1001, Project_Management!B:D, 3, FALSE),"")
  )</f>
        <v/>
      </c>
      <c r="F741" s="221" t="str">
        <f>IFERROR(VLOOKUP(B741, Content_Creation!B:F, 5, FALSE), IFERROR(VLOOKUP(B741, Project_Management!B:F, 5, FALSE), ""))</f>
        <v/>
      </c>
      <c r="G741" s="222" t="s">
        <v>1317</v>
      </c>
      <c r="H741" s="223" t="str">
        <f>IFERROR(VLOOKUP(B741, Content_Creation!B:H, 7, FALSE), IFERROR(VLOOKUP(B741, Project_Management!B:H, 7, FALSE), ""))</f>
        <v/>
      </c>
      <c r="I741" s="224">
        <v>0.0</v>
      </c>
      <c r="J741" s="217"/>
      <c r="K741" s="217"/>
      <c r="L741" s="225" t="str">
        <f>IFERROR(VLOOKUP(B741, Data_Validation!X:Y, 2, FALSE), "")</f>
        <v/>
      </c>
      <c r="M741" s="226" t="str">
        <f t="shared" si="1"/>
        <v> |  -  | </v>
      </c>
      <c r="N741" s="226"/>
      <c r="O741" s="226"/>
    </row>
    <row r="742" ht="24.0" customHeight="1">
      <c r="A742" s="216" t="str">
        <f>IFERROR(__xludf.DUMMYFUNCTION("ARRAYFORMULA(IFERROR(VLOOKUP(REGEXEXTRACT(B742, ""-(\w+)-""), {Data_Validation!$F$16:$F$29, Data_Validation!$E$16:$E$29}, 2, FALSE), """"))
"),"")</f>
        <v/>
      </c>
      <c r="B742" s="217"/>
      <c r="C742" s="218" t="str">
        <f>IFERROR(__xludf.DUMMYFUNCTION("IFERROR(REGEXEXTRACT(B742, ""^[A-Z]+-[A-Z]+-"") &amp; TEXT(VALUE(REGEXEXTRACT(B742, ""-(\d+)\."")), ""00""), """")"),"")</f>
        <v/>
      </c>
      <c r="D742" s="219" t="str">
        <f>IFERROR(VLOOKUP(C742, Content_Creation!B:D, 2, FALSE), IFERROR(VLOOKUP(C742, Project_Management!B:D, 2, FALSE), ""))
&amp; " - "
&amp; IFERROR(VLOOKUP(C742, Content_Creation!B:E, 4, FALSE), IFERROR(VLOOKUP(C742, Project_Management!B:E, 4, FALSE), ""))</f>
        <v> - </v>
      </c>
      <c r="E742" s="220" t="str">
        <f>IFERROR(
    VLOOKUP(B741:B1001, Content_Creation!B:D, 3, FALSE),
    IFERROR(VLOOKUP(B741:B1001, Project_Management!B:D, 3, FALSE),"")
  )</f>
        <v/>
      </c>
      <c r="F742" s="221" t="str">
        <f>IFERROR(VLOOKUP(B742, Content_Creation!B:F, 5, FALSE), IFERROR(VLOOKUP(B742, Project_Management!B:F, 5, FALSE), ""))</f>
        <v/>
      </c>
      <c r="G742" s="222" t="s">
        <v>1317</v>
      </c>
      <c r="H742" s="223" t="str">
        <f>IFERROR(VLOOKUP(B742, Content_Creation!B:H, 7, FALSE), IFERROR(VLOOKUP(B742, Project_Management!B:H, 7, FALSE), ""))</f>
        <v/>
      </c>
      <c r="I742" s="224">
        <v>0.0</v>
      </c>
      <c r="J742" s="217"/>
      <c r="K742" s="217"/>
      <c r="L742" s="225" t="str">
        <f>IFERROR(VLOOKUP(B742, Data_Validation!X:Y, 2, FALSE), "")</f>
        <v/>
      </c>
      <c r="M742" s="226" t="str">
        <f t="shared" si="1"/>
        <v> |  -  | </v>
      </c>
      <c r="N742" s="226"/>
      <c r="O742" s="226"/>
    </row>
    <row r="743" ht="24.0" customHeight="1">
      <c r="A743" s="216" t="str">
        <f>IFERROR(__xludf.DUMMYFUNCTION("ARRAYFORMULA(IFERROR(VLOOKUP(REGEXEXTRACT(B743, ""-(\w+)-""), {Data_Validation!$F$16:$F$29, Data_Validation!$E$16:$E$29}, 2, FALSE), """"))
"),"")</f>
        <v/>
      </c>
      <c r="B743" s="217"/>
      <c r="C743" s="218" t="str">
        <f>IFERROR(__xludf.DUMMYFUNCTION("IFERROR(REGEXEXTRACT(B743, ""^[A-Z]+-[A-Z]+-"") &amp; TEXT(VALUE(REGEXEXTRACT(B743, ""-(\d+)\."")), ""00""), """")"),"")</f>
        <v/>
      </c>
      <c r="D743" s="219" t="str">
        <f>IFERROR(VLOOKUP(C743, Content_Creation!B:D, 2, FALSE), IFERROR(VLOOKUP(C743, Project_Management!B:D, 2, FALSE), ""))
&amp; " - "
&amp; IFERROR(VLOOKUP(C743, Content_Creation!B:E, 4, FALSE), IFERROR(VLOOKUP(C743, Project_Management!B:E, 4, FALSE), ""))</f>
        <v> - </v>
      </c>
      <c r="E743" s="220" t="str">
        <f>IFERROR(
    VLOOKUP(B742:B1001, Content_Creation!B:D, 3, FALSE),
    IFERROR(VLOOKUP(B742:B1001, Project_Management!B:D, 3, FALSE),"")
  )</f>
        <v/>
      </c>
      <c r="F743" s="221" t="str">
        <f>IFERROR(VLOOKUP(B743, Content_Creation!B:F, 5, FALSE), IFERROR(VLOOKUP(B743, Project_Management!B:F, 5, FALSE), ""))</f>
        <v/>
      </c>
      <c r="G743" s="222" t="s">
        <v>1317</v>
      </c>
      <c r="H743" s="223" t="str">
        <f>IFERROR(VLOOKUP(B743, Content_Creation!B:H, 7, FALSE), IFERROR(VLOOKUP(B743, Project_Management!B:H, 7, FALSE), ""))</f>
        <v/>
      </c>
      <c r="I743" s="224">
        <v>0.0</v>
      </c>
      <c r="J743" s="217"/>
      <c r="K743" s="217"/>
      <c r="L743" s="225" t="str">
        <f>IFERROR(VLOOKUP(B743, Data_Validation!X:Y, 2, FALSE), "")</f>
        <v/>
      </c>
      <c r="M743" s="226" t="str">
        <f t="shared" si="1"/>
        <v> |  -  | </v>
      </c>
      <c r="N743" s="226"/>
      <c r="O743" s="226"/>
    </row>
    <row r="744" ht="24.0" customHeight="1">
      <c r="A744" s="216" t="str">
        <f>IFERROR(__xludf.DUMMYFUNCTION("ARRAYFORMULA(IFERROR(VLOOKUP(REGEXEXTRACT(B744, ""-(\w+)-""), {Data_Validation!$F$16:$F$29, Data_Validation!$E$16:$E$29}, 2, FALSE), """"))
"),"")</f>
        <v/>
      </c>
      <c r="B744" s="217"/>
      <c r="C744" s="218" t="str">
        <f>IFERROR(__xludf.DUMMYFUNCTION("IFERROR(REGEXEXTRACT(B744, ""^[A-Z]+-[A-Z]+-"") &amp; TEXT(VALUE(REGEXEXTRACT(B744, ""-(\d+)\."")), ""00""), """")"),"")</f>
        <v/>
      </c>
      <c r="D744" s="219" t="str">
        <f>IFERROR(VLOOKUP(C744, Content_Creation!B:D, 2, FALSE), IFERROR(VLOOKUP(C744, Project_Management!B:D, 2, FALSE), ""))
&amp; " - "
&amp; IFERROR(VLOOKUP(C744, Content_Creation!B:E, 4, FALSE), IFERROR(VLOOKUP(C744, Project_Management!B:E, 4, FALSE), ""))</f>
        <v> - </v>
      </c>
      <c r="E744" s="220" t="str">
        <f>IFERROR(
    VLOOKUP(B743:B1001, Content_Creation!B:D, 3, FALSE),
    IFERROR(VLOOKUP(B743:B1001, Project_Management!B:D, 3, FALSE),"")
  )</f>
        <v/>
      </c>
      <c r="F744" s="221" t="str">
        <f>IFERROR(VLOOKUP(B744, Content_Creation!B:F, 5, FALSE), IFERROR(VLOOKUP(B744, Project_Management!B:F, 5, FALSE), ""))</f>
        <v/>
      </c>
      <c r="G744" s="222" t="s">
        <v>1317</v>
      </c>
      <c r="H744" s="223" t="str">
        <f>IFERROR(VLOOKUP(B744, Content_Creation!B:H, 7, FALSE), IFERROR(VLOOKUP(B744, Project_Management!B:H, 7, FALSE), ""))</f>
        <v/>
      </c>
      <c r="I744" s="224">
        <v>0.0</v>
      </c>
      <c r="J744" s="217"/>
      <c r="K744" s="217"/>
      <c r="L744" s="225" t="str">
        <f>IFERROR(VLOOKUP(B744, Data_Validation!X:Y, 2, FALSE), "")</f>
        <v/>
      </c>
      <c r="M744" s="226" t="str">
        <f t="shared" si="1"/>
        <v> |  -  | </v>
      </c>
      <c r="N744" s="226"/>
      <c r="O744" s="226"/>
    </row>
    <row r="745" ht="24.0" customHeight="1">
      <c r="A745" s="216" t="str">
        <f>IFERROR(__xludf.DUMMYFUNCTION("ARRAYFORMULA(IFERROR(VLOOKUP(REGEXEXTRACT(B745, ""-(\w+)-""), {Data_Validation!$F$16:$F$29, Data_Validation!$E$16:$E$29}, 2, FALSE), """"))
"),"")</f>
        <v/>
      </c>
      <c r="B745" s="217"/>
      <c r="C745" s="218" t="str">
        <f>IFERROR(__xludf.DUMMYFUNCTION("IFERROR(REGEXEXTRACT(B745, ""^[A-Z]+-[A-Z]+-"") &amp; TEXT(VALUE(REGEXEXTRACT(B745, ""-(\d+)\."")), ""00""), """")"),"")</f>
        <v/>
      </c>
      <c r="D745" s="219" t="str">
        <f>IFERROR(VLOOKUP(C745, Content_Creation!B:D, 2, FALSE), IFERROR(VLOOKUP(C745, Project_Management!B:D, 2, FALSE), ""))
&amp; " - "
&amp; IFERROR(VLOOKUP(C745, Content_Creation!B:E, 4, FALSE), IFERROR(VLOOKUP(C745, Project_Management!B:E, 4, FALSE), ""))</f>
        <v> - </v>
      </c>
      <c r="E745" s="220" t="str">
        <f>IFERROR(
    VLOOKUP(B744:B1001, Content_Creation!B:D, 3, FALSE),
    IFERROR(VLOOKUP(B744:B1001, Project_Management!B:D, 3, FALSE),"")
  )</f>
        <v/>
      </c>
      <c r="F745" s="221" t="str">
        <f>IFERROR(VLOOKUP(B745, Content_Creation!B:F, 5, FALSE), IFERROR(VLOOKUP(B745, Project_Management!B:F, 5, FALSE), ""))</f>
        <v/>
      </c>
      <c r="G745" s="222" t="s">
        <v>1317</v>
      </c>
      <c r="H745" s="223" t="str">
        <f>IFERROR(VLOOKUP(B745, Content_Creation!B:H, 7, FALSE), IFERROR(VLOOKUP(B745, Project_Management!B:H, 7, FALSE), ""))</f>
        <v/>
      </c>
      <c r="I745" s="224">
        <v>0.0</v>
      </c>
      <c r="J745" s="217"/>
      <c r="K745" s="217"/>
      <c r="L745" s="225" t="str">
        <f>IFERROR(VLOOKUP(B745, Data_Validation!X:Y, 2, FALSE), "")</f>
        <v/>
      </c>
      <c r="M745" s="226" t="str">
        <f t="shared" si="1"/>
        <v> |  -  | </v>
      </c>
      <c r="N745" s="226"/>
      <c r="O745" s="226"/>
    </row>
    <row r="746" ht="24.0" customHeight="1">
      <c r="A746" s="216" t="str">
        <f>IFERROR(__xludf.DUMMYFUNCTION("ARRAYFORMULA(IFERROR(VLOOKUP(REGEXEXTRACT(B746, ""-(\w+)-""), {Data_Validation!$F$16:$F$29, Data_Validation!$E$16:$E$29}, 2, FALSE), """"))
"),"")</f>
        <v/>
      </c>
      <c r="B746" s="217"/>
      <c r="C746" s="218" t="str">
        <f>IFERROR(__xludf.DUMMYFUNCTION("IFERROR(REGEXEXTRACT(B746, ""^[A-Z]+-[A-Z]+-"") &amp; TEXT(VALUE(REGEXEXTRACT(B746, ""-(\d+)\."")), ""00""), """")"),"")</f>
        <v/>
      </c>
      <c r="D746" s="219" t="str">
        <f>IFERROR(VLOOKUP(C746, Content_Creation!B:D, 2, FALSE), IFERROR(VLOOKUP(C746, Project_Management!B:D, 2, FALSE), ""))
&amp; " - "
&amp; IFERROR(VLOOKUP(C746, Content_Creation!B:E, 4, FALSE), IFERROR(VLOOKUP(C746, Project_Management!B:E, 4, FALSE), ""))</f>
        <v> - </v>
      </c>
      <c r="E746" s="220" t="str">
        <f>IFERROR(
    VLOOKUP(B745:B1001, Content_Creation!B:D, 3, FALSE),
    IFERROR(VLOOKUP(B745:B1001, Project_Management!B:D, 3, FALSE),"")
  )</f>
        <v/>
      </c>
      <c r="F746" s="221" t="str">
        <f>IFERROR(VLOOKUP(B746, Content_Creation!B:F, 5, FALSE), IFERROR(VLOOKUP(B746, Project_Management!B:F, 5, FALSE), ""))</f>
        <v/>
      </c>
      <c r="G746" s="222" t="s">
        <v>1317</v>
      </c>
      <c r="H746" s="223" t="str">
        <f>IFERROR(VLOOKUP(B746, Content_Creation!B:H, 7, FALSE), IFERROR(VLOOKUP(B746, Project_Management!B:H, 7, FALSE), ""))</f>
        <v/>
      </c>
      <c r="I746" s="224">
        <v>0.0</v>
      </c>
      <c r="J746" s="217"/>
      <c r="K746" s="217"/>
      <c r="L746" s="225" t="str">
        <f>IFERROR(VLOOKUP(B746, Data_Validation!X:Y, 2, FALSE), "")</f>
        <v/>
      </c>
      <c r="M746" s="226" t="str">
        <f t="shared" si="1"/>
        <v> |  -  | </v>
      </c>
      <c r="N746" s="226"/>
      <c r="O746" s="226"/>
    </row>
    <row r="747" ht="24.0" customHeight="1">
      <c r="A747" s="216" t="str">
        <f>IFERROR(__xludf.DUMMYFUNCTION("ARRAYFORMULA(IFERROR(VLOOKUP(REGEXEXTRACT(B747, ""-(\w+)-""), {Data_Validation!$F$16:$F$29, Data_Validation!$E$16:$E$29}, 2, FALSE), """"))
"),"")</f>
        <v/>
      </c>
      <c r="B747" s="217"/>
      <c r="C747" s="218" t="str">
        <f>IFERROR(__xludf.DUMMYFUNCTION("IFERROR(REGEXEXTRACT(B747, ""^[A-Z]+-[A-Z]+-"") &amp; TEXT(VALUE(REGEXEXTRACT(B747, ""-(\d+)\."")), ""00""), """")"),"")</f>
        <v/>
      </c>
      <c r="D747" s="219" t="str">
        <f>IFERROR(VLOOKUP(C747, Content_Creation!B:D, 2, FALSE), IFERROR(VLOOKUP(C747, Project_Management!B:D, 2, FALSE), ""))
&amp; " - "
&amp; IFERROR(VLOOKUP(C747, Content_Creation!B:E, 4, FALSE), IFERROR(VLOOKUP(C747, Project_Management!B:E, 4, FALSE), ""))</f>
        <v> - </v>
      </c>
      <c r="E747" s="220" t="str">
        <f>IFERROR(
    VLOOKUP(B746:B1001, Content_Creation!B:D, 3, FALSE),
    IFERROR(VLOOKUP(B746:B1001, Project_Management!B:D, 3, FALSE),"")
  )</f>
        <v/>
      </c>
      <c r="F747" s="221" t="str">
        <f>IFERROR(VLOOKUP(B747, Content_Creation!B:F, 5, FALSE), IFERROR(VLOOKUP(B747, Project_Management!B:F, 5, FALSE), ""))</f>
        <v/>
      </c>
      <c r="G747" s="222" t="s">
        <v>1317</v>
      </c>
      <c r="H747" s="223" t="str">
        <f>IFERROR(VLOOKUP(B747, Content_Creation!B:H, 7, FALSE), IFERROR(VLOOKUP(B747, Project_Management!B:H, 7, FALSE), ""))</f>
        <v/>
      </c>
      <c r="I747" s="224">
        <v>0.0</v>
      </c>
      <c r="J747" s="217"/>
      <c r="K747" s="217"/>
      <c r="L747" s="225" t="str">
        <f>IFERROR(VLOOKUP(B747, Data_Validation!X:Y, 2, FALSE), "")</f>
        <v/>
      </c>
      <c r="M747" s="226" t="str">
        <f t="shared" si="1"/>
        <v> |  -  | </v>
      </c>
      <c r="N747" s="226"/>
      <c r="O747" s="226"/>
    </row>
    <row r="748" ht="24.0" customHeight="1">
      <c r="A748" s="216" t="str">
        <f>IFERROR(__xludf.DUMMYFUNCTION("ARRAYFORMULA(IFERROR(VLOOKUP(REGEXEXTRACT(B748, ""-(\w+)-""), {Data_Validation!$F$16:$F$29, Data_Validation!$E$16:$E$29}, 2, FALSE), """"))
"),"")</f>
        <v/>
      </c>
      <c r="B748" s="217"/>
      <c r="C748" s="218" t="str">
        <f>IFERROR(__xludf.DUMMYFUNCTION("IFERROR(REGEXEXTRACT(B748, ""^[A-Z]+-[A-Z]+-"") &amp; TEXT(VALUE(REGEXEXTRACT(B748, ""-(\d+)\."")), ""00""), """")"),"")</f>
        <v/>
      </c>
      <c r="D748" s="219" t="str">
        <f>IFERROR(VLOOKUP(C748, Content_Creation!B:D, 2, FALSE), IFERROR(VLOOKUP(C748, Project_Management!B:D, 2, FALSE), ""))
&amp; " - "
&amp; IFERROR(VLOOKUP(C748, Content_Creation!B:E, 4, FALSE), IFERROR(VLOOKUP(C748, Project_Management!B:E, 4, FALSE), ""))</f>
        <v> - </v>
      </c>
      <c r="E748" s="220" t="str">
        <f>IFERROR(
    VLOOKUP(B747:B1001, Content_Creation!B:D, 3, FALSE),
    IFERROR(VLOOKUP(B747:B1001, Project_Management!B:D, 3, FALSE),"")
  )</f>
        <v/>
      </c>
      <c r="F748" s="221" t="str">
        <f>IFERROR(VLOOKUP(B748, Content_Creation!B:F, 5, FALSE), IFERROR(VLOOKUP(B748, Project_Management!B:F, 5, FALSE), ""))</f>
        <v/>
      </c>
      <c r="G748" s="222" t="s">
        <v>1317</v>
      </c>
      <c r="H748" s="223" t="str">
        <f>IFERROR(VLOOKUP(B748, Content_Creation!B:H, 7, FALSE), IFERROR(VLOOKUP(B748, Project_Management!B:H, 7, FALSE), ""))</f>
        <v/>
      </c>
      <c r="I748" s="224">
        <v>0.0</v>
      </c>
      <c r="J748" s="217"/>
      <c r="K748" s="217"/>
      <c r="L748" s="225" t="str">
        <f>IFERROR(VLOOKUP(B748, Data_Validation!X:Y, 2, FALSE), "")</f>
        <v/>
      </c>
      <c r="M748" s="226" t="str">
        <f t="shared" si="1"/>
        <v> |  -  | </v>
      </c>
      <c r="N748" s="226"/>
      <c r="O748" s="226"/>
    </row>
    <row r="749" ht="24.0" customHeight="1">
      <c r="A749" s="216" t="str">
        <f>IFERROR(__xludf.DUMMYFUNCTION("ARRAYFORMULA(IFERROR(VLOOKUP(REGEXEXTRACT(B749, ""-(\w+)-""), {Data_Validation!$F$16:$F$29, Data_Validation!$E$16:$E$29}, 2, FALSE), """"))
"),"")</f>
        <v/>
      </c>
      <c r="B749" s="217"/>
      <c r="C749" s="218" t="str">
        <f>IFERROR(__xludf.DUMMYFUNCTION("IFERROR(REGEXEXTRACT(B749, ""^[A-Z]+-[A-Z]+-"") &amp; TEXT(VALUE(REGEXEXTRACT(B749, ""-(\d+)\."")), ""00""), """")"),"")</f>
        <v/>
      </c>
      <c r="D749" s="219" t="str">
        <f>IFERROR(VLOOKUP(C749, Content_Creation!B:D, 2, FALSE), IFERROR(VLOOKUP(C749, Project_Management!B:D, 2, FALSE), ""))
&amp; " - "
&amp; IFERROR(VLOOKUP(C749, Content_Creation!B:E, 4, FALSE), IFERROR(VLOOKUP(C749, Project_Management!B:E, 4, FALSE), ""))</f>
        <v> - </v>
      </c>
      <c r="E749" s="220" t="str">
        <f>IFERROR(
    VLOOKUP(B748:B1001, Content_Creation!B:D, 3, FALSE),
    IFERROR(VLOOKUP(B748:B1001, Project_Management!B:D, 3, FALSE),"")
  )</f>
        <v/>
      </c>
      <c r="F749" s="221" t="str">
        <f>IFERROR(VLOOKUP(B749, Content_Creation!B:F, 5, FALSE), IFERROR(VLOOKUP(B749, Project_Management!B:F, 5, FALSE), ""))</f>
        <v/>
      </c>
      <c r="G749" s="222" t="s">
        <v>1317</v>
      </c>
      <c r="H749" s="223" t="str">
        <f>IFERROR(VLOOKUP(B749, Content_Creation!B:H, 7, FALSE), IFERROR(VLOOKUP(B749, Project_Management!B:H, 7, FALSE), ""))</f>
        <v/>
      </c>
      <c r="I749" s="224">
        <v>0.0</v>
      </c>
      <c r="J749" s="217"/>
      <c r="K749" s="217"/>
      <c r="L749" s="225" t="str">
        <f>IFERROR(VLOOKUP(B749, Data_Validation!X:Y, 2, FALSE), "")</f>
        <v/>
      </c>
      <c r="M749" s="226" t="str">
        <f t="shared" si="1"/>
        <v> |  -  | </v>
      </c>
      <c r="N749" s="226"/>
      <c r="O749" s="226"/>
    </row>
    <row r="750" ht="24.0" customHeight="1">
      <c r="A750" s="216" t="str">
        <f>IFERROR(__xludf.DUMMYFUNCTION("ARRAYFORMULA(IFERROR(VLOOKUP(REGEXEXTRACT(B750, ""-(\w+)-""), {Data_Validation!$F$16:$F$29, Data_Validation!$E$16:$E$29}, 2, FALSE), """"))
"),"")</f>
        <v/>
      </c>
      <c r="B750" s="217"/>
      <c r="C750" s="218" t="str">
        <f>IFERROR(__xludf.DUMMYFUNCTION("IFERROR(REGEXEXTRACT(B750, ""^[A-Z]+-[A-Z]+-"") &amp; TEXT(VALUE(REGEXEXTRACT(B750, ""-(\d+)\."")), ""00""), """")"),"")</f>
        <v/>
      </c>
      <c r="D750" s="219" t="str">
        <f>IFERROR(VLOOKUP(C750, Content_Creation!B:D, 2, FALSE), IFERROR(VLOOKUP(C750, Project_Management!B:D, 2, FALSE), ""))
&amp; " - "
&amp; IFERROR(VLOOKUP(C750, Content_Creation!B:E, 4, FALSE), IFERROR(VLOOKUP(C750, Project_Management!B:E, 4, FALSE), ""))</f>
        <v> - </v>
      </c>
      <c r="E750" s="220" t="str">
        <f>IFERROR(
    VLOOKUP(B749:B1001, Content_Creation!B:D, 3, FALSE),
    IFERROR(VLOOKUP(B749:B1001, Project_Management!B:D, 3, FALSE),"")
  )</f>
        <v/>
      </c>
      <c r="F750" s="221" t="str">
        <f>IFERROR(VLOOKUP(B750, Content_Creation!B:F, 5, FALSE), IFERROR(VLOOKUP(B750, Project_Management!B:F, 5, FALSE), ""))</f>
        <v/>
      </c>
      <c r="G750" s="222" t="s">
        <v>1317</v>
      </c>
      <c r="H750" s="223" t="str">
        <f>IFERROR(VLOOKUP(B750, Content_Creation!B:H, 7, FALSE), IFERROR(VLOOKUP(B750, Project_Management!B:H, 7, FALSE), ""))</f>
        <v/>
      </c>
      <c r="I750" s="224">
        <v>0.0</v>
      </c>
      <c r="J750" s="217"/>
      <c r="K750" s="217"/>
      <c r="L750" s="225" t="str">
        <f>IFERROR(VLOOKUP(B750, Data_Validation!X:Y, 2, FALSE), "")</f>
        <v/>
      </c>
      <c r="M750" s="226" t="str">
        <f t="shared" si="1"/>
        <v> |  -  | </v>
      </c>
      <c r="N750" s="226"/>
      <c r="O750" s="226"/>
    </row>
    <row r="751" ht="24.0" customHeight="1">
      <c r="A751" s="216" t="str">
        <f>IFERROR(__xludf.DUMMYFUNCTION("ARRAYFORMULA(IFERROR(VLOOKUP(REGEXEXTRACT(B751, ""-(\w+)-""), {Data_Validation!$F$16:$F$29, Data_Validation!$E$16:$E$29}, 2, FALSE), """"))
"),"")</f>
        <v/>
      </c>
      <c r="B751" s="217"/>
      <c r="C751" s="218" t="str">
        <f>IFERROR(__xludf.DUMMYFUNCTION("IFERROR(REGEXEXTRACT(B751, ""^[A-Z]+-[A-Z]+-"") &amp; TEXT(VALUE(REGEXEXTRACT(B751, ""-(\d+)\."")), ""00""), """")"),"")</f>
        <v/>
      </c>
      <c r="D751" s="219" t="str">
        <f>IFERROR(VLOOKUP(C751, Content_Creation!B:D, 2, FALSE), IFERROR(VLOOKUP(C751, Project_Management!B:D, 2, FALSE), ""))
&amp; " - "
&amp; IFERROR(VLOOKUP(C751, Content_Creation!B:E, 4, FALSE), IFERROR(VLOOKUP(C751, Project_Management!B:E, 4, FALSE), ""))</f>
        <v> - </v>
      </c>
      <c r="E751" s="220" t="str">
        <f>IFERROR(
    VLOOKUP(B750:B1001, Content_Creation!B:D, 3, FALSE),
    IFERROR(VLOOKUP(B750:B1001, Project_Management!B:D, 3, FALSE),"")
  )</f>
        <v/>
      </c>
      <c r="F751" s="221" t="str">
        <f>IFERROR(VLOOKUP(B751, Content_Creation!B:F, 5, FALSE), IFERROR(VLOOKUP(B751, Project_Management!B:F, 5, FALSE), ""))</f>
        <v/>
      </c>
      <c r="G751" s="222" t="s">
        <v>1317</v>
      </c>
      <c r="H751" s="223" t="str">
        <f>IFERROR(VLOOKUP(B751, Content_Creation!B:H, 7, FALSE), IFERROR(VLOOKUP(B751, Project_Management!B:H, 7, FALSE), ""))</f>
        <v/>
      </c>
      <c r="I751" s="224">
        <v>0.0</v>
      </c>
      <c r="J751" s="217"/>
      <c r="K751" s="217"/>
      <c r="L751" s="225" t="str">
        <f>IFERROR(VLOOKUP(B751, Data_Validation!X:Y, 2, FALSE), "")</f>
        <v/>
      </c>
      <c r="M751" s="226" t="str">
        <f t="shared" si="1"/>
        <v> |  -  | </v>
      </c>
      <c r="N751" s="226"/>
      <c r="O751" s="226"/>
    </row>
    <row r="752" ht="24.0" customHeight="1">
      <c r="A752" s="216" t="str">
        <f>IFERROR(__xludf.DUMMYFUNCTION("ARRAYFORMULA(IFERROR(VLOOKUP(REGEXEXTRACT(B752, ""-(\w+)-""), {Data_Validation!$F$16:$F$29, Data_Validation!$E$16:$E$29}, 2, FALSE), """"))
"),"")</f>
        <v/>
      </c>
      <c r="B752" s="217"/>
      <c r="C752" s="218" t="str">
        <f>IFERROR(__xludf.DUMMYFUNCTION("IFERROR(REGEXEXTRACT(B752, ""^[A-Z]+-[A-Z]+-"") &amp; TEXT(VALUE(REGEXEXTRACT(B752, ""-(\d+)\."")), ""00""), """")"),"")</f>
        <v/>
      </c>
      <c r="D752" s="219" t="str">
        <f>IFERROR(VLOOKUP(C752, Content_Creation!B:D, 2, FALSE), IFERROR(VLOOKUP(C752, Project_Management!B:D, 2, FALSE), ""))
&amp; " - "
&amp; IFERROR(VLOOKUP(C752, Content_Creation!B:E, 4, FALSE), IFERROR(VLOOKUP(C752, Project_Management!B:E, 4, FALSE), ""))</f>
        <v> - </v>
      </c>
      <c r="E752" s="220" t="str">
        <f>IFERROR(
    VLOOKUP(B751:B1001, Content_Creation!B:D, 3, FALSE),
    IFERROR(VLOOKUP(B751:B1001, Project_Management!B:D, 3, FALSE),"")
  )</f>
        <v/>
      </c>
      <c r="F752" s="221" t="str">
        <f>IFERROR(VLOOKUP(B752, Content_Creation!B:F, 5, FALSE), IFERROR(VLOOKUP(B752, Project_Management!B:F, 5, FALSE), ""))</f>
        <v/>
      </c>
      <c r="G752" s="222" t="s">
        <v>1317</v>
      </c>
      <c r="H752" s="223" t="str">
        <f>IFERROR(VLOOKUP(B752, Content_Creation!B:H, 7, FALSE), IFERROR(VLOOKUP(B752, Project_Management!B:H, 7, FALSE), ""))</f>
        <v/>
      </c>
      <c r="I752" s="224">
        <v>0.0</v>
      </c>
      <c r="J752" s="217"/>
      <c r="K752" s="217"/>
      <c r="L752" s="225" t="str">
        <f>IFERROR(VLOOKUP(B752, Data_Validation!X:Y, 2, FALSE), "")</f>
        <v/>
      </c>
      <c r="M752" s="226" t="str">
        <f t="shared" si="1"/>
        <v> |  -  | </v>
      </c>
      <c r="N752" s="226"/>
      <c r="O752" s="226"/>
    </row>
    <row r="753" ht="24.0" customHeight="1">
      <c r="A753" s="216" t="str">
        <f>IFERROR(__xludf.DUMMYFUNCTION("ARRAYFORMULA(IFERROR(VLOOKUP(REGEXEXTRACT(B753, ""-(\w+)-""), {Data_Validation!$F$16:$F$29, Data_Validation!$E$16:$E$29}, 2, FALSE), """"))
"),"")</f>
        <v/>
      </c>
      <c r="B753" s="217"/>
      <c r="C753" s="218" t="str">
        <f>IFERROR(__xludf.DUMMYFUNCTION("IFERROR(REGEXEXTRACT(B753, ""^[A-Z]+-[A-Z]+-"") &amp; TEXT(VALUE(REGEXEXTRACT(B753, ""-(\d+)\."")), ""00""), """")"),"")</f>
        <v/>
      </c>
      <c r="D753" s="219" t="str">
        <f>IFERROR(VLOOKUP(C753, Content_Creation!B:D, 2, FALSE), IFERROR(VLOOKUP(C753, Project_Management!B:D, 2, FALSE), ""))
&amp; " - "
&amp; IFERROR(VLOOKUP(C753, Content_Creation!B:E, 4, FALSE), IFERROR(VLOOKUP(C753, Project_Management!B:E, 4, FALSE), ""))</f>
        <v> - </v>
      </c>
      <c r="E753" s="220" t="str">
        <f>IFERROR(
    VLOOKUP(B752:B1001, Content_Creation!B:D, 3, FALSE),
    IFERROR(VLOOKUP(B752:B1001, Project_Management!B:D, 3, FALSE),"")
  )</f>
        <v/>
      </c>
      <c r="F753" s="221" t="str">
        <f>IFERROR(VLOOKUP(B753, Content_Creation!B:F, 5, FALSE), IFERROR(VLOOKUP(B753, Project_Management!B:F, 5, FALSE), ""))</f>
        <v/>
      </c>
      <c r="G753" s="267" t="s">
        <v>1317</v>
      </c>
      <c r="H753" s="223" t="str">
        <f>IFERROR(VLOOKUP(B753, Content_Creation!B:H, 7, FALSE), IFERROR(VLOOKUP(B753, Project_Management!B:H, 7, FALSE), ""))</f>
        <v/>
      </c>
      <c r="I753" s="224">
        <v>0.0</v>
      </c>
      <c r="J753" s="217"/>
      <c r="K753" s="217"/>
      <c r="L753" s="225" t="str">
        <f>IFERROR(VLOOKUP(B753, Data_Validation!X:Y, 2, FALSE), "")</f>
        <v/>
      </c>
      <c r="M753" s="226" t="str">
        <f t="shared" si="1"/>
        <v> |  -  | </v>
      </c>
      <c r="N753" s="226"/>
      <c r="O753" s="226"/>
    </row>
    <row r="754" ht="24.0" customHeight="1">
      <c r="A754" s="216" t="str">
        <f>IFERROR(__xludf.DUMMYFUNCTION("ARRAYFORMULA(IFERROR(VLOOKUP(REGEXEXTRACT(B754, ""-(\w+)-""), {Data_Validation!$F$16:$F$29, Data_Validation!$E$16:$E$29}, 2, FALSE), """"))
"),"")</f>
        <v/>
      </c>
      <c r="B754" s="217"/>
      <c r="C754" s="218" t="str">
        <f>IFERROR(__xludf.DUMMYFUNCTION("IFERROR(REGEXEXTRACT(B754, ""^[A-Z]+-[A-Z]+-"") &amp; TEXT(VALUE(REGEXEXTRACT(B754, ""-(\d+)\."")), ""00""), """")"),"")</f>
        <v/>
      </c>
      <c r="D754" s="219" t="str">
        <f>IFERROR(VLOOKUP(C754, Content_Creation!B:D, 2, FALSE), IFERROR(VLOOKUP(C754, Project_Management!B:D, 2, FALSE), ""))
&amp; " - "
&amp; IFERROR(VLOOKUP(C754, Content_Creation!B:E, 4, FALSE), IFERROR(VLOOKUP(C754, Project_Management!B:E, 4, FALSE), ""))</f>
        <v> - </v>
      </c>
      <c r="E754" s="220" t="str">
        <f>IFERROR(
    VLOOKUP(B753:B1001, Content_Creation!B:D, 3, FALSE),
    IFERROR(VLOOKUP(B753:B1001, Project_Management!B:D, 3, FALSE),"")
  )</f>
        <v/>
      </c>
      <c r="F754" s="221" t="str">
        <f>IFERROR(VLOOKUP(B754, Content_Creation!B:F, 5, FALSE), IFERROR(VLOOKUP(B754, Project_Management!B:F, 5, FALSE), ""))</f>
        <v/>
      </c>
      <c r="G754" s="267" t="s">
        <v>1317</v>
      </c>
      <c r="H754" s="223" t="str">
        <f>IFERROR(VLOOKUP(B754, Content_Creation!B:H, 7, FALSE), IFERROR(VLOOKUP(B754, Project_Management!B:H, 7, FALSE), ""))</f>
        <v/>
      </c>
      <c r="I754" s="224">
        <v>0.0</v>
      </c>
      <c r="J754" s="217"/>
      <c r="K754" s="217"/>
      <c r="L754" s="225" t="str">
        <f>IFERROR(VLOOKUP(B754, Data_Validation!X:Y, 2, FALSE), "")</f>
        <v/>
      </c>
      <c r="M754" s="226" t="str">
        <f t="shared" si="1"/>
        <v> |  -  | </v>
      </c>
      <c r="N754" s="226"/>
      <c r="O754" s="226"/>
    </row>
    <row r="755" ht="24.0" customHeight="1">
      <c r="A755" s="216" t="str">
        <f>IFERROR(__xludf.DUMMYFUNCTION("ARRAYFORMULA(IFERROR(VLOOKUP(REGEXEXTRACT(B755, ""-(\w+)-""), {Data_Validation!$F$16:$F$29, Data_Validation!$E$16:$E$29}, 2, FALSE), """"))
"),"")</f>
        <v/>
      </c>
      <c r="B755" s="217"/>
      <c r="C755" s="218" t="str">
        <f>IFERROR(__xludf.DUMMYFUNCTION("IFERROR(REGEXEXTRACT(B755, ""^[A-Z]+-[A-Z]+-"") &amp; TEXT(VALUE(REGEXEXTRACT(B755, ""-(\d+)\."")), ""00""), """")"),"")</f>
        <v/>
      </c>
      <c r="D755" s="219" t="str">
        <f>IFERROR(VLOOKUP(C755, Content_Creation!B:D, 2, FALSE), IFERROR(VLOOKUP(C755, Project_Management!B:D, 2, FALSE), ""))
&amp; " - "
&amp; IFERROR(VLOOKUP(C755, Content_Creation!B:E, 4, FALSE), IFERROR(VLOOKUP(C755, Project_Management!B:E, 4, FALSE), ""))</f>
        <v> - </v>
      </c>
      <c r="E755" s="220" t="str">
        <f>IFERROR(
    VLOOKUP(B754:B1001, Content_Creation!B:D, 3, FALSE),
    IFERROR(VLOOKUP(B754:B1001, Project_Management!B:D, 3, FALSE),"")
  )</f>
        <v/>
      </c>
      <c r="F755" s="221" t="str">
        <f>IFERROR(VLOOKUP(B755, Content_Creation!B:F, 5, FALSE), IFERROR(VLOOKUP(B755, Project_Management!B:F, 5, FALSE), ""))</f>
        <v/>
      </c>
      <c r="G755" s="267" t="s">
        <v>1317</v>
      </c>
      <c r="H755" s="223" t="str">
        <f>IFERROR(VLOOKUP(B755, Content_Creation!B:H, 7, FALSE), IFERROR(VLOOKUP(B755, Project_Management!B:H, 7, FALSE), ""))</f>
        <v/>
      </c>
      <c r="I755" s="224">
        <v>0.0</v>
      </c>
      <c r="J755" s="217"/>
      <c r="K755" s="217"/>
      <c r="L755" s="225" t="str">
        <f>IFERROR(VLOOKUP(B755, Data_Validation!X:Y, 2, FALSE), "")</f>
        <v/>
      </c>
      <c r="M755" s="226" t="str">
        <f t="shared" si="1"/>
        <v> |  -  | </v>
      </c>
      <c r="N755" s="226"/>
      <c r="O755" s="226"/>
    </row>
    <row r="756" ht="24.0" customHeight="1">
      <c r="A756" s="216" t="str">
        <f>IFERROR(__xludf.DUMMYFUNCTION("ARRAYFORMULA(IFERROR(VLOOKUP(REGEXEXTRACT(B756, ""-(\w+)-""), {Data_Validation!$F$16:$F$29, Data_Validation!$E$16:$E$29}, 2, FALSE), """"))
"),"")</f>
        <v/>
      </c>
      <c r="B756" s="217"/>
      <c r="C756" s="218" t="str">
        <f>IFERROR(__xludf.DUMMYFUNCTION("IFERROR(REGEXEXTRACT(B756, ""^[A-Z]+-[A-Z]+-"") &amp; TEXT(VALUE(REGEXEXTRACT(B756, ""-(\d+)\."")), ""00""), """")"),"")</f>
        <v/>
      </c>
      <c r="D756" s="219" t="str">
        <f>IFERROR(VLOOKUP(C756, Content_Creation!B:D, 2, FALSE), IFERROR(VLOOKUP(C756, Project_Management!B:D, 2, FALSE), ""))
&amp; " - "
&amp; IFERROR(VLOOKUP(C756, Content_Creation!B:E, 4, FALSE), IFERROR(VLOOKUP(C756, Project_Management!B:E, 4, FALSE), ""))</f>
        <v> - </v>
      </c>
      <c r="E756" s="220" t="str">
        <f>IFERROR(
    VLOOKUP(B755:B1001, Content_Creation!B:D, 3, FALSE),
    IFERROR(VLOOKUP(B755:B1001, Project_Management!B:D, 3, FALSE),"")
  )</f>
        <v/>
      </c>
      <c r="F756" s="221" t="str">
        <f>IFERROR(VLOOKUP(B756, Content_Creation!B:F, 5, FALSE), IFERROR(VLOOKUP(B756, Project_Management!B:F, 5, FALSE), ""))</f>
        <v/>
      </c>
      <c r="G756" s="267" t="s">
        <v>1317</v>
      </c>
      <c r="H756" s="223" t="str">
        <f>IFERROR(VLOOKUP(B756, Content_Creation!B:H, 7, FALSE), IFERROR(VLOOKUP(B756, Project_Management!B:H, 7, FALSE), ""))</f>
        <v/>
      </c>
      <c r="I756" s="224">
        <v>0.0</v>
      </c>
      <c r="J756" s="217"/>
      <c r="K756" s="217"/>
      <c r="L756" s="225" t="str">
        <f>IFERROR(VLOOKUP(B756, Data_Validation!X:Y, 2, FALSE), "")</f>
        <v/>
      </c>
      <c r="M756" s="226" t="str">
        <f t="shared" si="1"/>
        <v> |  -  | </v>
      </c>
      <c r="N756" s="226"/>
      <c r="O756" s="226"/>
    </row>
    <row r="757" ht="24.0" customHeight="1">
      <c r="A757" s="216" t="str">
        <f>IFERROR(__xludf.DUMMYFUNCTION("ARRAYFORMULA(IFERROR(VLOOKUP(REGEXEXTRACT(B757, ""-(\w+)-""), {Data_Validation!$F$16:$F$29, Data_Validation!$E$16:$E$29}, 2, FALSE), """"))
"),"")</f>
        <v/>
      </c>
      <c r="B757" s="217"/>
      <c r="C757" s="218" t="str">
        <f>IFERROR(__xludf.DUMMYFUNCTION("IFERROR(REGEXEXTRACT(B757, ""^[A-Z]+-[A-Z]+-"") &amp; TEXT(VALUE(REGEXEXTRACT(B757, ""-(\d+)\."")), ""00""), """")"),"")</f>
        <v/>
      </c>
      <c r="D757" s="219" t="str">
        <f>IFERROR(VLOOKUP(C757, Content_Creation!B:D, 2, FALSE), IFERROR(VLOOKUP(C757, Project_Management!B:D, 2, FALSE), ""))
&amp; " - "
&amp; IFERROR(VLOOKUP(C757, Content_Creation!B:E, 4, FALSE), IFERROR(VLOOKUP(C757, Project_Management!B:E, 4, FALSE), ""))</f>
        <v> - </v>
      </c>
      <c r="E757" s="220" t="str">
        <f>IFERROR(
    VLOOKUP(B756:B1001, Content_Creation!B:D, 3, FALSE),
    IFERROR(VLOOKUP(B756:B1001, Project_Management!B:D, 3, FALSE),"")
  )</f>
        <v/>
      </c>
      <c r="F757" s="221" t="str">
        <f>IFERROR(VLOOKUP(B757, Content_Creation!B:F, 5, FALSE), IFERROR(VLOOKUP(B757, Project_Management!B:F, 5, FALSE), ""))</f>
        <v/>
      </c>
      <c r="G757" s="267" t="s">
        <v>1317</v>
      </c>
      <c r="H757" s="223" t="str">
        <f>IFERROR(VLOOKUP(B757, Content_Creation!B:H, 7, FALSE), IFERROR(VLOOKUP(B757, Project_Management!B:H, 7, FALSE), ""))</f>
        <v/>
      </c>
      <c r="I757" s="224">
        <v>0.0</v>
      </c>
      <c r="J757" s="217"/>
      <c r="K757" s="217"/>
      <c r="L757" s="225" t="str">
        <f>IFERROR(VLOOKUP(B757, Data_Validation!X:Y, 2, FALSE), "")</f>
        <v/>
      </c>
      <c r="M757" s="226" t="str">
        <f t="shared" si="1"/>
        <v> |  -  | </v>
      </c>
      <c r="N757" s="226"/>
      <c r="O757" s="226"/>
    </row>
    <row r="758" ht="24.0" customHeight="1">
      <c r="A758" s="216" t="str">
        <f>IFERROR(__xludf.DUMMYFUNCTION("ARRAYFORMULA(IFERROR(VLOOKUP(REGEXEXTRACT(B758, ""-(\w+)-""), {Data_Validation!$F$16:$F$29, Data_Validation!$E$16:$E$29}, 2, FALSE), """"))
"),"")</f>
        <v/>
      </c>
      <c r="B758" s="217"/>
      <c r="C758" s="218" t="str">
        <f>IFERROR(__xludf.DUMMYFUNCTION("IFERROR(REGEXEXTRACT(B758, ""^[A-Z]+-[A-Z]+-"") &amp; TEXT(VALUE(REGEXEXTRACT(B758, ""-(\d+)\."")), ""00""), """")"),"")</f>
        <v/>
      </c>
      <c r="D758" s="219" t="str">
        <f>IFERROR(VLOOKUP(C758, Content_Creation!B:D, 2, FALSE), IFERROR(VLOOKUP(C758, Project_Management!B:D, 2, FALSE), ""))
&amp; " - "
&amp; IFERROR(VLOOKUP(C758, Content_Creation!B:E, 4, FALSE), IFERROR(VLOOKUP(C758, Project_Management!B:E, 4, FALSE), ""))</f>
        <v> - </v>
      </c>
      <c r="E758" s="220" t="str">
        <f>IFERROR(
    VLOOKUP(B757:B1001, Content_Creation!B:D, 3, FALSE),
    IFERROR(VLOOKUP(B757:B1001, Project_Management!B:D, 3, FALSE),"")
  )</f>
        <v/>
      </c>
      <c r="F758" s="221" t="str">
        <f>IFERROR(VLOOKUP(B758, Content_Creation!B:F, 5, FALSE), IFERROR(VLOOKUP(B758, Project_Management!B:F, 5, FALSE), ""))</f>
        <v/>
      </c>
      <c r="G758" s="267" t="s">
        <v>1317</v>
      </c>
      <c r="H758" s="223" t="str">
        <f>IFERROR(VLOOKUP(B758, Content_Creation!B:H, 7, FALSE), IFERROR(VLOOKUP(B758, Project_Management!B:H, 7, FALSE), ""))</f>
        <v/>
      </c>
      <c r="I758" s="224">
        <v>0.0</v>
      </c>
      <c r="J758" s="217"/>
      <c r="K758" s="217"/>
      <c r="L758" s="225" t="str">
        <f>IFERROR(VLOOKUP(B758, Data_Validation!X:Y, 2, FALSE), "")</f>
        <v/>
      </c>
      <c r="M758" s="226" t="str">
        <f t="shared" si="1"/>
        <v> |  -  | </v>
      </c>
      <c r="N758" s="226"/>
      <c r="O758" s="226"/>
    </row>
    <row r="759" ht="24.0" customHeight="1">
      <c r="A759" s="216" t="str">
        <f>IFERROR(__xludf.DUMMYFUNCTION("ARRAYFORMULA(IFERROR(VLOOKUP(REGEXEXTRACT(B759, ""-(\w+)-""), {Data_Validation!$F$16:$F$29, Data_Validation!$E$16:$E$29}, 2, FALSE), """"))
"),"")</f>
        <v/>
      </c>
      <c r="B759" s="217"/>
      <c r="C759" s="218" t="str">
        <f>IFERROR(__xludf.DUMMYFUNCTION("IFERROR(REGEXEXTRACT(B759, ""^[A-Z]+-[A-Z]+-"") &amp; TEXT(VALUE(REGEXEXTRACT(B759, ""-(\d+)\."")), ""00""), """")"),"")</f>
        <v/>
      </c>
      <c r="D759" s="219" t="str">
        <f>IFERROR(VLOOKUP(C759, Content_Creation!B:D, 2, FALSE), IFERROR(VLOOKUP(C759, Project_Management!B:D, 2, FALSE), ""))
&amp; " - "
&amp; IFERROR(VLOOKUP(C759, Content_Creation!B:E, 4, FALSE), IFERROR(VLOOKUP(C759, Project_Management!B:E, 4, FALSE), ""))</f>
        <v> - </v>
      </c>
      <c r="E759" s="220" t="str">
        <f>IFERROR(
    VLOOKUP(B758:B1001, Content_Creation!B:D, 3, FALSE),
    IFERROR(VLOOKUP(B758:B1001, Project_Management!B:D, 3, FALSE),"")
  )</f>
        <v/>
      </c>
      <c r="F759" s="221" t="str">
        <f>IFERROR(VLOOKUP(B759, Content_Creation!B:F, 5, FALSE), IFERROR(VLOOKUP(B759, Project_Management!B:F, 5, FALSE), ""))</f>
        <v/>
      </c>
      <c r="G759" s="267" t="s">
        <v>1317</v>
      </c>
      <c r="H759" s="223" t="str">
        <f>IFERROR(VLOOKUP(B759, Content_Creation!B:H, 7, FALSE), IFERROR(VLOOKUP(B759, Project_Management!B:H, 7, FALSE), ""))</f>
        <v/>
      </c>
      <c r="I759" s="224">
        <v>0.0</v>
      </c>
      <c r="J759" s="217"/>
      <c r="K759" s="217"/>
      <c r="L759" s="225" t="str">
        <f>IFERROR(VLOOKUP(B759, Data_Validation!X:Y, 2, FALSE), "")</f>
        <v/>
      </c>
      <c r="M759" s="226" t="str">
        <f t="shared" si="1"/>
        <v> |  -  | </v>
      </c>
      <c r="N759" s="226"/>
      <c r="O759" s="226"/>
    </row>
    <row r="760" ht="24.0" customHeight="1">
      <c r="A760" s="216" t="str">
        <f>IFERROR(__xludf.DUMMYFUNCTION("ARRAYFORMULA(IFERROR(VLOOKUP(REGEXEXTRACT(B760, ""-(\w+)-""), {Data_Validation!$F$16:$F$29, Data_Validation!$E$16:$E$29}, 2, FALSE), """"))
"),"")</f>
        <v/>
      </c>
      <c r="B760" s="217"/>
      <c r="C760" s="218" t="str">
        <f>IFERROR(__xludf.DUMMYFUNCTION("IFERROR(REGEXEXTRACT(B760, ""^[A-Z]+-[A-Z]+-"") &amp; TEXT(VALUE(REGEXEXTRACT(B760, ""-(\d+)\."")), ""00""), """")"),"")</f>
        <v/>
      </c>
      <c r="D760" s="219" t="str">
        <f>IFERROR(VLOOKUP(C760, Content_Creation!B:D, 2, FALSE), IFERROR(VLOOKUP(C760, Project_Management!B:D, 2, FALSE), ""))
&amp; " - "
&amp; IFERROR(VLOOKUP(C760, Content_Creation!B:E, 4, FALSE), IFERROR(VLOOKUP(C760, Project_Management!B:E, 4, FALSE), ""))</f>
        <v> - </v>
      </c>
      <c r="E760" s="220" t="str">
        <f>IFERROR(
    VLOOKUP(B759:B1001, Content_Creation!B:D, 3, FALSE),
    IFERROR(VLOOKUP(B759:B1001, Project_Management!B:D, 3, FALSE),"")
  )</f>
        <v/>
      </c>
      <c r="F760" s="221" t="str">
        <f>IFERROR(VLOOKUP(B760, Content_Creation!B:F, 5, FALSE), IFERROR(VLOOKUP(B760, Project_Management!B:F, 5, FALSE), ""))</f>
        <v/>
      </c>
      <c r="G760" s="267" t="s">
        <v>1317</v>
      </c>
      <c r="H760" s="223" t="str">
        <f>IFERROR(VLOOKUP(B760, Content_Creation!B:H, 7, FALSE), IFERROR(VLOOKUP(B760, Project_Management!B:H, 7, FALSE), ""))</f>
        <v/>
      </c>
      <c r="I760" s="224">
        <v>0.0</v>
      </c>
      <c r="J760" s="217"/>
      <c r="K760" s="217"/>
      <c r="L760" s="225" t="str">
        <f>IFERROR(VLOOKUP(B760, Data_Validation!X:Y, 2, FALSE), "")</f>
        <v/>
      </c>
      <c r="M760" s="226" t="str">
        <f t="shared" si="1"/>
        <v> |  -  | </v>
      </c>
      <c r="N760" s="226"/>
      <c r="O760" s="226"/>
    </row>
    <row r="761" ht="24.0" customHeight="1">
      <c r="A761" s="216" t="str">
        <f>IFERROR(__xludf.DUMMYFUNCTION("ARRAYFORMULA(IFERROR(VLOOKUP(REGEXEXTRACT(B761, ""-(\w+)-""), {Data_Validation!$F$16:$F$29, Data_Validation!$E$16:$E$29}, 2, FALSE), """"))
"),"")</f>
        <v/>
      </c>
      <c r="B761" s="217"/>
      <c r="C761" s="218" t="str">
        <f>IFERROR(__xludf.DUMMYFUNCTION("IFERROR(REGEXEXTRACT(B761, ""^[A-Z]+-[A-Z]+-"") &amp; TEXT(VALUE(REGEXEXTRACT(B761, ""-(\d+)\."")), ""00""), """")"),"")</f>
        <v/>
      </c>
      <c r="D761" s="219" t="str">
        <f>IFERROR(VLOOKUP(C761, Content_Creation!B:D, 2, FALSE), IFERROR(VLOOKUP(C761, Project_Management!B:D, 2, FALSE), ""))
&amp; " - "
&amp; IFERROR(VLOOKUP(C761, Content_Creation!B:E, 4, FALSE), IFERROR(VLOOKUP(C761, Project_Management!B:E, 4, FALSE), ""))</f>
        <v> - </v>
      </c>
      <c r="E761" s="220" t="str">
        <f>IFERROR(
    VLOOKUP(B760:B1001, Content_Creation!B:D, 3, FALSE),
    IFERROR(VLOOKUP(B760:B1001, Project_Management!B:D, 3, FALSE),"")
  )</f>
        <v/>
      </c>
      <c r="F761" s="221" t="str">
        <f>IFERROR(VLOOKUP(B761, Content_Creation!B:F, 5, FALSE), IFERROR(VLOOKUP(B761, Project_Management!B:F, 5, FALSE), ""))</f>
        <v/>
      </c>
      <c r="G761" s="267" t="s">
        <v>1317</v>
      </c>
      <c r="H761" s="223" t="str">
        <f>IFERROR(VLOOKUP(B761, Content_Creation!B:H, 7, FALSE), IFERROR(VLOOKUP(B761, Project_Management!B:H, 7, FALSE), ""))</f>
        <v/>
      </c>
      <c r="I761" s="224">
        <v>0.0</v>
      </c>
      <c r="J761" s="217"/>
      <c r="K761" s="217"/>
      <c r="L761" s="225" t="str">
        <f>IFERROR(VLOOKUP(B761, Data_Validation!X:Y, 2, FALSE), "")</f>
        <v/>
      </c>
      <c r="M761" s="226" t="str">
        <f t="shared" si="1"/>
        <v> |  -  | </v>
      </c>
      <c r="N761" s="226"/>
      <c r="O761" s="226"/>
    </row>
    <row r="762" ht="24.0" customHeight="1">
      <c r="A762" s="216" t="str">
        <f>IFERROR(__xludf.DUMMYFUNCTION("ARRAYFORMULA(IFERROR(VLOOKUP(REGEXEXTRACT(B762, ""-(\w+)-""), {Data_Validation!$F$16:$F$29, Data_Validation!$E$16:$E$29}, 2, FALSE), """"))
"),"")</f>
        <v/>
      </c>
      <c r="B762" s="217"/>
      <c r="C762" s="218" t="str">
        <f>IFERROR(__xludf.DUMMYFUNCTION("IFERROR(REGEXEXTRACT(B762, ""^[A-Z]+-[A-Z]+-"") &amp; TEXT(VALUE(REGEXEXTRACT(B762, ""-(\d+)\."")), ""00""), """")"),"")</f>
        <v/>
      </c>
      <c r="D762" s="219" t="str">
        <f>IFERROR(VLOOKUP(C762, Content_Creation!B:D, 2, FALSE), IFERROR(VLOOKUP(C762, Project_Management!B:D, 2, FALSE), ""))
&amp; " - "
&amp; IFERROR(VLOOKUP(C762, Content_Creation!B:E, 4, FALSE), IFERROR(VLOOKUP(C762, Project_Management!B:E, 4, FALSE), ""))</f>
        <v> - </v>
      </c>
      <c r="E762" s="220" t="str">
        <f>IFERROR(
    VLOOKUP(B761:B1001, Content_Creation!B:D, 3, FALSE),
    IFERROR(VLOOKUP(B761:B1001, Project_Management!B:D, 3, FALSE),"")
  )</f>
        <v/>
      </c>
      <c r="F762" s="221" t="str">
        <f>IFERROR(VLOOKUP(B762, Content_Creation!B:F, 5, FALSE), IFERROR(VLOOKUP(B762, Project_Management!B:F, 5, FALSE), ""))</f>
        <v/>
      </c>
      <c r="G762" s="267" t="s">
        <v>1317</v>
      </c>
      <c r="H762" s="223" t="str">
        <f>IFERROR(VLOOKUP(B762, Content_Creation!B:H, 7, FALSE), IFERROR(VLOOKUP(B762, Project_Management!B:H, 7, FALSE), ""))</f>
        <v/>
      </c>
      <c r="I762" s="224">
        <v>0.0</v>
      </c>
      <c r="J762" s="217"/>
      <c r="K762" s="217"/>
      <c r="L762" s="225" t="str">
        <f>IFERROR(VLOOKUP(B762, Data_Validation!X:Y, 2, FALSE), "")</f>
        <v/>
      </c>
      <c r="M762" s="226" t="str">
        <f t="shared" si="1"/>
        <v> |  -  | </v>
      </c>
      <c r="N762" s="226"/>
      <c r="O762" s="226"/>
    </row>
    <row r="763" ht="24.0" customHeight="1">
      <c r="A763" s="216" t="str">
        <f>IFERROR(__xludf.DUMMYFUNCTION("ARRAYFORMULA(IFERROR(VLOOKUP(REGEXEXTRACT(B763, ""-(\w+)-""), {Data_Validation!$F$16:$F$29, Data_Validation!$E$16:$E$29}, 2, FALSE), """"))
"),"")</f>
        <v/>
      </c>
      <c r="B763" s="217"/>
      <c r="C763" s="218" t="str">
        <f>IFERROR(__xludf.DUMMYFUNCTION("IFERROR(REGEXEXTRACT(B763, ""^[A-Z]+-[A-Z]+-"") &amp; TEXT(VALUE(REGEXEXTRACT(B763, ""-(\d+)\."")), ""00""), """")"),"")</f>
        <v/>
      </c>
      <c r="D763" s="219" t="str">
        <f>IFERROR(VLOOKUP(C763, Content_Creation!B:D, 2, FALSE), IFERROR(VLOOKUP(C763, Project_Management!B:D, 2, FALSE), ""))
&amp; " - "
&amp; IFERROR(VLOOKUP(C763, Content_Creation!B:E, 4, FALSE), IFERROR(VLOOKUP(C763, Project_Management!B:E, 4, FALSE), ""))</f>
        <v> - </v>
      </c>
      <c r="E763" s="220" t="str">
        <f>IFERROR(
    VLOOKUP(B762:B1001, Content_Creation!B:D, 3, FALSE),
    IFERROR(VLOOKUP(B762:B1001, Project_Management!B:D, 3, FALSE),"")
  )</f>
        <v/>
      </c>
      <c r="F763" s="221" t="str">
        <f>IFERROR(VLOOKUP(B763, Content_Creation!B:F, 5, FALSE), IFERROR(VLOOKUP(B763, Project_Management!B:F, 5, FALSE), ""))</f>
        <v/>
      </c>
      <c r="G763" s="267" t="s">
        <v>1317</v>
      </c>
      <c r="H763" s="223" t="str">
        <f>IFERROR(VLOOKUP(B763, Content_Creation!B:H, 7, FALSE), IFERROR(VLOOKUP(B763, Project_Management!B:H, 7, FALSE), ""))</f>
        <v/>
      </c>
      <c r="I763" s="224">
        <v>0.0</v>
      </c>
      <c r="J763" s="217"/>
      <c r="K763" s="217"/>
      <c r="L763" s="225" t="str">
        <f>IFERROR(VLOOKUP(B763, Data_Validation!X:Y, 2, FALSE), "")</f>
        <v/>
      </c>
      <c r="M763" s="226" t="str">
        <f t="shared" si="1"/>
        <v> |  -  | </v>
      </c>
      <c r="N763" s="226"/>
      <c r="O763" s="226"/>
    </row>
    <row r="764" ht="24.0" customHeight="1">
      <c r="A764" s="216" t="str">
        <f>IFERROR(__xludf.DUMMYFUNCTION("ARRAYFORMULA(IFERROR(VLOOKUP(REGEXEXTRACT(B764, ""-(\w+)-""), {Data_Validation!$F$16:$F$29, Data_Validation!$E$16:$E$29}, 2, FALSE), """"))
"),"")</f>
        <v/>
      </c>
      <c r="B764" s="217"/>
      <c r="C764" s="218" t="str">
        <f>IFERROR(__xludf.DUMMYFUNCTION("IFERROR(REGEXEXTRACT(B764, ""^[A-Z]+-[A-Z]+-"") &amp; TEXT(VALUE(REGEXEXTRACT(B764, ""-(\d+)\."")), ""00""), """")"),"")</f>
        <v/>
      </c>
      <c r="D764" s="219" t="str">
        <f>IFERROR(VLOOKUP(C764, Content_Creation!B:D, 2, FALSE), IFERROR(VLOOKUP(C764, Project_Management!B:D, 2, FALSE), ""))
&amp; " - "
&amp; IFERROR(VLOOKUP(C764, Content_Creation!B:E, 4, FALSE), IFERROR(VLOOKUP(C764, Project_Management!B:E, 4, FALSE), ""))</f>
        <v> - </v>
      </c>
      <c r="E764" s="220" t="str">
        <f>IFERROR(
    VLOOKUP(B763:B1001, Content_Creation!B:D, 3, FALSE),
    IFERROR(VLOOKUP(B763:B1001, Project_Management!B:D, 3, FALSE),"")
  )</f>
        <v/>
      </c>
      <c r="F764" s="221" t="str">
        <f>IFERROR(VLOOKUP(B764, Content_Creation!B:F, 5, FALSE), IFERROR(VLOOKUP(B764, Project_Management!B:F, 5, FALSE), ""))</f>
        <v/>
      </c>
      <c r="G764" s="267" t="s">
        <v>1317</v>
      </c>
      <c r="H764" s="223" t="str">
        <f>IFERROR(VLOOKUP(B764, Content_Creation!B:H, 7, FALSE), IFERROR(VLOOKUP(B764, Project_Management!B:H, 7, FALSE), ""))</f>
        <v/>
      </c>
      <c r="I764" s="224">
        <v>0.0</v>
      </c>
      <c r="J764" s="217"/>
      <c r="K764" s="217"/>
      <c r="L764" s="225" t="str">
        <f>IFERROR(VLOOKUP(B764, Data_Validation!X:Y, 2, FALSE), "")</f>
        <v/>
      </c>
      <c r="M764" s="226" t="str">
        <f t="shared" si="1"/>
        <v> |  -  | </v>
      </c>
      <c r="N764" s="226"/>
      <c r="O764" s="226"/>
    </row>
    <row r="765" ht="24.0" customHeight="1">
      <c r="A765" s="216" t="str">
        <f>IFERROR(__xludf.DUMMYFUNCTION("ARRAYFORMULA(IFERROR(VLOOKUP(REGEXEXTRACT(B765, ""-(\w+)-""), {Data_Validation!$F$16:$F$29, Data_Validation!$E$16:$E$29}, 2, FALSE), """"))
"),"")</f>
        <v/>
      </c>
      <c r="B765" s="217"/>
      <c r="C765" s="218" t="str">
        <f>IFERROR(__xludf.DUMMYFUNCTION("IFERROR(REGEXEXTRACT(B765, ""^[A-Z]+-[A-Z]+-"") &amp; TEXT(VALUE(REGEXEXTRACT(B765, ""-(\d+)\."")), ""00""), """")"),"")</f>
        <v/>
      </c>
      <c r="D765" s="219" t="str">
        <f>IFERROR(VLOOKUP(C765, Content_Creation!B:D, 2, FALSE), IFERROR(VLOOKUP(C765, Project_Management!B:D, 2, FALSE), ""))
&amp; " - "
&amp; IFERROR(VLOOKUP(C765, Content_Creation!B:E, 4, FALSE), IFERROR(VLOOKUP(C765, Project_Management!B:E, 4, FALSE), ""))</f>
        <v> - </v>
      </c>
      <c r="E765" s="220" t="str">
        <f>IFERROR(
    VLOOKUP(B764:B1001, Content_Creation!B:D, 3, FALSE),
    IFERROR(VLOOKUP(B764:B1001, Project_Management!B:D, 3, FALSE),"")
  )</f>
        <v/>
      </c>
      <c r="F765" s="221" t="str">
        <f>IFERROR(VLOOKUP(B765, Content_Creation!B:F, 5, FALSE), IFERROR(VLOOKUP(B765, Project_Management!B:F, 5, FALSE), ""))</f>
        <v/>
      </c>
      <c r="G765" s="267" t="s">
        <v>1317</v>
      </c>
      <c r="H765" s="223" t="str">
        <f>IFERROR(VLOOKUP(B765, Content_Creation!B:H, 7, FALSE), IFERROR(VLOOKUP(B765, Project_Management!B:H, 7, FALSE), ""))</f>
        <v/>
      </c>
      <c r="I765" s="224">
        <v>0.0</v>
      </c>
      <c r="J765" s="217"/>
      <c r="K765" s="217"/>
      <c r="L765" s="225" t="str">
        <f>IFERROR(VLOOKUP(B765, Data_Validation!X:Y, 2, FALSE), "")</f>
        <v/>
      </c>
      <c r="M765" s="226" t="str">
        <f t="shared" si="1"/>
        <v> |  -  | </v>
      </c>
      <c r="N765" s="226"/>
      <c r="O765" s="226"/>
    </row>
    <row r="766" ht="24.0" customHeight="1">
      <c r="A766" s="216" t="str">
        <f>IFERROR(__xludf.DUMMYFUNCTION("ARRAYFORMULA(IFERROR(VLOOKUP(REGEXEXTRACT(B766, ""-(\w+)-""), {Data_Validation!$F$16:$F$29, Data_Validation!$E$16:$E$29}, 2, FALSE), """"))
"),"")</f>
        <v/>
      </c>
      <c r="B766" s="217"/>
      <c r="C766" s="218" t="str">
        <f>IFERROR(__xludf.DUMMYFUNCTION("IFERROR(REGEXEXTRACT(B766, ""^[A-Z]+-[A-Z]+-"") &amp; TEXT(VALUE(REGEXEXTRACT(B766, ""-(\d+)\."")), ""00""), """")"),"")</f>
        <v/>
      </c>
      <c r="D766" s="219" t="str">
        <f>IFERROR(VLOOKUP(C766, Content_Creation!B:D, 2, FALSE), IFERROR(VLOOKUP(C766, Project_Management!B:D, 2, FALSE), ""))
&amp; " - "
&amp; IFERROR(VLOOKUP(C766, Content_Creation!B:E, 4, FALSE), IFERROR(VLOOKUP(C766, Project_Management!B:E, 4, FALSE), ""))</f>
        <v> - </v>
      </c>
      <c r="E766" s="220" t="str">
        <f>IFERROR(
    VLOOKUP(B765:B1001, Content_Creation!B:D, 3, FALSE),
    IFERROR(VLOOKUP(B765:B1001, Project_Management!B:D, 3, FALSE),"")
  )</f>
        <v/>
      </c>
      <c r="F766" s="221" t="str">
        <f>IFERROR(VLOOKUP(B766, Content_Creation!B:F, 5, FALSE), IFERROR(VLOOKUP(B766, Project_Management!B:F, 5, FALSE), ""))</f>
        <v/>
      </c>
      <c r="G766" s="267" t="s">
        <v>1317</v>
      </c>
      <c r="H766" s="223" t="str">
        <f>IFERROR(VLOOKUP(B766, Content_Creation!B:H, 7, FALSE), IFERROR(VLOOKUP(B766, Project_Management!B:H, 7, FALSE), ""))</f>
        <v/>
      </c>
      <c r="I766" s="224">
        <v>0.0</v>
      </c>
      <c r="J766" s="217"/>
      <c r="K766" s="217"/>
      <c r="L766" s="225" t="str">
        <f>IFERROR(VLOOKUP(B766, Data_Validation!X:Y, 2, FALSE), "")</f>
        <v/>
      </c>
      <c r="M766" s="226" t="str">
        <f t="shared" si="1"/>
        <v> |  -  | </v>
      </c>
      <c r="N766" s="226"/>
      <c r="O766" s="226"/>
    </row>
    <row r="767" ht="24.0" customHeight="1">
      <c r="A767" s="216" t="str">
        <f>IFERROR(__xludf.DUMMYFUNCTION("ARRAYFORMULA(IFERROR(VLOOKUP(REGEXEXTRACT(B767, ""-(\w+)-""), {Data_Validation!$F$16:$F$29, Data_Validation!$E$16:$E$29}, 2, FALSE), """"))
"),"")</f>
        <v/>
      </c>
      <c r="B767" s="217"/>
      <c r="C767" s="218" t="str">
        <f>IFERROR(__xludf.DUMMYFUNCTION("IFERROR(REGEXEXTRACT(B767, ""^[A-Z]+-[A-Z]+-"") &amp; TEXT(VALUE(REGEXEXTRACT(B767, ""-(\d+)\."")), ""00""), """")"),"")</f>
        <v/>
      </c>
      <c r="D767" s="219" t="str">
        <f>IFERROR(VLOOKUP(C767, Content_Creation!B:D, 2, FALSE), IFERROR(VLOOKUP(C767, Project_Management!B:D, 2, FALSE), ""))
&amp; " - "
&amp; IFERROR(VLOOKUP(C767, Content_Creation!B:E, 4, FALSE), IFERROR(VLOOKUP(C767, Project_Management!B:E, 4, FALSE), ""))</f>
        <v> - </v>
      </c>
      <c r="E767" s="220" t="str">
        <f>IFERROR(
    VLOOKUP(B766:B1001, Content_Creation!B:D, 3, FALSE),
    IFERROR(VLOOKUP(B766:B1001, Project_Management!B:D, 3, FALSE),"")
  )</f>
        <v/>
      </c>
      <c r="F767" s="221" t="str">
        <f>IFERROR(VLOOKUP(B767, Content_Creation!B:F, 5, FALSE), IFERROR(VLOOKUP(B767, Project_Management!B:F, 5, FALSE), ""))</f>
        <v/>
      </c>
      <c r="G767" s="267" t="s">
        <v>1317</v>
      </c>
      <c r="H767" s="223" t="str">
        <f>IFERROR(VLOOKUP(B767, Content_Creation!B:H, 7, FALSE), IFERROR(VLOOKUP(B767, Project_Management!B:H, 7, FALSE), ""))</f>
        <v/>
      </c>
      <c r="I767" s="224">
        <v>0.0</v>
      </c>
      <c r="J767" s="217"/>
      <c r="K767" s="217"/>
      <c r="L767" s="225" t="str">
        <f>IFERROR(VLOOKUP(B767, Data_Validation!X:Y, 2, FALSE), "")</f>
        <v/>
      </c>
      <c r="M767" s="226" t="str">
        <f t="shared" si="1"/>
        <v> |  -  | </v>
      </c>
      <c r="N767" s="226"/>
      <c r="O767" s="226"/>
    </row>
    <row r="768" ht="24.0" customHeight="1">
      <c r="A768" s="216" t="str">
        <f>IFERROR(__xludf.DUMMYFUNCTION("ARRAYFORMULA(IFERROR(VLOOKUP(REGEXEXTRACT(B768, ""-(\w+)-""), {Data_Validation!$F$16:$F$29, Data_Validation!$E$16:$E$29}, 2, FALSE), """"))
"),"")</f>
        <v/>
      </c>
      <c r="B768" s="217"/>
      <c r="C768" s="218" t="str">
        <f>IFERROR(__xludf.DUMMYFUNCTION("IFERROR(REGEXEXTRACT(B768, ""^[A-Z]+-[A-Z]+-"") &amp; TEXT(VALUE(REGEXEXTRACT(B768, ""-(\d+)\."")), ""00""), """")"),"")</f>
        <v/>
      </c>
      <c r="D768" s="219" t="str">
        <f>IFERROR(VLOOKUP(C768, Content_Creation!B:D, 2, FALSE), IFERROR(VLOOKUP(C768, Project_Management!B:D, 2, FALSE), ""))
&amp; " - "
&amp; IFERROR(VLOOKUP(C768, Content_Creation!B:E, 4, FALSE), IFERROR(VLOOKUP(C768, Project_Management!B:E, 4, FALSE), ""))</f>
        <v> - </v>
      </c>
      <c r="E768" s="220" t="str">
        <f>IFERROR(
    VLOOKUP(B767:B1001, Content_Creation!B:D, 3, FALSE),
    IFERROR(VLOOKUP(B767:B1001, Project_Management!B:D, 3, FALSE),"")
  )</f>
        <v/>
      </c>
      <c r="F768" s="221" t="str">
        <f>IFERROR(VLOOKUP(B768, Content_Creation!B:F, 5, FALSE), IFERROR(VLOOKUP(B768, Project_Management!B:F, 5, FALSE), ""))</f>
        <v/>
      </c>
      <c r="G768" s="267" t="s">
        <v>1317</v>
      </c>
      <c r="H768" s="223" t="str">
        <f>IFERROR(VLOOKUP(B768, Content_Creation!B:H, 7, FALSE), IFERROR(VLOOKUP(B768, Project_Management!B:H, 7, FALSE), ""))</f>
        <v/>
      </c>
      <c r="I768" s="224">
        <v>0.0</v>
      </c>
      <c r="J768" s="217"/>
      <c r="K768" s="217"/>
      <c r="L768" s="225" t="str">
        <f>IFERROR(VLOOKUP(B768, Data_Validation!X:Y, 2, FALSE), "")</f>
        <v/>
      </c>
      <c r="M768" s="226" t="str">
        <f t="shared" si="1"/>
        <v> |  -  | </v>
      </c>
      <c r="N768" s="226"/>
      <c r="O768" s="226"/>
    </row>
    <row r="769" ht="24.0" customHeight="1">
      <c r="A769" s="216" t="str">
        <f>IFERROR(__xludf.DUMMYFUNCTION("ARRAYFORMULA(IFERROR(VLOOKUP(REGEXEXTRACT(B769, ""-(\w+)-""), {Data_Validation!$F$16:$F$29, Data_Validation!$E$16:$E$29}, 2, FALSE), """"))
"),"")</f>
        <v/>
      </c>
      <c r="B769" s="217"/>
      <c r="C769" s="218" t="str">
        <f>IFERROR(__xludf.DUMMYFUNCTION("IFERROR(REGEXEXTRACT(B769, ""^[A-Z]+-[A-Z]+-"") &amp; TEXT(VALUE(REGEXEXTRACT(B769, ""-(\d+)\."")), ""00""), """")"),"")</f>
        <v/>
      </c>
      <c r="D769" s="219" t="str">
        <f>IFERROR(VLOOKUP(C769, Content_Creation!B:D, 2, FALSE), IFERROR(VLOOKUP(C769, Project_Management!B:D, 2, FALSE), ""))
&amp; " - "
&amp; IFERROR(VLOOKUP(C769, Content_Creation!B:E, 4, FALSE), IFERROR(VLOOKUP(C769, Project_Management!B:E, 4, FALSE), ""))</f>
        <v> - </v>
      </c>
      <c r="E769" s="220" t="str">
        <f>IFERROR(
    VLOOKUP(B768:B1001, Content_Creation!B:D, 3, FALSE),
    IFERROR(VLOOKUP(B768:B1001, Project_Management!B:D, 3, FALSE),"")
  )</f>
        <v/>
      </c>
      <c r="F769" s="221" t="str">
        <f>IFERROR(VLOOKUP(B769, Content_Creation!B:F, 5, FALSE), IFERROR(VLOOKUP(B769, Project_Management!B:F, 5, FALSE), ""))</f>
        <v/>
      </c>
      <c r="G769" s="267" t="s">
        <v>1317</v>
      </c>
      <c r="H769" s="223" t="str">
        <f>IFERROR(VLOOKUP(B769, Content_Creation!B:H, 7, FALSE), IFERROR(VLOOKUP(B769, Project_Management!B:H, 7, FALSE), ""))</f>
        <v/>
      </c>
      <c r="I769" s="224">
        <v>0.0</v>
      </c>
      <c r="J769" s="217"/>
      <c r="K769" s="217"/>
      <c r="L769" s="225" t="str">
        <f>IFERROR(VLOOKUP(B769, Data_Validation!X:Y, 2, FALSE), "")</f>
        <v/>
      </c>
      <c r="M769" s="226" t="str">
        <f t="shared" si="1"/>
        <v> |  -  | </v>
      </c>
      <c r="N769" s="226"/>
      <c r="O769" s="226"/>
    </row>
    <row r="770" ht="24.0" customHeight="1">
      <c r="A770" s="216" t="str">
        <f>IFERROR(__xludf.DUMMYFUNCTION("ARRAYFORMULA(IFERROR(VLOOKUP(REGEXEXTRACT(B770, ""-(\w+)-""), {Data_Validation!$F$16:$F$29, Data_Validation!$E$16:$E$29}, 2, FALSE), """"))
"),"")</f>
        <v/>
      </c>
      <c r="B770" s="217"/>
      <c r="C770" s="218" t="str">
        <f>IFERROR(__xludf.DUMMYFUNCTION("IFERROR(REGEXEXTRACT(B770, ""^[A-Z]+-[A-Z]+-"") &amp; TEXT(VALUE(REGEXEXTRACT(B770, ""-(\d+)\."")), ""00""), """")"),"")</f>
        <v/>
      </c>
      <c r="D770" s="219" t="str">
        <f>IFERROR(VLOOKUP(C770, Content_Creation!B:D, 2, FALSE), IFERROR(VLOOKUP(C770, Project_Management!B:D, 2, FALSE), ""))
&amp; " - "
&amp; IFERROR(VLOOKUP(C770, Content_Creation!B:E, 4, FALSE), IFERROR(VLOOKUP(C770, Project_Management!B:E, 4, FALSE), ""))</f>
        <v> - </v>
      </c>
      <c r="E770" s="220" t="str">
        <f>IFERROR(
    VLOOKUP(B769:B1001, Content_Creation!B:D, 3, FALSE),
    IFERROR(VLOOKUP(B769:B1001, Project_Management!B:D, 3, FALSE),"")
  )</f>
        <v/>
      </c>
      <c r="F770" s="221" t="str">
        <f>IFERROR(VLOOKUP(B770, Content_Creation!B:F, 5, FALSE), IFERROR(VLOOKUP(B770, Project_Management!B:F, 5, FALSE), ""))</f>
        <v/>
      </c>
      <c r="G770" s="267" t="s">
        <v>1317</v>
      </c>
      <c r="H770" s="223" t="str">
        <f>IFERROR(VLOOKUP(B770, Content_Creation!B:H, 7, FALSE), IFERROR(VLOOKUP(B770, Project_Management!B:H, 7, FALSE), ""))</f>
        <v/>
      </c>
      <c r="I770" s="224">
        <v>0.0</v>
      </c>
      <c r="J770" s="217"/>
      <c r="K770" s="217"/>
      <c r="L770" s="225" t="str">
        <f>IFERROR(VLOOKUP(B770, Data_Validation!X:Y, 2, FALSE), "")</f>
        <v/>
      </c>
      <c r="M770" s="226" t="str">
        <f t="shared" si="1"/>
        <v> |  -  | </v>
      </c>
      <c r="N770" s="226"/>
      <c r="O770" s="226"/>
    </row>
    <row r="771" ht="24.0" customHeight="1">
      <c r="A771" s="216" t="str">
        <f>IFERROR(__xludf.DUMMYFUNCTION("ARRAYFORMULA(IFERROR(VLOOKUP(REGEXEXTRACT(B771, ""-(\w+)-""), {Data_Validation!$F$16:$F$29, Data_Validation!$E$16:$E$29}, 2, FALSE), """"))
"),"")</f>
        <v/>
      </c>
      <c r="B771" s="217"/>
      <c r="C771" s="218" t="str">
        <f>IFERROR(__xludf.DUMMYFUNCTION("IFERROR(REGEXEXTRACT(B771, ""^[A-Z]+-[A-Z]+-"") &amp; TEXT(VALUE(REGEXEXTRACT(B771, ""-(\d+)\."")), ""00""), """")"),"")</f>
        <v/>
      </c>
      <c r="D771" s="219" t="str">
        <f>IFERROR(VLOOKUP(C771, Content_Creation!B:D, 2, FALSE), IFERROR(VLOOKUP(C771, Project_Management!B:D, 2, FALSE), ""))
&amp; " - "
&amp; IFERROR(VLOOKUP(C771, Content_Creation!B:E, 4, FALSE), IFERROR(VLOOKUP(C771, Project_Management!B:E, 4, FALSE), ""))</f>
        <v> - </v>
      </c>
      <c r="E771" s="220" t="str">
        <f>IFERROR(
    VLOOKUP(B770:B1001, Content_Creation!B:D, 3, FALSE),
    IFERROR(VLOOKUP(B770:B1001, Project_Management!B:D, 3, FALSE),"")
  )</f>
        <v/>
      </c>
      <c r="F771" s="221" t="str">
        <f>IFERROR(VLOOKUP(B771, Content_Creation!B:F, 5, FALSE), IFERROR(VLOOKUP(B771, Project_Management!B:F, 5, FALSE), ""))</f>
        <v/>
      </c>
      <c r="G771" s="267" t="s">
        <v>1317</v>
      </c>
      <c r="H771" s="223" t="str">
        <f>IFERROR(VLOOKUP(B771, Content_Creation!B:H, 7, FALSE), IFERROR(VLOOKUP(B771, Project_Management!B:H, 7, FALSE), ""))</f>
        <v/>
      </c>
      <c r="I771" s="224">
        <v>0.0</v>
      </c>
      <c r="J771" s="217"/>
      <c r="K771" s="217"/>
      <c r="L771" s="225" t="str">
        <f>IFERROR(VLOOKUP(B771, Data_Validation!X:Y, 2, FALSE), "")</f>
        <v/>
      </c>
      <c r="M771" s="226" t="str">
        <f t="shared" si="1"/>
        <v> |  -  | </v>
      </c>
      <c r="N771" s="226"/>
      <c r="O771" s="226"/>
    </row>
    <row r="772" ht="24.0" customHeight="1">
      <c r="A772" s="216" t="str">
        <f>IFERROR(__xludf.DUMMYFUNCTION("ARRAYFORMULA(IFERROR(VLOOKUP(REGEXEXTRACT(B772, ""-(\w+)-""), {Data_Validation!$F$16:$F$29, Data_Validation!$E$16:$E$29}, 2, FALSE), """"))
"),"")</f>
        <v/>
      </c>
      <c r="B772" s="217"/>
      <c r="C772" s="218" t="str">
        <f>IFERROR(__xludf.DUMMYFUNCTION("IFERROR(REGEXEXTRACT(B772, ""^[A-Z]+-[A-Z]+-"") &amp; TEXT(VALUE(REGEXEXTRACT(B772, ""-(\d+)\."")), ""00""), """")"),"")</f>
        <v/>
      </c>
      <c r="D772" s="219" t="str">
        <f>IFERROR(VLOOKUP(C772, Content_Creation!B:D, 2, FALSE), IFERROR(VLOOKUP(C772, Project_Management!B:D, 2, FALSE), ""))
&amp; " - "
&amp; IFERROR(VLOOKUP(C772, Content_Creation!B:E, 4, FALSE), IFERROR(VLOOKUP(C772, Project_Management!B:E, 4, FALSE), ""))</f>
        <v> - </v>
      </c>
      <c r="E772" s="220" t="str">
        <f>IFERROR(
    VLOOKUP(B771:B1001, Content_Creation!B:D, 3, FALSE),
    IFERROR(VLOOKUP(B771:B1001, Project_Management!B:D, 3, FALSE),"")
  )</f>
        <v/>
      </c>
      <c r="F772" s="221" t="str">
        <f>IFERROR(VLOOKUP(B772, Content_Creation!B:F, 5, FALSE), IFERROR(VLOOKUP(B772, Project_Management!B:F, 5, FALSE), ""))</f>
        <v/>
      </c>
      <c r="G772" s="267" t="s">
        <v>1317</v>
      </c>
      <c r="H772" s="223" t="str">
        <f>IFERROR(VLOOKUP(B772, Content_Creation!B:H, 7, FALSE), IFERROR(VLOOKUP(B772, Project_Management!B:H, 7, FALSE), ""))</f>
        <v/>
      </c>
      <c r="I772" s="224">
        <v>0.0</v>
      </c>
      <c r="J772" s="217"/>
      <c r="K772" s="217"/>
      <c r="L772" s="225" t="str">
        <f>IFERROR(VLOOKUP(B772, Data_Validation!X:Y, 2, FALSE), "")</f>
        <v/>
      </c>
      <c r="M772" s="226" t="str">
        <f t="shared" si="1"/>
        <v> |  -  | </v>
      </c>
      <c r="N772" s="226"/>
      <c r="O772" s="226"/>
    </row>
    <row r="773" ht="24.0" customHeight="1">
      <c r="A773" s="216" t="str">
        <f>IFERROR(__xludf.DUMMYFUNCTION("ARRAYFORMULA(IFERROR(VLOOKUP(REGEXEXTRACT(B773, ""-(\w+)-""), {Data_Validation!$F$16:$F$29, Data_Validation!$E$16:$E$29}, 2, FALSE), """"))
"),"")</f>
        <v/>
      </c>
      <c r="B773" s="217"/>
      <c r="C773" s="218" t="str">
        <f>IFERROR(__xludf.DUMMYFUNCTION("IFERROR(REGEXEXTRACT(B773, ""^[A-Z]+-[A-Z]+-"") &amp; TEXT(VALUE(REGEXEXTRACT(B773, ""-(\d+)\."")), ""00""), """")"),"")</f>
        <v/>
      </c>
      <c r="D773" s="219" t="str">
        <f>IFERROR(VLOOKUP(C773, Content_Creation!B:D, 2, FALSE), IFERROR(VLOOKUP(C773, Project_Management!B:D, 2, FALSE), ""))
&amp; " - "
&amp; IFERROR(VLOOKUP(C773, Content_Creation!B:E, 4, FALSE), IFERROR(VLOOKUP(C773, Project_Management!B:E, 4, FALSE), ""))</f>
        <v> - </v>
      </c>
      <c r="E773" s="220" t="str">
        <f>IFERROR(
    VLOOKUP(B772:B1001, Content_Creation!B:D, 3, FALSE),
    IFERROR(VLOOKUP(B772:B1001, Project_Management!B:D, 3, FALSE),"")
  )</f>
        <v/>
      </c>
      <c r="F773" s="221" t="str">
        <f>IFERROR(VLOOKUP(B773, Content_Creation!B:F, 5, FALSE), IFERROR(VLOOKUP(B773, Project_Management!B:F, 5, FALSE), ""))</f>
        <v/>
      </c>
      <c r="G773" s="267" t="s">
        <v>1317</v>
      </c>
      <c r="H773" s="223" t="str">
        <f>IFERROR(VLOOKUP(B773, Content_Creation!B:H, 7, FALSE), IFERROR(VLOOKUP(B773, Project_Management!B:H, 7, FALSE), ""))</f>
        <v/>
      </c>
      <c r="I773" s="224">
        <v>0.0</v>
      </c>
      <c r="J773" s="217"/>
      <c r="K773" s="217"/>
      <c r="L773" s="225" t="str">
        <f>IFERROR(VLOOKUP(B773, Data_Validation!X:Y, 2, FALSE), "")</f>
        <v/>
      </c>
      <c r="M773" s="226" t="str">
        <f t="shared" si="1"/>
        <v> |  -  | </v>
      </c>
      <c r="N773" s="226"/>
      <c r="O773" s="226"/>
    </row>
    <row r="774" ht="24.0" customHeight="1">
      <c r="A774" s="216" t="str">
        <f>IFERROR(__xludf.DUMMYFUNCTION("ARRAYFORMULA(IFERROR(VLOOKUP(REGEXEXTRACT(B774, ""-(\w+)-""), {Data_Validation!$F$16:$F$29, Data_Validation!$E$16:$E$29}, 2, FALSE), """"))
"),"")</f>
        <v/>
      </c>
      <c r="B774" s="217"/>
      <c r="C774" s="218" t="str">
        <f>IFERROR(__xludf.DUMMYFUNCTION("IFERROR(REGEXEXTRACT(B774, ""^[A-Z]+-[A-Z]+-"") &amp; TEXT(VALUE(REGEXEXTRACT(B774, ""-(\d+)\."")), ""00""), """")"),"")</f>
        <v/>
      </c>
      <c r="D774" s="219" t="str">
        <f>IFERROR(VLOOKUP(C774, Content_Creation!B:D, 2, FALSE), IFERROR(VLOOKUP(C774, Project_Management!B:D, 2, FALSE), ""))
&amp; " - "
&amp; IFERROR(VLOOKUP(C774, Content_Creation!B:E, 4, FALSE), IFERROR(VLOOKUP(C774, Project_Management!B:E, 4, FALSE), ""))</f>
        <v> - </v>
      </c>
      <c r="E774" s="220" t="str">
        <f>IFERROR(
    VLOOKUP(B773:B1001, Content_Creation!B:D, 3, FALSE),
    IFERROR(VLOOKUP(B773:B1001, Project_Management!B:D, 3, FALSE),"")
  )</f>
        <v/>
      </c>
      <c r="F774" s="221" t="str">
        <f>IFERROR(VLOOKUP(B774, Content_Creation!B:F, 5, FALSE), IFERROR(VLOOKUP(B774, Project_Management!B:F, 5, FALSE), ""))</f>
        <v/>
      </c>
      <c r="G774" s="267" t="s">
        <v>1317</v>
      </c>
      <c r="H774" s="223" t="str">
        <f>IFERROR(VLOOKUP(B774, Content_Creation!B:H, 7, FALSE), IFERROR(VLOOKUP(B774, Project_Management!B:H, 7, FALSE), ""))</f>
        <v/>
      </c>
      <c r="I774" s="224">
        <v>0.0</v>
      </c>
      <c r="J774" s="217"/>
      <c r="K774" s="217"/>
      <c r="L774" s="225" t="str">
        <f>IFERROR(VLOOKUP(B774, Data_Validation!X:Y, 2, FALSE), "")</f>
        <v/>
      </c>
      <c r="M774" s="226" t="str">
        <f t="shared" si="1"/>
        <v> |  -  | </v>
      </c>
      <c r="N774" s="226"/>
      <c r="O774" s="226"/>
    </row>
    <row r="775" ht="24.0" customHeight="1">
      <c r="A775" s="216" t="str">
        <f>IFERROR(__xludf.DUMMYFUNCTION("ARRAYFORMULA(IFERROR(VLOOKUP(REGEXEXTRACT(B775, ""-(\w+)-""), {Data_Validation!$F$16:$F$29, Data_Validation!$E$16:$E$29}, 2, FALSE), """"))
"),"")</f>
        <v/>
      </c>
      <c r="B775" s="217"/>
      <c r="C775" s="218" t="str">
        <f>IFERROR(__xludf.DUMMYFUNCTION("IFERROR(REGEXEXTRACT(B775, ""^[A-Z]+-[A-Z]+-"") &amp; TEXT(VALUE(REGEXEXTRACT(B775, ""-(\d+)\."")), ""00""), """")"),"")</f>
        <v/>
      </c>
      <c r="D775" s="219" t="str">
        <f>IFERROR(VLOOKUP(C775, Content_Creation!B:D, 2, FALSE), IFERROR(VLOOKUP(C775, Project_Management!B:D, 2, FALSE), ""))
&amp; " - "
&amp; IFERROR(VLOOKUP(C775, Content_Creation!B:E, 4, FALSE), IFERROR(VLOOKUP(C775, Project_Management!B:E, 4, FALSE), ""))</f>
        <v> - </v>
      </c>
      <c r="E775" s="220" t="str">
        <f>IFERROR(
    VLOOKUP(B774:B1001, Content_Creation!B:D, 3, FALSE),
    IFERROR(VLOOKUP(B774:B1001, Project_Management!B:D, 3, FALSE),"")
  )</f>
        <v/>
      </c>
      <c r="F775" s="221" t="str">
        <f>IFERROR(VLOOKUP(B775, Content_Creation!B:F, 5, FALSE), IFERROR(VLOOKUP(B775, Project_Management!B:F, 5, FALSE), ""))</f>
        <v/>
      </c>
      <c r="G775" s="267" t="s">
        <v>1317</v>
      </c>
      <c r="H775" s="223" t="str">
        <f>IFERROR(VLOOKUP(B775, Content_Creation!B:H, 7, FALSE), IFERROR(VLOOKUP(B775, Project_Management!B:H, 7, FALSE), ""))</f>
        <v/>
      </c>
      <c r="I775" s="224">
        <v>0.0</v>
      </c>
      <c r="J775" s="217"/>
      <c r="K775" s="217"/>
      <c r="L775" s="225" t="str">
        <f>IFERROR(VLOOKUP(B775, Data_Validation!X:Y, 2, FALSE), "")</f>
        <v/>
      </c>
      <c r="M775" s="226" t="str">
        <f t="shared" si="1"/>
        <v> |  -  | </v>
      </c>
      <c r="N775" s="226"/>
      <c r="O775" s="226"/>
    </row>
    <row r="776" ht="24.0" customHeight="1">
      <c r="A776" s="216" t="str">
        <f>IFERROR(__xludf.DUMMYFUNCTION("ARRAYFORMULA(IFERROR(VLOOKUP(REGEXEXTRACT(B776, ""-(\w+)-""), {Data_Validation!$F$16:$F$29, Data_Validation!$E$16:$E$29}, 2, FALSE), """"))
"),"")</f>
        <v/>
      </c>
      <c r="B776" s="217"/>
      <c r="C776" s="218" t="str">
        <f>IFERROR(__xludf.DUMMYFUNCTION("IFERROR(REGEXEXTRACT(B776, ""^[A-Z]+-[A-Z]+-"") &amp; TEXT(VALUE(REGEXEXTRACT(B776, ""-(\d+)\."")), ""00""), """")"),"")</f>
        <v/>
      </c>
      <c r="D776" s="219" t="str">
        <f>IFERROR(VLOOKUP(C776, Content_Creation!B:D, 2, FALSE), IFERROR(VLOOKUP(C776, Project_Management!B:D, 2, FALSE), ""))
&amp; " - "
&amp; IFERROR(VLOOKUP(C776, Content_Creation!B:E, 4, FALSE), IFERROR(VLOOKUP(C776, Project_Management!B:E, 4, FALSE), ""))</f>
        <v> - </v>
      </c>
      <c r="E776" s="220" t="str">
        <f>IFERROR(
    VLOOKUP(B775:B1001, Content_Creation!B:D, 3, FALSE),
    IFERROR(VLOOKUP(B775:B1001, Project_Management!B:D, 3, FALSE),"")
  )</f>
        <v/>
      </c>
      <c r="F776" s="221" t="str">
        <f>IFERROR(VLOOKUP(B776, Content_Creation!B:F, 5, FALSE), IFERROR(VLOOKUP(B776, Project_Management!B:F, 5, FALSE), ""))</f>
        <v/>
      </c>
      <c r="G776" s="267" t="s">
        <v>1317</v>
      </c>
      <c r="H776" s="223" t="str">
        <f>IFERROR(VLOOKUP(B776, Content_Creation!B:H, 7, FALSE), IFERROR(VLOOKUP(B776, Project_Management!B:H, 7, FALSE), ""))</f>
        <v/>
      </c>
      <c r="I776" s="224">
        <v>0.0</v>
      </c>
      <c r="J776" s="217"/>
      <c r="K776" s="217"/>
      <c r="L776" s="225" t="str">
        <f>IFERROR(VLOOKUP(B776, Data_Validation!X:Y, 2, FALSE), "")</f>
        <v/>
      </c>
      <c r="M776" s="226" t="str">
        <f t="shared" si="1"/>
        <v> |  -  | </v>
      </c>
      <c r="N776" s="226"/>
      <c r="O776" s="226"/>
    </row>
    <row r="777" ht="24.0" customHeight="1">
      <c r="A777" s="216" t="str">
        <f>IFERROR(__xludf.DUMMYFUNCTION("ARRAYFORMULA(IFERROR(VLOOKUP(REGEXEXTRACT(B777, ""-(\w+)-""), {Data_Validation!$F$16:$F$29, Data_Validation!$E$16:$E$29}, 2, FALSE), """"))
"),"")</f>
        <v/>
      </c>
      <c r="B777" s="217"/>
      <c r="C777" s="218" t="str">
        <f>IFERROR(__xludf.DUMMYFUNCTION("IFERROR(REGEXEXTRACT(B777, ""^[A-Z]+-[A-Z]+-"") &amp; TEXT(VALUE(REGEXEXTRACT(B777, ""-(\d+)\."")), ""00""), """")"),"")</f>
        <v/>
      </c>
      <c r="D777" s="219" t="str">
        <f>IFERROR(VLOOKUP(C777, Content_Creation!B:D, 2, FALSE), IFERROR(VLOOKUP(C777, Project_Management!B:D, 2, FALSE), ""))
&amp; " - "
&amp; IFERROR(VLOOKUP(C777, Content_Creation!B:E, 4, FALSE), IFERROR(VLOOKUP(C777, Project_Management!B:E, 4, FALSE), ""))</f>
        <v> - </v>
      </c>
      <c r="E777" s="220" t="str">
        <f>IFERROR(
    VLOOKUP(B776:B1001, Content_Creation!B:D, 3, FALSE),
    IFERROR(VLOOKUP(B776:B1001, Project_Management!B:D, 3, FALSE),"")
  )</f>
        <v/>
      </c>
      <c r="F777" s="221" t="str">
        <f>IFERROR(VLOOKUP(B777, Content_Creation!B:F, 5, FALSE), IFERROR(VLOOKUP(B777, Project_Management!B:F, 5, FALSE), ""))</f>
        <v/>
      </c>
      <c r="G777" s="267" t="s">
        <v>1317</v>
      </c>
      <c r="H777" s="223" t="str">
        <f>IFERROR(VLOOKUP(B777, Content_Creation!B:H, 7, FALSE), IFERROR(VLOOKUP(B777, Project_Management!B:H, 7, FALSE), ""))</f>
        <v/>
      </c>
      <c r="I777" s="224">
        <v>0.0</v>
      </c>
      <c r="J777" s="217"/>
      <c r="K777" s="217"/>
      <c r="L777" s="225" t="str">
        <f>IFERROR(VLOOKUP(B777, Data_Validation!X:Y, 2, FALSE), "")</f>
        <v/>
      </c>
      <c r="M777" s="226" t="str">
        <f t="shared" si="1"/>
        <v> |  -  | </v>
      </c>
      <c r="N777" s="226"/>
      <c r="O777" s="226"/>
    </row>
    <row r="778" ht="24.0" customHeight="1">
      <c r="A778" s="216" t="str">
        <f>IFERROR(__xludf.DUMMYFUNCTION("ARRAYFORMULA(IFERROR(VLOOKUP(REGEXEXTRACT(B778, ""-(\w+)-""), {Data_Validation!$F$16:$F$29, Data_Validation!$E$16:$E$29}, 2, FALSE), """"))
"),"")</f>
        <v/>
      </c>
      <c r="B778" s="217"/>
      <c r="C778" s="218" t="str">
        <f>IFERROR(__xludf.DUMMYFUNCTION("IFERROR(REGEXEXTRACT(B778, ""^[A-Z]+-[A-Z]+-"") &amp; TEXT(VALUE(REGEXEXTRACT(B778, ""-(\d+)\."")), ""00""), """")"),"")</f>
        <v/>
      </c>
      <c r="D778" s="219" t="str">
        <f>IFERROR(VLOOKUP(C778, Content_Creation!B:D, 2, FALSE), IFERROR(VLOOKUP(C778, Project_Management!B:D, 2, FALSE), ""))
&amp; " - "
&amp; IFERROR(VLOOKUP(C778, Content_Creation!B:E, 4, FALSE), IFERROR(VLOOKUP(C778, Project_Management!B:E, 4, FALSE), ""))</f>
        <v> - </v>
      </c>
      <c r="E778" s="220" t="str">
        <f>IFERROR(
    VLOOKUP(B777:B1001, Content_Creation!B:D, 3, FALSE),
    IFERROR(VLOOKUP(B777:B1001, Project_Management!B:D, 3, FALSE),"")
  )</f>
        <v/>
      </c>
      <c r="F778" s="221" t="str">
        <f>IFERROR(VLOOKUP(B778, Content_Creation!B:F, 5, FALSE), IFERROR(VLOOKUP(B778, Project_Management!B:F, 5, FALSE), ""))</f>
        <v/>
      </c>
      <c r="G778" s="267" t="s">
        <v>1317</v>
      </c>
      <c r="H778" s="223" t="str">
        <f>IFERROR(VLOOKUP(B778, Content_Creation!B:H, 7, FALSE), IFERROR(VLOOKUP(B778, Project_Management!B:H, 7, FALSE), ""))</f>
        <v/>
      </c>
      <c r="I778" s="224">
        <v>0.0</v>
      </c>
      <c r="J778" s="217"/>
      <c r="K778" s="217"/>
      <c r="L778" s="225" t="str">
        <f>IFERROR(VLOOKUP(B778, Data_Validation!X:Y, 2, FALSE), "")</f>
        <v/>
      </c>
      <c r="M778" s="226" t="str">
        <f t="shared" si="1"/>
        <v> |  -  | </v>
      </c>
      <c r="N778" s="226"/>
      <c r="O778" s="226"/>
    </row>
    <row r="779" ht="24.0" customHeight="1">
      <c r="A779" s="216" t="str">
        <f>IFERROR(__xludf.DUMMYFUNCTION("ARRAYFORMULA(IFERROR(VLOOKUP(REGEXEXTRACT(B779, ""-(\w+)-""), {Data_Validation!$F$16:$F$29, Data_Validation!$E$16:$E$29}, 2, FALSE), """"))
"),"")</f>
        <v/>
      </c>
      <c r="B779" s="217"/>
      <c r="C779" s="218" t="str">
        <f>IFERROR(__xludf.DUMMYFUNCTION("IFERROR(REGEXEXTRACT(B779, ""^[A-Z]+-[A-Z]+-"") &amp; TEXT(VALUE(REGEXEXTRACT(B779, ""-(\d+)\."")), ""00""), """")"),"")</f>
        <v/>
      </c>
      <c r="D779" s="219" t="str">
        <f>IFERROR(VLOOKUP(C779, Content_Creation!B:D, 2, FALSE), IFERROR(VLOOKUP(C779, Project_Management!B:D, 2, FALSE), ""))
&amp; " - "
&amp; IFERROR(VLOOKUP(C779, Content_Creation!B:E, 4, FALSE), IFERROR(VLOOKUP(C779, Project_Management!B:E, 4, FALSE), ""))</f>
        <v> - </v>
      </c>
      <c r="E779" s="220" t="str">
        <f>IFERROR(
    VLOOKUP(B778:B1001, Content_Creation!B:D, 3, FALSE),
    IFERROR(VLOOKUP(B778:B1001, Project_Management!B:D, 3, FALSE),"")
  )</f>
        <v/>
      </c>
      <c r="F779" s="221" t="str">
        <f>IFERROR(VLOOKUP(B779, Content_Creation!B:F, 5, FALSE), IFERROR(VLOOKUP(B779, Project_Management!B:F, 5, FALSE), ""))</f>
        <v/>
      </c>
      <c r="G779" s="267" t="s">
        <v>1317</v>
      </c>
      <c r="H779" s="223" t="str">
        <f>IFERROR(VLOOKUP(B779, Content_Creation!B:H, 7, FALSE), IFERROR(VLOOKUP(B779, Project_Management!B:H, 7, FALSE), ""))</f>
        <v/>
      </c>
      <c r="I779" s="224">
        <v>0.0</v>
      </c>
      <c r="J779" s="217"/>
      <c r="K779" s="217"/>
      <c r="L779" s="225" t="str">
        <f>IFERROR(VLOOKUP(B779, Data_Validation!X:Y, 2, FALSE), "")</f>
        <v/>
      </c>
      <c r="M779" s="226" t="str">
        <f t="shared" si="1"/>
        <v> |  -  | </v>
      </c>
      <c r="N779" s="226"/>
      <c r="O779" s="226"/>
    </row>
    <row r="780" ht="24.0" customHeight="1">
      <c r="A780" s="216" t="str">
        <f>IFERROR(__xludf.DUMMYFUNCTION("ARRAYFORMULA(IFERROR(VLOOKUP(REGEXEXTRACT(B780, ""-(\w+)-""), {Data_Validation!$F$16:$F$29, Data_Validation!$E$16:$E$29}, 2, FALSE), """"))
"),"")</f>
        <v/>
      </c>
      <c r="B780" s="217"/>
      <c r="C780" s="218" t="str">
        <f>IFERROR(__xludf.DUMMYFUNCTION("IFERROR(REGEXEXTRACT(B780, ""^[A-Z]+-[A-Z]+-"") &amp; TEXT(VALUE(REGEXEXTRACT(B780, ""-(\d+)\."")), ""00""), """")"),"")</f>
        <v/>
      </c>
      <c r="D780" s="219" t="str">
        <f>IFERROR(VLOOKUP(C780, Content_Creation!B:D, 2, FALSE), IFERROR(VLOOKUP(C780, Project_Management!B:D, 2, FALSE), ""))
&amp; " - "
&amp; IFERROR(VLOOKUP(C780, Content_Creation!B:E, 4, FALSE), IFERROR(VLOOKUP(C780, Project_Management!B:E, 4, FALSE), ""))</f>
        <v> - </v>
      </c>
      <c r="E780" s="220" t="str">
        <f>IFERROR(
    VLOOKUP(B779:B1001, Content_Creation!B:D, 3, FALSE),
    IFERROR(VLOOKUP(B779:B1001, Project_Management!B:D, 3, FALSE),"")
  )</f>
        <v/>
      </c>
      <c r="F780" s="221" t="str">
        <f>IFERROR(VLOOKUP(B780, Content_Creation!B:F, 5, FALSE), IFERROR(VLOOKUP(B780, Project_Management!B:F, 5, FALSE), ""))</f>
        <v/>
      </c>
      <c r="G780" s="267" t="s">
        <v>1317</v>
      </c>
      <c r="H780" s="223" t="str">
        <f>IFERROR(VLOOKUP(B780, Content_Creation!B:H, 7, FALSE), IFERROR(VLOOKUP(B780, Project_Management!B:H, 7, FALSE), ""))</f>
        <v/>
      </c>
      <c r="I780" s="224">
        <v>0.0</v>
      </c>
      <c r="J780" s="217"/>
      <c r="K780" s="217"/>
      <c r="L780" s="225" t="str">
        <f>IFERROR(VLOOKUP(B780, Data_Validation!X:Y, 2, FALSE), "")</f>
        <v/>
      </c>
      <c r="M780" s="226" t="str">
        <f t="shared" si="1"/>
        <v> |  -  | </v>
      </c>
      <c r="N780" s="226"/>
      <c r="O780" s="226"/>
    </row>
    <row r="781" ht="24.0" customHeight="1">
      <c r="A781" s="216" t="str">
        <f>IFERROR(__xludf.DUMMYFUNCTION("ARRAYFORMULA(IFERROR(VLOOKUP(REGEXEXTRACT(B781, ""-(\w+)-""), {Data_Validation!$F$16:$F$29, Data_Validation!$E$16:$E$29}, 2, FALSE), """"))
"),"")</f>
        <v/>
      </c>
      <c r="B781" s="217"/>
      <c r="C781" s="218" t="str">
        <f>IFERROR(__xludf.DUMMYFUNCTION("IFERROR(REGEXEXTRACT(B781, ""^[A-Z]+-[A-Z]+-"") &amp; TEXT(VALUE(REGEXEXTRACT(B781, ""-(\d+)\."")), ""00""), """")"),"")</f>
        <v/>
      </c>
      <c r="D781" s="219" t="str">
        <f>IFERROR(VLOOKUP(C781, Content_Creation!B:D, 2, FALSE), IFERROR(VLOOKUP(C781, Project_Management!B:D, 2, FALSE), ""))
&amp; " - "
&amp; IFERROR(VLOOKUP(C781, Content_Creation!B:E, 4, FALSE), IFERROR(VLOOKUP(C781, Project_Management!B:E, 4, FALSE), ""))</f>
        <v> - </v>
      </c>
      <c r="E781" s="220" t="str">
        <f>IFERROR(
    VLOOKUP(B780:B1001, Content_Creation!B:D, 3, FALSE),
    IFERROR(VLOOKUP(B780:B1001, Project_Management!B:D, 3, FALSE),"")
  )</f>
        <v/>
      </c>
      <c r="F781" s="221" t="str">
        <f>IFERROR(VLOOKUP(B781, Content_Creation!B:F, 5, FALSE), IFERROR(VLOOKUP(B781, Project_Management!B:F, 5, FALSE), ""))</f>
        <v/>
      </c>
      <c r="G781" s="267" t="s">
        <v>1317</v>
      </c>
      <c r="H781" s="223" t="str">
        <f>IFERROR(VLOOKUP(B781, Content_Creation!B:H, 7, FALSE), IFERROR(VLOOKUP(B781, Project_Management!B:H, 7, FALSE), ""))</f>
        <v/>
      </c>
      <c r="I781" s="224">
        <v>0.0</v>
      </c>
      <c r="J781" s="217"/>
      <c r="K781" s="217"/>
      <c r="L781" s="225" t="str">
        <f>IFERROR(VLOOKUP(B781, Data_Validation!X:Y, 2, FALSE), "")</f>
        <v/>
      </c>
      <c r="M781" s="226" t="str">
        <f t="shared" si="1"/>
        <v> |  -  | </v>
      </c>
      <c r="N781" s="226"/>
      <c r="O781" s="226"/>
    </row>
    <row r="782" ht="24.0" customHeight="1">
      <c r="A782" s="216" t="str">
        <f>IFERROR(__xludf.DUMMYFUNCTION("ARRAYFORMULA(IFERROR(VLOOKUP(REGEXEXTRACT(B782, ""-(\w+)-""), {Data_Validation!$F$16:$F$29, Data_Validation!$E$16:$E$29}, 2, FALSE), """"))
"),"")</f>
        <v/>
      </c>
      <c r="B782" s="217"/>
      <c r="C782" s="218" t="str">
        <f>IFERROR(__xludf.DUMMYFUNCTION("IFERROR(REGEXEXTRACT(B782, ""^[A-Z]+-[A-Z]+-"") &amp; TEXT(VALUE(REGEXEXTRACT(B782, ""-(\d+)\."")), ""00""), """")"),"")</f>
        <v/>
      </c>
      <c r="D782" s="219" t="str">
        <f>IFERROR(VLOOKUP(C782, Content_Creation!B:D, 2, FALSE), IFERROR(VLOOKUP(C782, Project_Management!B:D, 2, FALSE), ""))
&amp; " - "
&amp; IFERROR(VLOOKUP(C782, Content_Creation!B:E, 4, FALSE), IFERROR(VLOOKUP(C782, Project_Management!B:E, 4, FALSE), ""))</f>
        <v> - </v>
      </c>
      <c r="E782" s="220" t="str">
        <f>IFERROR(
    VLOOKUP(B781:B1001, Content_Creation!B:D, 3, FALSE),
    IFERROR(VLOOKUP(B781:B1001, Project_Management!B:D, 3, FALSE),"")
  )</f>
        <v/>
      </c>
      <c r="F782" s="221" t="str">
        <f>IFERROR(VLOOKUP(B782, Content_Creation!B:F, 5, FALSE), IFERROR(VLOOKUP(B782, Project_Management!B:F, 5, FALSE), ""))</f>
        <v/>
      </c>
      <c r="G782" s="267" t="s">
        <v>1317</v>
      </c>
      <c r="H782" s="223" t="str">
        <f>IFERROR(VLOOKUP(B782, Content_Creation!B:H, 7, FALSE), IFERROR(VLOOKUP(B782, Project_Management!B:H, 7, FALSE), ""))</f>
        <v/>
      </c>
      <c r="I782" s="224">
        <v>0.0</v>
      </c>
      <c r="J782" s="217"/>
      <c r="K782" s="217"/>
      <c r="L782" s="225" t="str">
        <f>IFERROR(VLOOKUP(B782, Data_Validation!X:Y, 2, FALSE), "")</f>
        <v/>
      </c>
      <c r="M782" s="226" t="str">
        <f t="shared" si="1"/>
        <v> |  -  | </v>
      </c>
      <c r="N782" s="226"/>
      <c r="O782" s="226"/>
    </row>
    <row r="783" ht="24.0" customHeight="1">
      <c r="A783" s="216" t="str">
        <f>IFERROR(__xludf.DUMMYFUNCTION("ARRAYFORMULA(IFERROR(VLOOKUP(REGEXEXTRACT(B783, ""-(\w+)-""), {Data_Validation!$F$16:$F$29, Data_Validation!$E$16:$E$29}, 2, FALSE), """"))
"),"")</f>
        <v/>
      </c>
      <c r="B783" s="217"/>
      <c r="C783" s="218" t="str">
        <f>IFERROR(__xludf.DUMMYFUNCTION("IFERROR(REGEXEXTRACT(B783, ""^[A-Z]+-[A-Z]+-"") &amp; TEXT(VALUE(REGEXEXTRACT(B783, ""-(\d+)\."")), ""00""), """")"),"")</f>
        <v/>
      </c>
      <c r="D783" s="219" t="str">
        <f>IFERROR(VLOOKUP(C783, Content_Creation!B:D, 2, FALSE), IFERROR(VLOOKUP(C783, Project_Management!B:D, 2, FALSE), ""))
&amp; " - "
&amp; IFERROR(VLOOKUP(C783, Content_Creation!B:E, 4, FALSE), IFERROR(VLOOKUP(C783, Project_Management!B:E, 4, FALSE), ""))</f>
        <v> - </v>
      </c>
      <c r="E783" s="220" t="str">
        <f>IFERROR(
    VLOOKUP(B782:B1001, Content_Creation!B:D, 3, FALSE),
    IFERROR(VLOOKUP(B782:B1001, Project_Management!B:D, 3, FALSE),"")
  )</f>
        <v/>
      </c>
      <c r="F783" s="221" t="str">
        <f>IFERROR(VLOOKUP(B783, Content_Creation!B:F, 5, FALSE), IFERROR(VLOOKUP(B783, Project_Management!B:F, 5, FALSE), ""))</f>
        <v/>
      </c>
      <c r="G783" s="267" t="s">
        <v>1317</v>
      </c>
      <c r="H783" s="223" t="str">
        <f>IFERROR(VLOOKUP(B783, Content_Creation!B:H, 7, FALSE), IFERROR(VLOOKUP(B783, Project_Management!B:H, 7, FALSE), ""))</f>
        <v/>
      </c>
      <c r="I783" s="224">
        <v>0.0</v>
      </c>
      <c r="J783" s="217"/>
      <c r="K783" s="217"/>
      <c r="L783" s="225" t="str">
        <f>IFERROR(VLOOKUP(B783, Data_Validation!X:Y, 2, FALSE), "")</f>
        <v/>
      </c>
      <c r="M783" s="226" t="str">
        <f t="shared" si="1"/>
        <v> |  -  | </v>
      </c>
      <c r="N783" s="226"/>
      <c r="O783" s="226"/>
    </row>
    <row r="784" ht="24.0" customHeight="1">
      <c r="A784" s="216" t="str">
        <f>IFERROR(__xludf.DUMMYFUNCTION("ARRAYFORMULA(IFERROR(VLOOKUP(REGEXEXTRACT(B784, ""-(\w+)-""), {Data_Validation!$F$16:$F$29, Data_Validation!$E$16:$E$29}, 2, FALSE), """"))
"),"")</f>
        <v/>
      </c>
      <c r="B784" s="217"/>
      <c r="C784" s="218" t="str">
        <f>IFERROR(__xludf.DUMMYFUNCTION("IFERROR(REGEXEXTRACT(B784, ""^[A-Z]+-[A-Z]+-"") &amp; TEXT(VALUE(REGEXEXTRACT(B784, ""-(\d+)\."")), ""00""), """")"),"")</f>
        <v/>
      </c>
      <c r="D784" s="219" t="str">
        <f>IFERROR(VLOOKUP(C784, Content_Creation!B:D, 2, FALSE), IFERROR(VLOOKUP(C784, Project_Management!B:D, 2, FALSE), ""))
&amp; " - "
&amp; IFERROR(VLOOKUP(C784, Content_Creation!B:E, 4, FALSE), IFERROR(VLOOKUP(C784, Project_Management!B:E, 4, FALSE), ""))</f>
        <v> - </v>
      </c>
      <c r="E784" s="220" t="str">
        <f>IFERROR(
    VLOOKUP(B783:B1001, Content_Creation!B:D, 3, FALSE),
    IFERROR(VLOOKUP(B783:B1001, Project_Management!B:D, 3, FALSE),"")
  )</f>
        <v/>
      </c>
      <c r="F784" s="221" t="str">
        <f>IFERROR(VLOOKUP(B784, Content_Creation!B:F, 5, FALSE), IFERROR(VLOOKUP(B784, Project_Management!B:F, 5, FALSE), ""))</f>
        <v/>
      </c>
      <c r="G784" s="267" t="s">
        <v>1317</v>
      </c>
      <c r="H784" s="223" t="str">
        <f>IFERROR(VLOOKUP(B784, Content_Creation!B:H, 7, FALSE), IFERROR(VLOOKUP(B784, Project_Management!B:H, 7, FALSE), ""))</f>
        <v/>
      </c>
      <c r="I784" s="224">
        <v>0.0</v>
      </c>
      <c r="J784" s="217"/>
      <c r="K784" s="217"/>
      <c r="L784" s="225" t="str">
        <f>IFERROR(VLOOKUP(B784, Data_Validation!X:Y, 2, FALSE), "")</f>
        <v/>
      </c>
      <c r="M784" s="226" t="str">
        <f t="shared" si="1"/>
        <v> |  -  | </v>
      </c>
      <c r="N784" s="226"/>
      <c r="O784" s="226"/>
    </row>
    <row r="785" ht="24.0" customHeight="1">
      <c r="A785" s="216" t="str">
        <f>IFERROR(__xludf.DUMMYFUNCTION("ARRAYFORMULA(IFERROR(VLOOKUP(REGEXEXTRACT(B785, ""-(\w+)-""), {Data_Validation!$F$16:$F$29, Data_Validation!$E$16:$E$29}, 2, FALSE), """"))
"),"")</f>
        <v/>
      </c>
      <c r="B785" s="217"/>
      <c r="C785" s="218" t="str">
        <f>IFERROR(__xludf.DUMMYFUNCTION("IFERROR(REGEXEXTRACT(B785, ""^[A-Z]+-[A-Z]+-"") &amp; TEXT(VALUE(REGEXEXTRACT(B785, ""-(\d+)\."")), ""00""), """")"),"")</f>
        <v/>
      </c>
      <c r="D785" s="219" t="str">
        <f>IFERROR(VLOOKUP(C785, Content_Creation!B:D, 2, FALSE), IFERROR(VLOOKUP(C785, Project_Management!B:D, 2, FALSE), ""))
&amp; " - "
&amp; IFERROR(VLOOKUP(C785, Content_Creation!B:E, 4, FALSE), IFERROR(VLOOKUP(C785, Project_Management!B:E, 4, FALSE), ""))</f>
        <v> - </v>
      </c>
      <c r="E785" s="220" t="str">
        <f>IFERROR(
    VLOOKUP(B784:B1001, Content_Creation!B:D, 3, FALSE),
    IFERROR(VLOOKUP(B784:B1001, Project_Management!B:D, 3, FALSE),"")
  )</f>
        <v/>
      </c>
      <c r="F785" s="221" t="str">
        <f>IFERROR(VLOOKUP(B785, Content_Creation!B:F, 5, FALSE), IFERROR(VLOOKUP(B785, Project_Management!B:F, 5, FALSE), ""))</f>
        <v/>
      </c>
      <c r="G785" s="267" t="s">
        <v>1317</v>
      </c>
      <c r="H785" s="223" t="str">
        <f>IFERROR(VLOOKUP(B785, Content_Creation!B:H, 7, FALSE), IFERROR(VLOOKUP(B785, Project_Management!B:H, 7, FALSE), ""))</f>
        <v/>
      </c>
      <c r="I785" s="224">
        <v>0.0</v>
      </c>
      <c r="J785" s="217"/>
      <c r="K785" s="217"/>
      <c r="L785" s="225" t="str">
        <f>IFERROR(VLOOKUP(B785, Data_Validation!X:Y, 2, FALSE), "")</f>
        <v/>
      </c>
      <c r="M785" s="226" t="str">
        <f t="shared" si="1"/>
        <v> |  -  | </v>
      </c>
      <c r="N785" s="226"/>
      <c r="O785" s="226"/>
    </row>
    <row r="786" ht="24.0" customHeight="1">
      <c r="A786" s="216" t="str">
        <f>IFERROR(__xludf.DUMMYFUNCTION("ARRAYFORMULA(IFERROR(VLOOKUP(REGEXEXTRACT(B786, ""-(\w+)-""), {Data_Validation!$F$16:$F$29, Data_Validation!$E$16:$E$29}, 2, FALSE), """"))
"),"")</f>
        <v/>
      </c>
      <c r="B786" s="217"/>
      <c r="C786" s="218" t="str">
        <f>IFERROR(__xludf.DUMMYFUNCTION("IFERROR(REGEXEXTRACT(B786, ""^[A-Z]+-[A-Z]+-"") &amp; TEXT(VALUE(REGEXEXTRACT(B786, ""-(\d+)\."")), ""00""), """")"),"")</f>
        <v/>
      </c>
      <c r="D786" s="219" t="str">
        <f>IFERROR(VLOOKUP(C786, Content_Creation!B:D, 2, FALSE), IFERROR(VLOOKUP(C786, Project_Management!B:D, 2, FALSE), ""))
&amp; " - "
&amp; IFERROR(VLOOKUP(C786, Content_Creation!B:E, 4, FALSE), IFERROR(VLOOKUP(C786, Project_Management!B:E, 4, FALSE), ""))</f>
        <v> - </v>
      </c>
      <c r="E786" s="220" t="str">
        <f>IFERROR(
    VLOOKUP(B785:B1001, Content_Creation!B:D, 3, FALSE),
    IFERROR(VLOOKUP(B785:B1001, Project_Management!B:D, 3, FALSE),"")
  )</f>
        <v/>
      </c>
      <c r="F786" s="221" t="str">
        <f>IFERROR(VLOOKUP(B786, Content_Creation!B:F, 5, FALSE), IFERROR(VLOOKUP(B786, Project_Management!B:F, 5, FALSE), ""))</f>
        <v/>
      </c>
      <c r="G786" s="267" t="s">
        <v>1317</v>
      </c>
      <c r="H786" s="223" t="str">
        <f>IFERROR(VLOOKUP(B786, Content_Creation!B:H, 7, FALSE), IFERROR(VLOOKUP(B786, Project_Management!B:H, 7, FALSE), ""))</f>
        <v/>
      </c>
      <c r="I786" s="224">
        <v>0.0</v>
      </c>
      <c r="J786" s="217"/>
      <c r="K786" s="217"/>
      <c r="L786" s="225" t="str">
        <f>IFERROR(VLOOKUP(B786, Data_Validation!X:Y, 2, FALSE), "")</f>
        <v/>
      </c>
      <c r="M786" s="226" t="str">
        <f t="shared" si="1"/>
        <v> |  -  | </v>
      </c>
      <c r="N786" s="226"/>
      <c r="O786" s="226"/>
    </row>
    <row r="787" ht="24.0" customHeight="1">
      <c r="A787" s="216" t="str">
        <f>IFERROR(__xludf.DUMMYFUNCTION("ARRAYFORMULA(IFERROR(VLOOKUP(REGEXEXTRACT(B787, ""-(\w+)-""), {Data_Validation!$F$16:$F$29, Data_Validation!$E$16:$E$29}, 2, FALSE), """"))
"),"")</f>
        <v/>
      </c>
      <c r="B787" s="217"/>
      <c r="C787" s="218" t="str">
        <f>IFERROR(__xludf.DUMMYFUNCTION("IFERROR(REGEXEXTRACT(B787, ""^[A-Z]+-[A-Z]+-"") &amp; TEXT(VALUE(REGEXEXTRACT(B787, ""-(\d+)\."")), ""00""), """")"),"")</f>
        <v/>
      </c>
      <c r="D787" s="219" t="str">
        <f>IFERROR(VLOOKUP(C787, Content_Creation!B:D, 2, FALSE), IFERROR(VLOOKUP(C787, Project_Management!B:D, 2, FALSE), ""))
&amp; " - "
&amp; IFERROR(VLOOKUP(C787, Content_Creation!B:E, 4, FALSE), IFERROR(VLOOKUP(C787, Project_Management!B:E, 4, FALSE), ""))</f>
        <v> - </v>
      </c>
      <c r="E787" s="220" t="str">
        <f>IFERROR(
    VLOOKUP(B786:B1001, Content_Creation!B:D, 3, FALSE),
    IFERROR(VLOOKUP(B786:B1001, Project_Management!B:D, 3, FALSE),"")
  )</f>
        <v/>
      </c>
      <c r="F787" s="221" t="str">
        <f>IFERROR(VLOOKUP(B787, Content_Creation!B:F, 5, FALSE), IFERROR(VLOOKUP(B787, Project_Management!B:F, 5, FALSE), ""))</f>
        <v/>
      </c>
      <c r="G787" s="267" t="s">
        <v>1317</v>
      </c>
      <c r="H787" s="223" t="str">
        <f>IFERROR(VLOOKUP(B787, Content_Creation!B:H, 7, FALSE), IFERROR(VLOOKUP(B787, Project_Management!B:H, 7, FALSE), ""))</f>
        <v/>
      </c>
      <c r="I787" s="224">
        <v>0.0</v>
      </c>
      <c r="J787" s="217"/>
      <c r="K787" s="217"/>
      <c r="L787" s="225" t="str">
        <f>IFERROR(VLOOKUP(B787, Data_Validation!X:Y, 2, FALSE), "")</f>
        <v/>
      </c>
      <c r="M787" s="226" t="str">
        <f t="shared" si="1"/>
        <v> |  -  | </v>
      </c>
      <c r="N787" s="226"/>
      <c r="O787" s="226"/>
    </row>
    <row r="788" ht="24.0" customHeight="1">
      <c r="A788" s="216" t="str">
        <f>IFERROR(__xludf.DUMMYFUNCTION("ARRAYFORMULA(IFERROR(VLOOKUP(REGEXEXTRACT(B788, ""-(\w+)-""), {Data_Validation!$F$16:$F$29, Data_Validation!$E$16:$E$29}, 2, FALSE), """"))
"),"")</f>
        <v/>
      </c>
      <c r="B788" s="217"/>
      <c r="C788" s="218" t="str">
        <f>IFERROR(__xludf.DUMMYFUNCTION("IFERROR(REGEXEXTRACT(B788, ""^[A-Z]+-[A-Z]+-"") &amp; TEXT(VALUE(REGEXEXTRACT(B788, ""-(\d+)\."")), ""00""), """")"),"")</f>
        <v/>
      </c>
      <c r="D788" s="219" t="str">
        <f>IFERROR(VLOOKUP(C788, Content_Creation!B:D, 2, FALSE), IFERROR(VLOOKUP(C788, Project_Management!B:D, 2, FALSE), ""))
&amp; " - "
&amp; IFERROR(VLOOKUP(C788, Content_Creation!B:E, 4, FALSE), IFERROR(VLOOKUP(C788, Project_Management!B:E, 4, FALSE), ""))</f>
        <v> - </v>
      </c>
      <c r="E788" s="220" t="str">
        <f>IFERROR(
    VLOOKUP(B787:B1001, Content_Creation!B:D, 3, FALSE),
    IFERROR(VLOOKUP(B787:B1001, Project_Management!B:D, 3, FALSE),"")
  )</f>
        <v/>
      </c>
      <c r="F788" s="221" t="str">
        <f>IFERROR(VLOOKUP(B788, Content_Creation!B:F, 5, FALSE), IFERROR(VLOOKUP(B788, Project_Management!B:F, 5, FALSE), ""))</f>
        <v/>
      </c>
      <c r="G788" s="267" t="s">
        <v>1317</v>
      </c>
      <c r="H788" s="223" t="str">
        <f>IFERROR(VLOOKUP(B788, Content_Creation!B:H, 7, FALSE), IFERROR(VLOOKUP(B788, Project_Management!B:H, 7, FALSE), ""))</f>
        <v/>
      </c>
      <c r="I788" s="224">
        <v>0.0</v>
      </c>
      <c r="J788" s="217"/>
      <c r="K788" s="217"/>
      <c r="L788" s="225" t="str">
        <f>IFERROR(VLOOKUP(B788, Data_Validation!X:Y, 2, FALSE), "")</f>
        <v/>
      </c>
      <c r="M788" s="226" t="str">
        <f t="shared" si="1"/>
        <v> |  -  | </v>
      </c>
      <c r="N788" s="226"/>
      <c r="O788" s="226"/>
    </row>
    <row r="789" ht="24.0" customHeight="1">
      <c r="A789" s="216" t="str">
        <f>IFERROR(__xludf.DUMMYFUNCTION("ARRAYFORMULA(IFERROR(VLOOKUP(REGEXEXTRACT(B789, ""-(\w+)-""), {Data_Validation!$F$16:$F$29, Data_Validation!$E$16:$E$29}, 2, FALSE), """"))
"),"")</f>
        <v/>
      </c>
      <c r="B789" s="217"/>
      <c r="C789" s="218" t="str">
        <f>IFERROR(__xludf.DUMMYFUNCTION("IFERROR(REGEXEXTRACT(B789, ""^[A-Z]+-[A-Z]+-"") &amp; TEXT(VALUE(REGEXEXTRACT(B789, ""-(\d+)\."")), ""00""), """")"),"")</f>
        <v/>
      </c>
      <c r="D789" s="219" t="str">
        <f>IFERROR(VLOOKUP(C789, Content_Creation!B:D, 2, FALSE), IFERROR(VLOOKUP(C789, Project_Management!B:D, 2, FALSE), ""))
&amp; " - "
&amp; IFERROR(VLOOKUP(C789, Content_Creation!B:E, 4, FALSE), IFERROR(VLOOKUP(C789, Project_Management!B:E, 4, FALSE), ""))</f>
        <v> - </v>
      </c>
      <c r="E789" s="220" t="str">
        <f>IFERROR(
    VLOOKUP(B788:B1001, Content_Creation!B:D, 3, FALSE),
    IFERROR(VLOOKUP(B788:B1001, Project_Management!B:D, 3, FALSE),"")
  )</f>
        <v/>
      </c>
      <c r="F789" s="221" t="str">
        <f>IFERROR(VLOOKUP(B789, Content_Creation!B:F, 5, FALSE), IFERROR(VLOOKUP(B789, Project_Management!B:F, 5, FALSE), ""))</f>
        <v/>
      </c>
      <c r="G789" s="267" t="s">
        <v>1317</v>
      </c>
      <c r="H789" s="223" t="str">
        <f>IFERROR(VLOOKUP(B789, Content_Creation!B:H, 7, FALSE), IFERROR(VLOOKUP(B789, Project_Management!B:H, 7, FALSE), ""))</f>
        <v/>
      </c>
      <c r="I789" s="224">
        <v>0.0</v>
      </c>
      <c r="J789" s="217"/>
      <c r="K789" s="217"/>
      <c r="L789" s="225" t="str">
        <f>IFERROR(VLOOKUP(B789, Data_Validation!X:Y, 2, FALSE), "")</f>
        <v/>
      </c>
      <c r="M789" s="226" t="str">
        <f t="shared" si="1"/>
        <v> |  -  | </v>
      </c>
      <c r="N789" s="226"/>
      <c r="O789" s="226"/>
    </row>
    <row r="790" ht="24.0" customHeight="1">
      <c r="A790" s="216" t="str">
        <f>IFERROR(__xludf.DUMMYFUNCTION("ARRAYFORMULA(IFERROR(VLOOKUP(REGEXEXTRACT(B790, ""-(\w+)-""), {Data_Validation!$F$16:$F$29, Data_Validation!$E$16:$E$29}, 2, FALSE), """"))
"),"")</f>
        <v/>
      </c>
      <c r="B790" s="217"/>
      <c r="C790" s="218" t="str">
        <f>IFERROR(__xludf.DUMMYFUNCTION("IFERROR(REGEXEXTRACT(B790, ""^[A-Z]+-[A-Z]+-"") &amp; TEXT(VALUE(REGEXEXTRACT(B790, ""-(\d+)\."")), ""00""), """")"),"")</f>
        <v/>
      </c>
      <c r="D790" s="219" t="str">
        <f>IFERROR(VLOOKUP(C790, Content_Creation!B:D, 2, FALSE), IFERROR(VLOOKUP(C790, Project_Management!B:D, 2, FALSE), ""))
&amp; " - "
&amp; IFERROR(VLOOKUP(C790, Content_Creation!B:E, 4, FALSE), IFERROR(VLOOKUP(C790, Project_Management!B:E, 4, FALSE), ""))</f>
        <v> - </v>
      </c>
      <c r="E790" s="220" t="str">
        <f>IFERROR(
    VLOOKUP(B789:B1001, Content_Creation!B:D, 3, FALSE),
    IFERROR(VLOOKUP(B789:B1001, Project_Management!B:D, 3, FALSE),"")
  )</f>
        <v/>
      </c>
      <c r="F790" s="221" t="str">
        <f>IFERROR(VLOOKUP(B790, Content_Creation!B:F, 5, FALSE), IFERROR(VLOOKUP(B790, Project_Management!B:F, 5, FALSE), ""))</f>
        <v/>
      </c>
      <c r="G790" s="267" t="s">
        <v>1317</v>
      </c>
      <c r="H790" s="223" t="str">
        <f>IFERROR(VLOOKUP(B790, Content_Creation!B:H, 7, FALSE), IFERROR(VLOOKUP(B790, Project_Management!B:H, 7, FALSE), ""))</f>
        <v/>
      </c>
      <c r="I790" s="224">
        <v>0.0</v>
      </c>
      <c r="J790" s="217"/>
      <c r="K790" s="217"/>
      <c r="L790" s="225" t="str">
        <f>IFERROR(VLOOKUP(B790, Data_Validation!X:Y, 2, FALSE), "")</f>
        <v/>
      </c>
      <c r="M790" s="226" t="str">
        <f t="shared" si="1"/>
        <v> |  -  | </v>
      </c>
      <c r="N790" s="226"/>
      <c r="O790" s="226"/>
    </row>
    <row r="791" ht="24.0" customHeight="1">
      <c r="A791" s="216" t="str">
        <f>IFERROR(__xludf.DUMMYFUNCTION("ARRAYFORMULA(IFERROR(VLOOKUP(REGEXEXTRACT(B791, ""-(\w+)-""), {Data_Validation!$F$16:$F$29, Data_Validation!$E$16:$E$29}, 2, FALSE), """"))
"),"")</f>
        <v/>
      </c>
      <c r="B791" s="217"/>
      <c r="C791" s="218" t="str">
        <f>IFERROR(__xludf.DUMMYFUNCTION("IFERROR(REGEXEXTRACT(B791, ""^[A-Z]+-[A-Z]+-"") &amp; TEXT(VALUE(REGEXEXTRACT(B791, ""-(\d+)\."")), ""00""), """")"),"")</f>
        <v/>
      </c>
      <c r="D791" s="219" t="str">
        <f>IFERROR(VLOOKUP(C791, Content_Creation!B:D, 2, FALSE), IFERROR(VLOOKUP(C791, Project_Management!B:D, 2, FALSE), ""))
&amp; " - "
&amp; IFERROR(VLOOKUP(C791, Content_Creation!B:E, 4, FALSE), IFERROR(VLOOKUP(C791, Project_Management!B:E, 4, FALSE), ""))</f>
        <v> - </v>
      </c>
      <c r="E791" s="220" t="str">
        <f>IFERROR(
    VLOOKUP(B790:B1001, Content_Creation!B:D, 3, FALSE),
    IFERROR(VLOOKUP(B790:B1001, Project_Management!B:D, 3, FALSE),"")
  )</f>
        <v/>
      </c>
      <c r="F791" s="221" t="str">
        <f>IFERROR(VLOOKUP(B791, Content_Creation!B:F, 5, FALSE), IFERROR(VLOOKUP(B791, Project_Management!B:F, 5, FALSE), ""))</f>
        <v/>
      </c>
      <c r="G791" s="267" t="s">
        <v>1317</v>
      </c>
      <c r="H791" s="223" t="str">
        <f>IFERROR(VLOOKUP(B791, Content_Creation!B:H, 7, FALSE), IFERROR(VLOOKUP(B791, Project_Management!B:H, 7, FALSE), ""))</f>
        <v/>
      </c>
      <c r="I791" s="224">
        <v>0.0</v>
      </c>
      <c r="J791" s="217"/>
      <c r="K791" s="217"/>
      <c r="L791" s="225" t="str">
        <f>IFERROR(VLOOKUP(B791, Data_Validation!X:Y, 2, FALSE), "")</f>
        <v/>
      </c>
      <c r="M791" s="226" t="str">
        <f t="shared" si="1"/>
        <v> |  -  | </v>
      </c>
      <c r="N791" s="226"/>
      <c r="O791" s="226"/>
    </row>
    <row r="792" ht="24.0" customHeight="1">
      <c r="A792" s="216" t="str">
        <f>IFERROR(__xludf.DUMMYFUNCTION("ARRAYFORMULA(IFERROR(VLOOKUP(REGEXEXTRACT(B792, ""-(\w+)-""), {Data_Validation!$F$16:$F$29, Data_Validation!$E$16:$E$29}, 2, FALSE), """"))
"),"")</f>
        <v/>
      </c>
      <c r="B792" s="217"/>
      <c r="C792" s="218" t="str">
        <f>IFERROR(__xludf.DUMMYFUNCTION("IFERROR(REGEXEXTRACT(B792, ""^[A-Z]+-[A-Z]+-"") &amp; TEXT(VALUE(REGEXEXTRACT(B792, ""-(\d+)\."")), ""00""), """")"),"")</f>
        <v/>
      </c>
      <c r="D792" s="219" t="str">
        <f>IFERROR(VLOOKUP(C792, Content_Creation!B:D, 2, FALSE), IFERROR(VLOOKUP(C792, Project_Management!B:D, 2, FALSE), ""))
&amp; " - "
&amp; IFERROR(VLOOKUP(C792, Content_Creation!B:E, 4, FALSE), IFERROR(VLOOKUP(C792, Project_Management!B:E, 4, FALSE), ""))</f>
        <v> - </v>
      </c>
      <c r="E792" s="220" t="str">
        <f>IFERROR(
    VLOOKUP(B791:B1001, Content_Creation!B:D, 3, FALSE),
    IFERROR(VLOOKUP(B791:B1001, Project_Management!B:D, 3, FALSE),"")
  )</f>
        <v/>
      </c>
      <c r="F792" s="221" t="str">
        <f>IFERROR(VLOOKUP(B792, Content_Creation!B:F, 5, FALSE), IFERROR(VLOOKUP(B792, Project_Management!B:F, 5, FALSE), ""))</f>
        <v/>
      </c>
      <c r="G792" s="267" t="s">
        <v>1317</v>
      </c>
      <c r="H792" s="223" t="str">
        <f>IFERROR(VLOOKUP(B792, Content_Creation!B:H, 7, FALSE), IFERROR(VLOOKUP(B792, Project_Management!B:H, 7, FALSE), ""))</f>
        <v/>
      </c>
      <c r="I792" s="224">
        <v>0.0</v>
      </c>
      <c r="J792" s="217"/>
      <c r="K792" s="217"/>
      <c r="L792" s="225" t="str">
        <f>IFERROR(VLOOKUP(B792, Data_Validation!X:Y, 2, FALSE), "")</f>
        <v/>
      </c>
      <c r="M792" s="226" t="str">
        <f t="shared" si="1"/>
        <v> |  -  | </v>
      </c>
      <c r="N792" s="226"/>
      <c r="O792" s="226"/>
    </row>
    <row r="793" ht="24.0" customHeight="1">
      <c r="A793" s="216" t="str">
        <f>IFERROR(__xludf.DUMMYFUNCTION("ARRAYFORMULA(IFERROR(VLOOKUP(REGEXEXTRACT(B793, ""-(\w+)-""), {Data_Validation!$F$16:$F$29, Data_Validation!$E$16:$E$29}, 2, FALSE), """"))
"),"")</f>
        <v/>
      </c>
      <c r="B793" s="217"/>
      <c r="C793" s="218" t="str">
        <f>IFERROR(__xludf.DUMMYFUNCTION("IFERROR(REGEXEXTRACT(B793, ""^[A-Z]+-[A-Z]+-"") &amp; TEXT(VALUE(REGEXEXTRACT(B793, ""-(\d+)\."")), ""00""), """")"),"")</f>
        <v/>
      </c>
      <c r="D793" s="219" t="str">
        <f>IFERROR(VLOOKUP(C793, Content_Creation!B:D, 2, FALSE), IFERROR(VLOOKUP(C793, Project_Management!B:D, 2, FALSE), ""))
&amp; " - "
&amp; IFERROR(VLOOKUP(C793, Content_Creation!B:E, 4, FALSE), IFERROR(VLOOKUP(C793, Project_Management!B:E, 4, FALSE), ""))</f>
        <v> - </v>
      </c>
      <c r="E793" s="220" t="str">
        <f>IFERROR(
    VLOOKUP(B792:B1001, Content_Creation!B:D, 3, FALSE),
    IFERROR(VLOOKUP(B792:B1001, Project_Management!B:D, 3, FALSE),"")
  )</f>
        <v/>
      </c>
      <c r="F793" s="221" t="str">
        <f>IFERROR(VLOOKUP(B793, Content_Creation!B:F, 5, FALSE), IFERROR(VLOOKUP(B793, Project_Management!B:F, 5, FALSE), ""))</f>
        <v/>
      </c>
      <c r="G793" s="267" t="s">
        <v>1317</v>
      </c>
      <c r="H793" s="223" t="str">
        <f>IFERROR(VLOOKUP(B793, Content_Creation!B:H, 7, FALSE), IFERROR(VLOOKUP(B793, Project_Management!B:H, 7, FALSE), ""))</f>
        <v/>
      </c>
      <c r="I793" s="224">
        <v>0.0</v>
      </c>
      <c r="J793" s="217"/>
      <c r="K793" s="217"/>
      <c r="L793" s="225" t="str">
        <f>IFERROR(VLOOKUP(B793, Data_Validation!X:Y, 2, FALSE), "")</f>
        <v/>
      </c>
      <c r="M793" s="226" t="str">
        <f t="shared" si="1"/>
        <v> |  -  | </v>
      </c>
      <c r="N793" s="226"/>
      <c r="O793" s="226"/>
    </row>
    <row r="794" ht="24.0" customHeight="1">
      <c r="A794" s="216" t="str">
        <f>IFERROR(__xludf.DUMMYFUNCTION("ARRAYFORMULA(IFERROR(VLOOKUP(REGEXEXTRACT(B794, ""-(\w+)-""), {Data_Validation!$F$16:$F$29, Data_Validation!$E$16:$E$29}, 2, FALSE), """"))
"),"")</f>
        <v/>
      </c>
      <c r="B794" s="217"/>
      <c r="C794" s="218" t="str">
        <f>IFERROR(__xludf.DUMMYFUNCTION("IFERROR(REGEXEXTRACT(B794, ""^[A-Z]+-[A-Z]+-"") &amp; TEXT(VALUE(REGEXEXTRACT(B794, ""-(\d+)\."")), ""00""), """")"),"")</f>
        <v/>
      </c>
      <c r="D794" s="219" t="str">
        <f>IFERROR(VLOOKUP(C794, Content_Creation!B:D, 2, FALSE), IFERROR(VLOOKUP(C794, Project_Management!B:D, 2, FALSE), ""))
&amp; " - "
&amp; IFERROR(VLOOKUP(C794, Content_Creation!B:E, 4, FALSE), IFERROR(VLOOKUP(C794, Project_Management!B:E, 4, FALSE), ""))</f>
        <v> - </v>
      </c>
      <c r="E794" s="220" t="str">
        <f>IFERROR(
    VLOOKUP(B793:B1001, Content_Creation!B:D, 3, FALSE),
    IFERROR(VLOOKUP(B793:B1001, Project_Management!B:D, 3, FALSE),"")
  )</f>
        <v/>
      </c>
      <c r="F794" s="221" t="str">
        <f>IFERROR(VLOOKUP(B794, Content_Creation!B:F, 5, FALSE), IFERROR(VLOOKUP(B794, Project_Management!B:F, 5, FALSE), ""))</f>
        <v/>
      </c>
      <c r="G794" s="267" t="s">
        <v>1317</v>
      </c>
      <c r="H794" s="223" t="str">
        <f>IFERROR(VLOOKUP(B794, Content_Creation!B:H, 7, FALSE), IFERROR(VLOOKUP(B794, Project_Management!B:H, 7, FALSE), ""))</f>
        <v/>
      </c>
      <c r="I794" s="224">
        <v>0.0</v>
      </c>
      <c r="J794" s="217"/>
      <c r="K794" s="217"/>
      <c r="L794" s="225" t="str">
        <f>IFERROR(VLOOKUP(B794, Data_Validation!X:Y, 2, FALSE), "")</f>
        <v/>
      </c>
      <c r="M794" s="226" t="str">
        <f t="shared" si="1"/>
        <v> |  -  | </v>
      </c>
      <c r="N794" s="226"/>
      <c r="O794" s="226"/>
    </row>
    <row r="795" ht="24.0" customHeight="1">
      <c r="A795" s="216" t="str">
        <f>IFERROR(__xludf.DUMMYFUNCTION("ARRAYFORMULA(IFERROR(VLOOKUP(REGEXEXTRACT(B795, ""-(\w+)-""), {Data_Validation!$F$16:$F$29, Data_Validation!$E$16:$E$29}, 2, FALSE), """"))
"),"")</f>
        <v/>
      </c>
      <c r="B795" s="217"/>
      <c r="C795" s="218" t="str">
        <f>IFERROR(__xludf.DUMMYFUNCTION("IFERROR(REGEXEXTRACT(B795, ""^[A-Z]+-[A-Z]+-"") &amp; TEXT(VALUE(REGEXEXTRACT(B795, ""-(\d+)\."")), ""00""), """")"),"")</f>
        <v/>
      </c>
      <c r="D795" s="219" t="str">
        <f>IFERROR(VLOOKUP(C795, Content_Creation!B:D, 2, FALSE), IFERROR(VLOOKUP(C795, Project_Management!B:D, 2, FALSE), ""))
&amp; " - "
&amp; IFERROR(VLOOKUP(C795, Content_Creation!B:E, 4, FALSE), IFERROR(VLOOKUP(C795, Project_Management!B:E, 4, FALSE), ""))</f>
        <v> - </v>
      </c>
      <c r="E795" s="220" t="str">
        <f>IFERROR(
    VLOOKUP(B794:B1001, Content_Creation!B:D, 3, FALSE),
    IFERROR(VLOOKUP(B794:B1001, Project_Management!B:D, 3, FALSE),"")
  )</f>
        <v/>
      </c>
      <c r="F795" s="221" t="str">
        <f>IFERROR(VLOOKUP(B795, Content_Creation!B:F, 5, FALSE), IFERROR(VLOOKUP(B795, Project_Management!B:F, 5, FALSE), ""))</f>
        <v/>
      </c>
      <c r="G795" s="267" t="s">
        <v>1317</v>
      </c>
      <c r="H795" s="223" t="str">
        <f>IFERROR(VLOOKUP(B795, Content_Creation!B:H, 7, FALSE), IFERROR(VLOOKUP(B795, Project_Management!B:H, 7, FALSE), ""))</f>
        <v/>
      </c>
      <c r="I795" s="224">
        <v>0.0</v>
      </c>
      <c r="J795" s="217"/>
      <c r="K795" s="217"/>
      <c r="L795" s="225" t="str">
        <f>IFERROR(VLOOKUP(B795, Data_Validation!X:Y, 2, FALSE), "")</f>
        <v/>
      </c>
      <c r="M795" s="226" t="str">
        <f t="shared" si="1"/>
        <v> |  -  | </v>
      </c>
      <c r="N795" s="226"/>
      <c r="O795" s="226"/>
    </row>
    <row r="796" ht="24.0" customHeight="1">
      <c r="A796" s="216" t="str">
        <f>IFERROR(__xludf.DUMMYFUNCTION("ARRAYFORMULA(IFERROR(VLOOKUP(REGEXEXTRACT(B796, ""-(\w+)-""), {Data_Validation!$F$16:$F$29, Data_Validation!$E$16:$E$29}, 2, FALSE), """"))
"),"")</f>
        <v/>
      </c>
      <c r="B796" s="217"/>
      <c r="C796" s="218" t="str">
        <f>IFERROR(__xludf.DUMMYFUNCTION("IFERROR(REGEXEXTRACT(B796, ""^[A-Z]+-[A-Z]+-"") &amp; TEXT(VALUE(REGEXEXTRACT(B796, ""-(\d+)\."")), ""00""), """")"),"")</f>
        <v/>
      </c>
      <c r="D796" s="219" t="str">
        <f>IFERROR(VLOOKUP(C796, Content_Creation!B:D, 2, FALSE), IFERROR(VLOOKUP(C796, Project_Management!B:D, 2, FALSE), ""))
&amp; " - "
&amp; IFERROR(VLOOKUP(C796, Content_Creation!B:E, 4, FALSE), IFERROR(VLOOKUP(C796, Project_Management!B:E, 4, FALSE), ""))</f>
        <v> - </v>
      </c>
      <c r="E796" s="220" t="str">
        <f>IFERROR(
    VLOOKUP(B795:B1001, Content_Creation!B:D, 3, FALSE),
    IFERROR(VLOOKUP(B795:B1001, Project_Management!B:D, 3, FALSE),"")
  )</f>
        <v/>
      </c>
      <c r="F796" s="221" t="str">
        <f>IFERROR(VLOOKUP(B796, Content_Creation!B:F, 5, FALSE), IFERROR(VLOOKUP(B796, Project_Management!B:F, 5, FALSE), ""))</f>
        <v/>
      </c>
      <c r="G796" s="267" t="s">
        <v>1317</v>
      </c>
      <c r="H796" s="223" t="str">
        <f>IFERROR(VLOOKUP(B796, Content_Creation!B:H, 7, FALSE), IFERROR(VLOOKUP(B796, Project_Management!B:H, 7, FALSE), ""))</f>
        <v/>
      </c>
      <c r="I796" s="224">
        <v>0.0</v>
      </c>
      <c r="J796" s="217"/>
      <c r="K796" s="217"/>
      <c r="L796" s="225" t="str">
        <f>IFERROR(VLOOKUP(B796, Data_Validation!X:Y, 2, FALSE), "")</f>
        <v/>
      </c>
      <c r="M796" s="226" t="str">
        <f t="shared" si="1"/>
        <v> |  -  | </v>
      </c>
      <c r="N796" s="226"/>
      <c r="O796" s="226"/>
    </row>
    <row r="797" ht="24.0" customHeight="1">
      <c r="A797" s="216" t="str">
        <f>IFERROR(__xludf.DUMMYFUNCTION("ARRAYFORMULA(IFERROR(VLOOKUP(REGEXEXTRACT(B797, ""-(\w+)-""), {Data_Validation!$F$16:$F$29, Data_Validation!$E$16:$E$29}, 2, FALSE), """"))
"),"")</f>
        <v/>
      </c>
      <c r="B797" s="217"/>
      <c r="C797" s="218" t="str">
        <f>IFERROR(__xludf.DUMMYFUNCTION("IFERROR(REGEXEXTRACT(B797, ""^[A-Z]+-[A-Z]+-"") &amp; TEXT(VALUE(REGEXEXTRACT(B797, ""-(\d+)\."")), ""00""), """")"),"")</f>
        <v/>
      </c>
      <c r="D797" s="219" t="str">
        <f>IFERROR(VLOOKUP(C797, Content_Creation!B:D, 2, FALSE), IFERROR(VLOOKUP(C797, Project_Management!B:D, 2, FALSE), ""))
&amp; " - "
&amp; IFERROR(VLOOKUP(C797, Content_Creation!B:E, 4, FALSE), IFERROR(VLOOKUP(C797, Project_Management!B:E, 4, FALSE), ""))</f>
        <v> - </v>
      </c>
      <c r="E797" s="220" t="str">
        <f>IFERROR(
    VLOOKUP(B796:B1001, Content_Creation!B:D, 3, FALSE),
    IFERROR(VLOOKUP(B796:B1001, Project_Management!B:D, 3, FALSE),"")
  )</f>
        <v/>
      </c>
      <c r="F797" s="221" t="str">
        <f>IFERROR(VLOOKUP(B797, Content_Creation!B:F, 5, FALSE), IFERROR(VLOOKUP(B797, Project_Management!B:F, 5, FALSE), ""))</f>
        <v/>
      </c>
      <c r="G797" s="267" t="s">
        <v>1317</v>
      </c>
      <c r="H797" s="223" t="str">
        <f>IFERROR(VLOOKUP(B797, Content_Creation!B:H, 7, FALSE), IFERROR(VLOOKUP(B797, Project_Management!B:H, 7, FALSE), ""))</f>
        <v/>
      </c>
      <c r="I797" s="224">
        <v>0.0</v>
      </c>
      <c r="J797" s="217"/>
      <c r="K797" s="217"/>
      <c r="L797" s="225" t="str">
        <f>IFERROR(VLOOKUP(B797, Data_Validation!X:Y, 2, FALSE), "")</f>
        <v/>
      </c>
      <c r="M797" s="226" t="str">
        <f t="shared" si="1"/>
        <v> |  -  | </v>
      </c>
      <c r="N797" s="226"/>
      <c r="O797" s="226"/>
    </row>
    <row r="798" ht="24.0" customHeight="1">
      <c r="A798" s="216" t="str">
        <f>IFERROR(__xludf.DUMMYFUNCTION("ARRAYFORMULA(IFERROR(VLOOKUP(REGEXEXTRACT(B798, ""-(\w+)-""), {Data_Validation!$F$16:$F$29, Data_Validation!$E$16:$E$29}, 2, FALSE), """"))
"),"")</f>
        <v/>
      </c>
      <c r="B798" s="217"/>
      <c r="C798" s="218" t="str">
        <f>IFERROR(__xludf.DUMMYFUNCTION("IFERROR(REGEXEXTRACT(B798, ""^[A-Z]+-[A-Z]+-"") &amp; TEXT(VALUE(REGEXEXTRACT(B798, ""-(\d+)\."")), ""00""), """")"),"")</f>
        <v/>
      </c>
      <c r="D798" s="219" t="str">
        <f>IFERROR(VLOOKUP(C798, Content_Creation!B:D, 2, FALSE), IFERROR(VLOOKUP(C798, Project_Management!B:D, 2, FALSE), ""))
&amp; " - "
&amp; IFERROR(VLOOKUP(C798, Content_Creation!B:E, 4, FALSE), IFERROR(VLOOKUP(C798, Project_Management!B:E, 4, FALSE), ""))</f>
        <v> - </v>
      </c>
      <c r="E798" s="220" t="str">
        <f>IFERROR(
    VLOOKUP(B797:B1001, Content_Creation!B:D, 3, FALSE),
    IFERROR(VLOOKUP(B797:B1001, Project_Management!B:D, 3, FALSE),"")
  )</f>
        <v/>
      </c>
      <c r="F798" s="221" t="str">
        <f>IFERROR(VLOOKUP(B798, Content_Creation!B:F, 5, FALSE), IFERROR(VLOOKUP(B798, Project_Management!B:F, 5, FALSE), ""))</f>
        <v/>
      </c>
      <c r="G798" s="267" t="s">
        <v>1317</v>
      </c>
      <c r="H798" s="223" t="str">
        <f>IFERROR(VLOOKUP(B798, Content_Creation!B:H, 7, FALSE), IFERROR(VLOOKUP(B798, Project_Management!B:H, 7, FALSE), ""))</f>
        <v/>
      </c>
      <c r="I798" s="224">
        <v>0.0</v>
      </c>
      <c r="J798" s="217"/>
      <c r="K798" s="217"/>
      <c r="L798" s="225" t="str">
        <f>IFERROR(VLOOKUP(B798, Data_Validation!X:Y, 2, FALSE), "")</f>
        <v/>
      </c>
      <c r="M798" s="226" t="str">
        <f t="shared" si="1"/>
        <v> |  -  | </v>
      </c>
      <c r="N798" s="226"/>
      <c r="O798" s="226"/>
    </row>
    <row r="799" ht="24.0" customHeight="1">
      <c r="A799" s="216" t="str">
        <f>IFERROR(__xludf.DUMMYFUNCTION("ARRAYFORMULA(IFERROR(VLOOKUP(REGEXEXTRACT(B799, ""-(\w+)-""), {Data_Validation!$F$16:$F$29, Data_Validation!$E$16:$E$29}, 2, FALSE), """"))
"),"")</f>
        <v/>
      </c>
      <c r="B799" s="217"/>
      <c r="C799" s="218" t="str">
        <f>IFERROR(__xludf.DUMMYFUNCTION("IFERROR(REGEXEXTRACT(B799, ""^[A-Z]+-[A-Z]+-"") &amp; TEXT(VALUE(REGEXEXTRACT(B799, ""-(\d+)\."")), ""00""), """")"),"")</f>
        <v/>
      </c>
      <c r="D799" s="219" t="str">
        <f>IFERROR(VLOOKUP(C799, Content_Creation!B:D, 2, FALSE), IFERROR(VLOOKUP(C799, Project_Management!B:D, 2, FALSE), ""))
&amp; " - "
&amp; IFERROR(VLOOKUP(C799, Content_Creation!B:E, 4, FALSE), IFERROR(VLOOKUP(C799, Project_Management!B:E, 4, FALSE), ""))</f>
        <v> - </v>
      </c>
      <c r="E799" s="220" t="str">
        <f>IFERROR(
    VLOOKUP(B798:B1001, Content_Creation!B:D, 3, FALSE),
    IFERROR(VLOOKUP(B798:B1001, Project_Management!B:D, 3, FALSE),"")
  )</f>
        <v/>
      </c>
      <c r="F799" s="221" t="str">
        <f>IFERROR(VLOOKUP(B799, Content_Creation!B:F, 5, FALSE), IFERROR(VLOOKUP(B799, Project_Management!B:F, 5, FALSE), ""))</f>
        <v/>
      </c>
      <c r="G799" s="267" t="s">
        <v>1317</v>
      </c>
      <c r="H799" s="223" t="str">
        <f>IFERROR(VLOOKUP(B799, Content_Creation!B:H, 7, FALSE), IFERROR(VLOOKUP(B799, Project_Management!B:H, 7, FALSE), ""))</f>
        <v/>
      </c>
      <c r="I799" s="224">
        <v>0.0</v>
      </c>
      <c r="J799" s="217"/>
      <c r="K799" s="217"/>
      <c r="L799" s="225" t="str">
        <f>IFERROR(VLOOKUP(B799, Data_Validation!X:Y, 2, FALSE), "")</f>
        <v/>
      </c>
      <c r="M799" s="226" t="str">
        <f t="shared" si="1"/>
        <v> |  -  | </v>
      </c>
      <c r="N799" s="226"/>
      <c r="O799" s="226"/>
    </row>
    <row r="800" ht="24.0" customHeight="1">
      <c r="A800" s="216" t="str">
        <f>IFERROR(__xludf.DUMMYFUNCTION("ARRAYFORMULA(IFERROR(VLOOKUP(REGEXEXTRACT(B800, ""-(\w+)-""), {Data_Validation!$F$16:$F$29, Data_Validation!$E$16:$E$29}, 2, FALSE), """"))
"),"")</f>
        <v/>
      </c>
      <c r="B800" s="217"/>
      <c r="C800" s="218" t="str">
        <f>IFERROR(__xludf.DUMMYFUNCTION("IFERROR(REGEXEXTRACT(B800, ""^[A-Z]+-[A-Z]+-"") &amp; TEXT(VALUE(REGEXEXTRACT(B800, ""-(\d+)\."")), ""00""), """")"),"")</f>
        <v/>
      </c>
      <c r="D800" s="219" t="str">
        <f>IFERROR(VLOOKUP(C800, Content_Creation!B:D, 2, FALSE), IFERROR(VLOOKUP(C800, Project_Management!B:D, 2, FALSE), ""))
&amp; " - "
&amp; IFERROR(VLOOKUP(C800, Content_Creation!B:E, 4, FALSE), IFERROR(VLOOKUP(C800, Project_Management!B:E, 4, FALSE), ""))</f>
        <v> - </v>
      </c>
      <c r="E800" s="220" t="str">
        <f>IFERROR(
    VLOOKUP(B799:B1001, Content_Creation!B:D, 3, FALSE),
    IFERROR(VLOOKUP(B799:B1001, Project_Management!B:D, 3, FALSE),"")
  )</f>
        <v/>
      </c>
      <c r="F800" s="221" t="str">
        <f>IFERROR(VLOOKUP(B800, Content_Creation!B:F, 5, FALSE), IFERROR(VLOOKUP(B800, Project_Management!B:F, 5, FALSE), ""))</f>
        <v/>
      </c>
      <c r="G800" s="267" t="s">
        <v>1317</v>
      </c>
      <c r="H800" s="223" t="str">
        <f>IFERROR(VLOOKUP(B800, Content_Creation!B:H, 7, FALSE), IFERROR(VLOOKUP(B800, Project_Management!B:H, 7, FALSE), ""))</f>
        <v/>
      </c>
      <c r="I800" s="224">
        <v>0.0</v>
      </c>
      <c r="J800" s="217"/>
      <c r="K800" s="217"/>
      <c r="L800" s="225" t="str">
        <f>IFERROR(VLOOKUP(B800, Data_Validation!X:Y, 2, FALSE), "")</f>
        <v/>
      </c>
      <c r="M800" s="226" t="str">
        <f t="shared" si="1"/>
        <v> |  -  | </v>
      </c>
      <c r="N800" s="226"/>
      <c r="O800" s="226"/>
    </row>
    <row r="801" ht="24.0" customHeight="1">
      <c r="A801" s="216" t="str">
        <f>IFERROR(__xludf.DUMMYFUNCTION("ARRAYFORMULA(IFERROR(VLOOKUP(REGEXEXTRACT(B801, ""-(\w+)-""), {Data_Validation!$F$16:$F$29, Data_Validation!$E$16:$E$29}, 2, FALSE), """"))
"),"")</f>
        <v/>
      </c>
      <c r="B801" s="217"/>
      <c r="C801" s="218" t="str">
        <f>IFERROR(__xludf.DUMMYFUNCTION("IFERROR(REGEXEXTRACT(B801, ""^[A-Z]+-[A-Z]+-"") &amp; TEXT(VALUE(REGEXEXTRACT(B801, ""-(\d+)\."")), ""00""), """")"),"")</f>
        <v/>
      </c>
      <c r="D801" s="219" t="str">
        <f>IFERROR(VLOOKUP(C801, Content_Creation!B:D, 2, FALSE), IFERROR(VLOOKUP(C801, Project_Management!B:D, 2, FALSE), ""))
&amp; " - "
&amp; IFERROR(VLOOKUP(C801, Content_Creation!B:E, 4, FALSE), IFERROR(VLOOKUP(C801, Project_Management!B:E, 4, FALSE), ""))</f>
        <v> - </v>
      </c>
      <c r="E801" s="220" t="str">
        <f>IFERROR(
    VLOOKUP(B800:B1001, Content_Creation!B:D, 3, FALSE),
    IFERROR(VLOOKUP(B800:B1001, Project_Management!B:D, 3, FALSE),"")
  )</f>
        <v/>
      </c>
      <c r="F801" s="221" t="str">
        <f>IFERROR(VLOOKUP(B801, Content_Creation!B:F, 5, FALSE), IFERROR(VLOOKUP(B801, Project_Management!B:F, 5, FALSE), ""))</f>
        <v/>
      </c>
      <c r="G801" s="267" t="s">
        <v>1317</v>
      </c>
      <c r="H801" s="223" t="str">
        <f>IFERROR(VLOOKUP(B801, Content_Creation!B:H, 7, FALSE), IFERROR(VLOOKUP(B801, Project_Management!B:H, 7, FALSE), ""))</f>
        <v/>
      </c>
      <c r="I801" s="224">
        <v>0.0</v>
      </c>
      <c r="J801" s="217"/>
      <c r="K801" s="217"/>
      <c r="L801" s="225" t="str">
        <f>IFERROR(VLOOKUP(B801, Data_Validation!X:Y, 2, FALSE), "")</f>
        <v/>
      </c>
      <c r="M801" s="226" t="str">
        <f t="shared" si="1"/>
        <v> |  -  | </v>
      </c>
      <c r="N801" s="226"/>
      <c r="O801" s="226"/>
    </row>
    <row r="802" ht="24.0" customHeight="1">
      <c r="A802" s="216" t="str">
        <f>IFERROR(__xludf.DUMMYFUNCTION("ARRAYFORMULA(IFERROR(VLOOKUP(REGEXEXTRACT(B802, ""-(\w+)-""), {Data_Validation!$F$16:$F$29, Data_Validation!$E$16:$E$29}, 2, FALSE), """"))
"),"")</f>
        <v/>
      </c>
      <c r="B802" s="217"/>
      <c r="C802" s="218" t="str">
        <f>IFERROR(__xludf.DUMMYFUNCTION("IFERROR(REGEXEXTRACT(B802, ""^[A-Z]+-[A-Z]+-"") &amp; TEXT(VALUE(REGEXEXTRACT(B802, ""-(\d+)\."")), ""00""), """")"),"")</f>
        <v/>
      </c>
      <c r="D802" s="219" t="str">
        <f>IFERROR(VLOOKUP(C802, Content_Creation!B:D, 2, FALSE), IFERROR(VLOOKUP(C802, Project_Management!B:D, 2, FALSE), ""))
&amp; " - "
&amp; IFERROR(VLOOKUP(C802, Content_Creation!B:E, 4, FALSE), IFERROR(VLOOKUP(C802, Project_Management!B:E, 4, FALSE), ""))</f>
        <v> - </v>
      </c>
      <c r="E802" s="220" t="str">
        <f>IFERROR(
    VLOOKUP(B801:B1001, Content_Creation!B:D, 3, FALSE),
    IFERROR(VLOOKUP(B801:B1001, Project_Management!B:D, 3, FALSE),"")
  )</f>
        <v/>
      </c>
      <c r="F802" s="221" t="str">
        <f>IFERROR(VLOOKUP(B802, Content_Creation!B:F, 5, FALSE), IFERROR(VLOOKUP(B802, Project_Management!B:F, 5, FALSE), ""))</f>
        <v/>
      </c>
      <c r="G802" s="267" t="s">
        <v>1317</v>
      </c>
      <c r="H802" s="223" t="str">
        <f>IFERROR(VLOOKUP(B802, Content_Creation!B:H, 7, FALSE), IFERROR(VLOOKUP(B802, Project_Management!B:H, 7, FALSE), ""))</f>
        <v/>
      </c>
      <c r="I802" s="224">
        <v>0.0</v>
      </c>
      <c r="J802" s="217"/>
      <c r="K802" s="217"/>
      <c r="L802" s="225" t="str">
        <f>IFERROR(VLOOKUP(B802, Data_Validation!X:Y, 2, FALSE), "")</f>
        <v/>
      </c>
      <c r="M802" s="226" t="str">
        <f t="shared" si="1"/>
        <v> |  -  | </v>
      </c>
      <c r="N802" s="226"/>
      <c r="O802" s="226"/>
    </row>
    <row r="803" ht="24.0" customHeight="1">
      <c r="A803" s="216" t="str">
        <f>IFERROR(__xludf.DUMMYFUNCTION("ARRAYFORMULA(IFERROR(VLOOKUP(REGEXEXTRACT(B803, ""-(\w+)-""), {Data_Validation!$F$16:$F$29, Data_Validation!$E$16:$E$29}, 2, FALSE), """"))
"),"")</f>
        <v/>
      </c>
      <c r="B803" s="217"/>
      <c r="C803" s="218" t="str">
        <f>IFERROR(__xludf.DUMMYFUNCTION("IFERROR(REGEXEXTRACT(B803, ""^[A-Z]+-[A-Z]+-"") &amp; TEXT(VALUE(REGEXEXTRACT(B803, ""-(\d+)\."")), ""00""), """")"),"")</f>
        <v/>
      </c>
      <c r="D803" s="219" t="str">
        <f>IFERROR(VLOOKUP(C803, Content_Creation!B:D, 2, FALSE), IFERROR(VLOOKUP(C803, Project_Management!B:D, 2, FALSE), ""))
&amp; " - "
&amp; IFERROR(VLOOKUP(C803, Content_Creation!B:E, 4, FALSE), IFERROR(VLOOKUP(C803, Project_Management!B:E, 4, FALSE), ""))</f>
        <v> - </v>
      </c>
      <c r="E803" s="220" t="str">
        <f>IFERROR(
    VLOOKUP(B802:B1001, Content_Creation!B:D, 3, FALSE),
    IFERROR(VLOOKUP(B802:B1001, Project_Management!B:D, 3, FALSE),"")
  )</f>
        <v/>
      </c>
      <c r="F803" s="221" t="str">
        <f>IFERROR(VLOOKUP(B803, Content_Creation!B:F, 5, FALSE), IFERROR(VLOOKUP(B803, Project_Management!B:F, 5, FALSE), ""))</f>
        <v/>
      </c>
      <c r="G803" s="267" t="s">
        <v>1317</v>
      </c>
      <c r="H803" s="223" t="str">
        <f>IFERROR(VLOOKUP(B803, Content_Creation!B:H, 7, FALSE), IFERROR(VLOOKUP(B803, Project_Management!B:H, 7, FALSE), ""))</f>
        <v/>
      </c>
      <c r="I803" s="224">
        <v>0.0</v>
      </c>
      <c r="J803" s="217"/>
      <c r="K803" s="217"/>
      <c r="L803" s="225" t="str">
        <f>IFERROR(VLOOKUP(B803, Data_Validation!X:Y, 2, FALSE), "")</f>
        <v/>
      </c>
      <c r="M803" s="226" t="str">
        <f t="shared" si="1"/>
        <v> |  -  | </v>
      </c>
      <c r="N803" s="226"/>
      <c r="O803" s="226"/>
    </row>
    <row r="804" ht="24.0" customHeight="1">
      <c r="A804" s="216" t="str">
        <f>IFERROR(__xludf.DUMMYFUNCTION("ARRAYFORMULA(IFERROR(VLOOKUP(REGEXEXTRACT(B804, ""-(\w+)-""), {Data_Validation!$F$16:$F$29, Data_Validation!$E$16:$E$29}, 2, FALSE), """"))
"),"")</f>
        <v/>
      </c>
      <c r="B804" s="217"/>
      <c r="C804" s="218" t="str">
        <f>IFERROR(__xludf.DUMMYFUNCTION("IFERROR(REGEXEXTRACT(B804, ""^[A-Z]+-[A-Z]+-"") &amp; TEXT(VALUE(REGEXEXTRACT(B804, ""-(\d+)\."")), ""00""), """")"),"")</f>
        <v/>
      </c>
      <c r="D804" s="219" t="str">
        <f>IFERROR(VLOOKUP(C804, Content_Creation!B:D, 2, FALSE), IFERROR(VLOOKUP(C804, Project_Management!B:D, 2, FALSE), ""))
&amp; " - "
&amp; IFERROR(VLOOKUP(C804, Content_Creation!B:E, 4, FALSE), IFERROR(VLOOKUP(C804, Project_Management!B:E, 4, FALSE), ""))</f>
        <v> - </v>
      </c>
      <c r="E804" s="220" t="str">
        <f>IFERROR(
    VLOOKUP(B803:B1001, Content_Creation!B:D, 3, FALSE),
    IFERROR(VLOOKUP(B803:B1001, Project_Management!B:D, 3, FALSE),"")
  )</f>
        <v/>
      </c>
      <c r="F804" s="221" t="str">
        <f>IFERROR(VLOOKUP(B804, Content_Creation!B:F, 5, FALSE), IFERROR(VLOOKUP(B804, Project_Management!B:F, 5, FALSE), ""))</f>
        <v/>
      </c>
      <c r="G804" s="267" t="s">
        <v>1317</v>
      </c>
      <c r="H804" s="223" t="str">
        <f>IFERROR(VLOOKUP(B804, Content_Creation!B:H, 7, FALSE), IFERROR(VLOOKUP(B804, Project_Management!B:H, 7, FALSE), ""))</f>
        <v/>
      </c>
      <c r="I804" s="224">
        <v>0.0</v>
      </c>
      <c r="J804" s="217"/>
      <c r="K804" s="217"/>
      <c r="L804" s="225" t="str">
        <f>IFERROR(VLOOKUP(B804, Data_Validation!X:Y, 2, FALSE), "")</f>
        <v/>
      </c>
      <c r="M804" s="226" t="str">
        <f t="shared" si="1"/>
        <v> |  -  | </v>
      </c>
      <c r="N804" s="226"/>
      <c r="O804" s="226"/>
    </row>
    <row r="805" ht="24.0" customHeight="1">
      <c r="A805" s="216" t="str">
        <f>IFERROR(__xludf.DUMMYFUNCTION("ARRAYFORMULA(IFERROR(VLOOKUP(REGEXEXTRACT(B805, ""-(\w+)-""), {Data_Validation!$F$16:$F$29, Data_Validation!$E$16:$E$29}, 2, FALSE), """"))
"),"")</f>
        <v/>
      </c>
      <c r="B805" s="217"/>
      <c r="C805" s="218" t="str">
        <f>IFERROR(__xludf.DUMMYFUNCTION("IFERROR(REGEXEXTRACT(B805, ""^[A-Z]+-[A-Z]+-"") &amp; TEXT(VALUE(REGEXEXTRACT(B805, ""-(\d+)\."")), ""00""), """")"),"")</f>
        <v/>
      </c>
      <c r="D805" s="219" t="str">
        <f>IFERROR(VLOOKUP(C805, Content_Creation!B:D, 2, FALSE), IFERROR(VLOOKUP(C805, Project_Management!B:D, 2, FALSE), ""))
&amp; " - "
&amp; IFERROR(VLOOKUP(C805, Content_Creation!B:E, 4, FALSE), IFERROR(VLOOKUP(C805, Project_Management!B:E, 4, FALSE), ""))</f>
        <v> - </v>
      </c>
      <c r="E805" s="220" t="str">
        <f>IFERROR(
    VLOOKUP(B804:B1001, Content_Creation!B:D, 3, FALSE),
    IFERROR(VLOOKUP(B804:B1001, Project_Management!B:D, 3, FALSE),"")
  )</f>
        <v/>
      </c>
      <c r="F805" s="221" t="str">
        <f>IFERROR(VLOOKUP(B805, Content_Creation!B:F, 5, FALSE), IFERROR(VLOOKUP(B805, Project_Management!B:F, 5, FALSE), ""))</f>
        <v/>
      </c>
      <c r="G805" s="267" t="s">
        <v>1317</v>
      </c>
      <c r="H805" s="223" t="str">
        <f>IFERROR(VLOOKUP(B805, Content_Creation!B:H, 7, FALSE), IFERROR(VLOOKUP(B805, Project_Management!B:H, 7, FALSE), ""))</f>
        <v/>
      </c>
      <c r="I805" s="224">
        <v>0.0</v>
      </c>
      <c r="J805" s="217"/>
      <c r="K805" s="217"/>
      <c r="L805" s="225" t="str">
        <f>IFERROR(VLOOKUP(B805, Data_Validation!X:Y, 2, FALSE), "")</f>
        <v/>
      </c>
      <c r="M805" s="226" t="str">
        <f t="shared" si="1"/>
        <v> |  -  | </v>
      </c>
      <c r="N805" s="226"/>
      <c r="O805" s="226"/>
    </row>
    <row r="806" ht="24.0" customHeight="1">
      <c r="A806" s="216" t="str">
        <f>IFERROR(__xludf.DUMMYFUNCTION("ARRAYFORMULA(IFERROR(VLOOKUP(REGEXEXTRACT(B806, ""-(\w+)-""), {Data_Validation!$F$16:$F$29, Data_Validation!$E$16:$E$29}, 2, FALSE), """"))
"),"")</f>
        <v/>
      </c>
      <c r="B806" s="217"/>
      <c r="C806" s="218" t="str">
        <f>IFERROR(__xludf.DUMMYFUNCTION("IFERROR(REGEXEXTRACT(B806, ""^[A-Z]+-[A-Z]+-"") &amp; TEXT(VALUE(REGEXEXTRACT(B806, ""-(\d+)\."")), ""00""), """")"),"")</f>
        <v/>
      </c>
      <c r="D806" s="219" t="str">
        <f>IFERROR(VLOOKUP(C806, Content_Creation!B:D, 2, FALSE), IFERROR(VLOOKUP(C806, Project_Management!B:D, 2, FALSE), ""))
&amp; " - "
&amp; IFERROR(VLOOKUP(C806, Content_Creation!B:E, 4, FALSE), IFERROR(VLOOKUP(C806, Project_Management!B:E, 4, FALSE), ""))</f>
        <v> - </v>
      </c>
      <c r="E806" s="220" t="str">
        <f>IFERROR(
    VLOOKUP(B805:B1001, Content_Creation!B:D, 3, FALSE),
    IFERROR(VLOOKUP(B805:B1001, Project_Management!B:D, 3, FALSE),"")
  )</f>
        <v/>
      </c>
      <c r="F806" s="221" t="str">
        <f>IFERROR(VLOOKUP(B806, Content_Creation!B:F, 5, FALSE), IFERROR(VLOOKUP(B806, Project_Management!B:F, 5, FALSE), ""))</f>
        <v/>
      </c>
      <c r="G806" s="267" t="s">
        <v>1317</v>
      </c>
      <c r="H806" s="223" t="str">
        <f>IFERROR(VLOOKUP(B806, Content_Creation!B:H, 7, FALSE), IFERROR(VLOOKUP(B806, Project_Management!B:H, 7, FALSE), ""))</f>
        <v/>
      </c>
      <c r="I806" s="224">
        <v>0.0</v>
      </c>
      <c r="J806" s="217"/>
      <c r="K806" s="217"/>
      <c r="L806" s="225" t="str">
        <f>IFERROR(VLOOKUP(B806, Data_Validation!X:Y, 2, FALSE), "")</f>
        <v/>
      </c>
      <c r="M806" s="226" t="str">
        <f t="shared" si="1"/>
        <v> |  -  | </v>
      </c>
      <c r="N806" s="226"/>
      <c r="O806" s="226"/>
    </row>
    <row r="807" ht="24.0" customHeight="1">
      <c r="A807" s="216" t="str">
        <f>IFERROR(__xludf.DUMMYFUNCTION("ARRAYFORMULA(IFERROR(VLOOKUP(REGEXEXTRACT(B807, ""-(\w+)-""), {Data_Validation!$F$16:$F$29, Data_Validation!$E$16:$E$29}, 2, FALSE), """"))
"),"")</f>
        <v/>
      </c>
      <c r="B807" s="217"/>
      <c r="C807" s="218" t="str">
        <f>IFERROR(__xludf.DUMMYFUNCTION("IFERROR(REGEXEXTRACT(B807, ""^[A-Z]+-[A-Z]+-"") &amp; TEXT(VALUE(REGEXEXTRACT(B807, ""-(\d+)\."")), ""00""), """")"),"")</f>
        <v/>
      </c>
      <c r="D807" s="219" t="str">
        <f>IFERROR(VLOOKUP(C807, Content_Creation!B:D, 2, FALSE), IFERROR(VLOOKUP(C807, Project_Management!B:D, 2, FALSE), ""))
&amp; " - "
&amp; IFERROR(VLOOKUP(C807, Content_Creation!B:E, 4, FALSE), IFERROR(VLOOKUP(C807, Project_Management!B:E, 4, FALSE), ""))</f>
        <v> - </v>
      </c>
      <c r="E807" s="220" t="str">
        <f>IFERROR(
    VLOOKUP(B806:B1001, Content_Creation!B:D, 3, FALSE),
    IFERROR(VLOOKUP(B806:B1001, Project_Management!B:D, 3, FALSE),"")
  )</f>
        <v/>
      </c>
      <c r="F807" s="221" t="str">
        <f>IFERROR(VLOOKUP(B807, Content_Creation!B:F, 5, FALSE), IFERROR(VLOOKUP(B807, Project_Management!B:F, 5, FALSE), ""))</f>
        <v/>
      </c>
      <c r="G807" s="267" t="s">
        <v>1317</v>
      </c>
      <c r="H807" s="223" t="str">
        <f>IFERROR(VLOOKUP(B807, Content_Creation!B:H, 7, FALSE), IFERROR(VLOOKUP(B807, Project_Management!B:H, 7, FALSE), ""))</f>
        <v/>
      </c>
      <c r="I807" s="224">
        <v>0.0</v>
      </c>
      <c r="J807" s="217"/>
      <c r="K807" s="217"/>
      <c r="L807" s="225" t="str">
        <f>IFERROR(VLOOKUP(B807, Data_Validation!X:Y, 2, FALSE), "")</f>
        <v/>
      </c>
      <c r="M807" s="226" t="str">
        <f t="shared" si="1"/>
        <v> |  -  | </v>
      </c>
      <c r="N807" s="226"/>
      <c r="O807" s="226"/>
    </row>
    <row r="808" ht="24.0" customHeight="1">
      <c r="A808" s="216" t="str">
        <f>IFERROR(__xludf.DUMMYFUNCTION("ARRAYFORMULA(IFERROR(VLOOKUP(REGEXEXTRACT(B808, ""-(\w+)-""), {Data_Validation!$F$16:$F$29, Data_Validation!$E$16:$E$29}, 2, FALSE), """"))
"),"")</f>
        <v/>
      </c>
      <c r="B808" s="217"/>
      <c r="C808" s="218" t="str">
        <f>IFERROR(__xludf.DUMMYFUNCTION("IFERROR(REGEXEXTRACT(B808, ""^[A-Z]+-[A-Z]+-"") &amp; TEXT(VALUE(REGEXEXTRACT(B808, ""-(\d+)\."")), ""00""), """")"),"")</f>
        <v/>
      </c>
      <c r="D808" s="219" t="str">
        <f>IFERROR(VLOOKUP(C808, Content_Creation!B:D, 2, FALSE), IFERROR(VLOOKUP(C808, Project_Management!B:D, 2, FALSE), ""))
&amp; " - "
&amp; IFERROR(VLOOKUP(C808, Content_Creation!B:E, 4, FALSE), IFERROR(VLOOKUP(C808, Project_Management!B:E, 4, FALSE), ""))</f>
        <v> - </v>
      </c>
      <c r="E808" s="220" t="str">
        <f>IFERROR(
    VLOOKUP(B807:B1001, Content_Creation!B:D, 3, FALSE),
    IFERROR(VLOOKUP(B807:B1001, Project_Management!B:D, 3, FALSE),"")
  )</f>
        <v/>
      </c>
      <c r="F808" s="221" t="str">
        <f>IFERROR(VLOOKUP(B808, Content_Creation!B:F, 5, FALSE), IFERROR(VLOOKUP(B808, Project_Management!B:F, 5, FALSE), ""))</f>
        <v/>
      </c>
      <c r="G808" s="267" t="s">
        <v>1317</v>
      </c>
      <c r="H808" s="223" t="str">
        <f>IFERROR(VLOOKUP(B808, Content_Creation!B:H, 7, FALSE), IFERROR(VLOOKUP(B808, Project_Management!B:H, 7, FALSE), ""))</f>
        <v/>
      </c>
      <c r="I808" s="224">
        <v>0.0</v>
      </c>
      <c r="J808" s="217"/>
      <c r="K808" s="217"/>
      <c r="L808" s="225" t="str">
        <f>IFERROR(VLOOKUP(B808, Data_Validation!X:Y, 2, FALSE), "")</f>
        <v/>
      </c>
      <c r="M808" s="226" t="str">
        <f t="shared" si="1"/>
        <v> |  -  | </v>
      </c>
      <c r="N808" s="226"/>
      <c r="O808" s="226"/>
    </row>
    <row r="809" ht="24.0" customHeight="1">
      <c r="A809" s="216" t="str">
        <f>IFERROR(__xludf.DUMMYFUNCTION("ARRAYFORMULA(IFERROR(VLOOKUP(REGEXEXTRACT(B809, ""-(\w+)-""), {Data_Validation!$F$16:$F$29, Data_Validation!$E$16:$E$29}, 2, FALSE), """"))
"),"")</f>
        <v/>
      </c>
      <c r="B809" s="217"/>
      <c r="C809" s="218" t="str">
        <f>IFERROR(__xludf.DUMMYFUNCTION("IFERROR(REGEXEXTRACT(B809, ""^[A-Z]+-[A-Z]+-"") &amp; TEXT(VALUE(REGEXEXTRACT(B809, ""-(\d+)\."")), ""00""), """")"),"")</f>
        <v/>
      </c>
      <c r="D809" s="219" t="str">
        <f>IFERROR(VLOOKUP(C809, Content_Creation!B:D, 2, FALSE), IFERROR(VLOOKUP(C809, Project_Management!B:D, 2, FALSE), ""))
&amp; " - "
&amp; IFERROR(VLOOKUP(C809, Content_Creation!B:E, 4, FALSE), IFERROR(VLOOKUP(C809, Project_Management!B:E, 4, FALSE), ""))</f>
        <v> - </v>
      </c>
      <c r="E809" s="220" t="str">
        <f>IFERROR(
    VLOOKUP(B808:B1001, Content_Creation!B:D, 3, FALSE),
    IFERROR(VLOOKUP(B808:B1001, Project_Management!B:D, 3, FALSE),"")
  )</f>
        <v/>
      </c>
      <c r="F809" s="221" t="str">
        <f>IFERROR(VLOOKUP(B809, Content_Creation!B:F, 5, FALSE), IFERROR(VLOOKUP(B809, Project_Management!B:F, 5, FALSE), ""))</f>
        <v/>
      </c>
      <c r="G809" s="267" t="s">
        <v>1317</v>
      </c>
      <c r="H809" s="223" t="str">
        <f>IFERROR(VLOOKUP(B809, Content_Creation!B:H, 7, FALSE), IFERROR(VLOOKUP(B809, Project_Management!B:H, 7, FALSE), ""))</f>
        <v/>
      </c>
      <c r="I809" s="224">
        <v>0.0</v>
      </c>
      <c r="J809" s="217"/>
      <c r="K809" s="217"/>
      <c r="L809" s="225" t="str">
        <f>IFERROR(VLOOKUP(B809, Data_Validation!X:Y, 2, FALSE), "")</f>
        <v/>
      </c>
      <c r="M809" s="226" t="str">
        <f t="shared" si="1"/>
        <v> |  -  | </v>
      </c>
      <c r="N809" s="226"/>
      <c r="O809" s="226"/>
    </row>
    <row r="810" ht="24.0" customHeight="1">
      <c r="A810" s="216" t="str">
        <f>IFERROR(__xludf.DUMMYFUNCTION("ARRAYFORMULA(IFERROR(VLOOKUP(REGEXEXTRACT(B810, ""-(\w+)-""), {Data_Validation!$F$16:$F$29, Data_Validation!$E$16:$E$29}, 2, FALSE), """"))
"),"")</f>
        <v/>
      </c>
      <c r="B810" s="217"/>
      <c r="C810" s="218" t="str">
        <f>IFERROR(__xludf.DUMMYFUNCTION("IFERROR(REGEXEXTRACT(B810, ""^[A-Z]+-[A-Z]+-"") &amp; TEXT(VALUE(REGEXEXTRACT(B810, ""-(\d+)\."")), ""00""), """")"),"")</f>
        <v/>
      </c>
      <c r="D810" s="219" t="str">
        <f>IFERROR(VLOOKUP(C810, Content_Creation!B:D, 2, FALSE), IFERROR(VLOOKUP(C810, Project_Management!B:D, 2, FALSE), ""))
&amp; " - "
&amp; IFERROR(VLOOKUP(C810, Content_Creation!B:E, 4, FALSE), IFERROR(VLOOKUP(C810, Project_Management!B:E, 4, FALSE), ""))</f>
        <v> - </v>
      </c>
      <c r="E810" s="220" t="str">
        <f>IFERROR(
    VLOOKUP(B809:B1001, Content_Creation!B:D, 3, FALSE),
    IFERROR(VLOOKUP(B809:B1001, Project_Management!B:D, 3, FALSE),"")
  )</f>
        <v/>
      </c>
      <c r="F810" s="221" t="str">
        <f>IFERROR(VLOOKUP(B810, Content_Creation!B:F, 5, FALSE), IFERROR(VLOOKUP(B810, Project_Management!B:F, 5, FALSE), ""))</f>
        <v/>
      </c>
      <c r="G810" s="267" t="s">
        <v>1317</v>
      </c>
      <c r="H810" s="223" t="str">
        <f>IFERROR(VLOOKUP(B810, Content_Creation!B:H, 7, FALSE), IFERROR(VLOOKUP(B810, Project_Management!B:H, 7, FALSE), ""))</f>
        <v/>
      </c>
      <c r="I810" s="224">
        <v>0.0</v>
      </c>
      <c r="J810" s="217"/>
      <c r="K810" s="217"/>
      <c r="L810" s="225" t="str">
        <f>IFERROR(VLOOKUP(B810, Data_Validation!X:Y, 2, FALSE), "")</f>
        <v/>
      </c>
      <c r="M810" s="226" t="str">
        <f t="shared" si="1"/>
        <v> |  -  | </v>
      </c>
      <c r="N810" s="226"/>
      <c r="O810" s="226"/>
    </row>
    <row r="811" ht="24.0" customHeight="1">
      <c r="A811" s="216" t="str">
        <f>IFERROR(__xludf.DUMMYFUNCTION("ARRAYFORMULA(IFERROR(VLOOKUP(REGEXEXTRACT(B811, ""-(\w+)-""), {Data_Validation!$F$16:$F$29, Data_Validation!$E$16:$E$29}, 2, FALSE), """"))
"),"")</f>
        <v/>
      </c>
      <c r="B811" s="217"/>
      <c r="C811" s="218" t="str">
        <f>IFERROR(__xludf.DUMMYFUNCTION("IFERROR(REGEXEXTRACT(B811, ""^[A-Z]+-[A-Z]+-"") &amp; TEXT(VALUE(REGEXEXTRACT(B811, ""-(\d+)\."")), ""00""), """")"),"")</f>
        <v/>
      </c>
      <c r="D811" s="219" t="str">
        <f>IFERROR(VLOOKUP(C811, Content_Creation!B:D, 2, FALSE), IFERROR(VLOOKUP(C811, Project_Management!B:D, 2, FALSE), ""))
&amp; " - "
&amp; IFERROR(VLOOKUP(C811, Content_Creation!B:E, 4, FALSE), IFERROR(VLOOKUP(C811, Project_Management!B:E, 4, FALSE), ""))</f>
        <v> - </v>
      </c>
      <c r="E811" s="220" t="str">
        <f>IFERROR(
    VLOOKUP(B810:B1001, Content_Creation!B:D, 3, FALSE),
    IFERROR(VLOOKUP(B810:B1001, Project_Management!B:D, 3, FALSE),"")
  )</f>
        <v/>
      </c>
      <c r="F811" s="221" t="str">
        <f>IFERROR(VLOOKUP(B811, Content_Creation!B:F, 5, FALSE), IFERROR(VLOOKUP(B811, Project_Management!B:F, 5, FALSE), ""))</f>
        <v/>
      </c>
      <c r="G811" s="267" t="s">
        <v>1317</v>
      </c>
      <c r="H811" s="223" t="str">
        <f>IFERROR(VLOOKUP(B811, Content_Creation!B:H, 7, FALSE), IFERROR(VLOOKUP(B811, Project_Management!B:H, 7, FALSE), ""))</f>
        <v/>
      </c>
      <c r="I811" s="224">
        <v>0.0</v>
      </c>
      <c r="J811" s="217"/>
      <c r="K811" s="217"/>
      <c r="L811" s="225" t="str">
        <f>IFERROR(VLOOKUP(B811, Data_Validation!X:Y, 2, FALSE), "")</f>
        <v/>
      </c>
      <c r="M811" s="226" t="str">
        <f t="shared" si="1"/>
        <v> |  -  | </v>
      </c>
      <c r="N811" s="226"/>
      <c r="O811" s="226"/>
    </row>
    <row r="812" ht="24.0" customHeight="1">
      <c r="A812" s="216" t="str">
        <f>IFERROR(__xludf.DUMMYFUNCTION("ARRAYFORMULA(IFERROR(VLOOKUP(REGEXEXTRACT(B812, ""-(\w+)-""), {Data_Validation!$F$16:$F$29, Data_Validation!$E$16:$E$29}, 2, FALSE), """"))
"),"")</f>
        <v/>
      </c>
      <c r="B812" s="217"/>
      <c r="C812" s="218" t="str">
        <f>IFERROR(__xludf.DUMMYFUNCTION("IFERROR(REGEXEXTRACT(B812, ""^[A-Z]+-[A-Z]+-"") &amp; TEXT(VALUE(REGEXEXTRACT(B812, ""-(\d+)\."")), ""00""), """")"),"")</f>
        <v/>
      </c>
      <c r="D812" s="219" t="str">
        <f>IFERROR(VLOOKUP(C812, Content_Creation!B:D, 2, FALSE), IFERROR(VLOOKUP(C812, Project_Management!B:D, 2, FALSE), ""))
&amp; " - "
&amp; IFERROR(VLOOKUP(C812, Content_Creation!B:E, 4, FALSE), IFERROR(VLOOKUP(C812, Project_Management!B:E, 4, FALSE), ""))</f>
        <v> - </v>
      </c>
      <c r="E812" s="220" t="str">
        <f>IFERROR(
    VLOOKUP(B811:B1001, Content_Creation!B:D, 3, FALSE),
    IFERROR(VLOOKUP(B811:B1001, Project_Management!B:D, 3, FALSE),"")
  )</f>
        <v/>
      </c>
      <c r="F812" s="221" t="str">
        <f>IFERROR(VLOOKUP(B812, Content_Creation!B:F, 5, FALSE), IFERROR(VLOOKUP(B812, Project_Management!B:F, 5, FALSE), ""))</f>
        <v/>
      </c>
      <c r="G812" s="267" t="s">
        <v>1317</v>
      </c>
      <c r="H812" s="223" t="str">
        <f>IFERROR(VLOOKUP(B812, Content_Creation!B:H, 7, FALSE), IFERROR(VLOOKUP(B812, Project_Management!B:H, 7, FALSE), ""))</f>
        <v/>
      </c>
      <c r="I812" s="224">
        <v>0.0</v>
      </c>
      <c r="J812" s="217"/>
      <c r="K812" s="217"/>
      <c r="L812" s="225" t="str">
        <f>IFERROR(VLOOKUP(B812, Data_Validation!X:Y, 2, FALSE), "")</f>
        <v/>
      </c>
      <c r="M812" s="226" t="str">
        <f t="shared" si="1"/>
        <v> |  -  | </v>
      </c>
      <c r="N812" s="226"/>
      <c r="O812" s="226"/>
    </row>
    <row r="813" ht="24.0" customHeight="1">
      <c r="A813" s="216" t="str">
        <f>IFERROR(__xludf.DUMMYFUNCTION("ARRAYFORMULA(IFERROR(VLOOKUP(REGEXEXTRACT(B813, ""-(\w+)-""), {Data_Validation!$F$16:$F$29, Data_Validation!$E$16:$E$29}, 2, FALSE), """"))
"),"")</f>
        <v/>
      </c>
      <c r="B813" s="217"/>
      <c r="C813" s="218" t="str">
        <f>IFERROR(__xludf.DUMMYFUNCTION("IFERROR(REGEXEXTRACT(B813, ""^[A-Z]+-[A-Z]+-"") &amp; TEXT(VALUE(REGEXEXTRACT(B813, ""-(\d+)\."")), ""00""), """")"),"")</f>
        <v/>
      </c>
      <c r="D813" s="219" t="str">
        <f>IFERROR(VLOOKUP(C813, Content_Creation!B:D, 2, FALSE), IFERROR(VLOOKUP(C813, Project_Management!B:D, 2, FALSE), ""))
&amp; " - "
&amp; IFERROR(VLOOKUP(C813, Content_Creation!B:E, 4, FALSE), IFERROR(VLOOKUP(C813, Project_Management!B:E, 4, FALSE), ""))</f>
        <v> - </v>
      </c>
      <c r="E813" s="220" t="str">
        <f>IFERROR(
    VLOOKUP(B812:B1001, Content_Creation!B:D, 3, FALSE),
    IFERROR(VLOOKUP(B812:B1001, Project_Management!B:D, 3, FALSE),"")
  )</f>
        <v/>
      </c>
      <c r="F813" s="221" t="str">
        <f>IFERROR(VLOOKUP(B813, Content_Creation!B:F, 5, FALSE), IFERROR(VLOOKUP(B813, Project_Management!B:F, 5, FALSE), ""))</f>
        <v/>
      </c>
      <c r="G813" s="267" t="s">
        <v>1317</v>
      </c>
      <c r="H813" s="223" t="str">
        <f>IFERROR(VLOOKUP(B813, Content_Creation!B:H, 7, FALSE), IFERROR(VLOOKUP(B813, Project_Management!B:H, 7, FALSE), ""))</f>
        <v/>
      </c>
      <c r="I813" s="224">
        <v>0.0</v>
      </c>
      <c r="J813" s="217"/>
      <c r="K813" s="217"/>
      <c r="L813" s="225" t="str">
        <f>IFERROR(VLOOKUP(B813, Data_Validation!X:Y, 2, FALSE), "")</f>
        <v/>
      </c>
      <c r="M813" s="226" t="str">
        <f t="shared" si="1"/>
        <v> |  -  | </v>
      </c>
      <c r="N813" s="226"/>
      <c r="O813" s="226"/>
    </row>
    <row r="814" ht="24.0" customHeight="1">
      <c r="A814" s="216" t="str">
        <f>IFERROR(__xludf.DUMMYFUNCTION("ARRAYFORMULA(IFERROR(VLOOKUP(REGEXEXTRACT(B814, ""-(\w+)-""), {Data_Validation!$F$16:$F$29, Data_Validation!$E$16:$E$29}, 2, FALSE), """"))
"),"")</f>
        <v/>
      </c>
      <c r="B814" s="217"/>
      <c r="C814" s="218" t="str">
        <f>IFERROR(__xludf.DUMMYFUNCTION("IFERROR(REGEXEXTRACT(B814, ""^[A-Z]+-[A-Z]+-"") &amp; TEXT(VALUE(REGEXEXTRACT(B814, ""-(\d+)\."")), ""00""), """")"),"")</f>
        <v/>
      </c>
      <c r="D814" s="219" t="str">
        <f>IFERROR(VLOOKUP(C814, Content_Creation!B:D, 2, FALSE), IFERROR(VLOOKUP(C814, Project_Management!B:D, 2, FALSE), ""))
&amp; " - "
&amp; IFERROR(VLOOKUP(C814, Content_Creation!B:E, 4, FALSE), IFERROR(VLOOKUP(C814, Project_Management!B:E, 4, FALSE), ""))</f>
        <v> - </v>
      </c>
      <c r="E814" s="220" t="str">
        <f>IFERROR(
    VLOOKUP(B813:B1001, Content_Creation!B:D, 3, FALSE),
    IFERROR(VLOOKUP(B813:B1001, Project_Management!B:D, 3, FALSE),"")
  )</f>
        <v/>
      </c>
      <c r="F814" s="221" t="str">
        <f>IFERROR(VLOOKUP(B814, Content_Creation!B:F, 5, FALSE), IFERROR(VLOOKUP(B814, Project_Management!B:F, 5, FALSE), ""))</f>
        <v/>
      </c>
      <c r="G814" s="267" t="s">
        <v>1317</v>
      </c>
      <c r="H814" s="223" t="str">
        <f>IFERROR(VLOOKUP(B814, Content_Creation!B:H, 7, FALSE), IFERROR(VLOOKUP(B814, Project_Management!B:H, 7, FALSE), ""))</f>
        <v/>
      </c>
      <c r="I814" s="224">
        <v>0.0</v>
      </c>
      <c r="J814" s="217"/>
      <c r="K814" s="217"/>
      <c r="L814" s="225" t="str">
        <f>IFERROR(VLOOKUP(B814, Data_Validation!X:Y, 2, FALSE), "")</f>
        <v/>
      </c>
      <c r="M814" s="226" t="str">
        <f t="shared" si="1"/>
        <v> |  -  | </v>
      </c>
      <c r="N814" s="226"/>
      <c r="O814" s="226"/>
    </row>
    <row r="815" ht="24.0" customHeight="1">
      <c r="A815" s="216" t="str">
        <f>IFERROR(__xludf.DUMMYFUNCTION("ARRAYFORMULA(IFERROR(VLOOKUP(REGEXEXTRACT(B815, ""-(\w+)-""), {Data_Validation!$F$16:$F$29, Data_Validation!$E$16:$E$29}, 2, FALSE), """"))
"),"")</f>
        <v/>
      </c>
      <c r="B815" s="217"/>
      <c r="C815" s="218" t="str">
        <f>IFERROR(__xludf.DUMMYFUNCTION("IFERROR(REGEXEXTRACT(B815, ""^[A-Z]+-[A-Z]+-"") &amp; TEXT(VALUE(REGEXEXTRACT(B815, ""-(\d+)\."")), ""00""), """")"),"")</f>
        <v/>
      </c>
      <c r="D815" s="219" t="str">
        <f>IFERROR(VLOOKUP(C815, Content_Creation!B:D, 2, FALSE), IFERROR(VLOOKUP(C815, Project_Management!B:D, 2, FALSE), ""))
&amp; " - "
&amp; IFERROR(VLOOKUP(C815, Content_Creation!B:E, 4, FALSE), IFERROR(VLOOKUP(C815, Project_Management!B:E, 4, FALSE), ""))</f>
        <v> - </v>
      </c>
      <c r="E815" s="220" t="str">
        <f>IFERROR(
    VLOOKUP(B814:B1001, Content_Creation!B:D, 3, FALSE),
    IFERROR(VLOOKUP(B814:B1001, Project_Management!B:D, 3, FALSE),"")
  )</f>
        <v/>
      </c>
      <c r="F815" s="221" t="str">
        <f>IFERROR(VLOOKUP(B815, Content_Creation!B:F, 5, FALSE), IFERROR(VLOOKUP(B815, Project_Management!B:F, 5, FALSE), ""))</f>
        <v/>
      </c>
      <c r="G815" s="267" t="s">
        <v>1317</v>
      </c>
      <c r="H815" s="223" t="str">
        <f>IFERROR(VLOOKUP(B815, Content_Creation!B:H, 7, FALSE), IFERROR(VLOOKUP(B815, Project_Management!B:H, 7, FALSE), ""))</f>
        <v/>
      </c>
      <c r="I815" s="224">
        <v>0.0</v>
      </c>
      <c r="J815" s="217"/>
      <c r="K815" s="217"/>
      <c r="L815" s="225" t="str">
        <f>IFERROR(VLOOKUP(B815, Data_Validation!X:Y, 2, FALSE), "")</f>
        <v/>
      </c>
      <c r="M815" s="226" t="str">
        <f t="shared" si="1"/>
        <v> |  -  | </v>
      </c>
      <c r="N815" s="226"/>
      <c r="O815" s="226"/>
    </row>
    <row r="816" ht="24.0" customHeight="1">
      <c r="A816" s="216" t="str">
        <f>IFERROR(__xludf.DUMMYFUNCTION("ARRAYFORMULA(IFERROR(VLOOKUP(REGEXEXTRACT(B816, ""-(\w+)-""), {Data_Validation!$F$16:$F$29, Data_Validation!$E$16:$E$29}, 2, FALSE), """"))
"),"")</f>
        <v/>
      </c>
      <c r="B816" s="217"/>
      <c r="C816" s="218" t="str">
        <f>IFERROR(__xludf.DUMMYFUNCTION("IFERROR(REGEXEXTRACT(B816, ""^[A-Z]+-[A-Z]+-"") &amp; TEXT(VALUE(REGEXEXTRACT(B816, ""-(\d+)\."")), ""00""), """")"),"")</f>
        <v/>
      </c>
      <c r="D816" s="219" t="str">
        <f>IFERROR(VLOOKUP(C816, Content_Creation!B:D, 2, FALSE), IFERROR(VLOOKUP(C816, Project_Management!B:D, 2, FALSE), ""))
&amp; " - "
&amp; IFERROR(VLOOKUP(C816, Content_Creation!B:E, 4, FALSE), IFERROR(VLOOKUP(C816, Project_Management!B:E, 4, FALSE), ""))</f>
        <v> - </v>
      </c>
      <c r="E816" s="220" t="str">
        <f>IFERROR(
    VLOOKUP(B815:B1001, Content_Creation!B:D, 3, FALSE),
    IFERROR(VLOOKUP(B815:B1001, Project_Management!B:D, 3, FALSE),"")
  )</f>
        <v/>
      </c>
      <c r="F816" s="221" t="str">
        <f>IFERROR(VLOOKUP(B816, Content_Creation!B:F, 5, FALSE), IFERROR(VLOOKUP(B816, Project_Management!B:F, 5, FALSE), ""))</f>
        <v/>
      </c>
      <c r="G816" s="267" t="s">
        <v>1317</v>
      </c>
      <c r="H816" s="223" t="str">
        <f>IFERROR(VLOOKUP(B816, Content_Creation!B:H, 7, FALSE), IFERROR(VLOOKUP(B816, Project_Management!B:H, 7, FALSE), ""))</f>
        <v/>
      </c>
      <c r="I816" s="224">
        <v>0.0</v>
      </c>
      <c r="J816" s="217"/>
      <c r="K816" s="217"/>
      <c r="L816" s="225" t="str">
        <f>IFERROR(VLOOKUP(B816, Data_Validation!X:Y, 2, FALSE), "")</f>
        <v/>
      </c>
      <c r="M816" s="226" t="str">
        <f t="shared" si="1"/>
        <v> |  -  | </v>
      </c>
      <c r="N816" s="226"/>
      <c r="O816" s="226"/>
    </row>
    <row r="817" ht="24.0" customHeight="1">
      <c r="A817" s="216" t="str">
        <f>IFERROR(__xludf.DUMMYFUNCTION("ARRAYFORMULA(IFERROR(VLOOKUP(REGEXEXTRACT(B817, ""-(\w+)-""), {Data_Validation!$F$16:$F$29, Data_Validation!$E$16:$E$29}, 2, FALSE), """"))
"),"")</f>
        <v/>
      </c>
      <c r="B817" s="217"/>
      <c r="C817" s="218" t="str">
        <f>IFERROR(__xludf.DUMMYFUNCTION("IFERROR(REGEXEXTRACT(B817, ""^[A-Z]+-[A-Z]+-"") &amp; TEXT(VALUE(REGEXEXTRACT(B817, ""-(\d+)\."")), ""00""), """")"),"")</f>
        <v/>
      </c>
      <c r="D817" s="219" t="str">
        <f>IFERROR(VLOOKUP(C817, Content_Creation!B:D, 2, FALSE), IFERROR(VLOOKUP(C817, Project_Management!B:D, 2, FALSE), ""))
&amp; " - "
&amp; IFERROR(VLOOKUP(C817, Content_Creation!B:E, 4, FALSE), IFERROR(VLOOKUP(C817, Project_Management!B:E, 4, FALSE), ""))</f>
        <v> - </v>
      </c>
      <c r="E817" s="220" t="str">
        <f>IFERROR(
    VLOOKUP(B816:B1001, Content_Creation!B:D, 3, FALSE),
    IFERROR(VLOOKUP(B816:B1001, Project_Management!B:D, 3, FALSE),"")
  )</f>
        <v/>
      </c>
      <c r="F817" s="221" t="str">
        <f>IFERROR(VLOOKUP(B817, Content_Creation!B:F, 5, FALSE), IFERROR(VLOOKUP(B817, Project_Management!B:F, 5, FALSE), ""))</f>
        <v/>
      </c>
      <c r="G817" s="267" t="s">
        <v>1317</v>
      </c>
      <c r="H817" s="223" t="str">
        <f>IFERROR(VLOOKUP(B817, Content_Creation!B:H, 7, FALSE), IFERROR(VLOOKUP(B817, Project_Management!B:H, 7, FALSE), ""))</f>
        <v/>
      </c>
      <c r="I817" s="224">
        <v>0.0</v>
      </c>
      <c r="J817" s="217"/>
      <c r="K817" s="217"/>
      <c r="L817" s="225" t="str">
        <f>IFERROR(VLOOKUP(B817, Data_Validation!X:Y, 2, FALSE), "")</f>
        <v/>
      </c>
      <c r="M817" s="226" t="str">
        <f t="shared" si="1"/>
        <v> |  -  | </v>
      </c>
      <c r="N817" s="226"/>
      <c r="O817" s="226"/>
    </row>
    <row r="818" ht="24.0" customHeight="1">
      <c r="A818" s="216" t="str">
        <f>IFERROR(__xludf.DUMMYFUNCTION("ARRAYFORMULA(IFERROR(VLOOKUP(REGEXEXTRACT(B818, ""-(\w+)-""), {Data_Validation!$F$16:$F$29, Data_Validation!$E$16:$E$29}, 2, FALSE), """"))
"),"")</f>
        <v/>
      </c>
      <c r="B818" s="217"/>
      <c r="C818" s="218" t="str">
        <f>IFERROR(__xludf.DUMMYFUNCTION("IFERROR(REGEXEXTRACT(B818, ""^[A-Z]+-[A-Z]+-"") &amp; TEXT(VALUE(REGEXEXTRACT(B818, ""-(\d+)\."")), ""00""), """")"),"")</f>
        <v/>
      </c>
      <c r="D818" s="219" t="str">
        <f>IFERROR(VLOOKUP(C818, Content_Creation!B:D, 2, FALSE), IFERROR(VLOOKUP(C818, Project_Management!B:D, 2, FALSE), ""))
&amp; " - "
&amp; IFERROR(VLOOKUP(C818, Content_Creation!B:E, 4, FALSE), IFERROR(VLOOKUP(C818, Project_Management!B:E, 4, FALSE), ""))</f>
        <v> - </v>
      </c>
      <c r="E818" s="220" t="str">
        <f>IFERROR(
    VLOOKUP(B817:B1001, Content_Creation!B:D, 3, FALSE),
    IFERROR(VLOOKUP(B817:B1001, Project_Management!B:D, 3, FALSE),"")
  )</f>
        <v/>
      </c>
      <c r="F818" s="221" t="str">
        <f>IFERROR(VLOOKUP(B818, Content_Creation!B:F, 5, FALSE), IFERROR(VLOOKUP(B818, Project_Management!B:F, 5, FALSE), ""))</f>
        <v/>
      </c>
      <c r="G818" s="267" t="s">
        <v>1317</v>
      </c>
      <c r="H818" s="223" t="str">
        <f>IFERROR(VLOOKUP(B818, Content_Creation!B:H, 7, FALSE), IFERROR(VLOOKUP(B818, Project_Management!B:H, 7, FALSE), ""))</f>
        <v/>
      </c>
      <c r="I818" s="224">
        <v>0.0</v>
      </c>
      <c r="J818" s="217"/>
      <c r="K818" s="217"/>
      <c r="L818" s="225" t="str">
        <f>IFERROR(VLOOKUP(B818, Data_Validation!X:Y, 2, FALSE), "")</f>
        <v/>
      </c>
      <c r="M818" s="226" t="str">
        <f t="shared" si="1"/>
        <v> |  -  | </v>
      </c>
      <c r="N818" s="226"/>
      <c r="O818" s="226"/>
    </row>
    <row r="819" ht="24.0" customHeight="1">
      <c r="A819" s="216" t="str">
        <f>IFERROR(__xludf.DUMMYFUNCTION("ARRAYFORMULA(IFERROR(VLOOKUP(REGEXEXTRACT(B819, ""-(\w+)-""), {Data_Validation!$F$16:$F$29, Data_Validation!$E$16:$E$29}, 2, FALSE), """"))
"),"")</f>
        <v/>
      </c>
      <c r="B819" s="217"/>
      <c r="C819" s="218" t="str">
        <f>IFERROR(__xludf.DUMMYFUNCTION("IFERROR(REGEXEXTRACT(B819, ""^[A-Z]+-[A-Z]+-"") &amp; TEXT(VALUE(REGEXEXTRACT(B819, ""-(\d+)\."")), ""00""), """")"),"")</f>
        <v/>
      </c>
      <c r="D819" s="219" t="str">
        <f>IFERROR(VLOOKUP(C819, Content_Creation!B:D, 2, FALSE), IFERROR(VLOOKUP(C819, Project_Management!B:D, 2, FALSE), ""))
&amp; " - "
&amp; IFERROR(VLOOKUP(C819, Content_Creation!B:E, 4, FALSE), IFERROR(VLOOKUP(C819, Project_Management!B:E, 4, FALSE), ""))</f>
        <v> - </v>
      </c>
      <c r="E819" s="220" t="str">
        <f>IFERROR(
    VLOOKUP(B818:B1001, Content_Creation!B:D, 3, FALSE),
    IFERROR(VLOOKUP(B818:B1001, Project_Management!B:D, 3, FALSE),"")
  )</f>
        <v/>
      </c>
      <c r="F819" s="221" t="str">
        <f>IFERROR(VLOOKUP(B819, Content_Creation!B:F, 5, FALSE), IFERROR(VLOOKUP(B819, Project_Management!B:F, 5, FALSE), ""))</f>
        <v/>
      </c>
      <c r="G819" s="267" t="s">
        <v>1317</v>
      </c>
      <c r="H819" s="223" t="str">
        <f>IFERROR(VLOOKUP(B819, Content_Creation!B:H, 7, FALSE), IFERROR(VLOOKUP(B819, Project_Management!B:H, 7, FALSE), ""))</f>
        <v/>
      </c>
      <c r="I819" s="224">
        <v>0.0</v>
      </c>
      <c r="J819" s="217"/>
      <c r="K819" s="217"/>
      <c r="L819" s="225" t="str">
        <f>IFERROR(VLOOKUP(B819, Data_Validation!X:Y, 2, FALSE), "")</f>
        <v/>
      </c>
      <c r="M819" s="226" t="str">
        <f t="shared" si="1"/>
        <v> |  -  | </v>
      </c>
      <c r="N819" s="226"/>
      <c r="O819" s="226"/>
    </row>
    <row r="820" ht="24.0" customHeight="1">
      <c r="A820" s="216" t="str">
        <f>IFERROR(__xludf.DUMMYFUNCTION("ARRAYFORMULA(IFERROR(VLOOKUP(REGEXEXTRACT(B820, ""-(\w+)-""), {Data_Validation!$F$16:$F$29, Data_Validation!$E$16:$E$29}, 2, FALSE), """"))
"),"")</f>
        <v/>
      </c>
      <c r="B820" s="217"/>
      <c r="C820" s="218" t="str">
        <f>IFERROR(__xludf.DUMMYFUNCTION("IFERROR(REGEXEXTRACT(B820, ""^[A-Z]+-[A-Z]+-"") &amp; TEXT(VALUE(REGEXEXTRACT(B820, ""-(\d+)\."")), ""00""), """")"),"")</f>
        <v/>
      </c>
      <c r="D820" s="219" t="str">
        <f>IFERROR(VLOOKUP(C820, Content_Creation!B:D, 2, FALSE), IFERROR(VLOOKUP(C820, Project_Management!B:D, 2, FALSE), ""))
&amp; " - "
&amp; IFERROR(VLOOKUP(C820, Content_Creation!B:E, 4, FALSE), IFERROR(VLOOKUP(C820, Project_Management!B:E, 4, FALSE), ""))</f>
        <v> - </v>
      </c>
      <c r="E820" s="220" t="str">
        <f>IFERROR(
    VLOOKUP(B819:B1001, Content_Creation!B:D, 3, FALSE),
    IFERROR(VLOOKUP(B819:B1001, Project_Management!B:D, 3, FALSE),"")
  )</f>
        <v/>
      </c>
      <c r="F820" s="221" t="str">
        <f>IFERROR(VLOOKUP(B820, Content_Creation!B:F, 5, FALSE), IFERROR(VLOOKUP(B820, Project_Management!B:F, 5, FALSE), ""))</f>
        <v/>
      </c>
      <c r="G820" s="267" t="s">
        <v>1317</v>
      </c>
      <c r="H820" s="223" t="str">
        <f>IFERROR(VLOOKUP(B820, Content_Creation!B:H, 7, FALSE), IFERROR(VLOOKUP(B820, Project_Management!B:H, 7, FALSE), ""))</f>
        <v/>
      </c>
      <c r="I820" s="224">
        <v>0.0</v>
      </c>
      <c r="J820" s="217"/>
      <c r="K820" s="217"/>
      <c r="L820" s="225" t="str">
        <f>IFERROR(VLOOKUP(B820, Data_Validation!X:Y, 2, FALSE), "")</f>
        <v/>
      </c>
      <c r="M820" s="226" t="str">
        <f t="shared" si="1"/>
        <v> |  -  | </v>
      </c>
      <c r="N820" s="226"/>
      <c r="O820" s="226"/>
    </row>
    <row r="821" ht="24.0" customHeight="1">
      <c r="A821" s="216" t="str">
        <f>IFERROR(__xludf.DUMMYFUNCTION("ARRAYFORMULA(IFERROR(VLOOKUP(REGEXEXTRACT(B821, ""-(\w+)-""), {Data_Validation!$F$16:$F$29, Data_Validation!$E$16:$E$29}, 2, FALSE), """"))
"),"")</f>
        <v/>
      </c>
      <c r="B821" s="217"/>
      <c r="C821" s="218" t="str">
        <f>IFERROR(__xludf.DUMMYFUNCTION("IFERROR(REGEXEXTRACT(B821, ""^[A-Z]+-[A-Z]+-"") &amp; TEXT(VALUE(REGEXEXTRACT(B821, ""-(\d+)\."")), ""00""), """")"),"")</f>
        <v/>
      </c>
      <c r="D821" s="219" t="str">
        <f>IFERROR(VLOOKUP(C821, Content_Creation!B:D, 2, FALSE), IFERROR(VLOOKUP(C821, Project_Management!B:D, 2, FALSE), ""))
&amp; " - "
&amp; IFERROR(VLOOKUP(C821, Content_Creation!B:E, 4, FALSE), IFERROR(VLOOKUP(C821, Project_Management!B:E, 4, FALSE), ""))</f>
        <v> - </v>
      </c>
      <c r="E821" s="220" t="str">
        <f>IFERROR(
    VLOOKUP(B820:B1001, Content_Creation!B:D, 3, FALSE),
    IFERROR(VLOOKUP(B820:B1001, Project_Management!B:D, 3, FALSE),"")
  )</f>
        <v/>
      </c>
      <c r="F821" s="221" t="str">
        <f>IFERROR(VLOOKUP(B821, Content_Creation!B:F, 5, FALSE), IFERROR(VLOOKUP(B821, Project_Management!B:F, 5, FALSE), ""))</f>
        <v/>
      </c>
      <c r="G821" s="267" t="s">
        <v>1317</v>
      </c>
      <c r="H821" s="223" t="str">
        <f>IFERROR(VLOOKUP(B821, Content_Creation!B:H, 7, FALSE), IFERROR(VLOOKUP(B821, Project_Management!B:H, 7, FALSE), ""))</f>
        <v/>
      </c>
      <c r="I821" s="224">
        <v>0.0</v>
      </c>
      <c r="J821" s="217"/>
      <c r="K821" s="217"/>
      <c r="L821" s="225" t="str">
        <f>IFERROR(VLOOKUP(B821, Data_Validation!X:Y, 2, FALSE), "")</f>
        <v/>
      </c>
      <c r="M821" s="226" t="str">
        <f t="shared" si="1"/>
        <v> |  -  | </v>
      </c>
      <c r="N821" s="226"/>
      <c r="O821" s="226"/>
    </row>
    <row r="822" ht="24.0" customHeight="1">
      <c r="A822" s="216" t="str">
        <f>IFERROR(__xludf.DUMMYFUNCTION("ARRAYFORMULA(IFERROR(VLOOKUP(REGEXEXTRACT(B822, ""-(\w+)-""), {Data_Validation!$F$16:$F$29, Data_Validation!$E$16:$E$29}, 2, FALSE), """"))
"),"")</f>
        <v/>
      </c>
      <c r="B822" s="217"/>
      <c r="C822" s="218" t="str">
        <f>IFERROR(__xludf.DUMMYFUNCTION("IFERROR(REGEXEXTRACT(B822, ""^[A-Z]+-[A-Z]+-"") &amp; TEXT(VALUE(REGEXEXTRACT(B822, ""-(\d+)\."")), ""00""), """")"),"")</f>
        <v/>
      </c>
      <c r="D822" s="219" t="str">
        <f>IFERROR(VLOOKUP(C822, Content_Creation!B:D, 2, FALSE), IFERROR(VLOOKUP(C822, Project_Management!B:D, 2, FALSE), ""))
&amp; " - "
&amp; IFERROR(VLOOKUP(C822, Content_Creation!B:E, 4, FALSE), IFERROR(VLOOKUP(C822, Project_Management!B:E, 4, FALSE), ""))</f>
        <v> - </v>
      </c>
      <c r="E822" s="220" t="str">
        <f>IFERROR(
    VLOOKUP(B821:B1001, Content_Creation!B:D, 3, FALSE),
    IFERROR(VLOOKUP(B821:B1001, Project_Management!B:D, 3, FALSE),"")
  )</f>
        <v/>
      </c>
      <c r="F822" s="221" t="str">
        <f>IFERROR(VLOOKUP(B822, Content_Creation!B:F, 5, FALSE), IFERROR(VLOOKUP(B822, Project_Management!B:F, 5, FALSE), ""))</f>
        <v/>
      </c>
      <c r="G822" s="267" t="s">
        <v>1317</v>
      </c>
      <c r="H822" s="223" t="str">
        <f>IFERROR(VLOOKUP(B822, Content_Creation!B:H, 7, FALSE), IFERROR(VLOOKUP(B822, Project_Management!B:H, 7, FALSE), ""))</f>
        <v/>
      </c>
      <c r="I822" s="224">
        <v>0.0</v>
      </c>
      <c r="J822" s="217"/>
      <c r="K822" s="217"/>
      <c r="L822" s="225" t="str">
        <f>IFERROR(VLOOKUP(B822, Data_Validation!X:Y, 2, FALSE), "")</f>
        <v/>
      </c>
      <c r="M822" s="226" t="str">
        <f t="shared" si="1"/>
        <v> |  -  | </v>
      </c>
      <c r="N822" s="226"/>
      <c r="O822" s="226"/>
    </row>
    <row r="823" ht="24.0" customHeight="1">
      <c r="A823" s="216" t="str">
        <f>IFERROR(__xludf.DUMMYFUNCTION("ARRAYFORMULA(IFERROR(VLOOKUP(REGEXEXTRACT(B823, ""-(\w+)-""), {Data_Validation!$F$16:$F$29, Data_Validation!$E$16:$E$29}, 2, FALSE), """"))
"),"")</f>
        <v/>
      </c>
      <c r="B823" s="217"/>
      <c r="C823" s="218" t="str">
        <f>IFERROR(__xludf.DUMMYFUNCTION("IFERROR(REGEXEXTRACT(B823, ""^[A-Z]+-[A-Z]+-"") &amp; TEXT(VALUE(REGEXEXTRACT(B823, ""-(\d+)\."")), ""00""), """")"),"")</f>
        <v/>
      </c>
      <c r="D823" s="219" t="str">
        <f>IFERROR(VLOOKUP(C823, Content_Creation!B:D, 2, FALSE), IFERROR(VLOOKUP(C823, Project_Management!B:D, 2, FALSE), ""))
&amp; " - "
&amp; IFERROR(VLOOKUP(C823, Content_Creation!B:E, 4, FALSE), IFERROR(VLOOKUP(C823, Project_Management!B:E, 4, FALSE), ""))</f>
        <v> - </v>
      </c>
      <c r="E823" s="220" t="str">
        <f>IFERROR(
    VLOOKUP(B822:B1001, Content_Creation!B:D, 3, FALSE),
    IFERROR(VLOOKUP(B822:B1001, Project_Management!B:D, 3, FALSE),"")
  )</f>
        <v/>
      </c>
      <c r="F823" s="221" t="str">
        <f>IFERROR(VLOOKUP(B823, Content_Creation!B:F, 5, FALSE), IFERROR(VLOOKUP(B823, Project_Management!B:F, 5, FALSE), ""))</f>
        <v/>
      </c>
      <c r="G823" s="267" t="s">
        <v>1317</v>
      </c>
      <c r="H823" s="223" t="str">
        <f>IFERROR(VLOOKUP(B823, Content_Creation!B:H, 7, FALSE), IFERROR(VLOOKUP(B823, Project_Management!B:H, 7, FALSE), ""))</f>
        <v/>
      </c>
      <c r="I823" s="224">
        <v>0.0</v>
      </c>
      <c r="J823" s="217"/>
      <c r="K823" s="217"/>
      <c r="L823" s="225" t="str">
        <f>IFERROR(VLOOKUP(B823, Data_Validation!X:Y, 2, FALSE), "")</f>
        <v/>
      </c>
      <c r="M823" s="226" t="str">
        <f t="shared" si="1"/>
        <v> |  -  | </v>
      </c>
      <c r="N823" s="226"/>
      <c r="O823" s="226"/>
    </row>
    <row r="824" ht="24.0" customHeight="1">
      <c r="A824" s="216" t="str">
        <f>IFERROR(__xludf.DUMMYFUNCTION("ARRAYFORMULA(IFERROR(VLOOKUP(REGEXEXTRACT(B824, ""-(\w+)-""), {Data_Validation!$F$16:$F$29, Data_Validation!$E$16:$E$29}, 2, FALSE), """"))
"),"")</f>
        <v/>
      </c>
      <c r="B824" s="217"/>
      <c r="C824" s="218" t="str">
        <f>IFERROR(__xludf.DUMMYFUNCTION("IFERROR(REGEXEXTRACT(B824, ""^[A-Z]+-[A-Z]+-"") &amp; TEXT(VALUE(REGEXEXTRACT(B824, ""-(\d+)\."")), ""00""), """")"),"")</f>
        <v/>
      </c>
      <c r="D824" s="219" t="str">
        <f>IFERROR(VLOOKUP(C824, Content_Creation!B:D, 2, FALSE), IFERROR(VLOOKUP(C824, Project_Management!B:D, 2, FALSE), ""))
&amp; " - "
&amp; IFERROR(VLOOKUP(C824, Content_Creation!B:E, 4, FALSE), IFERROR(VLOOKUP(C824, Project_Management!B:E, 4, FALSE), ""))</f>
        <v> - </v>
      </c>
      <c r="E824" s="220" t="str">
        <f>IFERROR(
    VLOOKUP(B823:B1001, Content_Creation!B:D, 3, FALSE),
    IFERROR(VLOOKUP(B823:B1001, Project_Management!B:D, 3, FALSE),"")
  )</f>
        <v/>
      </c>
      <c r="F824" s="221" t="str">
        <f>IFERROR(VLOOKUP(B824, Content_Creation!B:F, 5, FALSE), IFERROR(VLOOKUP(B824, Project_Management!B:F, 5, FALSE), ""))</f>
        <v/>
      </c>
      <c r="G824" s="267" t="s">
        <v>1317</v>
      </c>
      <c r="H824" s="223" t="str">
        <f>IFERROR(VLOOKUP(B824, Content_Creation!B:H, 7, FALSE), IFERROR(VLOOKUP(B824, Project_Management!B:H, 7, FALSE), ""))</f>
        <v/>
      </c>
      <c r="I824" s="224">
        <v>0.0</v>
      </c>
      <c r="J824" s="217"/>
      <c r="K824" s="217"/>
      <c r="L824" s="225" t="str">
        <f>IFERROR(VLOOKUP(B824, Data_Validation!X:Y, 2, FALSE), "")</f>
        <v/>
      </c>
      <c r="M824" s="226" t="str">
        <f t="shared" si="1"/>
        <v> |  -  | </v>
      </c>
      <c r="N824" s="226"/>
      <c r="O824" s="226"/>
    </row>
    <row r="825" ht="24.0" customHeight="1">
      <c r="A825" s="216" t="str">
        <f>IFERROR(__xludf.DUMMYFUNCTION("ARRAYFORMULA(IFERROR(VLOOKUP(REGEXEXTRACT(B825, ""-(\w+)-""), {Data_Validation!$F$16:$F$29, Data_Validation!$E$16:$E$29}, 2, FALSE), """"))
"),"")</f>
        <v/>
      </c>
      <c r="B825" s="217"/>
      <c r="C825" s="218" t="str">
        <f>IFERROR(__xludf.DUMMYFUNCTION("IFERROR(REGEXEXTRACT(B825, ""^[A-Z]+-[A-Z]+-"") &amp; TEXT(VALUE(REGEXEXTRACT(B825, ""-(\d+)\."")), ""00""), """")"),"")</f>
        <v/>
      </c>
      <c r="D825" s="219" t="str">
        <f>IFERROR(VLOOKUP(C825, Content_Creation!B:D, 2, FALSE), IFERROR(VLOOKUP(C825, Project_Management!B:D, 2, FALSE), ""))
&amp; " - "
&amp; IFERROR(VLOOKUP(C825, Content_Creation!B:E, 4, FALSE), IFERROR(VLOOKUP(C825, Project_Management!B:E, 4, FALSE), ""))</f>
        <v> - </v>
      </c>
      <c r="E825" s="220" t="str">
        <f>IFERROR(
    VLOOKUP(B824:B1001, Content_Creation!B:D, 3, FALSE),
    IFERROR(VLOOKUP(B824:B1001, Project_Management!B:D, 3, FALSE),"")
  )</f>
        <v/>
      </c>
      <c r="F825" s="221" t="str">
        <f>IFERROR(VLOOKUP(B825, Content_Creation!B:F, 5, FALSE), IFERROR(VLOOKUP(B825, Project_Management!B:F, 5, FALSE), ""))</f>
        <v/>
      </c>
      <c r="G825" s="267" t="s">
        <v>1317</v>
      </c>
      <c r="H825" s="223" t="str">
        <f>IFERROR(VLOOKUP(B825, Content_Creation!B:H, 7, FALSE), IFERROR(VLOOKUP(B825, Project_Management!B:H, 7, FALSE), ""))</f>
        <v/>
      </c>
      <c r="I825" s="224">
        <v>0.0</v>
      </c>
      <c r="J825" s="217"/>
      <c r="K825" s="217"/>
      <c r="L825" s="225" t="str">
        <f>IFERROR(VLOOKUP(B825, Data_Validation!X:Y, 2, FALSE), "")</f>
        <v/>
      </c>
      <c r="M825" s="226" t="str">
        <f t="shared" si="1"/>
        <v> |  -  | </v>
      </c>
      <c r="N825" s="226"/>
      <c r="O825" s="226"/>
    </row>
    <row r="826" ht="24.0" customHeight="1">
      <c r="A826" s="216" t="str">
        <f>IFERROR(__xludf.DUMMYFUNCTION("ARRAYFORMULA(IFERROR(VLOOKUP(REGEXEXTRACT(B826, ""-(\w+)-""), {Data_Validation!$F$16:$F$29, Data_Validation!$E$16:$E$29}, 2, FALSE), """"))
"),"")</f>
        <v/>
      </c>
      <c r="B826" s="217"/>
      <c r="C826" s="218" t="str">
        <f>IFERROR(__xludf.DUMMYFUNCTION("IFERROR(REGEXEXTRACT(B826, ""^[A-Z]+-[A-Z]+-"") &amp; TEXT(VALUE(REGEXEXTRACT(B826, ""-(\d+)\."")), ""00""), """")"),"")</f>
        <v/>
      </c>
      <c r="D826" s="219" t="str">
        <f>IFERROR(VLOOKUP(C826, Content_Creation!B:D, 2, FALSE), IFERROR(VLOOKUP(C826, Project_Management!B:D, 2, FALSE), ""))
&amp; " - "
&amp; IFERROR(VLOOKUP(C826, Content_Creation!B:E, 4, FALSE), IFERROR(VLOOKUP(C826, Project_Management!B:E, 4, FALSE), ""))</f>
        <v> - </v>
      </c>
      <c r="E826" s="220" t="str">
        <f>IFERROR(
    VLOOKUP(B825:B1001, Content_Creation!B:D, 3, FALSE),
    IFERROR(VLOOKUP(B825:B1001, Project_Management!B:D, 3, FALSE),"")
  )</f>
        <v/>
      </c>
      <c r="F826" s="221" t="str">
        <f>IFERROR(VLOOKUP(B826, Content_Creation!B:F, 5, FALSE), IFERROR(VLOOKUP(B826, Project_Management!B:F, 5, FALSE), ""))</f>
        <v/>
      </c>
      <c r="G826" s="267" t="s">
        <v>1317</v>
      </c>
      <c r="H826" s="223" t="str">
        <f>IFERROR(VLOOKUP(B826, Content_Creation!B:H, 7, FALSE), IFERROR(VLOOKUP(B826, Project_Management!B:H, 7, FALSE), ""))</f>
        <v/>
      </c>
      <c r="I826" s="224">
        <v>0.0</v>
      </c>
      <c r="J826" s="217"/>
      <c r="K826" s="217"/>
      <c r="L826" s="225" t="str">
        <f>IFERROR(VLOOKUP(B826, Data_Validation!X:Y, 2, FALSE), "")</f>
        <v/>
      </c>
      <c r="M826" s="226" t="str">
        <f t="shared" si="1"/>
        <v> |  -  | </v>
      </c>
      <c r="N826" s="226"/>
      <c r="O826" s="226"/>
    </row>
    <row r="827" ht="24.0" customHeight="1">
      <c r="A827" s="216" t="str">
        <f>IFERROR(__xludf.DUMMYFUNCTION("ARRAYFORMULA(IFERROR(VLOOKUP(REGEXEXTRACT(B827, ""-(\w+)-""), {Data_Validation!$F$16:$F$29, Data_Validation!$E$16:$E$29}, 2, FALSE), """"))
"),"")</f>
        <v/>
      </c>
      <c r="B827" s="217"/>
      <c r="C827" s="218" t="str">
        <f>IFERROR(__xludf.DUMMYFUNCTION("IFERROR(REGEXEXTRACT(B827, ""^[A-Z]+-[A-Z]+-"") &amp; TEXT(VALUE(REGEXEXTRACT(B827, ""-(\d+)\."")), ""00""), """")"),"")</f>
        <v/>
      </c>
      <c r="D827" s="219" t="str">
        <f>IFERROR(VLOOKUP(C827, Content_Creation!B:D, 2, FALSE), IFERROR(VLOOKUP(C827, Project_Management!B:D, 2, FALSE), ""))
&amp; " - "
&amp; IFERROR(VLOOKUP(C827, Content_Creation!B:E, 4, FALSE), IFERROR(VLOOKUP(C827, Project_Management!B:E, 4, FALSE), ""))</f>
        <v> - </v>
      </c>
      <c r="E827" s="220" t="str">
        <f>IFERROR(
    VLOOKUP(B826:B1001, Content_Creation!B:D, 3, FALSE),
    IFERROR(VLOOKUP(B826:B1001, Project_Management!B:D, 3, FALSE),"")
  )</f>
        <v/>
      </c>
      <c r="F827" s="221" t="str">
        <f>IFERROR(VLOOKUP(B827, Content_Creation!B:F, 5, FALSE), IFERROR(VLOOKUP(B827, Project_Management!B:F, 5, FALSE), ""))</f>
        <v/>
      </c>
      <c r="G827" s="267" t="s">
        <v>1317</v>
      </c>
      <c r="H827" s="223" t="str">
        <f>IFERROR(VLOOKUP(B827, Content_Creation!B:H, 7, FALSE), IFERROR(VLOOKUP(B827, Project_Management!B:H, 7, FALSE), ""))</f>
        <v/>
      </c>
      <c r="I827" s="224">
        <v>0.0</v>
      </c>
      <c r="J827" s="217"/>
      <c r="K827" s="217"/>
      <c r="L827" s="225" t="str">
        <f>IFERROR(VLOOKUP(B827, Data_Validation!X:Y, 2, FALSE), "")</f>
        <v/>
      </c>
      <c r="M827" s="226" t="str">
        <f t="shared" si="1"/>
        <v> |  -  | </v>
      </c>
      <c r="N827" s="226"/>
      <c r="O827" s="226"/>
    </row>
    <row r="828" ht="24.0" customHeight="1">
      <c r="A828" s="216" t="str">
        <f>IFERROR(__xludf.DUMMYFUNCTION("ARRAYFORMULA(IFERROR(VLOOKUP(REGEXEXTRACT(B828, ""-(\w+)-""), {Data_Validation!$F$16:$F$29, Data_Validation!$E$16:$E$29}, 2, FALSE), """"))
"),"")</f>
        <v/>
      </c>
      <c r="B828" s="217"/>
      <c r="C828" s="218" t="str">
        <f>IFERROR(__xludf.DUMMYFUNCTION("IFERROR(REGEXEXTRACT(B828, ""^[A-Z]+-[A-Z]+-"") &amp; TEXT(VALUE(REGEXEXTRACT(B828, ""-(\d+)\."")), ""00""), """")"),"")</f>
        <v/>
      </c>
      <c r="D828" s="219" t="str">
        <f>IFERROR(VLOOKUP(C828, Content_Creation!B:D, 2, FALSE), IFERROR(VLOOKUP(C828, Project_Management!B:D, 2, FALSE), ""))
&amp; " - "
&amp; IFERROR(VLOOKUP(C828, Content_Creation!B:E, 4, FALSE), IFERROR(VLOOKUP(C828, Project_Management!B:E, 4, FALSE), ""))</f>
        <v> - </v>
      </c>
      <c r="E828" s="220" t="str">
        <f>IFERROR(
    VLOOKUP(B827:B1001, Content_Creation!B:D, 3, FALSE),
    IFERROR(VLOOKUP(B827:B1001, Project_Management!B:D, 3, FALSE),"")
  )</f>
        <v/>
      </c>
      <c r="F828" s="221" t="str">
        <f>IFERROR(VLOOKUP(B828, Content_Creation!B:F, 5, FALSE), IFERROR(VLOOKUP(B828, Project_Management!B:F, 5, FALSE), ""))</f>
        <v/>
      </c>
      <c r="G828" s="267" t="s">
        <v>1317</v>
      </c>
      <c r="H828" s="223" t="str">
        <f>IFERROR(VLOOKUP(B828, Content_Creation!B:H, 7, FALSE), IFERROR(VLOOKUP(B828, Project_Management!B:H, 7, FALSE), ""))</f>
        <v/>
      </c>
      <c r="I828" s="224">
        <v>0.0</v>
      </c>
      <c r="J828" s="217"/>
      <c r="K828" s="217"/>
      <c r="L828" s="225" t="str">
        <f>IFERROR(VLOOKUP(B828, Data_Validation!X:Y, 2, FALSE), "")</f>
        <v/>
      </c>
      <c r="M828" s="226" t="str">
        <f t="shared" si="1"/>
        <v> |  -  | </v>
      </c>
      <c r="N828" s="226"/>
      <c r="O828" s="226"/>
    </row>
    <row r="829" ht="24.0" customHeight="1">
      <c r="A829" s="216" t="str">
        <f>IFERROR(__xludf.DUMMYFUNCTION("ARRAYFORMULA(IFERROR(VLOOKUP(REGEXEXTRACT(B829, ""-(\w+)-""), {Data_Validation!$F$16:$F$29, Data_Validation!$E$16:$E$29}, 2, FALSE), """"))
"),"")</f>
        <v/>
      </c>
      <c r="B829" s="217"/>
      <c r="C829" s="218" t="str">
        <f>IFERROR(__xludf.DUMMYFUNCTION("IFERROR(REGEXEXTRACT(B829, ""^[A-Z]+-[A-Z]+-"") &amp; TEXT(VALUE(REGEXEXTRACT(B829, ""-(\d+)\."")), ""00""), """")"),"")</f>
        <v/>
      </c>
      <c r="D829" s="219" t="str">
        <f>IFERROR(VLOOKUP(C829, Content_Creation!B:D, 2, FALSE), IFERROR(VLOOKUP(C829, Project_Management!B:D, 2, FALSE), ""))
&amp; " - "
&amp; IFERROR(VLOOKUP(C829, Content_Creation!B:E, 4, FALSE), IFERROR(VLOOKUP(C829, Project_Management!B:E, 4, FALSE), ""))</f>
        <v> - </v>
      </c>
      <c r="E829" s="220" t="str">
        <f>IFERROR(
    VLOOKUP(B828:B1001, Content_Creation!B:D, 3, FALSE),
    IFERROR(VLOOKUP(B828:B1001, Project_Management!B:D, 3, FALSE),"")
  )</f>
        <v/>
      </c>
      <c r="F829" s="221" t="str">
        <f>IFERROR(VLOOKUP(B829, Content_Creation!B:F, 5, FALSE), IFERROR(VLOOKUP(B829, Project_Management!B:F, 5, FALSE), ""))</f>
        <v/>
      </c>
      <c r="G829" s="267" t="s">
        <v>1317</v>
      </c>
      <c r="H829" s="223" t="str">
        <f>IFERROR(VLOOKUP(B829, Content_Creation!B:H, 7, FALSE), IFERROR(VLOOKUP(B829, Project_Management!B:H, 7, FALSE), ""))</f>
        <v/>
      </c>
      <c r="I829" s="224">
        <v>0.0</v>
      </c>
      <c r="J829" s="217"/>
      <c r="K829" s="217"/>
      <c r="L829" s="225" t="str">
        <f>IFERROR(VLOOKUP(B829, Data_Validation!X:Y, 2, FALSE), "")</f>
        <v/>
      </c>
      <c r="M829" s="226" t="str">
        <f t="shared" si="1"/>
        <v> |  -  | </v>
      </c>
      <c r="N829" s="226"/>
      <c r="O829" s="226"/>
    </row>
    <row r="830" ht="24.0" customHeight="1">
      <c r="A830" s="216" t="str">
        <f>IFERROR(__xludf.DUMMYFUNCTION("ARRAYFORMULA(IFERROR(VLOOKUP(REGEXEXTRACT(B830, ""-(\w+)-""), {Data_Validation!$F$16:$F$29, Data_Validation!$E$16:$E$29}, 2, FALSE), """"))
"),"")</f>
        <v/>
      </c>
      <c r="B830" s="217"/>
      <c r="C830" s="218" t="str">
        <f>IFERROR(__xludf.DUMMYFUNCTION("IFERROR(REGEXEXTRACT(B830, ""^[A-Z]+-[A-Z]+-"") &amp; TEXT(VALUE(REGEXEXTRACT(B830, ""-(\d+)\."")), ""00""), """")"),"")</f>
        <v/>
      </c>
      <c r="D830" s="219" t="str">
        <f>IFERROR(VLOOKUP(C830, Content_Creation!B:D, 2, FALSE), IFERROR(VLOOKUP(C830, Project_Management!B:D, 2, FALSE), ""))
&amp; " - "
&amp; IFERROR(VLOOKUP(C830, Content_Creation!B:E, 4, FALSE), IFERROR(VLOOKUP(C830, Project_Management!B:E, 4, FALSE), ""))</f>
        <v> - </v>
      </c>
      <c r="E830" s="220" t="str">
        <f>IFERROR(
    VLOOKUP(B829:B1001, Content_Creation!B:D, 3, FALSE),
    IFERROR(VLOOKUP(B829:B1001, Project_Management!B:D, 3, FALSE),"")
  )</f>
        <v/>
      </c>
      <c r="F830" s="221" t="str">
        <f>IFERROR(VLOOKUP(B830, Content_Creation!B:F, 5, FALSE), IFERROR(VLOOKUP(B830, Project_Management!B:F, 5, FALSE), ""))</f>
        <v/>
      </c>
      <c r="G830" s="267" t="s">
        <v>1317</v>
      </c>
      <c r="H830" s="223" t="str">
        <f>IFERROR(VLOOKUP(B830, Content_Creation!B:H, 7, FALSE), IFERROR(VLOOKUP(B830, Project_Management!B:H, 7, FALSE), ""))</f>
        <v/>
      </c>
      <c r="I830" s="224">
        <v>0.0</v>
      </c>
      <c r="J830" s="217"/>
      <c r="K830" s="217"/>
      <c r="L830" s="225" t="str">
        <f>IFERROR(VLOOKUP(B830, Data_Validation!X:Y, 2, FALSE), "")</f>
        <v/>
      </c>
      <c r="M830" s="226" t="str">
        <f t="shared" si="1"/>
        <v> |  -  | </v>
      </c>
      <c r="N830" s="226"/>
      <c r="O830" s="226"/>
    </row>
    <row r="831" ht="24.0" customHeight="1">
      <c r="A831" s="216" t="str">
        <f>IFERROR(__xludf.DUMMYFUNCTION("ARRAYFORMULA(IFERROR(VLOOKUP(REGEXEXTRACT(B831, ""-(\w+)-""), {Data_Validation!$F$16:$F$29, Data_Validation!$E$16:$E$29}, 2, FALSE), """"))
"),"")</f>
        <v/>
      </c>
      <c r="B831" s="217"/>
      <c r="C831" s="218" t="str">
        <f>IFERROR(__xludf.DUMMYFUNCTION("IFERROR(REGEXEXTRACT(B831, ""^[A-Z]+-[A-Z]+-"") &amp; TEXT(VALUE(REGEXEXTRACT(B831, ""-(\d+)\."")), ""00""), """")"),"")</f>
        <v/>
      </c>
      <c r="D831" s="219" t="str">
        <f>IFERROR(VLOOKUP(C831, Content_Creation!B:D, 2, FALSE), IFERROR(VLOOKUP(C831, Project_Management!B:D, 2, FALSE), ""))
&amp; " - "
&amp; IFERROR(VLOOKUP(C831, Content_Creation!B:E, 4, FALSE), IFERROR(VLOOKUP(C831, Project_Management!B:E, 4, FALSE), ""))</f>
        <v> - </v>
      </c>
      <c r="E831" s="220" t="str">
        <f>IFERROR(
    VLOOKUP(B830:B1001, Content_Creation!B:D, 3, FALSE),
    IFERROR(VLOOKUP(B830:B1001, Project_Management!B:D, 3, FALSE),"")
  )</f>
        <v/>
      </c>
      <c r="F831" s="221" t="str">
        <f>IFERROR(VLOOKUP(B831, Content_Creation!B:F, 5, FALSE), IFERROR(VLOOKUP(B831, Project_Management!B:F, 5, FALSE), ""))</f>
        <v/>
      </c>
      <c r="G831" s="267" t="s">
        <v>1317</v>
      </c>
      <c r="H831" s="223" t="str">
        <f>IFERROR(VLOOKUP(B831, Content_Creation!B:H, 7, FALSE), IFERROR(VLOOKUP(B831, Project_Management!B:H, 7, FALSE), ""))</f>
        <v/>
      </c>
      <c r="I831" s="224">
        <v>0.0</v>
      </c>
      <c r="J831" s="217"/>
      <c r="K831" s="217"/>
      <c r="L831" s="225" t="str">
        <f>IFERROR(VLOOKUP(B831, Data_Validation!X:Y, 2, FALSE), "")</f>
        <v/>
      </c>
      <c r="M831" s="226" t="str">
        <f t="shared" si="1"/>
        <v> |  -  | </v>
      </c>
      <c r="N831" s="226"/>
      <c r="O831" s="226"/>
    </row>
    <row r="832" ht="24.0" customHeight="1">
      <c r="A832" s="216" t="str">
        <f>IFERROR(__xludf.DUMMYFUNCTION("ARRAYFORMULA(IFERROR(VLOOKUP(REGEXEXTRACT(B832, ""-(\w+)-""), {Data_Validation!$F$16:$F$29, Data_Validation!$E$16:$E$29}, 2, FALSE), """"))
"),"")</f>
        <v/>
      </c>
      <c r="B832" s="217"/>
      <c r="C832" s="218" t="str">
        <f>IFERROR(__xludf.DUMMYFUNCTION("IFERROR(REGEXEXTRACT(B832, ""^[A-Z]+-[A-Z]+-"") &amp; TEXT(VALUE(REGEXEXTRACT(B832, ""-(\d+)\."")), ""00""), """")"),"")</f>
        <v/>
      </c>
      <c r="D832" s="219" t="str">
        <f>IFERROR(VLOOKUP(C832, Content_Creation!B:D, 2, FALSE), IFERROR(VLOOKUP(C832, Project_Management!B:D, 2, FALSE), ""))
&amp; " - "
&amp; IFERROR(VLOOKUP(C832, Content_Creation!B:E, 4, FALSE), IFERROR(VLOOKUP(C832, Project_Management!B:E, 4, FALSE), ""))</f>
        <v> - </v>
      </c>
      <c r="E832" s="220" t="str">
        <f>IFERROR(
    VLOOKUP(B831:B1001, Content_Creation!B:D, 3, FALSE),
    IFERROR(VLOOKUP(B831:B1001, Project_Management!B:D, 3, FALSE),"")
  )</f>
        <v/>
      </c>
      <c r="F832" s="221" t="str">
        <f>IFERROR(VLOOKUP(B832, Content_Creation!B:F, 5, FALSE), IFERROR(VLOOKUP(B832, Project_Management!B:F, 5, FALSE), ""))</f>
        <v/>
      </c>
      <c r="G832" s="267" t="s">
        <v>1317</v>
      </c>
      <c r="H832" s="223" t="str">
        <f>IFERROR(VLOOKUP(B832, Content_Creation!B:H, 7, FALSE), IFERROR(VLOOKUP(B832, Project_Management!B:H, 7, FALSE), ""))</f>
        <v/>
      </c>
      <c r="I832" s="224">
        <v>0.0</v>
      </c>
      <c r="J832" s="217"/>
      <c r="K832" s="217"/>
      <c r="L832" s="225" t="str">
        <f>IFERROR(VLOOKUP(B832, Data_Validation!X:Y, 2, FALSE), "")</f>
        <v/>
      </c>
      <c r="M832" s="226" t="str">
        <f t="shared" si="1"/>
        <v> |  -  | </v>
      </c>
      <c r="N832" s="226"/>
      <c r="O832" s="226"/>
    </row>
    <row r="833" ht="24.0" customHeight="1">
      <c r="A833" s="216" t="str">
        <f>IFERROR(__xludf.DUMMYFUNCTION("ARRAYFORMULA(IFERROR(VLOOKUP(REGEXEXTRACT(B833, ""-(\w+)-""), {Data_Validation!$F$16:$F$29, Data_Validation!$E$16:$E$29}, 2, FALSE), """"))
"),"")</f>
        <v/>
      </c>
      <c r="B833" s="217"/>
      <c r="C833" s="218" t="str">
        <f>IFERROR(__xludf.DUMMYFUNCTION("IFERROR(REGEXEXTRACT(B833, ""^[A-Z]+-[A-Z]+-"") &amp; TEXT(VALUE(REGEXEXTRACT(B833, ""-(\d+)\."")), ""00""), """")"),"")</f>
        <v/>
      </c>
      <c r="D833" s="219" t="str">
        <f>IFERROR(VLOOKUP(C833, Content_Creation!B:D, 2, FALSE), IFERROR(VLOOKUP(C833, Project_Management!B:D, 2, FALSE), ""))
&amp; " - "
&amp; IFERROR(VLOOKUP(C833, Content_Creation!B:E, 4, FALSE), IFERROR(VLOOKUP(C833, Project_Management!B:E, 4, FALSE), ""))</f>
        <v> - </v>
      </c>
      <c r="E833" s="220" t="str">
        <f>IFERROR(
    VLOOKUP(B832:B1001, Content_Creation!B:D, 3, FALSE),
    IFERROR(VLOOKUP(B832:B1001, Project_Management!B:D, 3, FALSE),"")
  )</f>
        <v/>
      </c>
      <c r="F833" s="221" t="str">
        <f>IFERROR(VLOOKUP(B833, Content_Creation!B:F, 5, FALSE), IFERROR(VLOOKUP(B833, Project_Management!B:F, 5, FALSE), ""))</f>
        <v/>
      </c>
      <c r="G833" s="267" t="s">
        <v>1317</v>
      </c>
      <c r="H833" s="223" t="str">
        <f>IFERROR(VLOOKUP(B833, Content_Creation!B:H, 7, FALSE), IFERROR(VLOOKUP(B833, Project_Management!B:H, 7, FALSE), ""))</f>
        <v/>
      </c>
      <c r="I833" s="224">
        <v>0.0</v>
      </c>
      <c r="J833" s="217"/>
      <c r="K833" s="217"/>
      <c r="L833" s="225" t="str">
        <f>IFERROR(VLOOKUP(B833, Data_Validation!X:Y, 2, FALSE), "")</f>
        <v/>
      </c>
      <c r="M833" s="226" t="str">
        <f t="shared" si="1"/>
        <v> |  -  | </v>
      </c>
      <c r="N833" s="226"/>
      <c r="O833" s="226"/>
    </row>
    <row r="834" ht="24.0" customHeight="1">
      <c r="A834" s="216" t="str">
        <f>IFERROR(__xludf.DUMMYFUNCTION("ARRAYFORMULA(IFERROR(VLOOKUP(REGEXEXTRACT(B834, ""-(\w+)-""), {Data_Validation!$F$16:$F$29, Data_Validation!$E$16:$E$29}, 2, FALSE), """"))
"),"")</f>
        <v/>
      </c>
      <c r="B834" s="217"/>
      <c r="C834" s="218" t="str">
        <f>IFERROR(__xludf.DUMMYFUNCTION("IFERROR(REGEXEXTRACT(B834, ""^[A-Z]+-[A-Z]+-"") &amp; TEXT(VALUE(REGEXEXTRACT(B834, ""-(\d+)\."")), ""00""), """")"),"")</f>
        <v/>
      </c>
      <c r="D834" s="219" t="str">
        <f>IFERROR(VLOOKUP(C834, Content_Creation!B:D, 2, FALSE), IFERROR(VLOOKUP(C834, Project_Management!B:D, 2, FALSE), ""))
&amp; " - "
&amp; IFERROR(VLOOKUP(C834, Content_Creation!B:E, 4, FALSE), IFERROR(VLOOKUP(C834, Project_Management!B:E, 4, FALSE), ""))</f>
        <v> - </v>
      </c>
      <c r="E834" s="220" t="str">
        <f>IFERROR(
    VLOOKUP(B833:B1001, Content_Creation!B:D, 3, FALSE),
    IFERROR(VLOOKUP(B833:B1001, Project_Management!B:D, 3, FALSE),"")
  )</f>
        <v/>
      </c>
      <c r="F834" s="221" t="str">
        <f>IFERROR(VLOOKUP(B834, Content_Creation!B:F, 5, FALSE), IFERROR(VLOOKUP(B834, Project_Management!B:F, 5, FALSE), ""))</f>
        <v/>
      </c>
      <c r="G834" s="267" t="s">
        <v>1317</v>
      </c>
      <c r="H834" s="223" t="str">
        <f>IFERROR(VLOOKUP(B834, Content_Creation!B:H, 7, FALSE), IFERROR(VLOOKUP(B834, Project_Management!B:H, 7, FALSE), ""))</f>
        <v/>
      </c>
      <c r="I834" s="224">
        <v>0.0</v>
      </c>
      <c r="J834" s="217"/>
      <c r="K834" s="217"/>
      <c r="L834" s="225" t="str">
        <f>IFERROR(VLOOKUP(B834, Data_Validation!X:Y, 2, FALSE), "")</f>
        <v/>
      </c>
      <c r="M834" s="226" t="str">
        <f t="shared" si="1"/>
        <v> |  -  | </v>
      </c>
      <c r="N834" s="226"/>
      <c r="O834" s="226"/>
    </row>
    <row r="835" ht="24.0" customHeight="1">
      <c r="A835" s="216" t="str">
        <f>IFERROR(__xludf.DUMMYFUNCTION("ARRAYFORMULA(IFERROR(VLOOKUP(REGEXEXTRACT(B835, ""-(\w+)-""), {Data_Validation!$F$16:$F$29, Data_Validation!$E$16:$E$29}, 2, FALSE), """"))
"),"")</f>
        <v/>
      </c>
      <c r="B835" s="217"/>
      <c r="C835" s="218" t="str">
        <f>IFERROR(__xludf.DUMMYFUNCTION("IFERROR(REGEXEXTRACT(B835, ""^[A-Z]+-[A-Z]+-"") &amp; TEXT(VALUE(REGEXEXTRACT(B835, ""-(\d+)\."")), ""00""), """")"),"")</f>
        <v/>
      </c>
      <c r="D835" s="219" t="str">
        <f>IFERROR(VLOOKUP(C835, Content_Creation!B:D, 2, FALSE), IFERROR(VLOOKUP(C835, Project_Management!B:D, 2, FALSE), ""))
&amp; " - "
&amp; IFERROR(VLOOKUP(C835, Content_Creation!B:E, 4, FALSE), IFERROR(VLOOKUP(C835, Project_Management!B:E, 4, FALSE), ""))</f>
        <v> - </v>
      </c>
      <c r="E835" s="220" t="str">
        <f>IFERROR(
    VLOOKUP(B834:B1001, Content_Creation!B:D, 3, FALSE),
    IFERROR(VLOOKUP(B834:B1001, Project_Management!B:D, 3, FALSE),"")
  )</f>
        <v/>
      </c>
      <c r="F835" s="221" t="str">
        <f>IFERROR(VLOOKUP(B835, Content_Creation!B:F, 5, FALSE), IFERROR(VLOOKUP(B835, Project_Management!B:F, 5, FALSE), ""))</f>
        <v/>
      </c>
      <c r="G835" s="267" t="s">
        <v>1317</v>
      </c>
      <c r="H835" s="223" t="str">
        <f>IFERROR(VLOOKUP(B835, Content_Creation!B:H, 7, FALSE), IFERROR(VLOOKUP(B835, Project_Management!B:H, 7, FALSE), ""))</f>
        <v/>
      </c>
      <c r="I835" s="224">
        <v>0.0</v>
      </c>
      <c r="J835" s="217"/>
      <c r="K835" s="217"/>
      <c r="L835" s="225" t="str">
        <f>IFERROR(VLOOKUP(B835, Data_Validation!X:Y, 2, FALSE), "")</f>
        <v/>
      </c>
      <c r="M835" s="226" t="str">
        <f t="shared" si="1"/>
        <v> |  -  | </v>
      </c>
      <c r="N835" s="226"/>
      <c r="O835" s="226"/>
    </row>
    <row r="836" ht="24.0" customHeight="1">
      <c r="A836" s="216" t="str">
        <f>IFERROR(__xludf.DUMMYFUNCTION("ARRAYFORMULA(IFERROR(VLOOKUP(REGEXEXTRACT(B836, ""-(\w+)-""), {Data_Validation!$F$16:$F$29, Data_Validation!$E$16:$E$29}, 2, FALSE), """"))
"),"")</f>
        <v/>
      </c>
      <c r="B836" s="217"/>
      <c r="C836" s="218" t="str">
        <f>IFERROR(__xludf.DUMMYFUNCTION("IFERROR(REGEXEXTRACT(B836, ""^[A-Z]+-[A-Z]+-"") &amp; TEXT(VALUE(REGEXEXTRACT(B836, ""-(\d+)\."")), ""00""), """")"),"")</f>
        <v/>
      </c>
      <c r="D836" s="219" t="str">
        <f>IFERROR(VLOOKUP(C836, Content_Creation!B:D, 2, FALSE), IFERROR(VLOOKUP(C836, Project_Management!B:D, 2, FALSE), ""))
&amp; " - "
&amp; IFERROR(VLOOKUP(C836, Content_Creation!B:E, 4, FALSE), IFERROR(VLOOKUP(C836, Project_Management!B:E, 4, FALSE), ""))</f>
        <v> - </v>
      </c>
      <c r="E836" s="220" t="str">
        <f>IFERROR(
    VLOOKUP(B835:B1001, Content_Creation!B:D, 3, FALSE),
    IFERROR(VLOOKUP(B835:B1001, Project_Management!B:D, 3, FALSE),"")
  )</f>
        <v/>
      </c>
      <c r="F836" s="221" t="str">
        <f>IFERROR(VLOOKUP(B836, Content_Creation!B:F, 5, FALSE), IFERROR(VLOOKUP(B836, Project_Management!B:F, 5, FALSE), ""))</f>
        <v/>
      </c>
      <c r="G836" s="267" t="s">
        <v>1317</v>
      </c>
      <c r="H836" s="223" t="str">
        <f>IFERROR(VLOOKUP(B836, Content_Creation!B:H, 7, FALSE), IFERROR(VLOOKUP(B836, Project_Management!B:H, 7, FALSE), ""))</f>
        <v/>
      </c>
      <c r="I836" s="224">
        <v>0.0</v>
      </c>
      <c r="J836" s="217"/>
      <c r="K836" s="217"/>
      <c r="L836" s="225" t="str">
        <f>IFERROR(VLOOKUP(B836, Data_Validation!X:Y, 2, FALSE), "")</f>
        <v/>
      </c>
      <c r="M836" s="226" t="str">
        <f t="shared" si="1"/>
        <v> |  -  | </v>
      </c>
      <c r="N836" s="226"/>
      <c r="O836" s="226"/>
    </row>
    <row r="837" ht="24.0" customHeight="1">
      <c r="A837" s="216" t="str">
        <f>IFERROR(__xludf.DUMMYFUNCTION("ARRAYFORMULA(IFERROR(VLOOKUP(REGEXEXTRACT(B837, ""-(\w+)-""), {Data_Validation!$F$16:$F$29, Data_Validation!$E$16:$E$29}, 2, FALSE), """"))
"),"")</f>
        <v/>
      </c>
      <c r="B837" s="217"/>
      <c r="C837" s="218" t="str">
        <f>IFERROR(__xludf.DUMMYFUNCTION("IFERROR(REGEXEXTRACT(B837, ""^[A-Z]+-[A-Z]+-"") &amp; TEXT(VALUE(REGEXEXTRACT(B837, ""-(\d+)\."")), ""00""), """")"),"")</f>
        <v/>
      </c>
      <c r="D837" s="219" t="str">
        <f>IFERROR(VLOOKUP(C837, Content_Creation!B:D, 2, FALSE), IFERROR(VLOOKUP(C837, Project_Management!B:D, 2, FALSE), ""))
&amp; " - "
&amp; IFERROR(VLOOKUP(C837, Content_Creation!B:E, 4, FALSE), IFERROR(VLOOKUP(C837, Project_Management!B:E, 4, FALSE), ""))</f>
        <v> - </v>
      </c>
      <c r="E837" s="220" t="str">
        <f>IFERROR(
    VLOOKUP(B836:B1001, Content_Creation!B:D, 3, FALSE),
    IFERROR(VLOOKUP(B836:B1001, Project_Management!B:D, 3, FALSE),"")
  )</f>
        <v/>
      </c>
      <c r="F837" s="221" t="str">
        <f>IFERROR(VLOOKUP(B837, Content_Creation!B:F, 5, FALSE), IFERROR(VLOOKUP(B837, Project_Management!B:F, 5, FALSE), ""))</f>
        <v/>
      </c>
      <c r="G837" s="267" t="s">
        <v>1317</v>
      </c>
      <c r="H837" s="223" t="str">
        <f>IFERROR(VLOOKUP(B837, Content_Creation!B:H, 7, FALSE), IFERROR(VLOOKUP(B837, Project_Management!B:H, 7, FALSE), ""))</f>
        <v/>
      </c>
      <c r="I837" s="224">
        <v>0.0</v>
      </c>
      <c r="J837" s="217"/>
      <c r="K837" s="217"/>
      <c r="L837" s="225" t="str">
        <f>IFERROR(VLOOKUP(B837, Data_Validation!X:Y, 2, FALSE), "")</f>
        <v/>
      </c>
      <c r="M837" s="226" t="str">
        <f t="shared" si="1"/>
        <v> |  -  | </v>
      </c>
      <c r="N837" s="226"/>
      <c r="O837" s="226"/>
    </row>
    <row r="838" ht="24.0" customHeight="1">
      <c r="A838" s="216" t="str">
        <f>IFERROR(__xludf.DUMMYFUNCTION("ARRAYFORMULA(IFERROR(VLOOKUP(REGEXEXTRACT(B838, ""-(\w+)-""), {Data_Validation!$F$16:$F$29, Data_Validation!$E$16:$E$29}, 2, FALSE), """"))
"),"")</f>
        <v/>
      </c>
      <c r="B838" s="217"/>
      <c r="C838" s="218" t="str">
        <f>IFERROR(__xludf.DUMMYFUNCTION("IFERROR(REGEXEXTRACT(B838, ""^[A-Z]+-[A-Z]+-"") &amp; TEXT(VALUE(REGEXEXTRACT(B838, ""-(\d+)\."")), ""00""), """")"),"")</f>
        <v/>
      </c>
      <c r="D838" s="219" t="str">
        <f>IFERROR(VLOOKUP(C838, Content_Creation!B:D, 2, FALSE), IFERROR(VLOOKUP(C838, Project_Management!B:D, 2, FALSE), ""))
&amp; " - "
&amp; IFERROR(VLOOKUP(C838, Content_Creation!B:E, 4, FALSE), IFERROR(VLOOKUP(C838, Project_Management!B:E, 4, FALSE), ""))</f>
        <v> - </v>
      </c>
      <c r="E838" s="220" t="str">
        <f>IFERROR(
    VLOOKUP(B837:B1001, Content_Creation!B:D, 3, FALSE),
    IFERROR(VLOOKUP(B837:B1001, Project_Management!B:D, 3, FALSE),"")
  )</f>
        <v/>
      </c>
      <c r="F838" s="221" t="str">
        <f>IFERROR(VLOOKUP(B838, Content_Creation!B:F, 5, FALSE), IFERROR(VLOOKUP(B838, Project_Management!B:F, 5, FALSE), ""))</f>
        <v/>
      </c>
      <c r="G838" s="267" t="s">
        <v>1317</v>
      </c>
      <c r="H838" s="223" t="str">
        <f>IFERROR(VLOOKUP(B838, Content_Creation!B:H, 7, FALSE), IFERROR(VLOOKUP(B838, Project_Management!B:H, 7, FALSE), ""))</f>
        <v/>
      </c>
      <c r="I838" s="224">
        <v>0.0</v>
      </c>
      <c r="J838" s="217"/>
      <c r="K838" s="217"/>
      <c r="L838" s="225" t="str">
        <f>IFERROR(VLOOKUP(B838, Data_Validation!X:Y, 2, FALSE), "")</f>
        <v/>
      </c>
      <c r="M838" s="226" t="str">
        <f t="shared" si="1"/>
        <v> |  -  | </v>
      </c>
      <c r="N838" s="226"/>
      <c r="O838" s="226"/>
    </row>
    <row r="839" ht="24.0" customHeight="1">
      <c r="A839" s="216" t="str">
        <f>IFERROR(__xludf.DUMMYFUNCTION("ARRAYFORMULA(IFERROR(VLOOKUP(REGEXEXTRACT(B839, ""-(\w+)-""), {Data_Validation!$F$16:$F$29, Data_Validation!$E$16:$E$29}, 2, FALSE), """"))
"),"")</f>
        <v/>
      </c>
      <c r="B839" s="217"/>
      <c r="C839" s="218" t="str">
        <f>IFERROR(__xludf.DUMMYFUNCTION("IFERROR(REGEXEXTRACT(B839, ""^[A-Z]+-[A-Z]+-"") &amp; TEXT(VALUE(REGEXEXTRACT(B839, ""-(\d+)\."")), ""00""), """")"),"")</f>
        <v/>
      </c>
      <c r="D839" s="219" t="str">
        <f>IFERROR(VLOOKUP(C839, Content_Creation!B:D, 2, FALSE), IFERROR(VLOOKUP(C839, Project_Management!B:D, 2, FALSE), ""))
&amp; " - "
&amp; IFERROR(VLOOKUP(C839, Content_Creation!B:E, 4, FALSE), IFERROR(VLOOKUP(C839, Project_Management!B:E, 4, FALSE), ""))</f>
        <v> - </v>
      </c>
      <c r="E839" s="220" t="str">
        <f>IFERROR(
    VLOOKUP(B838:B1001, Content_Creation!B:D, 3, FALSE),
    IFERROR(VLOOKUP(B838:B1001, Project_Management!B:D, 3, FALSE),"")
  )</f>
        <v/>
      </c>
      <c r="F839" s="221" t="str">
        <f>IFERROR(VLOOKUP(B839, Content_Creation!B:F, 5, FALSE), IFERROR(VLOOKUP(B839, Project_Management!B:F, 5, FALSE), ""))</f>
        <v/>
      </c>
      <c r="G839" s="267" t="s">
        <v>1317</v>
      </c>
      <c r="H839" s="223" t="str">
        <f>IFERROR(VLOOKUP(B839, Content_Creation!B:H, 7, FALSE), IFERROR(VLOOKUP(B839, Project_Management!B:H, 7, FALSE), ""))</f>
        <v/>
      </c>
      <c r="I839" s="224">
        <v>0.0</v>
      </c>
      <c r="J839" s="217"/>
      <c r="K839" s="217"/>
      <c r="L839" s="225" t="str">
        <f>IFERROR(VLOOKUP(B839, Data_Validation!X:Y, 2, FALSE), "")</f>
        <v/>
      </c>
      <c r="M839" s="226" t="str">
        <f t="shared" si="1"/>
        <v> |  -  | </v>
      </c>
      <c r="N839" s="226"/>
      <c r="O839" s="226"/>
    </row>
    <row r="840" ht="24.0" customHeight="1">
      <c r="A840" s="216" t="str">
        <f>IFERROR(__xludf.DUMMYFUNCTION("ARRAYFORMULA(IFERROR(VLOOKUP(REGEXEXTRACT(B840, ""-(\w+)-""), {Data_Validation!$F$16:$F$29, Data_Validation!$E$16:$E$29}, 2, FALSE), """"))
"),"")</f>
        <v/>
      </c>
      <c r="B840" s="217"/>
      <c r="C840" s="218" t="str">
        <f>IFERROR(__xludf.DUMMYFUNCTION("IFERROR(REGEXEXTRACT(B840, ""^[A-Z]+-[A-Z]+-"") &amp; TEXT(VALUE(REGEXEXTRACT(B840, ""-(\d+)\."")), ""00""), """")"),"")</f>
        <v/>
      </c>
      <c r="D840" s="219" t="str">
        <f>IFERROR(VLOOKUP(C840, Content_Creation!B:D, 2, FALSE), IFERROR(VLOOKUP(C840, Project_Management!B:D, 2, FALSE), ""))
&amp; " - "
&amp; IFERROR(VLOOKUP(C840, Content_Creation!B:E, 4, FALSE), IFERROR(VLOOKUP(C840, Project_Management!B:E, 4, FALSE), ""))</f>
        <v> - </v>
      </c>
      <c r="E840" s="220" t="str">
        <f>IFERROR(
    VLOOKUP(B839:B1001, Content_Creation!B:D, 3, FALSE),
    IFERROR(VLOOKUP(B839:B1001, Project_Management!B:D, 3, FALSE),"")
  )</f>
        <v/>
      </c>
      <c r="F840" s="221" t="str">
        <f>IFERROR(VLOOKUP(B840, Content_Creation!B:F, 5, FALSE), IFERROR(VLOOKUP(B840, Project_Management!B:F, 5, FALSE), ""))</f>
        <v/>
      </c>
      <c r="G840" s="267" t="s">
        <v>1317</v>
      </c>
      <c r="H840" s="223" t="str">
        <f>IFERROR(VLOOKUP(B840, Content_Creation!B:H, 7, FALSE), IFERROR(VLOOKUP(B840, Project_Management!B:H, 7, FALSE), ""))</f>
        <v/>
      </c>
      <c r="I840" s="224">
        <v>0.0</v>
      </c>
      <c r="J840" s="217"/>
      <c r="K840" s="217"/>
      <c r="L840" s="225" t="str">
        <f>IFERROR(VLOOKUP(B840, Data_Validation!X:Y, 2, FALSE), "")</f>
        <v/>
      </c>
      <c r="M840" s="226" t="str">
        <f t="shared" si="1"/>
        <v> |  -  | </v>
      </c>
      <c r="N840" s="226"/>
      <c r="O840" s="226"/>
    </row>
    <row r="841" ht="24.0" customHeight="1">
      <c r="A841" s="216" t="str">
        <f>IFERROR(__xludf.DUMMYFUNCTION("ARRAYFORMULA(IFERROR(VLOOKUP(REGEXEXTRACT(B841, ""-(\w+)-""), {Data_Validation!$F$16:$F$29, Data_Validation!$E$16:$E$29}, 2, FALSE), """"))
"),"")</f>
        <v/>
      </c>
      <c r="B841" s="217"/>
      <c r="C841" s="218" t="str">
        <f>IFERROR(__xludf.DUMMYFUNCTION("IFERROR(REGEXEXTRACT(B841, ""^[A-Z]+-[A-Z]+-"") &amp; TEXT(VALUE(REGEXEXTRACT(B841, ""-(\d+)\."")), ""00""), """")"),"")</f>
        <v/>
      </c>
      <c r="D841" s="219" t="str">
        <f>IFERROR(VLOOKUP(C841, Content_Creation!B:D, 2, FALSE), IFERROR(VLOOKUP(C841, Project_Management!B:D, 2, FALSE), ""))
&amp; " - "
&amp; IFERROR(VLOOKUP(C841, Content_Creation!B:E, 4, FALSE), IFERROR(VLOOKUP(C841, Project_Management!B:E, 4, FALSE), ""))</f>
        <v> - </v>
      </c>
      <c r="E841" s="220" t="str">
        <f>IFERROR(
    VLOOKUP(B840:B1001, Content_Creation!B:D, 3, FALSE),
    IFERROR(VLOOKUP(B840:B1001, Project_Management!B:D, 3, FALSE),"")
  )</f>
        <v/>
      </c>
      <c r="F841" s="221" t="str">
        <f>IFERROR(VLOOKUP(B841, Content_Creation!B:F, 5, FALSE), IFERROR(VLOOKUP(B841, Project_Management!B:F, 5, FALSE), ""))</f>
        <v/>
      </c>
      <c r="G841" s="267" t="s">
        <v>1317</v>
      </c>
      <c r="H841" s="223" t="str">
        <f>IFERROR(VLOOKUP(B841, Content_Creation!B:H, 7, FALSE), IFERROR(VLOOKUP(B841, Project_Management!B:H, 7, FALSE), ""))</f>
        <v/>
      </c>
      <c r="I841" s="224">
        <v>0.0</v>
      </c>
      <c r="J841" s="217"/>
      <c r="K841" s="217"/>
      <c r="L841" s="225" t="str">
        <f>IFERROR(VLOOKUP(B841, Data_Validation!X:Y, 2, FALSE), "")</f>
        <v/>
      </c>
      <c r="M841" s="226" t="str">
        <f t="shared" si="1"/>
        <v> |  -  | </v>
      </c>
      <c r="N841" s="226"/>
      <c r="O841" s="226"/>
    </row>
    <row r="842" ht="24.0" customHeight="1">
      <c r="A842" s="216" t="str">
        <f>IFERROR(__xludf.DUMMYFUNCTION("ARRAYFORMULA(IFERROR(VLOOKUP(REGEXEXTRACT(B842, ""-(\w+)-""), {Data_Validation!$F$16:$F$29, Data_Validation!$E$16:$E$29}, 2, FALSE), """"))
"),"")</f>
        <v/>
      </c>
      <c r="B842" s="217"/>
      <c r="C842" s="218" t="str">
        <f>IFERROR(__xludf.DUMMYFUNCTION("IFERROR(REGEXEXTRACT(B842, ""^[A-Z]+-[A-Z]+-"") &amp; TEXT(VALUE(REGEXEXTRACT(B842, ""-(\d+)\."")), ""00""), """")"),"")</f>
        <v/>
      </c>
      <c r="D842" s="219" t="str">
        <f>IFERROR(VLOOKUP(C842, Content_Creation!B:D, 2, FALSE), IFERROR(VLOOKUP(C842, Project_Management!B:D, 2, FALSE), ""))
&amp; " - "
&amp; IFERROR(VLOOKUP(C842, Content_Creation!B:E, 4, FALSE), IFERROR(VLOOKUP(C842, Project_Management!B:E, 4, FALSE), ""))</f>
        <v> - </v>
      </c>
      <c r="E842" s="220" t="str">
        <f>IFERROR(
    VLOOKUP(B841:B1001, Content_Creation!B:D, 3, FALSE),
    IFERROR(VLOOKUP(B841:B1001, Project_Management!B:D, 3, FALSE),"")
  )</f>
        <v/>
      </c>
      <c r="F842" s="221" t="str">
        <f>IFERROR(VLOOKUP(B842, Content_Creation!B:F, 5, FALSE), IFERROR(VLOOKUP(B842, Project_Management!B:F, 5, FALSE), ""))</f>
        <v/>
      </c>
      <c r="G842" s="267" t="s">
        <v>1317</v>
      </c>
      <c r="H842" s="223" t="str">
        <f>IFERROR(VLOOKUP(B842, Content_Creation!B:H, 7, FALSE), IFERROR(VLOOKUP(B842, Project_Management!B:H, 7, FALSE), ""))</f>
        <v/>
      </c>
      <c r="I842" s="224">
        <v>0.0</v>
      </c>
      <c r="J842" s="217"/>
      <c r="K842" s="217"/>
      <c r="L842" s="225" t="str">
        <f>IFERROR(VLOOKUP(B842, Data_Validation!X:Y, 2, FALSE), "")</f>
        <v/>
      </c>
      <c r="M842" s="226" t="str">
        <f t="shared" si="1"/>
        <v> |  -  | </v>
      </c>
      <c r="N842" s="226"/>
      <c r="O842" s="226"/>
    </row>
    <row r="843" ht="24.0" customHeight="1">
      <c r="A843" s="216" t="str">
        <f>IFERROR(__xludf.DUMMYFUNCTION("ARRAYFORMULA(IFERROR(VLOOKUP(REGEXEXTRACT(B843, ""-(\w+)-""), {Data_Validation!$F$16:$F$29, Data_Validation!$E$16:$E$29}, 2, FALSE), """"))
"),"")</f>
        <v/>
      </c>
      <c r="B843" s="217"/>
      <c r="C843" s="218" t="str">
        <f>IFERROR(__xludf.DUMMYFUNCTION("IFERROR(REGEXEXTRACT(B843, ""^[A-Z]+-[A-Z]+-"") &amp; TEXT(VALUE(REGEXEXTRACT(B843, ""-(\d+)\."")), ""00""), """")"),"")</f>
        <v/>
      </c>
      <c r="D843" s="219" t="str">
        <f>IFERROR(VLOOKUP(C843, Content_Creation!B:D, 2, FALSE), IFERROR(VLOOKUP(C843, Project_Management!B:D, 2, FALSE), ""))
&amp; " - "
&amp; IFERROR(VLOOKUP(C843, Content_Creation!B:E, 4, FALSE), IFERROR(VLOOKUP(C843, Project_Management!B:E, 4, FALSE), ""))</f>
        <v> - </v>
      </c>
      <c r="E843" s="220" t="str">
        <f>IFERROR(
    VLOOKUP(B842:B1001, Content_Creation!B:D, 3, FALSE),
    IFERROR(VLOOKUP(B842:B1001, Project_Management!B:D, 3, FALSE),"")
  )</f>
        <v/>
      </c>
      <c r="F843" s="221" t="str">
        <f>IFERROR(VLOOKUP(B843, Content_Creation!B:F, 5, FALSE), IFERROR(VLOOKUP(B843, Project_Management!B:F, 5, FALSE), ""))</f>
        <v/>
      </c>
      <c r="G843" s="267" t="s">
        <v>1317</v>
      </c>
      <c r="H843" s="223" t="str">
        <f>IFERROR(VLOOKUP(B843, Content_Creation!B:H, 7, FALSE), IFERROR(VLOOKUP(B843, Project_Management!B:H, 7, FALSE), ""))</f>
        <v/>
      </c>
      <c r="I843" s="224">
        <v>0.0</v>
      </c>
      <c r="J843" s="217"/>
      <c r="K843" s="217"/>
      <c r="L843" s="225" t="str">
        <f>IFERROR(VLOOKUP(B843, Data_Validation!X:Y, 2, FALSE), "")</f>
        <v/>
      </c>
      <c r="M843" s="226" t="str">
        <f t="shared" si="1"/>
        <v> |  -  | </v>
      </c>
      <c r="N843" s="226"/>
      <c r="O843" s="226"/>
    </row>
    <row r="844" ht="24.0" customHeight="1">
      <c r="A844" s="216" t="str">
        <f>IFERROR(__xludf.DUMMYFUNCTION("ARRAYFORMULA(IFERROR(VLOOKUP(REGEXEXTRACT(B844, ""-(\w+)-""), {Data_Validation!$F$16:$F$29, Data_Validation!$E$16:$E$29}, 2, FALSE), """"))
"),"")</f>
        <v/>
      </c>
      <c r="B844" s="217"/>
      <c r="C844" s="218" t="str">
        <f>IFERROR(__xludf.DUMMYFUNCTION("IFERROR(REGEXEXTRACT(B844, ""^[A-Z]+-[A-Z]+-"") &amp; TEXT(VALUE(REGEXEXTRACT(B844, ""-(\d+)\."")), ""00""), """")"),"")</f>
        <v/>
      </c>
      <c r="D844" s="219" t="str">
        <f>IFERROR(VLOOKUP(C844, Content_Creation!B:D, 2, FALSE), IFERROR(VLOOKUP(C844, Project_Management!B:D, 2, FALSE), ""))
&amp; " - "
&amp; IFERROR(VLOOKUP(C844, Content_Creation!B:E, 4, FALSE), IFERROR(VLOOKUP(C844, Project_Management!B:E, 4, FALSE), ""))</f>
        <v> - </v>
      </c>
      <c r="E844" s="220" t="str">
        <f>IFERROR(
    VLOOKUP(B843:B1001, Content_Creation!B:D, 3, FALSE),
    IFERROR(VLOOKUP(B843:B1001, Project_Management!B:D, 3, FALSE),"")
  )</f>
        <v/>
      </c>
      <c r="F844" s="221" t="str">
        <f>IFERROR(VLOOKUP(B844, Content_Creation!B:F, 5, FALSE), IFERROR(VLOOKUP(B844, Project_Management!B:F, 5, FALSE), ""))</f>
        <v/>
      </c>
      <c r="G844" s="267" t="s">
        <v>1317</v>
      </c>
      <c r="H844" s="223" t="str">
        <f>IFERROR(VLOOKUP(B844, Content_Creation!B:H, 7, FALSE), IFERROR(VLOOKUP(B844, Project_Management!B:H, 7, FALSE), ""))</f>
        <v/>
      </c>
      <c r="I844" s="224">
        <v>0.0</v>
      </c>
      <c r="J844" s="217"/>
      <c r="K844" s="217"/>
      <c r="L844" s="225" t="str">
        <f>IFERROR(VLOOKUP(B844, Data_Validation!X:Y, 2, FALSE), "")</f>
        <v/>
      </c>
      <c r="M844" s="226" t="str">
        <f t="shared" si="1"/>
        <v> |  -  | </v>
      </c>
      <c r="N844" s="226"/>
      <c r="O844" s="226"/>
    </row>
    <row r="845" ht="24.0" customHeight="1">
      <c r="A845" s="216" t="str">
        <f>IFERROR(__xludf.DUMMYFUNCTION("ARRAYFORMULA(IFERROR(VLOOKUP(REGEXEXTRACT(B845, ""-(\w+)-""), {Data_Validation!$F$16:$F$29, Data_Validation!$E$16:$E$29}, 2, FALSE), """"))
"),"")</f>
        <v/>
      </c>
      <c r="B845" s="217"/>
      <c r="C845" s="218" t="str">
        <f>IFERROR(__xludf.DUMMYFUNCTION("IFERROR(REGEXEXTRACT(B845, ""^[A-Z]+-[A-Z]+-"") &amp; TEXT(VALUE(REGEXEXTRACT(B845, ""-(\d+)\."")), ""00""), """")"),"")</f>
        <v/>
      </c>
      <c r="D845" s="219" t="str">
        <f>IFERROR(VLOOKUP(C845, Content_Creation!B:D, 2, FALSE), IFERROR(VLOOKUP(C845, Project_Management!B:D, 2, FALSE), ""))
&amp; " - "
&amp; IFERROR(VLOOKUP(C845, Content_Creation!B:E, 4, FALSE), IFERROR(VLOOKUP(C845, Project_Management!B:E, 4, FALSE), ""))</f>
        <v> - </v>
      </c>
      <c r="E845" s="220" t="str">
        <f>IFERROR(
    VLOOKUP(B844:B1001, Content_Creation!B:D, 3, FALSE),
    IFERROR(VLOOKUP(B844:B1001, Project_Management!B:D, 3, FALSE),"")
  )</f>
        <v/>
      </c>
      <c r="F845" s="221" t="str">
        <f>IFERROR(VLOOKUP(B845, Content_Creation!B:F, 5, FALSE), IFERROR(VLOOKUP(B845, Project_Management!B:F, 5, FALSE), ""))</f>
        <v/>
      </c>
      <c r="G845" s="267" t="s">
        <v>1317</v>
      </c>
      <c r="H845" s="223" t="str">
        <f>IFERROR(VLOOKUP(B845, Content_Creation!B:H, 7, FALSE), IFERROR(VLOOKUP(B845, Project_Management!B:H, 7, FALSE), ""))</f>
        <v/>
      </c>
      <c r="I845" s="224">
        <v>0.0</v>
      </c>
      <c r="J845" s="217"/>
      <c r="K845" s="217"/>
      <c r="L845" s="225" t="str">
        <f>IFERROR(VLOOKUP(B845, Data_Validation!X:Y, 2, FALSE), "")</f>
        <v/>
      </c>
      <c r="M845" s="226" t="str">
        <f t="shared" si="1"/>
        <v> |  -  | </v>
      </c>
      <c r="N845" s="226"/>
      <c r="O845" s="226"/>
    </row>
    <row r="846" ht="24.0" customHeight="1">
      <c r="A846" s="216" t="str">
        <f>IFERROR(__xludf.DUMMYFUNCTION("ARRAYFORMULA(IFERROR(VLOOKUP(REGEXEXTRACT(B846, ""-(\w+)-""), {Data_Validation!$F$16:$F$29, Data_Validation!$E$16:$E$29}, 2, FALSE), """"))
"),"")</f>
        <v/>
      </c>
      <c r="B846" s="217"/>
      <c r="C846" s="218" t="str">
        <f>IFERROR(__xludf.DUMMYFUNCTION("IFERROR(REGEXEXTRACT(B846, ""^[A-Z]+-[A-Z]+-"") &amp; TEXT(VALUE(REGEXEXTRACT(B846, ""-(\d+)\."")), ""00""), """")"),"")</f>
        <v/>
      </c>
      <c r="D846" s="219" t="str">
        <f>IFERROR(VLOOKUP(C846, Content_Creation!B:D, 2, FALSE), IFERROR(VLOOKUP(C846, Project_Management!B:D, 2, FALSE), ""))
&amp; " - "
&amp; IFERROR(VLOOKUP(C846, Content_Creation!B:E, 4, FALSE), IFERROR(VLOOKUP(C846, Project_Management!B:E, 4, FALSE), ""))</f>
        <v> - </v>
      </c>
      <c r="E846" s="220" t="str">
        <f>IFERROR(
    VLOOKUP(B845:B1001, Content_Creation!B:D, 3, FALSE),
    IFERROR(VLOOKUP(B845:B1001, Project_Management!B:D, 3, FALSE),"")
  )</f>
        <v/>
      </c>
      <c r="F846" s="221" t="str">
        <f>IFERROR(VLOOKUP(B846, Content_Creation!B:F, 5, FALSE), IFERROR(VLOOKUP(B846, Project_Management!B:F, 5, FALSE), ""))</f>
        <v/>
      </c>
      <c r="G846" s="267" t="s">
        <v>1317</v>
      </c>
      <c r="H846" s="223" t="str">
        <f>IFERROR(VLOOKUP(B846, Content_Creation!B:H, 7, FALSE), IFERROR(VLOOKUP(B846, Project_Management!B:H, 7, FALSE), ""))</f>
        <v/>
      </c>
      <c r="I846" s="224">
        <v>0.0</v>
      </c>
      <c r="J846" s="217"/>
      <c r="K846" s="217"/>
      <c r="L846" s="225" t="str">
        <f>IFERROR(VLOOKUP(B846, Data_Validation!X:Y, 2, FALSE), "")</f>
        <v/>
      </c>
      <c r="M846" s="226" t="str">
        <f t="shared" si="1"/>
        <v> |  -  | </v>
      </c>
      <c r="N846" s="226"/>
      <c r="O846" s="226"/>
    </row>
    <row r="847" ht="24.0" customHeight="1">
      <c r="A847" s="216" t="str">
        <f>IFERROR(__xludf.DUMMYFUNCTION("ARRAYFORMULA(IFERROR(VLOOKUP(REGEXEXTRACT(B847, ""-(\w+)-""), {Data_Validation!$F$16:$F$29, Data_Validation!$E$16:$E$29}, 2, FALSE), """"))
"),"")</f>
        <v/>
      </c>
      <c r="B847" s="217"/>
      <c r="C847" s="218" t="str">
        <f>IFERROR(__xludf.DUMMYFUNCTION("IFERROR(REGEXEXTRACT(B847, ""^[A-Z]+-[A-Z]+-"") &amp; TEXT(VALUE(REGEXEXTRACT(B847, ""-(\d+)\."")), ""00""), """")"),"")</f>
        <v/>
      </c>
      <c r="D847" s="219" t="str">
        <f>IFERROR(VLOOKUP(C847, Content_Creation!B:D, 2, FALSE), IFERROR(VLOOKUP(C847, Project_Management!B:D, 2, FALSE), ""))
&amp; " - "
&amp; IFERROR(VLOOKUP(C847, Content_Creation!B:E, 4, FALSE), IFERROR(VLOOKUP(C847, Project_Management!B:E, 4, FALSE), ""))</f>
        <v> - </v>
      </c>
      <c r="E847" s="220" t="str">
        <f>IFERROR(
    VLOOKUP(B846:B1001, Content_Creation!B:D, 3, FALSE),
    IFERROR(VLOOKUP(B846:B1001, Project_Management!B:D, 3, FALSE),"")
  )</f>
        <v/>
      </c>
      <c r="F847" s="221" t="str">
        <f>IFERROR(VLOOKUP(B847, Content_Creation!B:F, 5, FALSE), IFERROR(VLOOKUP(B847, Project_Management!B:F, 5, FALSE), ""))</f>
        <v/>
      </c>
      <c r="G847" s="267" t="s">
        <v>1317</v>
      </c>
      <c r="H847" s="223" t="str">
        <f>IFERROR(VLOOKUP(B847, Content_Creation!B:H, 7, FALSE), IFERROR(VLOOKUP(B847, Project_Management!B:H, 7, FALSE), ""))</f>
        <v/>
      </c>
      <c r="I847" s="224">
        <v>0.0</v>
      </c>
      <c r="J847" s="217"/>
      <c r="K847" s="217"/>
      <c r="L847" s="225" t="str">
        <f>IFERROR(VLOOKUP(B847, Data_Validation!X:Y, 2, FALSE), "")</f>
        <v/>
      </c>
      <c r="M847" s="226" t="str">
        <f t="shared" si="1"/>
        <v> |  -  | </v>
      </c>
      <c r="N847" s="226"/>
      <c r="O847" s="226"/>
    </row>
    <row r="848" ht="24.0" customHeight="1">
      <c r="A848" s="216" t="str">
        <f>IFERROR(__xludf.DUMMYFUNCTION("ARRAYFORMULA(IFERROR(VLOOKUP(REGEXEXTRACT(B848, ""-(\w+)-""), {Data_Validation!$F$16:$F$29, Data_Validation!$E$16:$E$29}, 2, FALSE), """"))
"),"")</f>
        <v/>
      </c>
      <c r="B848" s="217"/>
      <c r="C848" s="218" t="str">
        <f>IFERROR(__xludf.DUMMYFUNCTION("IFERROR(REGEXEXTRACT(B848, ""^[A-Z]+-[A-Z]+-"") &amp; TEXT(VALUE(REGEXEXTRACT(B848, ""-(\d+)\."")), ""00""), """")"),"")</f>
        <v/>
      </c>
      <c r="D848" s="219" t="str">
        <f>IFERROR(VLOOKUP(C848, Content_Creation!B:D, 2, FALSE), IFERROR(VLOOKUP(C848, Project_Management!B:D, 2, FALSE), ""))
&amp; " - "
&amp; IFERROR(VLOOKUP(C848, Content_Creation!B:E, 4, FALSE), IFERROR(VLOOKUP(C848, Project_Management!B:E, 4, FALSE), ""))</f>
        <v> - </v>
      </c>
      <c r="E848" s="220" t="str">
        <f>IFERROR(
    VLOOKUP(B847:B1001, Content_Creation!B:D, 3, FALSE),
    IFERROR(VLOOKUP(B847:B1001, Project_Management!B:D, 3, FALSE),"")
  )</f>
        <v/>
      </c>
      <c r="F848" s="221" t="str">
        <f>IFERROR(VLOOKUP(B848, Content_Creation!B:F, 5, FALSE), IFERROR(VLOOKUP(B848, Project_Management!B:F, 5, FALSE), ""))</f>
        <v/>
      </c>
      <c r="G848" s="267" t="s">
        <v>1317</v>
      </c>
      <c r="H848" s="223" t="str">
        <f>IFERROR(VLOOKUP(B848, Content_Creation!B:H, 7, FALSE), IFERROR(VLOOKUP(B848, Project_Management!B:H, 7, FALSE), ""))</f>
        <v/>
      </c>
      <c r="I848" s="224">
        <v>0.0</v>
      </c>
      <c r="J848" s="217"/>
      <c r="K848" s="217"/>
      <c r="L848" s="225" t="str">
        <f>IFERROR(VLOOKUP(B848, Data_Validation!X:Y, 2, FALSE), "")</f>
        <v/>
      </c>
      <c r="M848" s="226" t="str">
        <f t="shared" si="1"/>
        <v> |  -  | </v>
      </c>
      <c r="N848" s="226"/>
      <c r="O848" s="226"/>
    </row>
    <row r="849" ht="24.0" customHeight="1">
      <c r="A849" s="216" t="str">
        <f>IFERROR(__xludf.DUMMYFUNCTION("ARRAYFORMULA(IFERROR(VLOOKUP(REGEXEXTRACT(B849, ""-(\w+)-""), {Data_Validation!$F$16:$F$29, Data_Validation!$E$16:$E$29}, 2, FALSE), """"))
"),"")</f>
        <v/>
      </c>
      <c r="B849" s="217"/>
      <c r="C849" s="218" t="str">
        <f>IFERROR(__xludf.DUMMYFUNCTION("IFERROR(REGEXEXTRACT(B849, ""^[A-Z]+-[A-Z]+-"") &amp; TEXT(VALUE(REGEXEXTRACT(B849, ""-(\d+)\."")), ""00""), """")"),"")</f>
        <v/>
      </c>
      <c r="D849" s="219" t="str">
        <f>IFERROR(VLOOKUP(C849, Content_Creation!B:D, 2, FALSE), IFERROR(VLOOKUP(C849, Project_Management!B:D, 2, FALSE), ""))
&amp; " - "
&amp; IFERROR(VLOOKUP(C849, Content_Creation!B:E, 4, FALSE), IFERROR(VLOOKUP(C849, Project_Management!B:E, 4, FALSE), ""))</f>
        <v> - </v>
      </c>
      <c r="E849" s="220" t="str">
        <f>IFERROR(
    VLOOKUP(B848:B1001, Content_Creation!B:D, 3, FALSE),
    IFERROR(VLOOKUP(B848:B1001, Project_Management!B:D, 3, FALSE),"")
  )</f>
        <v/>
      </c>
      <c r="F849" s="221" t="str">
        <f>IFERROR(VLOOKUP(B849, Content_Creation!B:F, 5, FALSE), IFERROR(VLOOKUP(B849, Project_Management!B:F, 5, FALSE), ""))</f>
        <v/>
      </c>
      <c r="G849" s="267" t="s">
        <v>1317</v>
      </c>
      <c r="H849" s="223" t="str">
        <f>IFERROR(VLOOKUP(B849, Content_Creation!B:H, 7, FALSE), IFERROR(VLOOKUP(B849, Project_Management!B:H, 7, FALSE), ""))</f>
        <v/>
      </c>
      <c r="I849" s="224">
        <v>0.0</v>
      </c>
      <c r="J849" s="217"/>
      <c r="K849" s="217"/>
      <c r="L849" s="225" t="str">
        <f>IFERROR(VLOOKUP(B849, Data_Validation!X:Y, 2, FALSE), "")</f>
        <v/>
      </c>
      <c r="M849" s="226" t="str">
        <f t="shared" si="1"/>
        <v> |  -  | </v>
      </c>
      <c r="N849" s="226"/>
      <c r="O849" s="226"/>
    </row>
    <row r="850" ht="24.0" customHeight="1">
      <c r="A850" s="216" t="str">
        <f>IFERROR(__xludf.DUMMYFUNCTION("ARRAYFORMULA(IFERROR(VLOOKUP(REGEXEXTRACT(B850, ""-(\w+)-""), {Data_Validation!$F$16:$F$29, Data_Validation!$E$16:$E$29}, 2, FALSE), """"))
"),"")</f>
        <v/>
      </c>
      <c r="B850" s="217"/>
      <c r="C850" s="218" t="str">
        <f>IFERROR(__xludf.DUMMYFUNCTION("IFERROR(REGEXEXTRACT(B850, ""^[A-Z]+-[A-Z]+-"") &amp; TEXT(VALUE(REGEXEXTRACT(B850, ""-(\d+)\."")), ""00""), """")"),"")</f>
        <v/>
      </c>
      <c r="D850" s="219" t="str">
        <f>IFERROR(VLOOKUP(C850, Content_Creation!B:D, 2, FALSE), IFERROR(VLOOKUP(C850, Project_Management!B:D, 2, FALSE), ""))
&amp; " - "
&amp; IFERROR(VLOOKUP(C850, Content_Creation!B:E, 4, FALSE), IFERROR(VLOOKUP(C850, Project_Management!B:E, 4, FALSE), ""))</f>
        <v> - </v>
      </c>
      <c r="E850" s="220" t="str">
        <f>IFERROR(
    VLOOKUP(B849:B1001, Content_Creation!B:D, 3, FALSE),
    IFERROR(VLOOKUP(B849:B1001, Project_Management!B:D, 3, FALSE),"")
  )</f>
        <v/>
      </c>
      <c r="F850" s="221" t="str">
        <f>IFERROR(VLOOKUP(B850, Content_Creation!B:F, 5, FALSE), IFERROR(VLOOKUP(B850, Project_Management!B:F, 5, FALSE), ""))</f>
        <v/>
      </c>
      <c r="G850" s="267" t="s">
        <v>1317</v>
      </c>
      <c r="H850" s="223" t="str">
        <f>IFERROR(VLOOKUP(B850, Content_Creation!B:H, 7, FALSE), IFERROR(VLOOKUP(B850, Project_Management!B:H, 7, FALSE), ""))</f>
        <v/>
      </c>
      <c r="I850" s="224">
        <v>0.0</v>
      </c>
      <c r="J850" s="217"/>
      <c r="K850" s="217"/>
      <c r="L850" s="225" t="str">
        <f>IFERROR(VLOOKUP(B850, Data_Validation!X:Y, 2, FALSE), "")</f>
        <v/>
      </c>
      <c r="M850" s="226" t="str">
        <f t="shared" si="1"/>
        <v> |  -  | </v>
      </c>
      <c r="N850" s="226"/>
      <c r="O850" s="226"/>
    </row>
    <row r="851" ht="24.0" customHeight="1">
      <c r="A851" s="216" t="str">
        <f>IFERROR(__xludf.DUMMYFUNCTION("ARRAYFORMULA(IFERROR(VLOOKUP(REGEXEXTRACT(B851, ""-(\w+)-""), {Data_Validation!$F$16:$F$29, Data_Validation!$E$16:$E$29}, 2, FALSE), """"))
"),"")</f>
        <v/>
      </c>
      <c r="B851" s="217"/>
      <c r="C851" s="218" t="str">
        <f>IFERROR(__xludf.DUMMYFUNCTION("IFERROR(REGEXEXTRACT(B851, ""^[A-Z]+-[A-Z]+-"") &amp; TEXT(VALUE(REGEXEXTRACT(B851, ""-(\d+)\."")), ""00""), """")"),"")</f>
        <v/>
      </c>
      <c r="D851" s="219" t="str">
        <f>IFERROR(VLOOKUP(C851, Content_Creation!B:D, 2, FALSE), IFERROR(VLOOKUP(C851, Project_Management!B:D, 2, FALSE), ""))
&amp; " - "
&amp; IFERROR(VLOOKUP(C851, Content_Creation!B:E, 4, FALSE), IFERROR(VLOOKUP(C851, Project_Management!B:E, 4, FALSE), ""))</f>
        <v> - </v>
      </c>
      <c r="E851" s="220" t="str">
        <f>IFERROR(
    VLOOKUP(B850:B1001, Content_Creation!B:D, 3, FALSE),
    IFERROR(VLOOKUP(B850:B1001, Project_Management!B:D, 3, FALSE),"")
  )</f>
        <v/>
      </c>
      <c r="F851" s="221" t="str">
        <f>IFERROR(VLOOKUP(B851, Content_Creation!B:F, 5, FALSE), IFERROR(VLOOKUP(B851, Project_Management!B:F, 5, FALSE), ""))</f>
        <v/>
      </c>
      <c r="G851" s="267" t="s">
        <v>1317</v>
      </c>
      <c r="H851" s="223" t="str">
        <f>IFERROR(VLOOKUP(B851, Content_Creation!B:H, 7, FALSE), IFERROR(VLOOKUP(B851, Project_Management!B:H, 7, FALSE), ""))</f>
        <v/>
      </c>
      <c r="I851" s="224">
        <v>0.0</v>
      </c>
      <c r="J851" s="217"/>
      <c r="K851" s="217"/>
      <c r="L851" s="225" t="str">
        <f>IFERROR(VLOOKUP(B851, Data_Validation!X:Y, 2, FALSE), "")</f>
        <v/>
      </c>
      <c r="M851" s="226" t="str">
        <f t="shared" si="1"/>
        <v> |  -  | </v>
      </c>
      <c r="N851" s="226"/>
      <c r="O851" s="226"/>
    </row>
    <row r="852" ht="24.0" customHeight="1">
      <c r="A852" s="216" t="str">
        <f>IFERROR(__xludf.DUMMYFUNCTION("ARRAYFORMULA(IFERROR(VLOOKUP(REGEXEXTRACT(B852, ""-(\w+)-""), {Data_Validation!$F$16:$F$29, Data_Validation!$E$16:$E$29}, 2, FALSE), """"))
"),"")</f>
        <v/>
      </c>
      <c r="B852" s="217"/>
      <c r="C852" s="218" t="str">
        <f>IFERROR(__xludf.DUMMYFUNCTION("IFERROR(REGEXEXTRACT(B852, ""^[A-Z]+-[A-Z]+-"") &amp; TEXT(VALUE(REGEXEXTRACT(B852, ""-(\d+)\."")), ""00""), """")"),"")</f>
        <v/>
      </c>
      <c r="D852" s="219" t="str">
        <f>IFERROR(VLOOKUP(C852, Content_Creation!B:D, 2, FALSE), IFERROR(VLOOKUP(C852, Project_Management!B:D, 2, FALSE), ""))
&amp; " - "
&amp; IFERROR(VLOOKUP(C852, Content_Creation!B:E, 4, FALSE), IFERROR(VLOOKUP(C852, Project_Management!B:E, 4, FALSE), ""))</f>
        <v> - </v>
      </c>
      <c r="E852" s="220" t="str">
        <f>IFERROR(
    VLOOKUP(B851:B1001, Content_Creation!B:D, 3, FALSE),
    IFERROR(VLOOKUP(B851:B1001, Project_Management!B:D, 3, FALSE),"")
  )</f>
        <v/>
      </c>
      <c r="F852" s="221" t="str">
        <f>IFERROR(VLOOKUP(B852, Content_Creation!B:F, 5, FALSE), IFERROR(VLOOKUP(B852, Project_Management!B:F, 5, FALSE), ""))</f>
        <v/>
      </c>
      <c r="G852" s="267" t="s">
        <v>1317</v>
      </c>
      <c r="H852" s="223" t="str">
        <f>IFERROR(VLOOKUP(B852, Content_Creation!B:H, 7, FALSE), IFERROR(VLOOKUP(B852, Project_Management!B:H, 7, FALSE), ""))</f>
        <v/>
      </c>
      <c r="I852" s="224">
        <v>0.0</v>
      </c>
      <c r="J852" s="217"/>
      <c r="K852" s="217"/>
      <c r="L852" s="225" t="str">
        <f>IFERROR(VLOOKUP(B852, Data_Validation!X:Y, 2, FALSE), "")</f>
        <v/>
      </c>
      <c r="M852" s="226" t="str">
        <f t="shared" si="1"/>
        <v> |  -  | </v>
      </c>
      <c r="N852" s="226"/>
      <c r="O852" s="226"/>
    </row>
    <row r="853" ht="24.0" customHeight="1">
      <c r="A853" s="216" t="str">
        <f>IFERROR(__xludf.DUMMYFUNCTION("ARRAYFORMULA(IFERROR(VLOOKUP(REGEXEXTRACT(B853, ""-(\w+)-""), {Data_Validation!$F$16:$F$29, Data_Validation!$E$16:$E$29}, 2, FALSE), """"))
"),"")</f>
        <v/>
      </c>
      <c r="B853" s="217"/>
      <c r="C853" s="218" t="str">
        <f>IFERROR(__xludf.DUMMYFUNCTION("IFERROR(REGEXEXTRACT(B853, ""^[A-Z]+-[A-Z]+-"") &amp; TEXT(VALUE(REGEXEXTRACT(B853, ""-(\d+)\."")), ""00""), """")"),"")</f>
        <v/>
      </c>
      <c r="D853" s="219" t="str">
        <f>IFERROR(VLOOKUP(C853, Content_Creation!B:D, 2, FALSE), IFERROR(VLOOKUP(C853, Project_Management!B:D, 2, FALSE), ""))
&amp; " - "
&amp; IFERROR(VLOOKUP(C853, Content_Creation!B:E, 4, FALSE), IFERROR(VLOOKUP(C853, Project_Management!B:E, 4, FALSE), ""))</f>
        <v> - </v>
      </c>
      <c r="E853" s="220" t="str">
        <f>IFERROR(
    VLOOKUP(B852:B1001, Content_Creation!B:D, 3, FALSE),
    IFERROR(VLOOKUP(B852:B1001, Project_Management!B:D, 3, FALSE),"")
  )</f>
        <v/>
      </c>
      <c r="F853" s="221" t="str">
        <f>IFERROR(VLOOKUP(B853, Content_Creation!B:F, 5, FALSE), IFERROR(VLOOKUP(B853, Project_Management!B:F, 5, FALSE), ""))</f>
        <v/>
      </c>
      <c r="G853" s="267" t="s">
        <v>1317</v>
      </c>
      <c r="H853" s="223" t="str">
        <f>IFERROR(VLOOKUP(B853, Content_Creation!B:H, 7, FALSE), IFERROR(VLOOKUP(B853, Project_Management!B:H, 7, FALSE), ""))</f>
        <v/>
      </c>
      <c r="I853" s="224">
        <v>0.0</v>
      </c>
      <c r="J853" s="217"/>
      <c r="K853" s="217"/>
      <c r="L853" s="225" t="str">
        <f>IFERROR(VLOOKUP(B853, Data_Validation!X:Y, 2, FALSE), "")</f>
        <v/>
      </c>
      <c r="M853" s="226" t="str">
        <f t="shared" si="1"/>
        <v> |  -  | </v>
      </c>
      <c r="N853" s="226"/>
      <c r="O853" s="226"/>
    </row>
    <row r="854" ht="24.0" customHeight="1">
      <c r="A854" s="216" t="str">
        <f>IFERROR(__xludf.DUMMYFUNCTION("ARRAYFORMULA(IFERROR(VLOOKUP(REGEXEXTRACT(B854, ""-(\w+)-""), {Data_Validation!$F$16:$F$29, Data_Validation!$E$16:$E$29}, 2, FALSE), """"))
"),"")</f>
        <v/>
      </c>
      <c r="B854" s="217"/>
      <c r="C854" s="218" t="str">
        <f>IFERROR(__xludf.DUMMYFUNCTION("IFERROR(REGEXEXTRACT(B854, ""^[A-Z]+-[A-Z]+-"") &amp; TEXT(VALUE(REGEXEXTRACT(B854, ""-(\d+)\."")), ""00""), """")"),"")</f>
        <v/>
      </c>
      <c r="D854" s="219" t="str">
        <f>IFERROR(VLOOKUP(C854, Content_Creation!B:D, 2, FALSE), IFERROR(VLOOKUP(C854, Project_Management!B:D, 2, FALSE), ""))
&amp; " - "
&amp; IFERROR(VLOOKUP(C854, Content_Creation!B:E, 4, FALSE), IFERROR(VLOOKUP(C854, Project_Management!B:E, 4, FALSE), ""))</f>
        <v> - </v>
      </c>
      <c r="E854" s="220" t="str">
        <f>IFERROR(
    VLOOKUP(B853:B1001, Content_Creation!B:D, 3, FALSE),
    IFERROR(VLOOKUP(B853:B1001, Project_Management!B:D, 3, FALSE),"")
  )</f>
        <v/>
      </c>
      <c r="F854" s="221" t="str">
        <f>IFERROR(VLOOKUP(B854, Content_Creation!B:F, 5, FALSE), IFERROR(VLOOKUP(B854, Project_Management!B:F, 5, FALSE), ""))</f>
        <v/>
      </c>
      <c r="G854" s="267" t="s">
        <v>1317</v>
      </c>
      <c r="H854" s="223" t="str">
        <f>IFERROR(VLOOKUP(B854, Content_Creation!B:H, 7, FALSE), IFERROR(VLOOKUP(B854, Project_Management!B:H, 7, FALSE), ""))</f>
        <v/>
      </c>
      <c r="I854" s="224">
        <v>0.0</v>
      </c>
      <c r="J854" s="217"/>
      <c r="K854" s="217"/>
      <c r="L854" s="225" t="str">
        <f>IFERROR(VLOOKUP(B854, Data_Validation!X:Y, 2, FALSE), "")</f>
        <v/>
      </c>
      <c r="M854" s="226" t="str">
        <f t="shared" si="1"/>
        <v> |  -  | </v>
      </c>
      <c r="N854" s="226"/>
      <c r="O854" s="226"/>
    </row>
    <row r="855" ht="24.0" customHeight="1">
      <c r="A855" s="216" t="str">
        <f>IFERROR(__xludf.DUMMYFUNCTION("ARRAYFORMULA(IFERROR(VLOOKUP(REGEXEXTRACT(B855, ""-(\w+)-""), {Data_Validation!$F$16:$F$29, Data_Validation!$E$16:$E$29}, 2, FALSE), """"))
"),"")</f>
        <v/>
      </c>
      <c r="B855" s="217"/>
      <c r="C855" s="218" t="str">
        <f>IFERROR(__xludf.DUMMYFUNCTION("IFERROR(REGEXEXTRACT(B855, ""^[A-Z]+-[A-Z]+-"") &amp; TEXT(VALUE(REGEXEXTRACT(B855, ""-(\d+)\."")), ""00""), """")"),"")</f>
        <v/>
      </c>
      <c r="D855" s="219" t="str">
        <f>IFERROR(VLOOKUP(C855, Content_Creation!B:D, 2, FALSE), IFERROR(VLOOKUP(C855, Project_Management!B:D, 2, FALSE), ""))
&amp; " - "
&amp; IFERROR(VLOOKUP(C855, Content_Creation!B:E, 4, FALSE), IFERROR(VLOOKUP(C855, Project_Management!B:E, 4, FALSE), ""))</f>
        <v> - </v>
      </c>
      <c r="E855" s="220" t="str">
        <f>IFERROR(
    VLOOKUP(B854:B1001, Content_Creation!B:D, 3, FALSE),
    IFERROR(VLOOKUP(B854:B1001, Project_Management!B:D, 3, FALSE),"")
  )</f>
        <v/>
      </c>
      <c r="F855" s="221" t="str">
        <f>IFERROR(VLOOKUP(B855, Content_Creation!B:F, 5, FALSE), IFERROR(VLOOKUP(B855, Project_Management!B:F, 5, FALSE), ""))</f>
        <v/>
      </c>
      <c r="G855" s="267" t="s">
        <v>1317</v>
      </c>
      <c r="H855" s="223" t="str">
        <f>IFERROR(VLOOKUP(B855, Content_Creation!B:H, 7, FALSE), IFERROR(VLOOKUP(B855, Project_Management!B:H, 7, FALSE), ""))</f>
        <v/>
      </c>
      <c r="I855" s="224">
        <v>0.0</v>
      </c>
      <c r="J855" s="217"/>
      <c r="K855" s="217"/>
      <c r="L855" s="225" t="str">
        <f>IFERROR(VLOOKUP(B855, Data_Validation!X:Y, 2, FALSE), "")</f>
        <v/>
      </c>
      <c r="M855" s="226" t="str">
        <f t="shared" si="1"/>
        <v> |  -  | </v>
      </c>
      <c r="N855" s="226"/>
      <c r="O855" s="226"/>
    </row>
    <row r="856" ht="24.0" customHeight="1">
      <c r="A856" s="216" t="str">
        <f>IFERROR(__xludf.DUMMYFUNCTION("ARRAYFORMULA(IFERROR(VLOOKUP(REGEXEXTRACT(B856, ""-(\w+)-""), {Data_Validation!$F$16:$F$29, Data_Validation!$E$16:$E$29}, 2, FALSE), """"))
"),"")</f>
        <v/>
      </c>
      <c r="B856" s="217"/>
      <c r="C856" s="218" t="str">
        <f>IFERROR(__xludf.DUMMYFUNCTION("IFERROR(REGEXEXTRACT(B856, ""^[A-Z]+-[A-Z]+-"") &amp; TEXT(VALUE(REGEXEXTRACT(B856, ""-(\d+)\."")), ""00""), """")"),"")</f>
        <v/>
      </c>
      <c r="D856" s="219" t="str">
        <f>IFERROR(VLOOKUP(C856, Content_Creation!B:D, 2, FALSE), IFERROR(VLOOKUP(C856, Project_Management!B:D, 2, FALSE), ""))
&amp; " - "
&amp; IFERROR(VLOOKUP(C856, Content_Creation!B:E, 4, FALSE), IFERROR(VLOOKUP(C856, Project_Management!B:E, 4, FALSE), ""))</f>
        <v> - </v>
      </c>
      <c r="E856" s="220" t="str">
        <f>IFERROR(
    VLOOKUP(B855:B1001, Content_Creation!B:D, 3, FALSE),
    IFERROR(VLOOKUP(B855:B1001, Project_Management!B:D, 3, FALSE),"")
  )</f>
        <v/>
      </c>
      <c r="F856" s="221" t="str">
        <f>IFERROR(VLOOKUP(B856, Content_Creation!B:F, 5, FALSE), IFERROR(VLOOKUP(B856, Project_Management!B:F, 5, FALSE), ""))</f>
        <v/>
      </c>
      <c r="G856" s="267" t="s">
        <v>1317</v>
      </c>
      <c r="H856" s="223" t="str">
        <f>IFERROR(VLOOKUP(B856, Content_Creation!B:H, 7, FALSE), IFERROR(VLOOKUP(B856, Project_Management!B:H, 7, FALSE), ""))</f>
        <v/>
      </c>
      <c r="I856" s="224">
        <v>0.0</v>
      </c>
      <c r="J856" s="217"/>
      <c r="K856" s="217"/>
      <c r="L856" s="225" t="str">
        <f>IFERROR(VLOOKUP(B856, Data_Validation!X:Y, 2, FALSE), "")</f>
        <v/>
      </c>
      <c r="M856" s="226" t="str">
        <f t="shared" si="1"/>
        <v> |  -  | </v>
      </c>
      <c r="N856" s="226"/>
      <c r="O856" s="226"/>
    </row>
    <row r="857" ht="24.0" customHeight="1">
      <c r="A857" s="216" t="str">
        <f>IFERROR(__xludf.DUMMYFUNCTION("ARRAYFORMULA(IFERROR(VLOOKUP(REGEXEXTRACT(B857, ""-(\w+)-""), {Data_Validation!$F$16:$F$29, Data_Validation!$E$16:$E$29}, 2, FALSE), """"))
"),"")</f>
        <v/>
      </c>
      <c r="B857" s="217"/>
      <c r="C857" s="218" t="str">
        <f>IFERROR(__xludf.DUMMYFUNCTION("IFERROR(REGEXEXTRACT(B857, ""^[A-Z]+-[A-Z]+-"") &amp; TEXT(VALUE(REGEXEXTRACT(B857, ""-(\d+)\."")), ""00""), """")"),"")</f>
        <v/>
      </c>
      <c r="D857" s="219" t="str">
        <f>IFERROR(VLOOKUP(C857, Content_Creation!B:D, 2, FALSE), IFERROR(VLOOKUP(C857, Project_Management!B:D, 2, FALSE), ""))
&amp; " - "
&amp; IFERROR(VLOOKUP(C857, Content_Creation!B:E, 4, FALSE), IFERROR(VLOOKUP(C857, Project_Management!B:E, 4, FALSE), ""))</f>
        <v> - </v>
      </c>
      <c r="E857" s="220" t="str">
        <f>IFERROR(
    VLOOKUP(B856:B1001, Content_Creation!B:D, 3, FALSE),
    IFERROR(VLOOKUP(B856:B1001, Project_Management!B:D, 3, FALSE),"")
  )</f>
        <v/>
      </c>
      <c r="F857" s="221" t="str">
        <f>IFERROR(VLOOKUP(B857, Content_Creation!B:F, 5, FALSE), IFERROR(VLOOKUP(B857, Project_Management!B:F, 5, FALSE), ""))</f>
        <v/>
      </c>
      <c r="G857" s="267" t="s">
        <v>1317</v>
      </c>
      <c r="H857" s="223" t="str">
        <f>IFERROR(VLOOKUP(B857, Content_Creation!B:H, 7, FALSE), IFERROR(VLOOKUP(B857, Project_Management!B:H, 7, FALSE), ""))</f>
        <v/>
      </c>
      <c r="I857" s="224">
        <v>0.0</v>
      </c>
      <c r="J857" s="217"/>
      <c r="K857" s="217"/>
      <c r="L857" s="225" t="str">
        <f>IFERROR(VLOOKUP(B857, Data_Validation!X:Y, 2, FALSE), "")</f>
        <v/>
      </c>
      <c r="M857" s="226" t="str">
        <f t="shared" si="1"/>
        <v> |  -  | </v>
      </c>
      <c r="N857" s="226"/>
      <c r="O857" s="226"/>
    </row>
    <row r="858" ht="24.0" customHeight="1">
      <c r="A858" s="216" t="str">
        <f>IFERROR(__xludf.DUMMYFUNCTION("ARRAYFORMULA(IFERROR(VLOOKUP(REGEXEXTRACT(B858, ""-(\w+)-""), {Data_Validation!$F$16:$F$29, Data_Validation!$E$16:$E$29}, 2, FALSE), """"))
"),"")</f>
        <v/>
      </c>
      <c r="B858" s="217"/>
      <c r="C858" s="218" t="str">
        <f>IFERROR(__xludf.DUMMYFUNCTION("IFERROR(REGEXEXTRACT(B858, ""^[A-Z]+-[A-Z]+-"") &amp; TEXT(VALUE(REGEXEXTRACT(B858, ""-(\d+)\."")), ""00""), """")"),"")</f>
        <v/>
      </c>
      <c r="D858" s="219" t="str">
        <f>IFERROR(VLOOKUP(C858, Content_Creation!B:D, 2, FALSE), IFERROR(VLOOKUP(C858, Project_Management!B:D, 2, FALSE), ""))
&amp; " - "
&amp; IFERROR(VLOOKUP(C858, Content_Creation!B:E, 4, FALSE), IFERROR(VLOOKUP(C858, Project_Management!B:E, 4, FALSE), ""))</f>
        <v> - </v>
      </c>
      <c r="E858" s="220" t="str">
        <f>IFERROR(
    VLOOKUP(B857:B1001, Content_Creation!B:D, 3, FALSE),
    IFERROR(VLOOKUP(B857:B1001, Project_Management!B:D, 3, FALSE),"")
  )</f>
        <v/>
      </c>
      <c r="F858" s="221" t="str">
        <f>IFERROR(VLOOKUP(B858, Content_Creation!B:F, 5, FALSE), IFERROR(VLOOKUP(B858, Project_Management!B:F, 5, FALSE), ""))</f>
        <v/>
      </c>
      <c r="G858" s="267" t="s">
        <v>1317</v>
      </c>
      <c r="H858" s="223" t="str">
        <f>IFERROR(VLOOKUP(B858, Content_Creation!B:H, 7, FALSE), IFERROR(VLOOKUP(B858, Project_Management!B:H, 7, FALSE), ""))</f>
        <v/>
      </c>
      <c r="I858" s="224">
        <v>0.0</v>
      </c>
      <c r="J858" s="217"/>
      <c r="K858" s="217"/>
      <c r="L858" s="225" t="str">
        <f>IFERROR(VLOOKUP(B858, Data_Validation!X:Y, 2, FALSE), "")</f>
        <v/>
      </c>
      <c r="M858" s="226" t="str">
        <f t="shared" si="1"/>
        <v> |  -  | </v>
      </c>
      <c r="N858" s="226"/>
      <c r="O858" s="226"/>
    </row>
    <row r="859" ht="24.0" customHeight="1">
      <c r="A859" s="216" t="str">
        <f>IFERROR(__xludf.DUMMYFUNCTION("ARRAYFORMULA(IFERROR(VLOOKUP(REGEXEXTRACT(B859, ""-(\w+)-""), {Data_Validation!$F$16:$F$29, Data_Validation!$E$16:$E$29}, 2, FALSE), """"))
"),"")</f>
        <v/>
      </c>
      <c r="B859" s="217"/>
      <c r="C859" s="218" t="str">
        <f>IFERROR(__xludf.DUMMYFUNCTION("IFERROR(REGEXEXTRACT(B859, ""^[A-Z]+-[A-Z]+-"") &amp; TEXT(VALUE(REGEXEXTRACT(B859, ""-(\d+)\."")), ""00""), """")"),"")</f>
        <v/>
      </c>
      <c r="D859" s="219" t="str">
        <f>IFERROR(VLOOKUP(C859, Content_Creation!B:D, 2, FALSE), IFERROR(VLOOKUP(C859, Project_Management!B:D, 2, FALSE), ""))
&amp; " - "
&amp; IFERROR(VLOOKUP(C859, Content_Creation!B:E, 4, FALSE), IFERROR(VLOOKUP(C859, Project_Management!B:E, 4, FALSE), ""))</f>
        <v> - </v>
      </c>
      <c r="E859" s="220" t="str">
        <f>IFERROR(
    VLOOKUP(B858:B1001, Content_Creation!B:D, 3, FALSE),
    IFERROR(VLOOKUP(B858:B1001, Project_Management!B:D, 3, FALSE),"")
  )</f>
        <v/>
      </c>
      <c r="F859" s="221" t="str">
        <f>IFERROR(VLOOKUP(B859, Content_Creation!B:F, 5, FALSE), IFERROR(VLOOKUP(B859, Project_Management!B:F, 5, FALSE), ""))</f>
        <v/>
      </c>
      <c r="G859" s="267" t="s">
        <v>1317</v>
      </c>
      <c r="H859" s="223" t="str">
        <f>IFERROR(VLOOKUP(B859, Content_Creation!B:H, 7, FALSE), IFERROR(VLOOKUP(B859, Project_Management!B:H, 7, FALSE), ""))</f>
        <v/>
      </c>
      <c r="I859" s="224">
        <v>0.0</v>
      </c>
      <c r="J859" s="217"/>
      <c r="K859" s="217"/>
      <c r="L859" s="225" t="str">
        <f>IFERROR(VLOOKUP(B859, Data_Validation!X:Y, 2, FALSE), "")</f>
        <v/>
      </c>
      <c r="M859" s="226" t="str">
        <f t="shared" si="1"/>
        <v> |  -  | </v>
      </c>
      <c r="N859" s="226"/>
      <c r="O859" s="226"/>
    </row>
    <row r="860" ht="24.0" customHeight="1">
      <c r="A860" s="216" t="str">
        <f>IFERROR(__xludf.DUMMYFUNCTION("ARRAYFORMULA(IFERROR(VLOOKUP(REGEXEXTRACT(B860, ""-(\w+)-""), {Data_Validation!$F$16:$F$29, Data_Validation!$E$16:$E$29}, 2, FALSE), """"))
"),"")</f>
        <v/>
      </c>
      <c r="B860" s="217"/>
      <c r="C860" s="218" t="str">
        <f>IFERROR(__xludf.DUMMYFUNCTION("IFERROR(REGEXEXTRACT(B860, ""^[A-Z]+-[A-Z]+-"") &amp; TEXT(VALUE(REGEXEXTRACT(B860, ""-(\d+)\."")), ""00""), """")"),"")</f>
        <v/>
      </c>
      <c r="D860" s="219" t="str">
        <f>IFERROR(VLOOKUP(C860, Content_Creation!B:D, 2, FALSE), IFERROR(VLOOKUP(C860, Project_Management!B:D, 2, FALSE), ""))
&amp; " - "
&amp; IFERROR(VLOOKUP(C860, Content_Creation!B:E, 4, FALSE), IFERROR(VLOOKUP(C860, Project_Management!B:E, 4, FALSE), ""))</f>
        <v> - </v>
      </c>
      <c r="E860" s="220" t="str">
        <f>IFERROR(
    VLOOKUP(B859:B1001, Content_Creation!B:D, 3, FALSE),
    IFERROR(VLOOKUP(B859:B1001, Project_Management!B:D, 3, FALSE),"")
  )</f>
        <v/>
      </c>
      <c r="F860" s="221" t="str">
        <f>IFERROR(VLOOKUP(B860, Content_Creation!B:F, 5, FALSE), IFERROR(VLOOKUP(B860, Project_Management!B:F, 5, FALSE), ""))</f>
        <v/>
      </c>
      <c r="G860" s="267" t="s">
        <v>1317</v>
      </c>
      <c r="H860" s="223" t="str">
        <f>IFERROR(VLOOKUP(B860, Content_Creation!B:H, 7, FALSE), IFERROR(VLOOKUP(B860, Project_Management!B:H, 7, FALSE), ""))</f>
        <v/>
      </c>
      <c r="I860" s="224">
        <v>0.0</v>
      </c>
      <c r="J860" s="217"/>
      <c r="K860" s="217"/>
      <c r="L860" s="225" t="str">
        <f>IFERROR(VLOOKUP(B860, Data_Validation!X:Y, 2, FALSE), "")</f>
        <v/>
      </c>
      <c r="M860" s="226" t="str">
        <f t="shared" si="1"/>
        <v> |  -  | </v>
      </c>
      <c r="N860" s="226"/>
      <c r="O860" s="226"/>
    </row>
    <row r="861" ht="24.0" customHeight="1">
      <c r="A861" s="216" t="str">
        <f>IFERROR(__xludf.DUMMYFUNCTION("ARRAYFORMULA(IFERROR(VLOOKUP(REGEXEXTRACT(B861, ""-(\w+)-""), {Data_Validation!$F$16:$F$29, Data_Validation!$E$16:$E$29}, 2, FALSE), """"))
"),"")</f>
        <v/>
      </c>
      <c r="B861" s="217"/>
      <c r="C861" s="218" t="str">
        <f>IFERROR(__xludf.DUMMYFUNCTION("IFERROR(REGEXEXTRACT(B861, ""^[A-Z]+-[A-Z]+-"") &amp; TEXT(VALUE(REGEXEXTRACT(B861, ""-(\d+)\."")), ""00""), """")"),"")</f>
        <v/>
      </c>
      <c r="D861" s="219" t="str">
        <f>IFERROR(VLOOKUP(C861, Content_Creation!B:D, 2, FALSE), IFERROR(VLOOKUP(C861, Project_Management!B:D, 2, FALSE), ""))
&amp; " - "
&amp; IFERROR(VLOOKUP(C861, Content_Creation!B:E, 4, FALSE), IFERROR(VLOOKUP(C861, Project_Management!B:E, 4, FALSE), ""))</f>
        <v> - </v>
      </c>
      <c r="E861" s="220" t="str">
        <f>IFERROR(
    VLOOKUP(B860:B1001, Content_Creation!B:D, 3, FALSE),
    IFERROR(VLOOKUP(B860:B1001, Project_Management!B:D, 3, FALSE),"")
  )</f>
        <v/>
      </c>
      <c r="F861" s="221" t="str">
        <f>IFERROR(VLOOKUP(B861, Content_Creation!B:F, 5, FALSE), IFERROR(VLOOKUP(B861, Project_Management!B:F, 5, FALSE), ""))</f>
        <v/>
      </c>
      <c r="G861" s="267" t="s">
        <v>1317</v>
      </c>
      <c r="H861" s="223" t="str">
        <f>IFERROR(VLOOKUP(B861, Content_Creation!B:H, 7, FALSE), IFERROR(VLOOKUP(B861, Project_Management!B:H, 7, FALSE), ""))</f>
        <v/>
      </c>
      <c r="I861" s="224">
        <v>0.0</v>
      </c>
      <c r="J861" s="217"/>
      <c r="K861" s="217"/>
      <c r="L861" s="225" t="str">
        <f>IFERROR(VLOOKUP(B861, Data_Validation!X:Y, 2, FALSE), "")</f>
        <v/>
      </c>
      <c r="M861" s="226" t="str">
        <f t="shared" si="1"/>
        <v> |  -  | </v>
      </c>
      <c r="N861" s="226"/>
      <c r="O861" s="226"/>
    </row>
    <row r="862" ht="24.0" customHeight="1">
      <c r="A862" s="216" t="str">
        <f>IFERROR(__xludf.DUMMYFUNCTION("ARRAYFORMULA(IFERROR(VLOOKUP(REGEXEXTRACT(B862, ""-(\w+)-""), {Data_Validation!$F$16:$F$29, Data_Validation!$E$16:$E$29}, 2, FALSE), """"))
"),"")</f>
        <v/>
      </c>
      <c r="B862" s="217"/>
      <c r="C862" s="218" t="str">
        <f>IFERROR(__xludf.DUMMYFUNCTION("IFERROR(REGEXEXTRACT(B862, ""^[A-Z]+-[A-Z]+-"") &amp; TEXT(VALUE(REGEXEXTRACT(B862, ""-(\d+)\."")), ""00""), """")"),"")</f>
        <v/>
      </c>
      <c r="D862" s="219" t="str">
        <f>IFERROR(VLOOKUP(C862, Content_Creation!B:D, 2, FALSE), IFERROR(VLOOKUP(C862, Project_Management!B:D, 2, FALSE), ""))
&amp; " - "
&amp; IFERROR(VLOOKUP(C862, Content_Creation!B:E, 4, FALSE), IFERROR(VLOOKUP(C862, Project_Management!B:E, 4, FALSE), ""))</f>
        <v> - </v>
      </c>
      <c r="E862" s="220" t="str">
        <f>IFERROR(
    VLOOKUP(B861:B1001, Content_Creation!B:D, 3, FALSE),
    IFERROR(VLOOKUP(B861:B1001, Project_Management!B:D, 3, FALSE),"")
  )</f>
        <v/>
      </c>
      <c r="F862" s="221" t="str">
        <f>IFERROR(VLOOKUP(B862, Content_Creation!B:F, 5, FALSE), IFERROR(VLOOKUP(B862, Project_Management!B:F, 5, FALSE), ""))</f>
        <v/>
      </c>
      <c r="G862" s="267" t="s">
        <v>1317</v>
      </c>
      <c r="H862" s="223" t="str">
        <f>IFERROR(VLOOKUP(B862, Content_Creation!B:H, 7, FALSE), IFERROR(VLOOKUP(B862, Project_Management!B:H, 7, FALSE), ""))</f>
        <v/>
      </c>
      <c r="I862" s="224">
        <v>0.0</v>
      </c>
      <c r="J862" s="217"/>
      <c r="K862" s="217"/>
      <c r="L862" s="225" t="str">
        <f>IFERROR(VLOOKUP(B862, Data_Validation!X:Y, 2, FALSE), "")</f>
        <v/>
      </c>
      <c r="M862" s="226" t="str">
        <f t="shared" si="1"/>
        <v> |  -  | </v>
      </c>
      <c r="N862" s="226"/>
      <c r="O862" s="226"/>
    </row>
    <row r="863" ht="24.0" customHeight="1">
      <c r="A863" s="216" t="str">
        <f>IFERROR(__xludf.DUMMYFUNCTION("ARRAYFORMULA(IFERROR(VLOOKUP(REGEXEXTRACT(B863, ""-(\w+)-""), {Data_Validation!$F$16:$F$29, Data_Validation!$E$16:$E$29}, 2, FALSE), """"))
"),"")</f>
        <v/>
      </c>
      <c r="B863" s="217"/>
      <c r="C863" s="218" t="str">
        <f>IFERROR(__xludf.DUMMYFUNCTION("IFERROR(REGEXEXTRACT(B863, ""^[A-Z]+-[A-Z]+-"") &amp; TEXT(VALUE(REGEXEXTRACT(B863, ""-(\d+)\."")), ""00""), """")"),"")</f>
        <v/>
      </c>
      <c r="D863" s="219" t="str">
        <f>IFERROR(VLOOKUP(C863, Content_Creation!B:D, 2, FALSE), IFERROR(VLOOKUP(C863, Project_Management!B:D, 2, FALSE), ""))
&amp; " - "
&amp; IFERROR(VLOOKUP(C863, Content_Creation!B:E, 4, FALSE), IFERROR(VLOOKUP(C863, Project_Management!B:E, 4, FALSE), ""))</f>
        <v> - </v>
      </c>
      <c r="E863" s="220" t="str">
        <f>IFERROR(
    VLOOKUP(B862:B1001, Content_Creation!B:D, 3, FALSE),
    IFERROR(VLOOKUP(B862:B1001, Project_Management!B:D, 3, FALSE),"")
  )</f>
        <v/>
      </c>
      <c r="F863" s="221" t="str">
        <f>IFERROR(VLOOKUP(B863, Content_Creation!B:F, 5, FALSE), IFERROR(VLOOKUP(B863, Project_Management!B:F, 5, FALSE), ""))</f>
        <v/>
      </c>
      <c r="G863" s="267" t="s">
        <v>1317</v>
      </c>
      <c r="H863" s="223" t="str">
        <f>IFERROR(VLOOKUP(B863, Content_Creation!B:H, 7, FALSE), IFERROR(VLOOKUP(B863, Project_Management!B:H, 7, FALSE), ""))</f>
        <v/>
      </c>
      <c r="I863" s="224">
        <v>0.0</v>
      </c>
      <c r="J863" s="217"/>
      <c r="K863" s="217"/>
      <c r="L863" s="225" t="str">
        <f>IFERROR(VLOOKUP(B863, Data_Validation!X:Y, 2, FALSE), "")</f>
        <v/>
      </c>
      <c r="M863" s="226" t="str">
        <f t="shared" si="1"/>
        <v> |  -  | </v>
      </c>
      <c r="N863" s="226"/>
      <c r="O863" s="226"/>
    </row>
    <row r="864" ht="24.0" customHeight="1">
      <c r="A864" s="216" t="str">
        <f>IFERROR(__xludf.DUMMYFUNCTION("ARRAYFORMULA(IFERROR(VLOOKUP(REGEXEXTRACT(B864, ""-(\w+)-""), {Data_Validation!$F$16:$F$29, Data_Validation!$E$16:$E$29}, 2, FALSE), """"))
"),"")</f>
        <v/>
      </c>
      <c r="B864" s="217"/>
      <c r="C864" s="218" t="str">
        <f>IFERROR(__xludf.DUMMYFUNCTION("IFERROR(REGEXEXTRACT(B864, ""^[A-Z]+-[A-Z]+-"") &amp; TEXT(VALUE(REGEXEXTRACT(B864, ""-(\d+)\."")), ""00""), """")"),"")</f>
        <v/>
      </c>
      <c r="D864" s="219" t="str">
        <f>IFERROR(VLOOKUP(C864, Content_Creation!B:D, 2, FALSE), IFERROR(VLOOKUP(C864, Project_Management!B:D, 2, FALSE), ""))
&amp; " - "
&amp; IFERROR(VLOOKUP(C864, Content_Creation!B:E, 4, FALSE), IFERROR(VLOOKUP(C864, Project_Management!B:E, 4, FALSE), ""))</f>
        <v> - </v>
      </c>
      <c r="E864" s="220" t="str">
        <f>IFERROR(
    VLOOKUP(B863:B1001, Content_Creation!B:D, 3, FALSE),
    IFERROR(VLOOKUP(B863:B1001, Project_Management!B:D, 3, FALSE),"")
  )</f>
        <v/>
      </c>
      <c r="F864" s="221" t="str">
        <f>IFERROR(VLOOKUP(B864, Content_Creation!B:F, 5, FALSE), IFERROR(VLOOKUP(B864, Project_Management!B:F, 5, FALSE), ""))</f>
        <v/>
      </c>
      <c r="G864" s="267" t="s">
        <v>1317</v>
      </c>
      <c r="H864" s="223" t="str">
        <f>IFERROR(VLOOKUP(B864, Content_Creation!B:H, 7, FALSE), IFERROR(VLOOKUP(B864, Project_Management!B:H, 7, FALSE), ""))</f>
        <v/>
      </c>
      <c r="I864" s="224">
        <v>0.0</v>
      </c>
      <c r="J864" s="217"/>
      <c r="K864" s="217"/>
      <c r="L864" s="225" t="str">
        <f>IFERROR(VLOOKUP(B864, Data_Validation!X:Y, 2, FALSE), "")</f>
        <v/>
      </c>
      <c r="M864" s="226" t="str">
        <f t="shared" si="1"/>
        <v> |  -  | </v>
      </c>
      <c r="N864" s="226"/>
      <c r="O864" s="226"/>
    </row>
    <row r="865" ht="24.0" customHeight="1">
      <c r="A865" s="216" t="str">
        <f>IFERROR(__xludf.DUMMYFUNCTION("ARRAYFORMULA(IFERROR(VLOOKUP(REGEXEXTRACT(B865, ""-(\w+)-""), {Data_Validation!$F$16:$F$29, Data_Validation!$E$16:$E$29}, 2, FALSE), """"))
"),"")</f>
        <v/>
      </c>
      <c r="B865" s="217"/>
      <c r="C865" s="218" t="str">
        <f>IFERROR(__xludf.DUMMYFUNCTION("IFERROR(REGEXEXTRACT(B865, ""^[A-Z]+-[A-Z]+-"") &amp; TEXT(VALUE(REGEXEXTRACT(B865, ""-(\d+)\."")), ""00""), """")"),"")</f>
        <v/>
      </c>
      <c r="D865" s="219" t="str">
        <f>IFERROR(VLOOKUP(C865, Content_Creation!B:D, 2, FALSE), IFERROR(VLOOKUP(C865, Project_Management!B:D, 2, FALSE), ""))
&amp; " - "
&amp; IFERROR(VLOOKUP(C865, Content_Creation!B:E, 4, FALSE), IFERROR(VLOOKUP(C865, Project_Management!B:E, 4, FALSE), ""))</f>
        <v> - </v>
      </c>
      <c r="E865" s="220" t="str">
        <f>IFERROR(
    VLOOKUP(B864:B1001, Content_Creation!B:D, 3, FALSE),
    IFERROR(VLOOKUP(B864:B1001, Project_Management!B:D, 3, FALSE),"")
  )</f>
        <v/>
      </c>
      <c r="F865" s="221" t="str">
        <f>IFERROR(VLOOKUP(B865, Content_Creation!B:F, 5, FALSE), IFERROR(VLOOKUP(B865, Project_Management!B:F, 5, FALSE), ""))</f>
        <v/>
      </c>
      <c r="G865" s="267" t="s">
        <v>1317</v>
      </c>
      <c r="H865" s="223" t="str">
        <f>IFERROR(VLOOKUP(B865, Content_Creation!B:H, 7, FALSE), IFERROR(VLOOKUP(B865, Project_Management!B:H, 7, FALSE), ""))</f>
        <v/>
      </c>
      <c r="I865" s="224">
        <v>0.0</v>
      </c>
      <c r="J865" s="217"/>
      <c r="K865" s="217"/>
      <c r="L865" s="225" t="str">
        <f>IFERROR(VLOOKUP(B865, Data_Validation!X:Y, 2, FALSE), "")</f>
        <v/>
      </c>
      <c r="M865" s="226" t="str">
        <f t="shared" si="1"/>
        <v> |  -  | </v>
      </c>
      <c r="N865" s="226"/>
      <c r="O865" s="226"/>
    </row>
    <row r="866" ht="24.0" customHeight="1">
      <c r="A866" s="216" t="str">
        <f>IFERROR(__xludf.DUMMYFUNCTION("ARRAYFORMULA(IFERROR(VLOOKUP(REGEXEXTRACT(B866, ""-(\w+)-""), {Data_Validation!$F$16:$F$29, Data_Validation!$E$16:$E$29}, 2, FALSE), """"))
"),"")</f>
        <v/>
      </c>
      <c r="B866" s="217"/>
      <c r="C866" s="218" t="str">
        <f>IFERROR(__xludf.DUMMYFUNCTION("IFERROR(REGEXEXTRACT(B866, ""^[A-Z]+-[A-Z]+-"") &amp; TEXT(VALUE(REGEXEXTRACT(B866, ""-(\d+)\."")), ""00""), """")"),"")</f>
        <v/>
      </c>
      <c r="D866" s="219" t="str">
        <f>IFERROR(VLOOKUP(C866, Content_Creation!B:D, 2, FALSE), IFERROR(VLOOKUP(C866, Project_Management!B:D, 2, FALSE), ""))
&amp; " - "
&amp; IFERROR(VLOOKUP(C866, Content_Creation!B:E, 4, FALSE), IFERROR(VLOOKUP(C866, Project_Management!B:E, 4, FALSE), ""))</f>
        <v> - </v>
      </c>
      <c r="E866" s="220" t="str">
        <f>IFERROR(
    VLOOKUP(B865:B1001, Content_Creation!B:D, 3, FALSE),
    IFERROR(VLOOKUP(B865:B1001, Project_Management!B:D, 3, FALSE),"")
  )</f>
        <v/>
      </c>
      <c r="F866" s="221" t="str">
        <f>IFERROR(VLOOKUP(B866, Content_Creation!B:F, 5, FALSE), IFERROR(VLOOKUP(B866, Project_Management!B:F, 5, FALSE), ""))</f>
        <v/>
      </c>
      <c r="G866" s="267" t="s">
        <v>1317</v>
      </c>
      <c r="H866" s="223" t="str">
        <f>IFERROR(VLOOKUP(B866, Content_Creation!B:H, 7, FALSE), IFERROR(VLOOKUP(B866, Project_Management!B:H, 7, FALSE), ""))</f>
        <v/>
      </c>
      <c r="I866" s="224">
        <v>0.0</v>
      </c>
      <c r="J866" s="217"/>
      <c r="K866" s="217"/>
      <c r="L866" s="225" t="str">
        <f>IFERROR(VLOOKUP(B866, Data_Validation!X:Y, 2, FALSE), "")</f>
        <v/>
      </c>
      <c r="M866" s="226" t="str">
        <f t="shared" si="1"/>
        <v> |  -  | </v>
      </c>
      <c r="N866" s="226"/>
      <c r="O866" s="226"/>
    </row>
    <row r="867" ht="24.0" customHeight="1">
      <c r="A867" s="216" t="str">
        <f>IFERROR(__xludf.DUMMYFUNCTION("ARRAYFORMULA(IFERROR(VLOOKUP(REGEXEXTRACT(B867, ""-(\w+)-""), {Data_Validation!$F$16:$F$29, Data_Validation!$E$16:$E$29}, 2, FALSE), """"))
"),"")</f>
        <v/>
      </c>
      <c r="B867" s="217"/>
      <c r="C867" s="218" t="str">
        <f>IFERROR(__xludf.DUMMYFUNCTION("IFERROR(REGEXEXTRACT(B867, ""^[A-Z]+-[A-Z]+-"") &amp; TEXT(VALUE(REGEXEXTRACT(B867, ""-(\d+)\."")), ""00""), """")"),"")</f>
        <v/>
      </c>
      <c r="D867" s="219" t="str">
        <f>IFERROR(VLOOKUP(C867, Content_Creation!B:D, 2, FALSE), IFERROR(VLOOKUP(C867, Project_Management!B:D, 2, FALSE), ""))
&amp; " - "
&amp; IFERROR(VLOOKUP(C867, Content_Creation!B:E, 4, FALSE), IFERROR(VLOOKUP(C867, Project_Management!B:E, 4, FALSE), ""))</f>
        <v> - </v>
      </c>
      <c r="E867" s="220" t="str">
        <f>IFERROR(
    VLOOKUP(B866:B1001, Content_Creation!B:D, 3, FALSE),
    IFERROR(VLOOKUP(B866:B1001, Project_Management!B:D, 3, FALSE),"")
  )</f>
        <v/>
      </c>
      <c r="F867" s="221" t="str">
        <f>IFERROR(VLOOKUP(B867, Content_Creation!B:F, 5, FALSE), IFERROR(VLOOKUP(B867, Project_Management!B:F, 5, FALSE), ""))</f>
        <v/>
      </c>
      <c r="G867" s="267" t="s">
        <v>1317</v>
      </c>
      <c r="H867" s="223" t="str">
        <f>IFERROR(VLOOKUP(B867, Content_Creation!B:H, 7, FALSE), IFERROR(VLOOKUP(B867, Project_Management!B:H, 7, FALSE), ""))</f>
        <v/>
      </c>
      <c r="I867" s="224">
        <v>0.0</v>
      </c>
      <c r="J867" s="217"/>
      <c r="K867" s="217"/>
      <c r="L867" s="225" t="str">
        <f>IFERROR(VLOOKUP(B867, Data_Validation!X:Y, 2, FALSE), "")</f>
        <v/>
      </c>
      <c r="M867" s="226" t="str">
        <f t="shared" si="1"/>
        <v> |  -  | </v>
      </c>
      <c r="N867" s="226"/>
      <c r="O867" s="226"/>
    </row>
    <row r="868" ht="24.0" customHeight="1">
      <c r="A868" s="216" t="str">
        <f>IFERROR(__xludf.DUMMYFUNCTION("ARRAYFORMULA(IFERROR(VLOOKUP(REGEXEXTRACT(B868, ""-(\w+)-""), {Data_Validation!$F$16:$F$29, Data_Validation!$E$16:$E$29}, 2, FALSE), """"))
"),"")</f>
        <v/>
      </c>
      <c r="B868" s="217"/>
      <c r="C868" s="218" t="str">
        <f>IFERROR(__xludf.DUMMYFUNCTION("IFERROR(REGEXEXTRACT(B868, ""^[A-Z]+-[A-Z]+-"") &amp; TEXT(VALUE(REGEXEXTRACT(B868, ""-(\d+)\."")), ""00""), """")"),"")</f>
        <v/>
      </c>
      <c r="D868" s="219" t="str">
        <f>IFERROR(VLOOKUP(C868, Content_Creation!B:D, 2, FALSE), IFERROR(VLOOKUP(C868, Project_Management!B:D, 2, FALSE), ""))
&amp; " - "
&amp; IFERROR(VLOOKUP(C868, Content_Creation!B:E, 4, FALSE), IFERROR(VLOOKUP(C868, Project_Management!B:E, 4, FALSE), ""))</f>
        <v> - </v>
      </c>
      <c r="E868" s="220" t="str">
        <f>IFERROR(
    VLOOKUP(B867:B1001, Content_Creation!B:D, 3, FALSE),
    IFERROR(VLOOKUP(B867:B1001, Project_Management!B:D, 3, FALSE),"")
  )</f>
        <v/>
      </c>
      <c r="F868" s="221" t="str">
        <f>IFERROR(VLOOKUP(B868, Content_Creation!B:F, 5, FALSE), IFERROR(VLOOKUP(B868, Project_Management!B:F, 5, FALSE), ""))</f>
        <v/>
      </c>
      <c r="G868" s="267" t="s">
        <v>1317</v>
      </c>
      <c r="H868" s="223" t="str">
        <f>IFERROR(VLOOKUP(B868, Content_Creation!B:H, 7, FALSE), IFERROR(VLOOKUP(B868, Project_Management!B:H, 7, FALSE), ""))</f>
        <v/>
      </c>
      <c r="I868" s="224">
        <v>0.0</v>
      </c>
      <c r="J868" s="217"/>
      <c r="K868" s="217"/>
      <c r="L868" s="225" t="str">
        <f>IFERROR(VLOOKUP(B868, Data_Validation!X:Y, 2, FALSE), "")</f>
        <v/>
      </c>
      <c r="M868" s="226" t="str">
        <f t="shared" si="1"/>
        <v> |  -  | </v>
      </c>
      <c r="N868" s="226"/>
      <c r="O868" s="226"/>
    </row>
    <row r="869" ht="24.0" customHeight="1">
      <c r="A869" s="216" t="str">
        <f>IFERROR(__xludf.DUMMYFUNCTION("ARRAYFORMULA(IFERROR(VLOOKUP(REGEXEXTRACT(B869, ""-(\w+)-""), {Data_Validation!$F$16:$F$29, Data_Validation!$E$16:$E$29}, 2, FALSE), """"))
"),"")</f>
        <v/>
      </c>
      <c r="B869" s="217"/>
      <c r="C869" s="218" t="str">
        <f>IFERROR(__xludf.DUMMYFUNCTION("IFERROR(REGEXEXTRACT(B869, ""^[A-Z]+-[A-Z]+-"") &amp; TEXT(VALUE(REGEXEXTRACT(B869, ""-(\d+)\."")), ""00""), """")"),"")</f>
        <v/>
      </c>
      <c r="D869" s="219" t="str">
        <f>IFERROR(VLOOKUP(C869, Content_Creation!B:D, 2, FALSE), IFERROR(VLOOKUP(C869, Project_Management!B:D, 2, FALSE), ""))
&amp; " - "
&amp; IFERROR(VLOOKUP(C869, Content_Creation!B:E, 4, FALSE), IFERROR(VLOOKUP(C869, Project_Management!B:E, 4, FALSE), ""))</f>
        <v> - </v>
      </c>
      <c r="E869" s="220" t="str">
        <f>IFERROR(
    VLOOKUP(B868:B1001, Content_Creation!B:D, 3, FALSE),
    IFERROR(VLOOKUP(B868:B1001, Project_Management!B:D, 3, FALSE),"")
  )</f>
        <v/>
      </c>
      <c r="F869" s="221" t="str">
        <f>IFERROR(VLOOKUP(B869, Content_Creation!B:F, 5, FALSE), IFERROR(VLOOKUP(B869, Project_Management!B:F, 5, FALSE), ""))</f>
        <v/>
      </c>
      <c r="G869" s="267" t="s">
        <v>1317</v>
      </c>
      <c r="H869" s="223" t="str">
        <f>IFERROR(VLOOKUP(B869, Content_Creation!B:H, 7, FALSE), IFERROR(VLOOKUP(B869, Project_Management!B:H, 7, FALSE), ""))</f>
        <v/>
      </c>
      <c r="I869" s="224">
        <v>0.0</v>
      </c>
      <c r="J869" s="217"/>
      <c r="K869" s="217"/>
      <c r="L869" s="225" t="str">
        <f>IFERROR(VLOOKUP(B869, Data_Validation!X:Y, 2, FALSE), "")</f>
        <v/>
      </c>
      <c r="M869" s="226" t="str">
        <f t="shared" si="1"/>
        <v> |  -  | </v>
      </c>
      <c r="N869" s="226"/>
      <c r="O869" s="226"/>
    </row>
    <row r="870" ht="24.0" customHeight="1">
      <c r="A870" s="216" t="str">
        <f>IFERROR(__xludf.DUMMYFUNCTION("ARRAYFORMULA(IFERROR(VLOOKUP(REGEXEXTRACT(B870, ""-(\w+)-""), {Data_Validation!$F$16:$F$29, Data_Validation!$E$16:$E$29}, 2, FALSE), """"))
"),"")</f>
        <v/>
      </c>
      <c r="B870" s="217"/>
      <c r="C870" s="218" t="str">
        <f>IFERROR(__xludf.DUMMYFUNCTION("IFERROR(REGEXEXTRACT(B870, ""^[A-Z]+-[A-Z]+-"") &amp; TEXT(VALUE(REGEXEXTRACT(B870, ""-(\d+)\."")), ""00""), """")"),"")</f>
        <v/>
      </c>
      <c r="D870" s="219" t="str">
        <f>IFERROR(VLOOKUP(C870, Content_Creation!B:D, 2, FALSE), IFERROR(VLOOKUP(C870, Project_Management!B:D, 2, FALSE), ""))
&amp; " - "
&amp; IFERROR(VLOOKUP(C870, Content_Creation!B:E, 4, FALSE), IFERROR(VLOOKUP(C870, Project_Management!B:E, 4, FALSE), ""))</f>
        <v> - </v>
      </c>
      <c r="E870" s="220" t="str">
        <f>IFERROR(
    VLOOKUP(B869:B1001, Content_Creation!B:D, 3, FALSE),
    IFERROR(VLOOKUP(B869:B1001, Project_Management!B:D, 3, FALSE),"")
  )</f>
        <v/>
      </c>
      <c r="F870" s="221" t="str">
        <f>IFERROR(VLOOKUP(B870, Content_Creation!B:F, 5, FALSE), IFERROR(VLOOKUP(B870, Project_Management!B:F, 5, FALSE), ""))</f>
        <v/>
      </c>
      <c r="G870" s="267" t="s">
        <v>1317</v>
      </c>
      <c r="H870" s="223" t="str">
        <f>IFERROR(VLOOKUP(B870, Content_Creation!B:H, 7, FALSE), IFERROR(VLOOKUP(B870, Project_Management!B:H, 7, FALSE), ""))</f>
        <v/>
      </c>
      <c r="I870" s="224">
        <v>0.0</v>
      </c>
      <c r="J870" s="217"/>
      <c r="K870" s="217"/>
      <c r="L870" s="225" t="str">
        <f>IFERROR(VLOOKUP(B870, Data_Validation!X:Y, 2, FALSE), "")</f>
        <v/>
      </c>
      <c r="M870" s="226" t="str">
        <f t="shared" si="1"/>
        <v> |  -  | </v>
      </c>
      <c r="N870" s="226"/>
      <c r="O870" s="226"/>
    </row>
    <row r="871" ht="24.0" customHeight="1">
      <c r="A871" s="216" t="str">
        <f>IFERROR(__xludf.DUMMYFUNCTION("ARRAYFORMULA(IFERROR(VLOOKUP(REGEXEXTRACT(B871, ""-(\w+)-""), {Data_Validation!$F$16:$F$29, Data_Validation!$E$16:$E$29}, 2, FALSE), """"))
"),"")</f>
        <v/>
      </c>
      <c r="B871" s="217"/>
      <c r="C871" s="218" t="str">
        <f>IFERROR(__xludf.DUMMYFUNCTION("IFERROR(REGEXEXTRACT(B871, ""^[A-Z]+-[A-Z]+-"") &amp; TEXT(VALUE(REGEXEXTRACT(B871, ""-(\d+)\."")), ""00""), """")"),"")</f>
        <v/>
      </c>
      <c r="D871" s="219" t="str">
        <f>IFERROR(VLOOKUP(C871, Content_Creation!B:D, 2, FALSE), IFERROR(VLOOKUP(C871, Project_Management!B:D, 2, FALSE), ""))
&amp; " - "
&amp; IFERROR(VLOOKUP(C871, Content_Creation!B:E, 4, FALSE), IFERROR(VLOOKUP(C871, Project_Management!B:E, 4, FALSE), ""))</f>
        <v> - </v>
      </c>
      <c r="E871" s="220" t="str">
        <f>IFERROR(
    VLOOKUP(B870:B1001, Content_Creation!B:D, 3, FALSE),
    IFERROR(VLOOKUP(B870:B1001, Project_Management!B:D, 3, FALSE),"")
  )</f>
        <v/>
      </c>
      <c r="F871" s="221" t="str">
        <f>IFERROR(VLOOKUP(B871, Content_Creation!B:F, 5, FALSE), IFERROR(VLOOKUP(B871, Project_Management!B:F, 5, FALSE), ""))</f>
        <v/>
      </c>
      <c r="G871" s="267" t="s">
        <v>1317</v>
      </c>
      <c r="H871" s="223" t="str">
        <f>IFERROR(VLOOKUP(B871, Content_Creation!B:H, 7, FALSE), IFERROR(VLOOKUP(B871, Project_Management!B:H, 7, FALSE), ""))</f>
        <v/>
      </c>
      <c r="I871" s="224">
        <v>0.0</v>
      </c>
      <c r="J871" s="217"/>
      <c r="K871" s="217"/>
      <c r="L871" s="225" t="str">
        <f>IFERROR(VLOOKUP(B871, Data_Validation!X:Y, 2, FALSE), "")</f>
        <v/>
      </c>
      <c r="M871" s="226" t="str">
        <f t="shared" si="1"/>
        <v> |  -  | </v>
      </c>
      <c r="N871" s="226"/>
      <c r="O871" s="226"/>
    </row>
    <row r="872" ht="24.0" customHeight="1">
      <c r="A872" s="216" t="str">
        <f>IFERROR(__xludf.DUMMYFUNCTION("ARRAYFORMULA(IFERROR(VLOOKUP(REGEXEXTRACT(B872, ""-(\w+)-""), {Data_Validation!$F$16:$F$29, Data_Validation!$E$16:$E$29}, 2, FALSE), """"))
"),"")</f>
        <v/>
      </c>
      <c r="B872" s="217"/>
      <c r="C872" s="218" t="str">
        <f>IFERROR(__xludf.DUMMYFUNCTION("IFERROR(REGEXEXTRACT(B872, ""^[A-Z]+-[A-Z]+-"") &amp; TEXT(VALUE(REGEXEXTRACT(B872, ""-(\d+)\."")), ""00""), """")"),"")</f>
        <v/>
      </c>
      <c r="D872" s="219" t="str">
        <f>IFERROR(VLOOKUP(C872, Content_Creation!B:D, 2, FALSE), IFERROR(VLOOKUP(C872, Project_Management!B:D, 2, FALSE), ""))
&amp; " - "
&amp; IFERROR(VLOOKUP(C872, Content_Creation!B:E, 4, FALSE), IFERROR(VLOOKUP(C872, Project_Management!B:E, 4, FALSE), ""))</f>
        <v> - </v>
      </c>
      <c r="E872" s="220" t="str">
        <f>IFERROR(
    VLOOKUP(B871:B1001, Content_Creation!B:D, 3, FALSE),
    IFERROR(VLOOKUP(B871:B1001, Project_Management!B:D, 3, FALSE),"")
  )</f>
        <v/>
      </c>
      <c r="F872" s="221" t="str">
        <f>IFERROR(VLOOKUP(B872, Content_Creation!B:F, 5, FALSE), IFERROR(VLOOKUP(B872, Project_Management!B:F, 5, FALSE), ""))</f>
        <v/>
      </c>
      <c r="G872" s="267" t="s">
        <v>1317</v>
      </c>
      <c r="H872" s="223" t="str">
        <f>IFERROR(VLOOKUP(B872, Content_Creation!B:H, 7, FALSE), IFERROR(VLOOKUP(B872, Project_Management!B:H, 7, FALSE), ""))</f>
        <v/>
      </c>
      <c r="I872" s="224">
        <v>0.0</v>
      </c>
      <c r="J872" s="217"/>
      <c r="K872" s="217"/>
      <c r="L872" s="225" t="str">
        <f>IFERROR(VLOOKUP(B872, Data_Validation!X:Y, 2, FALSE), "")</f>
        <v/>
      </c>
      <c r="M872" s="226" t="str">
        <f t="shared" si="1"/>
        <v> |  -  | </v>
      </c>
      <c r="N872" s="226"/>
      <c r="O872" s="226"/>
    </row>
    <row r="873" ht="24.0" customHeight="1">
      <c r="A873" s="216" t="str">
        <f>IFERROR(__xludf.DUMMYFUNCTION("ARRAYFORMULA(IFERROR(VLOOKUP(REGEXEXTRACT(B873, ""-(\w+)-""), {Data_Validation!$F$16:$F$29, Data_Validation!$E$16:$E$29}, 2, FALSE), """"))
"),"")</f>
        <v/>
      </c>
      <c r="B873" s="217"/>
      <c r="C873" s="218" t="str">
        <f>IFERROR(__xludf.DUMMYFUNCTION("IFERROR(REGEXEXTRACT(B873, ""^[A-Z]+-[A-Z]+-"") &amp; TEXT(VALUE(REGEXEXTRACT(B873, ""-(\d+)\."")), ""00""), """")"),"")</f>
        <v/>
      </c>
      <c r="D873" s="219" t="str">
        <f>IFERROR(VLOOKUP(C873, Content_Creation!B:D, 2, FALSE), IFERROR(VLOOKUP(C873, Project_Management!B:D, 2, FALSE), ""))
&amp; " - "
&amp; IFERROR(VLOOKUP(C873, Content_Creation!B:E, 4, FALSE), IFERROR(VLOOKUP(C873, Project_Management!B:E, 4, FALSE), ""))</f>
        <v> - </v>
      </c>
      <c r="E873" s="220" t="str">
        <f>IFERROR(
    VLOOKUP(B872:B1001, Content_Creation!B:D, 3, FALSE),
    IFERROR(VLOOKUP(B872:B1001, Project_Management!B:D, 3, FALSE),"")
  )</f>
        <v/>
      </c>
      <c r="F873" s="221" t="str">
        <f>IFERROR(VLOOKUP(B873, Content_Creation!B:F, 5, FALSE), IFERROR(VLOOKUP(B873, Project_Management!B:F, 5, FALSE), ""))</f>
        <v/>
      </c>
      <c r="G873" s="267" t="s">
        <v>1317</v>
      </c>
      <c r="H873" s="223" t="str">
        <f>IFERROR(VLOOKUP(B873, Content_Creation!B:H, 7, FALSE), IFERROR(VLOOKUP(B873, Project_Management!B:H, 7, FALSE), ""))</f>
        <v/>
      </c>
      <c r="I873" s="224">
        <v>0.0</v>
      </c>
      <c r="J873" s="217"/>
      <c r="K873" s="217"/>
      <c r="L873" s="225" t="str">
        <f>IFERROR(VLOOKUP(B873, Data_Validation!X:Y, 2, FALSE), "")</f>
        <v/>
      </c>
      <c r="M873" s="226" t="str">
        <f t="shared" si="1"/>
        <v> |  -  | </v>
      </c>
      <c r="N873" s="226"/>
      <c r="O873" s="226"/>
    </row>
    <row r="874" ht="24.0" customHeight="1">
      <c r="A874" s="216" t="str">
        <f>IFERROR(__xludf.DUMMYFUNCTION("ARRAYFORMULA(IFERROR(VLOOKUP(REGEXEXTRACT(B874, ""-(\w+)-""), {Data_Validation!$F$16:$F$29, Data_Validation!$E$16:$E$29}, 2, FALSE), """"))
"),"")</f>
        <v/>
      </c>
      <c r="B874" s="217"/>
      <c r="C874" s="218" t="str">
        <f>IFERROR(__xludf.DUMMYFUNCTION("IFERROR(REGEXEXTRACT(B874, ""^[A-Z]+-[A-Z]+-"") &amp; TEXT(VALUE(REGEXEXTRACT(B874, ""-(\d+)\."")), ""00""), """")"),"")</f>
        <v/>
      </c>
      <c r="D874" s="219" t="str">
        <f>IFERROR(VLOOKUP(C874, Content_Creation!B:D, 2, FALSE), IFERROR(VLOOKUP(C874, Project_Management!B:D, 2, FALSE), ""))
&amp; " - "
&amp; IFERROR(VLOOKUP(C874, Content_Creation!B:E, 4, FALSE), IFERROR(VLOOKUP(C874, Project_Management!B:E, 4, FALSE), ""))</f>
        <v> - </v>
      </c>
      <c r="E874" s="220" t="str">
        <f>IFERROR(
    VLOOKUP(B873:B1001, Content_Creation!B:D, 3, FALSE),
    IFERROR(VLOOKUP(B873:B1001, Project_Management!B:D, 3, FALSE),"")
  )</f>
        <v/>
      </c>
      <c r="F874" s="221" t="str">
        <f>IFERROR(VLOOKUP(B874, Content_Creation!B:F, 5, FALSE), IFERROR(VLOOKUP(B874, Project_Management!B:F, 5, FALSE), ""))</f>
        <v/>
      </c>
      <c r="G874" s="267" t="s">
        <v>1317</v>
      </c>
      <c r="H874" s="223" t="str">
        <f>IFERROR(VLOOKUP(B874, Content_Creation!B:H, 7, FALSE), IFERROR(VLOOKUP(B874, Project_Management!B:H, 7, FALSE), ""))</f>
        <v/>
      </c>
      <c r="I874" s="224">
        <v>0.0</v>
      </c>
      <c r="J874" s="217"/>
      <c r="K874" s="217"/>
      <c r="L874" s="225" t="str">
        <f>IFERROR(VLOOKUP(B874, Data_Validation!X:Y, 2, FALSE), "")</f>
        <v/>
      </c>
      <c r="M874" s="226" t="str">
        <f t="shared" si="1"/>
        <v> |  -  | </v>
      </c>
      <c r="N874" s="226"/>
      <c r="O874" s="226"/>
    </row>
    <row r="875" ht="24.0" customHeight="1">
      <c r="A875" s="216" t="str">
        <f>IFERROR(__xludf.DUMMYFUNCTION("ARRAYFORMULA(IFERROR(VLOOKUP(REGEXEXTRACT(B875, ""-(\w+)-""), {Data_Validation!$F$16:$F$29, Data_Validation!$E$16:$E$29}, 2, FALSE), """"))
"),"")</f>
        <v/>
      </c>
      <c r="B875" s="217"/>
      <c r="C875" s="218" t="str">
        <f>IFERROR(__xludf.DUMMYFUNCTION("IFERROR(REGEXEXTRACT(B875, ""^[A-Z]+-[A-Z]+-"") &amp; TEXT(VALUE(REGEXEXTRACT(B875, ""-(\d+)\."")), ""00""), """")"),"")</f>
        <v/>
      </c>
      <c r="D875" s="219" t="str">
        <f>IFERROR(VLOOKUP(C875, Content_Creation!B:D, 2, FALSE), IFERROR(VLOOKUP(C875, Project_Management!B:D, 2, FALSE), ""))
&amp; " - "
&amp; IFERROR(VLOOKUP(C875, Content_Creation!B:E, 4, FALSE), IFERROR(VLOOKUP(C875, Project_Management!B:E, 4, FALSE), ""))</f>
        <v> - </v>
      </c>
      <c r="E875" s="220" t="str">
        <f>IFERROR(
    VLOOKUP(B874:B1001, Content_Creation!B:D, 3, FALSE),
    IFERROR(VLOOKUP(B874:B1001, Project_Management!B:D, 3, FALSE),"")
  )</f>
        <v/>
      </c>
      <c r="F875" s="221" t="str">
        <f>IFERROR(VLOOKUP(B875, Content_Creation!B:F, 5, FALSE), IFERROR(VLOOKUP(B875, Project_Management!B:F, 5, FALSE), ""))</f>
        <v/>
      </c>
      <c r="G875" s="267" t="s">
        <v>1317</v>
      </c>
      <c r="H875" s="223" t="str">
        <f>IFERROR(VLOOKUP(B875, Content_Creation!B:H, 7, FALSE), IFERROR(VLOOKUP(B875, Project_Management!B:H, 7, FALSE), ""))</f>
        <v/>
      </c>
      <c r="I875" s="224">
        <v>0.0</v>
      </c>
      <c r="J875" s="217"/>
      <c r="K875" s="217"/>
      <c r="L875" s="225" t="str">
        <f>IFERROR(VLOOKUP(B875, Data_Validation!X:Y, 2, FALSE), "")</f>
        <v/>
      </c>
      <c r="M875" s="226" t="str">
        <f t="shared" si="1"/>
        <v> |  -  | </v>
      </c>
      <c r="N875" s="226"/>
      <c r="O875" s="226"/>
    </row>
    <row r="876" ht="24.0" customHeight="1">
      <c r="A876" s="216" t="str">
        <f>IFERROR(__xludf.DUMMYFUNCTION("ARRAYFORMULA(IFERROR(VLOOKUP(REGEXEXTRACT(B876, ""-(\w+)-""), {Data_Validation!$F$16:$F$29, Data_Validation!$E$16:$E$29}, 2, FALSE), """"))
"),"")</f>
        <v/>
      </c>
      <c r="B876" s="217"/>
      <c r="C876" s="218" t="str">
        <f>IFERROR(__xludf.DUMMYFUNCTION("IFERROR(REGEXEXTRACT(B876, ""^[A-Z]+-[A-Z]+-"") &amp; TEXT(VALUE(REGEXEXTRACT(B876, ""-(\d+)\."")), ""00""), """")"),"")</f>
        <v/>
      </c>
      <c r="D876" s="219" t="str">
        <f>IFERROR(VLOOKUP(C876, Content_Creation!B:D, 2, FALSE), IFERROR(VLOOKUP(C876, Project_Management!B:D, 2, FALSE), ""))
&amp; " - "
&amp; IFERROR(VLOOKUP(C876, Content_Creation!B:E, 4, FALSE), IFERROR(VLOOKUP(C876, Project_Management!B:E, 4, FALSE), ""))</f>
        <v> - </v>
      </c>
      <c r="E876" s="220" t="str">
        <f>IFERROR(
    VLOOKUP(B875:B1001, Content_Creation!B:D, 3, FALSE),
    IFERROR(VLOOKUP(B875:B1001, Project_Management!B:D, 3, FALSE),"")
  )</f>
        <v/>
      </c>
      <c r="F876" s="221" t="str">
        <f>IFERROR(VLOOKUP(B876, Content_Creation!B:F, 5, FALSE), IFERROR(VLOOKUP(B876, Project_Management!B:F, 5, FALSE), ""))</f>
        <v/>
      </c>
      <c r="G876" s="267" t="s">
        <v>1317</v>
      </c>
      <c r="H876" s="223" t="str">
        <f>IFERROR(VLOOKUP(B876, Content_Creation!B:H, 7, FALSE), IFERROR(VLOOKUP(B876, Project_Management!B:H, 7, FALSE), ""))</f>
        <v/>
      </c>
      <c r="I876" s="224">
        <v>0.0</v>
      </c>
      <c r="J876" s="217"/>
      <c r="K876" s="217"/>
      <c r="L876" s="225" t="str">
        <f>IFERROR(VLOOKUP(B876, Data_Validation!X:Y, 2, FALSE), "")</f>
        <v/>
      </c>
      <c r="M876" s="226" t="str">
        <f t="shared" si="1"/>
        <v> |  -  | </v>
      </c>
      <c r="N876" s="226"/>
      <c r="O876" s="226"/>
    </row>
    <row r="877" ht="24.0" customHeight="1">
      <c r="A877" s="216" t="str">
        <f>IFERROR(__xludf.DUMMYFUNCTION("ARRAYFORMULA(IFERROR(VLOOKUP(REGEXEXTRACT(B877, ""-(\w+)-""), {Data_Validation!$F$16:$F$29, Data_Validation!$E$16:$E$29}, 2, FALSE), """"))
"),"")</f>
        <v/>
      </c>
      <c r="B877" s="217"/>
      <c r="C877" s="218" t="str">
        <f>IFERROR(__xludf.DUMMYFUNCTION("IFERROR(REGEXEXTRACT(B877, ""^[A-Z]+-[A-Z]+-"") &amp; TEXT(VALUE(REGEXEXTRACT(B877, ""-(\d+)\."")), ""00""), """")"),"")</f>
        <v/>
      </c>
      <c r="D877" s="219" t="str">
        <f>IFERROR(VLOOKUP(C877, Content_Creation!B:D, 2, FALSE), IFERROR(VLOOKUP(C877, Project_Management!B:D, 2, FALSE), ""))
&amp; " - "
&amp; IFERROR(VLOOKUP(C877, Content_Creation!B:E, 4, FALSE), IFERROR(VLOOKUP(C877, Project_Management!B:E, 4, FALSE), ""))</f>
        <v> - </v>
      </c>
      <c r="E877" s="220" t="str">
        <f>IFERROR(
    VLOOKUP(B876:B1001, Content_Creation!B:D, 3, FALSE),
    IFERROR(VLOOKUP(B876:B1001, Project_Management!B:D, 3, FALSE),"")
  )</f>
        <v/>
      </c>
      <c r="F877" s="221" t="str">
        <f>IFERROR(VLOOKUP(B877, Content_Creation!B:F, 5, FALSE), IFERROR(VLOOKUP(B877, Project_Management!B:F, 5, FALSE), ""))</f>
        <v/>
      </c>
      <c r="G877" s="267" t="s">
        <v>1317</v>
      </c>
      <c r="H877" s="223" t="str">
        <f>IFERROR(VLOOKUP(B877, Content_Creation!B:H, 7, FALSE), IFERROR(VLOOKUP(B877, Project_Management!B:H, 7, FALSE), ""))</f>
        <v/>
      </c>
      <c r="I877" s="224">
        <v>0.0</v>
      </c>
      <c r="J877" s="217"/>
      <c r="K877" s="217"/>
      <c r="L877" s="225" t="str">
        <f>IFERROR(VLOOKUP(B877, Data_Validation!X:Y, 2, FALSE), "")</f>
        <v/>
      </c>
      <c r="M877" s="226" t="str">
        <f t="shared" si="1"/>
        <v> |  -  | </v>
      </c>
      <c r="N877" s="226"/>
      <c r="O877" s="226"/>
    </row>
    <row r="878" ht="24.0" customHeight="1">
      <c r="A878" s="216" t="str">
        <f>IFERROR(__xludf.DUMMYFUNCTION("ARRAYFORMULA(IFERROR(VLOOKUP(REGEXEXTRACT(B878, ""-(\w+)-""), {Data_Validation!$F$16:$F$29, Data_Validation!$E$16:$E$29}, 2, FALSE), """"))
"),"")</f>
        <v/>
      </c>
      <c r="B878" s="217"/>
      <c r="C878" s="218" t="str">
        <f>IFERROR(__xludf.DUMMYFUNCTION("IFERROR(REGEXEXTRACT(B878, ""^[A-Z]+-[A-Z]+-"") &amp; TEXT(VALUE(REGEXEXTRACT(B878, ""-(\d+)\."")), ""00""), """")"),"")</f>
        <v/>
      </c>
      <c r="D878" s="219" t="str">
        <f>IFERROR(VLOOKUP(C878, Content_Creation!B:D, 2, FALSE), IFERROR(VLOOKUP(C878, Project_Management!B:D, 2, FALSE), ""))
&amp; " - "
&amp; IFERROR(VLOOKUP(C878, Content_Creation!B:E, 4, FALSE), IFERROR(VLOOKUP(C878, Project_Management!B:E, 4, FALSE), ""))</f>
        <v> - </v>
      </c>
      <c r="E878" s="220" t="str">
        <f>IFERROR(
    VLOOKUP(B877:B1001, Content_Creation!B:D, 3, FALSE),
    IFERROR(VLOOKUP(B877:B1001, Project_Management!B:D, 3, FALSE),"")
  )</f>
        <v/>
      </c>
      <c r="F878" s="221" t="str">
        <f>IFERROR(VLOOKUP(B878, Content_Creation!B:F, 5, FALSE), IFERROR(VLOOKUP(B878, Project_Management!B:F, 5, FALSE), ""))</f>
        <v/>
      </c>
      <c r="G878" s="267" t="s">
        <v>1317</v>
      </c>
      <c r="H878" s="223" t="str">
        <f>IFERROR(VLOOKUP(B878, Content_Creation!B:H, 7, FALSE), IFERROR(VLOOKUP(B878, Project_Management!B:H, 7, FALSE), ""))</f>
        <v/>
      </c>
      <c r="I878" s="224">
        <v>0.0</v>
      </c>
      <c r="J878" s="217"/>
      <c r="K878" s="217"/>
      <c r="L878" s="225" t="str">
        <f>IFERROR(VLOOKUP(B878, Data_Validation!X:Y, 2, FALSE), "")</f>
        <v/>
      </c>
      <c r="M878" s="226" t="str">
        <f t="shared" si="1"/>
        <v> |  -  | </v>
      </c>
      <c r="N878" s="226"/>
      <c r="O878" s="226"/>
    </row>
    <row r="879" ht="24.0" customHeight="1">
      <c r="A879" s="216" t="str">
        <f>IFERROR(__xludf.DUMMYFUNCTION("ARRAYFORMULA(IFERROR(VLOOKUP(REGEXEXTRACT(B879, ""-(\w+)-""), {Data_Validation!$F$16:$F$29, Data_Validation!$E$16:$E$29}, 2, FALSE), """"))
"),"")</f>
        <v/>
      </c>
      <c r="B879" s="217"/>
      <c r="C879" s="218" t="str">
        <f>IFERROR(__xludf.DUMMYFUNCTION("IFERROR(REGEXEXTRACT(B879, ""^[A-Z]+-[A-Z]+-"") &amp; TEXT(VALUE(REGEXEXTRACT(B879, ""-(\d+)\."")), ""00""), """")"),"")</f>
        <v/>
      </c>
      <c r="D879" s="219" t="str">
        <f>IFERROR(VLOOKUP(C879, Content_Creation!B:D, 2, FALSE), IFERROR(VLOOKUP(C879, Project_Management!B:D, 2, FALSE), ""))
&amp; " - "
&amp; IFERROR(VLOOKUP(C879, Content_Creation!B:E, 4, FALSE), IFERROR(VLOOKUP(C879, Project_Management!B:E, 4, FALSE), ""))</f>
        <v> - </v>
      </c>
      <c r="E879" s="220" t="str">
        <f>IFERROR(
    VLOOKUP(B878:B1001, Content_Creation!B:D, 3, FALSE),
    IFERROR(VLOOKUP(B878:B1001, Project_Management!B:D, 3, FALSE),"")
  )</f>
        <v/>
      </c>
      <c r="F879" s="221" t="str">
        <f>IFERROR(VLOOKUP(B879, Content_Creation!B:F, 5, FALSE), IFERROR(VLOOKUP(B879, Project_Management!B:F, 5, FALSE), ""))</f>
        <v/>
      </c>
      <c r="G879" s="267" t="s">
        <v>1317</v>
      </c>
      <c r="H879" s="223" t="str">
        <f>IFERROR(VLOOKUP(B879, Content_Creation!B:H, 7, FALSE), IFERROR(VLOOKUP(B879, Project_Management!B:H, 7, FALSE), ""))</f>
        <v/>
      </c>
      <c r="I879" s="224">
        <v>0.0</v>
      </c>
      <c r="J879" s="217"/>
      <c r="K879" s="217"/>
      <c r="L879" s="225" t="str">
        <f>IFERROR(VLOOKUP(B879, Data_Validation!X:Y, 2, FALSE), "")</f>
        <v/>
      </c>
      <c r="M879" s="226" t="str">
        <f t="shared" si="1"/>
        <v> |  -  | </v>
      </c>
      <c r="N879" s="226"/>
      <c r="O879" s="226"/>
    </row>
    <row r="880" ht="24.0" customHeight="1">
      <c r="A880" s="216" t="str">
        <f>IFERROR(__xludf.DUMMYFUNCTION("ARRAYFORMULA(IFERROR(VLOOKUP(REGEXEXTRACT(B880, ""-(\w+)-""), {Data_Validation!$F$16:$F$29, Data_Validation!$E$16:$E$29}, 2, FALSE), """"))
"),"")</f>
        <v/>
      </c>
      <c r="B880" s="217"/>
      <c r="C880" s="218" t="str">
        <f>IFERROR(__xludf.DUMMYFUNCTION("IFERROR(REGEXEXTRACT(B880, ""^[A-Z]+-[A-Z]+-"") &amp; TEXT(VALUE(REGEXEXTRACT(B880, ""-(\d+)\."")), ""00""), """")"),"")</f>
        <v/>
      </c>
      <c r="D880" s="219" t="str">
        <f>IFERROR(VLOOKUP(C880, Content_Creation!B:D, 2, FALSE), IFERROR(VLOOKUP(C880, Project_Management!B:D, 2, FALSE), ""))
&amp; " - "
&amp; IFERROR(VLOOKUP(C880, Content_Creation!B:E, 4, FALSE), IFERROR(VLOOKUP(C880, Project_Management!B:E, 4, FALSE), ""))</f>
        <v> - </v>
      </c>
      <c r="E880" s="220" t="str">
        <f>IFERROR(
    VLOOKUP(B879:B1001, Content_Creation!B:D, 3, FALSE),
    IFERROR(VLOOKUP(B879:B1001, Project_Management!B:D, 3, FALSE),"")
  )</f>
        <v/>
      </c>
      <c r="F880" s="221" t="str">
        <f>IFERROR(VLOOKUP(B880, Content_Creation!B:F, 5, FALSE), IFERROR(VLOOKUP(B880, Project_Management!B:F, 5, FALSE), ""))</f>
        <v/>
      </c>
      <c r="G880" s="267" t="s">
        <v>1317</v>
      </c>
      <c r="H880" s="223" t="str">
        <f>IFERROR(VLOOKUP(B880, Content_Creation!B:H, 7, FALSE), IFERROR(VLOOKUP(B880, Project_Management!B:H, 7, FALSE), ""))</f>
        <v/>
      </c>
      <c r="I880" s="224">
        <v>0.0</v>
      </c>
      <c r="J880" s="217"/>
      <c r="K880" s="217"/>
      <c r="L880" s="225" t="str">
        <f>IFERROR(VLOOKUP(B880, Data_Validation!X:Y, 2, FALSE), "")</f>
        <v/>
      </c>
      <c r="M880" s="226" t="str">
        <f t="shared" si="1"/>
        <v> |  -  | </v>
      </c>
      <c r="N880" s="226"/>
      <c r="O880" s="226"/>
    </row>
    <row r="881" ht="24.0" customHeight="1">
      <c r="A881" s="216" t="str">
        <f>IFERROR(__xludf.DUMMYFUNCTION("ARRAYFORMULA(IFERROR(VLOOKUP(REGEXEXTRACT(B881, ""-(\w+)-""), {Data_Validation!$F$16:$F$29, Data_Validation!$E$16:$E$29}, 2, FALSE), """"))
"),"")</f>
        <v/>
      </c>
      <c r="B881" s="217"/>
      <c r="C881" s="218" t="str">
        <f>IFERROR(__xludf.DUMMYFUNCTION("IFERROR(REGEXEXTRACT(B881, ""^[A-Z]+-[A-Z]+-"") &amp; TEXT(VALUE(REGEXEXTRACT(B881, ""-(\d+)\."")), ""00""), """")"),"")</f>
        <v/>
      </c>
      <c r="D881" s="219" t="str">
        <f>IFERROR(VLOOKUP(C881, Content_Creation!B:D, 2, FALSE), IFERROR(VLOOKUP(C881, Project_Management!B:D, 2, FALSE), ""))
&amp; " - "
&amp; IFERROR(VLOOKUP(C881, Content_Creation!B:E, 4, FALSE), IFERROR(VLOOKUP(C881, Project_Management!B:E, 4, FALSE), ""))</f>
        <v> - </v>
      </c>
      <c r="E881" s="220" t="str">
        <f>IFERROR(
    VLOOKUP(B880:B1001, Content_Creation!B:D, 3, FALSE),
    IFERROR(VLOOKUP(B880:B1001, Project_Management!B:D, 3, FALSE),"")
  )</f>
        <v/>
      </c>
      <c r="F881" s="221" t="str">
        <f>IFERROR(VLOOKUP(B881, Content_Creation!B:F, 5, FALSE), IFERROR(VLOOKUP(B881, Project_Management!B:F, 5, FALSE), ""))</f>
        <v/>
      </c>
      <c r="G881" s="267" t="s">
        <v>1317</v>
      </c>
      <c r="H881" s="223" t="str">
        <f>IFERROR(VLOOKUP(B881, Content_Creation!B:H, 7, FALSE), IFERROR(VLOOKUP(B881, Project_Management!B:H, 7, FALSE), ""))</f>
        <v/>
      </c>
      <c r="I881" s="224">
        <v>0.0</v>
      </c>
      <c r="J881" s="217"/>
      <c r="K881" s="217"/>
      <c r="L881" s="225" t="str">
        <f>IFERROR(VLOOKUP(B881, Data_Validation!X:Y, 2, FALSE), "")</f>
        <v/>
      </c>
      <c r="M881" s="226" t="str">
        <f t="shared" si="1"/>
        <v> |  -  | </v>
      </c>
      <c r="N881" s="226"/>
      <c r="O881" s="226"/>
    </row>
    <row r="882" ht="24.0" customHeight="1">
      <c r="A882" s="216" t="str">
        <f>IFERROR(__xludf.DUMMYFUNCTION("ARRAYFORMULA(IFERROR(VLOOKUP(REGEXEXTRACT(B882, ""-(\w+)-""), {Data_Validation!$F$16:$F$29, Data_Validation!$E$16:$E$29}, 2, FALSE), """"))
"),"")</f>
        <v/>
      </c>
      <c r="B882" s="217"/>
      <c r="C882" s="218" t="str">
        <f>IFERROR(__xludf.DUMMYFUNCTION("IFERROR(REGEXEXTRACT(B882, ""^[A-Z]+-[A-Z]+-"") &amp; TEXT(VALUE(REGEXEXTRACT(B882, ""-(\d+)\."")), ""00""), """")"),"")</f>
        <v/>
      </c>
      <c r="D882" s="219" t="str">
        <f>IFERROR(VLOOKUP(C882, Content_Creation!B:D, 2, FALSE), IFERROR(VLOOKUP(C882, Project_Management!B:D, 2, FALSE), ""))
&amp; " - "
&amp; IFERROR(VLOOKUP(C882, Content_Creation!B:E, 4, FALSE), IFERROR(VLOOKUP(C882, Project_Management!B:E, 4, FALSE), ""))</f>
        <v> - </v>
      </c>
      <c r="E882" s="220" t="str">
        <f>IFERROR(
    VLOOKUP(B881:B1001, Content_Creation!B:D, 3, FALSE),
    IFERROR(VLOOKUP(B881:B1001, Project_Management!B:D, 3, FALSE),"")
  )</f>
        <v/>
      </c>
      <c r="F882" s="221" t="str">
        <f>IFERROR(VLOOKUP(B882, Content_Creation!B:F, 5, FALSE), IFERROR(VLOOKUP(B882, Project_Management!B:F, 5, FALSE), ""))</f>
        <v/>
      </c>
      <c r="G882" s="267" t="s">
        <v>1317</v>
      </c>
      <c r="H882" s="223" t="str">
        <f>IFERROR(VLOOKUP(B882, Content_Creation!B:H, 7, FALSE), IFERROR(VLOOKUP(B882, Project_Management!B:H, 7, FALSE), ""))</f>
        <v/>
      </c>
      <c r="I882" s="224">
        <v>0.0</v>
      </c>
      <c r="J882" s="217"/>
      <c r="K882" s="217"/>
      <c r="L882" s="225" t="str">
        <f>IFERROR(VLOOKUP(B882, Data_Validation!X:Y, 2, FALSE), "")</f>
        <v/>
      </c>
      <c r="M882" s="226" t="str">
        <f t="shared" si="1"/>
        <v> |  -  | </v>
      </c>
      <c r="N882" s="226"/>
      <c r="O882" s="226"/>
    </row>
    <row r="883" ht="24.0" customHeight="1">
      <c r="A883" s="216" t="str">
        <f>IFERROR(__xludf.DUMMYFUNCTION("ARRAYFORMULA(IFERROR(VLOOKUP(REGEXEXTRACT(B883, ""-(\w+)-""), {Data_Validation!$F$16:$F$29, Data_Validation!$E$16:$E$29}, 2, FALSE), """"))
"),"")</f>
        <v/>
      </c>
      <c r="B883" s="217"/>
      <c r="C883" s="218" t="str">
        <f>IFERROR(__xludf.DUMMYFUNCTION("IFERROR(REGEXEXTRACT(B883, ""^[A-Z]+-[A-Z]+-"") &amp; TEXT(VALUE(REGEXEXTRACT(B883, ""-(\d+)\."")), ""00""), """")"),"")</f>
        <v/>
      </c>
      <c r="D883" s="219" t="str">
        <f>IFERROR(VLOOKUP(C883, Content_Creation!B:D, 2, FALSE), IFERROR(VLOOKUP(C883, Project_Management!B:D, 2, FALSE), ""))
&amp; " - "
&amp; IFERROR(VLOOKUP(C883, Content_Creation!B:E, 4, FALSE), IFERROR(VLOOKUP(C883, Project_Management!B:E, 4, FALSE), ""))</f>
        <v> - </v>
      </c>
      <c r="E883" s="220" t="str">
        <f>IFERROR(
    VLOOKUP(B882:B1001, Content_Creation!B:D, 3, FALSE),
    IFERROR(VLOOKUP(B882:B1001, Project_Management!B:D, 3, FALSE),"")
  )</f>
        <v/>
      </c>
      <c r="F883" s="221" t="str">
        <f>IFERROR(VLOOKUP(B883, Content_Creation!B:F, 5, FALSE), IFERROR(VLOOKUP(B883, Project_Management!B:F, 5, FALSE), ""))</f>
        <v/>
      </c>
      <c r="G883" s="267" t="s">
        <v>1317</v>
      </c>
      <c r="H883" s="223" t="str">
        <f>IFERROR(VLOOKUP(B883, Content_Creation!B:H, 7, FALSE), IFERROR(VLOOKUP(B883, Project_Management!B:H, 7, FALSE), ""))</f>
        <v/>
      </c>
      <c r="I883" s="224">
        <v>0.0</v>
      </c>
      <c r="J883" s="217"/>
      <c r="K883" s="217"/>
      <c r="L883" s="225" t="str">
        <f>IFERROR(VLOOKUP(B883, Data_Validation!X:Y, 2, FALSE), "")</f>
        <v/>
      </c>
      <c r="M883" s="226" t="str">
        <f t="shared" si="1"/>
        <v> |  -  | </v>
      </c>
      <c r="N883" s="226"/>
      <c r="O883" s="226"/>
    </row>
    <row r="884" ht="24.0" customHeight="1">
      <c r="A884" s="216" t="str">
        <f>IFERROR(__xludf.DUMMYFUNCTION("ARRAYFORMULA(IFERROR(VLOOKUP(REGEXEXTRACT(B884, ""-(\w+)-""), {Data_Validation!$F$16:$F$29, Data_Validation!$E$16:$E$29}, 2, FALSE), """"))
"),"")</f>
        <v/>
      </c>
      <c r="B884" s="217"/>
      <c r="C884" s="218" t="str">
        <f>IFERROR(__xludf.DUMMYFUNCTION("IFERROR(REGEXEXTRACT(B884, ""^[A-Z]+-[A-Z]+-"") &amp; TEXT(VALUE(REGEXEXTRACT(B884, ""-(\d+)\."")), ""00""), """")"),"")</f>
        <v/>
      </c>
      <c r="D884" s="219" t="str">
        <f>IFERROR(VLOOKUP(C884, Content_Creation!B:D, 2, FALSE), IFERROR(VLOOKUP(C884, Project_Management!B:D, 2, FALSE), ""))
&amp; " - "
&amp; IFERROR(VLOOKUP(C884, Content_Creation!B:E, 4, FALSE), IFERROR(VLOOKUP(C884, Project_Management!B:E, 4, FALSE), ""))</f>
        <v> - </v>
      </c>
      <c r="E884" s="220" t="str">
        <f>IFERROR(
    VLOOKUP(B883:B1001, Content_Creation!B:D, 3, FALSE),
    IFERROR(VLOOKUP(B883:B1001, Project_Management!B:D, 3, FALSE),"")
  )</f>
        <v/>
      </c>
      <c r="F884" s="221" t="str">
        <f>IFERROR(VLOOKUP(B884, Content_Creation!B:F, 5, FALSE), IFERROR(VLOOKUP(B884, Project_Management!B:F, 5, FALSE), ""))</f>
        <v/>
      </c>
      <c r="G884" s="267" t="s">
        <v>1317</v>
      </c>
      <c r="H884" s="223" t="str">
        <f>IFERROR(VLOOKUP(B884, Content_Creation!B:H, 7, FALSE), IFERROR(VLOOKUP(B884, Project_Management!B:H, 7, FALSE), ""))</f>
        <v/>
      </c>
      <c r="I884" s="224">
        <v>0.0</v>
      </c>
      <c r="J884" s="217"/>
      <c r="K884" s="217"/>
      <c r="L884" s="225" t="str">
        <f>IFERROR(VLOOKUP(B884, Data_Validation!X:Y, 2, FALSE), "")</f>
        <v/>
      </c>
      <c r="M884" s="226" t="str">
        <f t="shared" si="1"/>
        <v> |  -  | </v>
      </c>
      <c r="N884" s="226"/>
      <c r="O884" s="226"/>
    </row>
    <row r="885" ht="24.0" customHeight="1">
      <c r="A885" s="216" t="str">
        <f>IFERROR(__xludf.DUMMYFUNCTION("ARRAYFORMULA(IFERROR(VLOOKUP(REGEXEXTRACT(B885, ""-(\w+)-""), {Data_Validation!$F$16:$F$29, Data_Validation!$E$16:$E$29}, 2, FALSE), """"))
"),"")</f>
        <v/>
      </c>
      <c r="B885" s="217"/>
      <c r="C885" s="218" t="str">
        <f>IFERROR(__xludf.DUMMYFUNCTION("IFERROR(REGEXEXTRACT(B885, ""^[A-Z]+-[A-Z]+-"") &amp; TEXT(VALUE(REGEXEXTRACT(B885, ""-(\d+)\."")), ""00""), """")"),"")</f>
        <v/>
      </c>
      <c r="D885" s="219" t="str">
        <f>IFERROR(VLOOKUP(C885, Content_Creation!B:D, 2, FALSE), IFERROR(VLOOKUP(C885, Project_Management!B:D, 2, FALSE), ""))
&amp; " - "
&amp; IFERROR(VLOOKUP(C885, Content_Creation!B:E, 4, FALSE), IFERROR(VLOOKUP(C885, Project_Management!B:E, 4, FALSE), ""))</f>
        <v> - </v>
      </c>
      <c r="E885" s="220" t="str">
        <f>IFERROR(
    VLOOKUP(B884:B1001, Content_Creation!B:D, 3, FALSE),
    IFERROR(VLOOKUP(B884:B1001, Project_Management!B:D, 3, FALSE),"")
  )</f>
        <v/>
      </c>
      <c r="F885" s="221" t="str">
        <f>IFERROR(VLOOKUP(B885, Content_Creation!B:F, 5, FALSE), IFERROR(VLOOKUP(B885, Project_Management!B:F, 5, FALSE), ""))</f>
        <v/>
      </c>
      <c r="G885" s="267" t="s">
        <v>1317</v>
      </c>
      <c r="H885" s="223" t="str">
        <f>IFERROR(VLOOKUP(B885, Content_Creation!B:H, 7, FALSE), IFERROR(VLOOKUP(B885, Project_Management!B:H, 7, FALSE), ""))</f>
        <v/>
      </c>
      <c r="I885" s="224">
        <v>0.0</v>
      </c>
      <c r="J885" s="217"/>
      <c r="K885" s="217"/>
      <c r="L885" s="225" t="str">
        <f>IFERROR(VLOOKUP(B885, Data_Validation!X:Y, 2, FALSE), "")</f>
        <v/>
      </c>
      <c r="M885" s="226" t="str">
        <f t="shared" si="1"/>
        <v> |  -  | </v>
      </c>
      <c r="N885" s="226"/>
      <c r="O885" s="226"/>
    </row>
    <row r="886" ht="24.0" customHeight="1">
      <c r="A886" s="216" t="str">
        <f>IFERROR(__xludf.DUMMYFUNCTION("ARRAYFORMULA(IFERROR(VLOOKUP(REGEXEXTRACT(B886, ""-(\w+)-""), {Data_Validation!$F$16:$F$29, Data_Validation!$E$16:$E$29}, 2, FALSE), """"))
"),"")</f>
        <v/>
      </c>
      <c r="B886" s="217"/>
      <c r="C886" s="218" t="str">
        <f>IFERROR(__xludf.DUMMYFUNCTION("IFERROR(REGEXEXTRACT(B886, ""^[A-Z]+-[A-Z]+-"") &amp; TEXT(VALUE(REGEXEXTRACT(B886, ""-(\d+)\."")), ""00""), """")"),"")</f>
        <v/>
      </c>
      <c r="D886" s="219" t="str">
        <f>IFERROR(VLOOKUP(C886, Content_Creation!B:D, 2, FALSE), IFERROR(VLOOKUP(C886, Project_Management!B:D, 2, FALSE), ""))
&amp; " - "
&amp; IFERROR(VLOOKUP(C886, Content_Creation!B:E, 4, FALSE), IFERROR(VLOOKUP(C886, Project_Management!B:E, 4, FALSE), ""))</f>
        <v> - </v>
      </c>
      <c r="E886" s="220" t="str">
        <f>IFERROR(
    VLOOKUP(B885:B1001, Content_Creation!B:D, 3, FALSE),
    IFERROR(VLOOKUP(B885:B1001, Project_Management!B:D, 3, FALSE),"")
  )</f>
        <v/>
      </c>
      <c r="F886" s="221" t="str">
        <f>IFERROR(VLOOKUP(B886, Content_Creation!B:F, 5, FALSE), IFERROR(VLOOKUP(B886, Project_Management!B:F, 5, FALSE), ""))</f>
        <v/>
      </c>
      <c r="G886" s="267" t="s">
        <v>1317</v>
      </c>
      <c r="H886" s="223" t="str">
        <f>IFERROR(VLOOKUP(B886, Content_Creation!B:H, 7, FALSE), IFERROR(VLOOKUP(B886, Project_Management!B:H, 7, FALSE), ""))</f>
        <v/>
      </c>
      <c r="I886" s="224">
        <v>0.0</v>
      </c>
      <c r="J886" s="217"/>
      <c r="K886" s="217"/>
      <c r="L886" s="225" t="str">
        <f>IFERROR(VLOOKUP(B886, Data_Validation!X:Y, 2, FALSE), "")</f>
        <v/>
      </c>
      <c r="M886" s="226" t="str">
        <f t="shared" si="1"/>
        <v> |  -  | </v>
      </c>
      <c r="N886" s="226"/>
      <c r="O886" s="226"/>
    </row>
    <row r="887" ht="24.0" customHeight="1">
      <c r="A887" s="216" t="str">
        <f>IFERROR(__xludf.DUMMYFUNCTION("ARRAYFORMULA(IFERROR(VLOOKUP(REGEXEXTRACT(B887, ""-(\w+)-""), {Data_Validation!$F$16:$F$29, Data_Validation!$E$16:$E$29}, 2, FALSE), """"))
"),"")</f>
        <v/>
      </c>
      <c r="B887" s="217"/>
      <c r="C887" s="218" t="str">
        <f>IFERROR(__xludf.DUMMYFUNCTION("IFERROR(REGEXEXTRACT(B887, ""^[A-Z]+-[A-Z]+-"") &amp; TEXT(VALUE(REGEXEXTRACT(B887, ""-(\d+)\."")), ""00""), """")"),"")</f>
        <v/>
      </c>
      <c r="D887" s="219" t="str">
        <f>IFERROR(VLOOKUP(C887, Content_Creation!B:D, 2, FALSE), IFERROR(VLOOKUP(C887, Project_Management!B:D, 2, FALSE), ""))
&amp; " - "
&amp; IFERROR(VLOOKUP(C887, Content_Creation!B:E, 4, FALSE), IFERROR(VLOOKUP(C887, Project_Management!B:E, 4, FALSE), ""))</f>
        <v> - </v>
      </c>
      <c r="E887" s="220" t="str">
        <f>IFERROR(
    VLOOKUP(B886:B1001, Content_Creation!B:D, 3, FALSE),
    IFERROR(VLOOKUP(B886:B1001, Project_Management!B:D, 3, FALSE),"")
  )</f>
        <v/>
      </c>
      <c r="F887" s="221" t="str">
        <f>IFERROR(VLOOKUP(B887, Content_Creation!B:F, 5, FALSE), IFERROR(VLOOKUP(B887, Project_Management!B:F, 5, FALSE), ""))</f>
        <v/>
      </c>
      <c r="G887" s="267" t="s">
        <v>1317</v>
      </c>
      <c r="H887" s="223" t="str">
        <f>IFERROR(VLOOKUP(B887, Content_Creation!B:H, 7, FALSE), IFERROR(VLOOKUP(B887, Project_Management!B:H, 7, FALSE), ""))</f>
        <v/>
      </c>
      <c r="I887" s="224">
        <v>0.0</v>
      </c>
      <c r="J887" s="217"/>
      <c r="K887" s="217"/>
      <c r="L887" s="225" t="str">
        <f>IFERROR(VLOOKUP(B887, Data_Validation!X:Y, 2, FALSE), "")</f>
        <v/>
      </c>
      <c r="M887" s="226" t="str">
        <f t="shared" si="1"/>
        <v> |  -  | </v>
      </c>
      <c r="N887" s="226"/>
      <c r="O887" s="226"/>
    </row>
    <row r="888" ht="24.0" customHeight="1">
      <c r="A888" s="216" t="str">
        <f>IFERROR(__xludf.DUMMYFUNCTION("ARRAYFORMULA(IFERROR(VLOOKUP(REGEXEXTRACT(B888, ""-(\w+)-""), {Data_Validation!$F$16:$F$29, Data_Validation!$E$16:$E$29}, 2, FALSE), """"))
"),"")</f>
        <v/>
      </c>
      <c r="B888" s="217"/>
      <c r="C888" s="218" t="str">
        <f>IFERROR(__xludf.DUMMYFUNCTION("IFERROR(REGEXEXTRACT(B888, ""^[A-Z]+-[A-Z]+-"") &amp; TEXT(VALUE(REGEXEXTRACT(B888, ""-(\d+)\."")), ""00""), """")"),"")</f>
        <v/>
      </c>
      <c r="D888" s="219" t="str">
        <f>IFERROR(VLOOKUP(C888, Content_Creation!B:D, 2, FALSE), IFERROR(VLOOKUP(C888, Project_Management!B:D, 2, FALSE), ""))
&amp; " - "
&amp; IFERROR(VLOOKUP(C888, Content_Creation!B:E, 4, FALSE), IFERROR(VLOOKUP(C888, Project_Management!B:E, 4, FALSE), ""))</f>
        <v> - </v>
      </c>
      <c r="E888" s="220" t="str">
        <f>IFERROR(
    VLOOKUP(B887:B1001, Content_Creation!B:D, 3, FALSE),
    IFERROR(VLOOKUP(B887:B1001, Project_Management!B:D, 3, FALSE),"")
  )</f>
        <v/>
      </c>
      <c r="F888" s="221" t="str">
        <f>IFERROR(VLOOKUP(B888, Content_Creation!B:F, 5, FALSE), IFERROR(VLOOKUP(B888, Project_Management!B:F, 5, FALSE), ""))</f>
        <v/>
      </c>
      <c r="G888" s="267" t="s">
        <v>1317</v>
      </c>
      <c r="H888" s="223" t="str">
        <f>IFERROR(VLOOKUP(B888, Content_Creation!B:H, 7, FALSE), IFERROR(VLOOKUP(B888, Project_Management!B:H, 7, FALSE), ""))</f>
        <v/>
      </c>
      <c r="I888" s="224">
        <v>0.0</v>
      </c>
      <c r="J888" s="217"/>
      <c r="K888" s="217"/>
      <c r="L888" s="225" t="str">
        <f>IFERROR(VLOOKUP(B888, Data_Validation!X:Y, 2, FALSE), "")</f>
        <v/>
      </c>
      <c r="M888" s="226" t="str">
        <f t="shared" si="1"/>
        <v> |  -  | </v>
      </c>
      <c r="N888" s="226"/>
      <c r="O888" s="226"/>
    </row>
    <row r="889" ht="24.0" customHeight="1">
      <c r="A889" s="216" t="str">
        <f>IFERROR(__xludf.DUMMYFUNCTION("ARRAYFORMULA(IFERROR(VLOOKUP(REGEXEXTRACT(B889, ""-(\w+)-""), {Data_Validation!$F$16:$F$29, Data_Validation!$E$16:$E$29}, 2, FALSE), """"))
"),"")</f>
        <v/>
      </c>
      <c r="B889" s="217"/>
      <c r="C889" s="218" t="str">
        <f>IFERROR(__xludf.DUMMYFUNCTION("IFERROR(REGEXEXTRACT(B889, ""^[A-Z]+-[A-Z]+-"") &amp; TEXT(VALUE(REGEXEXTRACT(B889, ""-(\d+)\."")), ""00""), """")"),"")</f>
        <v/>
      </c>
      <c r="D889" s="219" t="str">
        <f>IFERROR(VLOOKUP(C889, Content_Creation!B:D, 2, FALSE), IFERROR(VLOOKUP(C889, Project_Management!B:D, 2, FALSE), ""))
&amp; " - "
&amp; IFERROR(VLOOKUP(C889, Content_Creation!B:E, 4, FALSE), IFERROR(VLOOKUP(C889, Project_Management!B:E, 4, FALSE), ""))</f>
        <v> - </v>
      </c>
      <c r="E889" s="220" t="str">
        <f>IFERROR(
    VLOOKUP(B888:B1001, Content_Creation!B:D, 3, FALSE),
    IFERROR(VLOOKUP(B888:B1001, Project_Management!B:D, 3, FALSE),"")
  )</f>
        <v/>
      </c>
      <c r="F889" s="221" t="str">
        <f>IFERROR(VLOOKUP(B889, Content_Creation!B:F, 5, FALSE), IFERROR(VLOOKUP(B889, Project_Management!B:F, 5, FALSE), ""))</f>
        <v/>
      </c>
      <c r="G889" s="267" t="s">
        <v>1317</v>
      </c>
      <c r="H889" s="223" t="str">
        <f>IFERROR(VLOOKUP(B889, Content_Creation!B:H, 7, FALSE), IFERROR(VLOOKUP(B889, Project_Management!B:H, 7, FALSE), ""))</f>
        <v/>
      </c>
      <c r="I889" s="224">
        <v>0.0</v>
      </c>
      <c r="J889" s="217"/>
      <c r="K889" s="217"/>
      <c r="L889" s="225" t="str">
        <f>IFERROR(VLOOKUP(B889, Data_Validation!X:Y, 2, FALSE), "")</f>
        <v/>
      </c>
      <c r="M889" s="226" t="str">
        <f t="shared" si="1"/>
        <v> |  -  | </v>
      </c>
      <c r="N889" s="226"/>
      <c r="O889" s="226"/>
    </row>
    <row r="890" ht="24.0" customHeight="1">
      <c r="A890" s="216" t="str">
        <f>IFERROR(__xludf.DUMMYFUNCTION("ARRAYFORMULA(IFERROR(VLOOKUP(REGEXEXTRACT(B890, ""-(\w+)-""), {Data_Validation!$F$16:$F$29, Data_Validation!$E$16:$E$29}, 2, FALSE), """"))
"),"")</f>
        <v/>
      </c>
      <c r="B890" s="217"/>
      <c r="C890" s="218" t="str">
        <f>IFERROR(__xludf.DUMMYFUNCTION("IFERROR(REGEXEXTRACT(B890, ""^[A-Z]+-[A-Z]+-"") &amp; TEXT(VALUE(REGEXEXTRACT(B890, ""-(\d+)\."")), ""00""), """")"),"")</f>
        <v/>
      </c>
      <c r="D890" s="219" t="str">
        <f>IFERROR(VLOOKUP(C890, Content_Creation!B:D, 2, FALSE), IFERROR(VLOOKUP(C890, Project_Management!B:D, 2, FALSE), ""))
&amp; " - "
&amp; IFERROR(VLOOKUP(C890, Content_Creation!B:E, 4, FALSE), IFERROR(VLOOKUP(C890, Project_Management!B:E, 4, FALSE), ""))</f>
        <v> - </v>
      </c>
      <c r="E890" s="220" t="str">
        <f>IFERROR(
    VLOOKUP(B889:B1001, Content_Creation!B:D, 3, FALSE),
    IFERROR(VLOOKUP(B889:B1001, Project_Management!B:D, 3, FALSE),"")
  )</f>
        <v/>
      </c>
      <c r="F890" s="221" t="str">
        <f>IFERROR(VLOOKUP(B890, Content_Creation!B:F, 5, FALSE), IFERROR(VLOOKUP(B890, Project_Management!B:F, 5, FALSE), ""))</f>
        <v/>
      </c>
      <c r="G890" s="267" t="s">
        <v>1317</v>
      </c>
      <c r="H890" s="223" t="str">
        <f>IFERROR(VLOOKUP(B890, Content_Creation!B:H, 7, FALSE), IFERROR(VLOOKUP(B890, Project_Management!B:H, 7, FALSE), ""))</f>
        <v/>
      </c>
      <c r="I890" s="224">
        <v>0.0</v>
      </c>
      <c r="J890" s="217"/>
      <c r="K890" s="217"/>
      <c r="L890" s="225" t="str">
        <f>IFERROR(VLOOKUP(B890, Data_Validation!X:Y, 2, FALSE), "")</f>
        <v/>
      </c>
      <c r="M890" s="226" t="str">
        <f t="shared" si="1"/>
        <v> |  -  | </v>
      </c>
      <c r="N890" s="226"/>
      <c r="O890" s="226"/>
    </row>
    <row r="891" ht="24.0" customHeight="1">
      <c r="A891" s="216" t="str">
        <f>IFERROR(__xludf.DUMMYFUNCTION("ARRAYFORMULA(IFERROR(VLOOKUP(REGEXEXTRACT(B891, ""-(\w+)-""), {Data_Validation!$F$16:$F$29, Data_Validation!$E$16:$E$29}, 2, FALSE), """"))
"),"")</f>
        <v/>
      </c>
      <c r="B891" s="217"/>
      <c r="C891" s="218" t="str">
        <f>IFERROR(__xludf.DUMMYFUNCTION("IFERROR(REGEXEXTRACT(B891, ""^[A-Z]+-[A-Z]+-"") &amp; TEXT(VALUE(REGEXEXTRACT(B891, ""-(\d+)\."")), ""00""), """")"),"")</f>
        <v/>
      </c>
      <c r="D891" s="219" t="str">
        <f>IFERROR(VLOOKUP(C891, Content_Creation!B:D, 2, FALSE), IFERROR(VLOOKUP(C891, Project_Management!B:D, 2, FALSE), ""))
&amp; " - "
&amp; IFERROR(VLOOKUP(C891, Content_Creation!B:E, 4, FALSE), IFERROR(VLOOKUP(C891, Project_Management!B:E, 4, FALSE), ""))</f>
        <v> - </v>
      </c>
      <c r="E891" s="220" t="str">
        <f>IFERROR(
    VLOOKUP(B890:B1001, Content_Creation!B:D, 3, FALSE),
    IFERROR(VLOOKUP(B890:B1001, Project_Management!B:D, 3, FALSE),"")
  )</f>
        <v/>
      </c>
      <c r="F891" s="221" t="str">
        <f>IFERROR(VLOOKUP(B891, Content_Creation!B:F, 5, FALSE), IFERROR(VLOOKUP(B891, Project_Management!B:F, 5, FALSE), ""))</f>
        <v/>
      </c>
      <c r="G891" s="267" t="s">
        <v>1317</v>
      </c>
      <c r="H891" s="223" t="str">
        <f>IFERROR(VLOOKUP(B891, Content_Creation!B:H, 7, FALSE), IFERROR(VLOOKUP(B891, Project_Management!B:H, 7, FALSE), ""))</f>
        <v/>
      </c>
      <c r="I891" s="224">
        <v>0.0</v>
      </c>
      <c r="J891" s="217"/>
      <c r="K891" s="217"/>
      <c r="L891" s="225" t="str">
        <f>IFERROR(VLOOKUP(B891, Data_Validation!X:Y, 2, FALSE), "")</f>
        <v/>
      </c>
      <c r="M891" s="226" t="str">
        <f t="shared" si="1"/>
        <v> |  -  | </v>
      </c>
      <c r="N891" s="226"/>
      <c r="O891" s="226"/>
    </row>
    <row r="892" ht="24.0" customHeight="1">
      <c r="A892" s="216" t="str">
        <f>IFERROR(__xludf.DUMMYFUNCTION("ARRAYFORMULA(IFERROR(VLOOKUP(REGEXEXTRACT(B892, ""-(\w+)-""), {Data_Validation!$F$16:$F$29, Data_Validation!$E$16:$E$29}, 2, FALSE), """"))
"),"")</f>
        <v/>
      </c>
      <c r="B892" s="217"/>
      <c r="C892" s="218" t="str">
        <f>IFERROR(__xludf.DUMMYFUNCTION("IFERROR(REGEXEXTRACT(B892, ""^[A-Z]+-[A-Z]+-"") &amp; TEXT(VALUE(REGEXEXTRACT(B892, ""-(\d+)\."")), ""00""), """")"),"")</f>
        <v/>
      </c>
      <c r="D892" s="219" t="str">
        <f>IFERROR(VLOOKUP(C892, Content_Creation!B:D, 2, FALSE), IFERROR(VLOOKUP(C892, Project_Management!B:D, 2, FALSE), ""))
&amp; " - "
&amp; IFERROR(VLOOKUP(C892, Content_Creation!B:E, 4, FALSE), IFERROR(VLOOKUP(C892, Project_Management!B:E, 4, FALSE), ""))</f>
        <v> - </v>
      </c>
      <c r="E892" s="220" t="str">
        <f>IFERROR(
    VLOOKUP(B891:B1001, Content_Creation!B:D, 3, FALSE),
    IFERROR(VLOOKUP(B891:B1001, Project_Management!B:D, 3, FALSE),"")
  )</f>
        <v/>
      </c>
      <c r="F892" s="221" t="str">
        <f>IFERROR(VLOOKUP(B892, Content_Creation!B:F, 5, FALSE), IFERROR(VLOOKUP(B892, Project_Management!B:F, 5, FALSE), ""))</f>
        <v/>
      </c>
      <c r="G892" s="267" t="s">
        <v>1317</v>
      </c>
      <c r="H892" s="223" t="str">
        <f>IFERROR(VLOOKUP(B892, Content_Creation!B:H, 7, FALSE), IFERROR(VLOOKUP(B892, Project_Management!B:H, 7, FALSE), ""))</f>
        <v/>
      </c>
      <c r="I892" s="224">
        <v>0.0</v>
      </c>
      <c r="J892" s="217"/>
      <c r="K892" s="217"/>
      <c r="L892" s="225" t="str">
        <f>IFERROR(VLOOKUP(B892, Data_Validation!X:Y, 2, FALSE), "")</f>
        <v/>
      </c>
      <c r="M892" s="226" t="str">
        <f t="shared" si="1"/>
        <v> |  -  | </v>
      </c>
      <c r="N892" s="226"/>
      <c r="O892" s="226"/>
    </row>
    <row r="893" ht="24.0" customHeight="1">
      <c r="A893" s="216" t="str">
        <f>IFERROR(__xludf.DUMMYFUNCTION("ARRAYFORMULA(IFERROR(VLOOKUP(REGEXEXTRACT(B893, ""-(\w+)-""), {Data_Validation!$F$16:$F$29, Data_Validation!$E$16:$E$29}, 2, FALSE), """"))
"),"")</f>
        <v/>
      </c>
      <c r="B893" s="217"/>
      <c r="C893" s="218" t="str">
        <f>IFERROR(__xludf.DUMMYFUNCTION("IFERROR(REGEXEXTRACT(B893, ""^[A-Z]+-[A-Z]+-"") &amp; TEXT(VALUE(REGEXEXTRACT(B893, ""-(\d+)\."")), ""00""), """")"),"")</f>
        <v/>
      </c>
      <c r="D893" s="219" t="str">
        <f>IFERROR(VLOOKUP(C893, Content_Creation!B:D, 2, FALSE), IFERROR(VLOOKUP(C893, Project_Management!B:D, 2, FALSE), ""))
&amp; " - "
&amp; IFERROR(VLOOKUP(C893, Content_Creation!B:E, 4, FALSE), IFERROR(VLOOKUP(C893, Project_Management!B:E, 4, FALSE), ""))</f>
        <v> - </v>
      </c>
      <c r="E893" s="220" t="str">
        <f>IFERROR(
    VLOOKUP(B892:B1001, Content_Creation!B:D, 3, FALSE),
    IFERROR(VLOOKUP(B892:B1001, Project_Management!B:D, 3, FALSE),"")
  )</f>
        <v/>
      </c>
      <c r="F893" s="221" t="str">
        <f>IFERROR(VLOOKUP(B893, Content_Creation!B:F, 5, FALSE), IFERROR(VLOOKUP(B893, Project_Management!B:F, 5, FALSE), ""))</f>
        <v/>
      </c>
      <c r="G893" s="267" t="s">
        <v>1317</v>
      </c>
      <c r="H893" s="223" t="str">
        <f>IFERROR(VLOOKUP(B893, Content_Creation!B:H, 7, FALSE), IFERROR(VLOOKUP(B893, Project_Management!B:H, 7, FALSE), ""))</f>
        <v/>
      </c>
      <c r="I893" s="224">
        <v>0.0</v>
      </c>
      <c r="J893" s="217"/>
      <c r="K893" s="217"/>
      <c r="L893" s="225" t="str">
        <f>IFERROR(VLOOKUP(B893, Data_Validation!X:Y, 2, FALSE), "")</f>
        <v/>
      </c>
      <c r="M893" s="226" t="str">
        <f t="shared" si="1"/>
        <v> |  -  | </v>
      </c>
      <c r="N893" s="226"/>
      <c r="O893" s="226"/>
    </row>
    <row r="894" ht="24.0" customHeight="1">
      <c r="A894" s="216" t="str">
        <f>IFERROR(__xludf.DUMMYFUNCTION("ARRAYFORMULA(IFERROR(VLOOKUP(REGEXEXTRACT(B894, ""-(\w+)-""), {Data_Validation!$F$16:$F$29, Data_Validation!$E$16:$E$29}, 2, FALSE), """"))
"),"")</f>
        <v/>
      </c>
      <c r="B894" s="217"/>
      <c r="C894" s="218" t="str">
        <f>IFERROR(__xludf.DUMMYFUNCTION("IFERROR(REGEXEXTRACT(B894, ""^[A-Z]+-[A-Z]+-"") &amp; TEXT(VALUE(REGEXEXTRACT(B894, ""-(\d+)\."")), ""00""), """")"),"")</f>
        <v/>
      </c>
      <c r="D894" s="219" t="str">
        <f>IFERROR(VLOOKUP(C894, Content_Creation!B:D, 2, FALSE), IFERROR(VLOOKUP(C894, Project_Management!B:D, 2, FALSE), ""))
&amp; " - "
&amp; IFERROR(VLOOKUP(C894, Content_Creation!B:E, 4, FALSE), IFERROR(VLOOKUP(C894, Project_Management!B:E, 4, FALSE), ""))</f>
        <v> - </v>
      </c>
      <c r="E894" s="220" t="str">
        <f>IFERROR(
    VLOOKUP(B893:B1001, Content_Creation!B:D, 3, FALSE),
    IFERROR(VLOOKUP(B893:B1001, Project_Management!B:D, 3, FALSE),"")
  )</f>
        <v/>
      </c>
      <c r="F894" s="221" t="str">
        <f>IFERROR(VLOOKUP(B894, Content_Creation!B:F, 5, FALSE), IFERROR(VLOOKUP(B894, Project_Management!B:F, 5, FALSE), ""))</f>
        <v/>
      </c>
      <c r="G894" s="267" t="s">
        <v>1317</v>
      </c>
      <c r="H894" s="223" t="str">
        <f>IFERROR(VLOOKUP(B894, Content_Creation!B:H, 7, FALSE), IFERROR(VLOOKUP(B894, Project_Management!B:H, 7, FALSE), ""))</f>
        <v/>
      </c>
      <c r="I894" s="224">
        <v>0.0</v>
      </c>
      <c r="J894" s="217"/>
      <c r="K894" s="217"/>
      <c r="L894" s="225" t="str">
        <f>IFERROR(VLOOKUP(B894, Data_Validation!X:Y, 2, FALSE), "")</f>
        <v/>
      </c>
      <c r="M894" s="226" t="str">
        <f t="shared" si="1"/>
        <v> |  -  | </v>
      </c>
      <c r="N894" s="226"/>
      <c r="O894" s="226"/>
    </row>
    <row r="895" ht="24.0" customHeight="1">
      <c r="A895" s="216" t="str">
        <f>IFERROR(__xludf.DUMMYFUNCTION("ARRAYFORMULA(IFERROR(VLOOKUP(REGEXEXTRACT(B895, ""-(\w+)-""), {Data_Validation!$F$16:$F$29, Data_Validation!$E$16:$E$29}, 2, FALSE), """"))
"),"")</f>
        <v/>
      </c>
      <c r="B895" s="217"/>
      <c r="C895" s="218" t="str">
        <f>IFERROR(__xludf.DUMMYFUNCTION("IFERROR(REGEXEXTRACT(B895, ""^[A-Z]+-[A-Z]+-"") &amp; TEXT(VALUE(REGEXEXTRACT(B895, ""-(\d+)\."")), ""00""), """")"),"")</f>
        <v/>
      </c>
      <c r="D895" s="219" t="str">
        <f>IFERROR(VLOOKUP(C895, Content_Creation!B:D, 2, FALSE), IFERROR(VLOOKUP(C895, Project_Management!B:D, 2, FALSE), ""))
&amp; " - "
&amp; IFERROR(VLOOKUP(C895, Content_Creation!B:E, 4, FALSE), IFERROR(VLOOKUP(C895, Project_Management!B:E, 4, FALSE), ""))</f>
        <v> - </v>
      </c>
      <c r="E895" s="220" t="str">
        <f>IFERROR(
    VLOOKUP(B894:B1001, Content_Creation!B:D, 3, FALSE),
    IFERROR(VLOOKUP(B894:B1001, Project_Management!B:D, 3, FALSE),"")
  )</f>
        <v/>
      </c>
      <c r="F895" s="221" t="str">
        <f>IFERROR(VLOOKUP(B895, Content_Creation!B:F, 5, FALSE), IFERROR(VLOOKUP(B895, Project_Management!B:F, 5, FALSE), ""))</f>
        <v/>
      </c>
      <c r="G895" s="267" t="s">
        <v>1317</v>
      </c>
      <c r="H895" s="223" t="str">
        <f>IFERROR(VLOOKUP(B895, Content_Creation!B:H, 7, FALSE), IFERROR(VLOOKUP(B895, Project_Management!B:H, 7, FALSE), ""))</f>
        <v/>
      </c>
      <c r="I895" s="224">
        <v>0.0</v>
      </c>
      <c r="J895" s="217"/>
      <c r="K895" s="217"/>
      <c r="L895" s="225" t="str">
        <f>IFERROR(VLOOKUP(B895, Data_Validation!X:Y, 2, FALSE), "")</f>
        <v/>
      </c>
      <c r="M895" s="226" t="str">
        <f t="shared" si="1"/>
        <v> |  -  | </v>
      </c>
      <c r="N895" s="226"/>
      <c r="O895" s="226"/>
    </row>
    <row r="896" ht="24.0" customHeight="1">
      <c r="A896" s="216" t="str">
        <f>IFERROR(__xludf.DUMMYFUNCTION("ARRAYFORMULA(IFERROR(VLOOKUP(REGEXEXTRACT(B896, ""-(\w+)-""), {Data_Validation!$F$16:$F$29, Data_Validation!$E$16:$E$29}, 2, FALSE), """"))
"),"")</f>
        <v/>
      </c>
      <c r="B896" s="217"/>
      <c r="C896" s="218" t="str">
        <f>IFERROR(__xludf.DUMMYFUNCTION("IFERROR(REGEXEXTRACT(B896, ""^[A-Z]+-[A-Z]+-"") &amp; TEXT(VALUE(REGEXEXTRACT(B896, ""-(\d+)\."")), ""00""), """")"),"")</f>
        <v/>
      </c>
      <c r="D896" s="219" t="str">
        <f>IFERROR(VLOOKUP(C896, Content_Creation!B:D, 2, FALSE), IFERROR(VLOOKUP(C896, Project_Management!B:D, 2, FALSE), ""))
&amp; " - "
&amp; IFERROR(VLOOKUP(C896, Content_Creation!B:E, 4, FALSE), IFERROR(VLOOKUP(C896, Project_Management!B:E, 4, FALSE), ""))</f>
        <v> - </v>
      </c>
      <c r="E896" s="220" t="str">
        <f>IFERROR(
    VLOOKUP(B895:B1001, Content_Creation!B:D, 3, FALSE),
    IFERROR(VLOOKUP(B895:B1001, Project_Management!B:D, 3, FALSE),"")
  )</f>
        <v/>
      </c>
      <c r="F896" s="221" t="str">
        <f>IFERROR(VLOOKUP(B896, Content_Creation!B:F, 5, FALSE), IFERROR(VLOOKUP(B896, Project_Management!B:F, 5, FALSE), ""))</f>
        <v/>
      </c>
      <c r="G896" s="267" t="s">
        <v>1317</v>
      </c>
      <c r="H896" s="223" t="str">
        <f>IFERROR(VLOOKUP(B896, Content_Creation!B:H, 7, FALSE), IFERROR(VLOOKUP(B896, Project_Management!B:H, 7, FALSE), ""))</f>
        <v/>
      </c>
      <c r="I896" s="224">
        <v>0.0</v>
      </c>
      <c r="J896" s="217"/>
      <c r="K896" s="217"/>
      <c r="L896" s="225" t="str">
        <f>IFERROR(VLOOKUP(B896, Data_Validation!X:Y, 2, FALSE), "")</f>
        <v/>
      </c>
      <c r="M896" s="226" t="str">
        <f t="shared" si="1"/>
        <v> |  -  | </v>
      </c>
      <c r="N896" s="226"/>
      <c r="O896" s="226"/>
    </row>
    <row r="897" ht="24.0" customHeight="1">
      <c r="A897" s="216" t="str">
        <f>IFERROR(__xludf.DUMMYFUNCTION("ARRAYFORMULA(IFERROR(VLOOKUP(REGEXEXTRACT(B897, ""-(\w+)-""), {Data_Validation!$F$16:$F$29, Data_Validation!$E$16:$E$29}, 2, FALSE), """"))
"),"")</f>
        <v/>
      </c>
      <c r="B897" s="217"/>
      <c r="C897" s="218" t="str">
        <f>IFERROR(__xludf.DUMMYFUNCTION("IFERROR(REGEXEXTRACT(B897, ""^[A-Z]+-[A-Z]+-"") &amp; TEXT(VALUE(REGEXEXTRACT(B897, ""-(\d+)\."")), ""00""), """")"),"")</f>
        <v/>
      </c>
      <c r="D897" s="219" t="str">
        <f>IFERROR(VLOOKUP(C897, Content_Creation!B:D, 2, FALSE), IFERROR(VLOOKUP(C897, Project_Management!B:D, 2, FALSE), ""))
&amp; " - "
&amp; IFERROR(VLOOKUP(C897, Content_Creation!B:E, 4, FALSE), IFERROR(VLOOKUP(C897, Project_Management!B:E, 4, FALSE), ""))</f>
        <v> - </v>
      </c>
      <c r="E897" s="220" t="str">
        <f>IFERROR(
    VLOOKUP(B896:B1001, Content_Creation!B:D, 3, FALSE),
    IFERROR(VLOOKUP(B896:B1001, Project_Management!B:D, 3, FALSE),"")
  )</f>
        <v/>
      </c>
      <c r="F897" s="221" t="str">
        <f>IFERROR(VLOOKUP(B897, Content_Creation!B:F, 5, FALSE), IFERROR(VLOOKUP(B897, Project_Management!B:F, 5, FALSE), ""))</f>
        <v/>
      </c>
      <c r="G897" s="267" t="s">
        <v>1317</v>
      </c>
      <c r="H897" s="223" t="str">
        <f>IFERROR(VLOOKUP(B897, Content_Creation!B:H, 7, FALSE), IFERROR(VLOOKUP(B897, Project_Management!B:H, 7, FALSE), ""))</f>
        <v/>
      </c>
      <c r="I897" s="224">
        <v>0.0</v>
      </c>
      <c r="J897" s="217"/>
      <c r="K897" s="217"/>
      <c r="L897" s="225" t="str">
        <f>IFERROR(VLOOKUP(B897, Data_Validation!X:Y, 2, FALSE), "")</f>
        <v/>
      </c>
      <c r="M897" s="226" t="str">
        <f t="shared" si="1"/>
        <v> |  -  | </v>
      </c>
      <c r="N897" s="226"/>
      <c r="O897" s="226"/>
    </row>
    <row r="898" ht="24.0" customHeight="1">
      <c r="A898" s="216" t="str">
        <f>IFERROR(__xludf.DUMMYFUNCTION("ARRAYFORMULA(IFERROR(VLOOKUP(REGEXEXTRACT(B898, ""-(\w+)-""), {Data_Validation!$F$16:$F$29, Data_Validation!$E$16:$E$29}, 2, FALSE), """"))
"),"")</f>
        <v/>
      </c>
      <c r="B898" s="217"/>
      <c r="C898" s="218" t="str">
        <f>IFERROR(__xludf.DUMMYFUNCTION("IFERROR(REGEXEXTRACT(B898, ""^[A-Z]+-[A-Z]+-"") &amp; TEXT(VALUE(REGEXEXTRACT(B898, ""-(\d+)\."")), ""00""), """")"),"")</f>
        <v/>
      </c>
      <c r="D898" s="219" t="str">
        <f>IFERROR(VLOOKUP(C898, Content_Creation!B:D, 2, FALSE), IFERROR(VLOOKUP(C898, Project_Management!B:D, 2, FALSE), ""))
&amp; " - "
&amp; IFERROR(VLOOKUP(C898, Content_Creation!B:E, 4, FALSE), IFERROR(VLOOKUP(C898, Project_Management!B:E, 4, FALSE), ""))</f>
        <v> - </v>
      </c>
      <c r="E898" s="220" t="str">
        <f>IFERROR(
    VLOOKUP(B897:B1001, Content_Creation!B:D, 3, FALSE),
    IFERROR(VLOOKUP(B897:B1001, Project_Management!B:D, 3, FALSE),"")
  )</f>
        <v/>
      </c>
      <c r="F898" s="221" t="str">
        <f>IFERROR(VLOOKUP(B898, Content_Creation!B:F, 5, FALSE), IFERROR(VLOOKUP(B898, Project_Management!B:F, 5, FALSE), ""))</f>
        <v/>
      </c>
      <c r="G898" s="267" t="s">
        <v>1317</v>
      </c>
      <c r="H898" s="223" t="str">
        <f>IFERROR(VLOOKUP(B898, Content_Creation!B:H, 7, FALSE), IFERROR(VLOOKUP(B898, Project_Management!B:H, 7, FALSE), ""))</f>
        <v/>
      </c>
      <c r="I898" s="224">
        <v>0.0</v>
      </c>
      <c r="J898" s="217"/>
      <c r="K898" s="217"/>
      <c r="L898" s="225" t="str">
        <f>IFERROR(VLOOKUP(B898, Data_Validation!X:Y, 2, FALSE), "")</f>
        <v/>
      </c>
      <c r="M898" s="226" t="str">
        <f t="shared" si="1"/>
        <v> |  -  | </v>
      </c>
      <c r="N898" s="226"/>
      <c r="O898" s="226"/>
    </row>
    <row r="899" ht="24.0" customHeight="1">
      <c r="A899" s="216" t="str">
        <f>IFERROR(__xludf.DUMMYFUNCTION("ARRAYFORMULA(IFERROR(VLOOKUP(REGEXEXTRACT(B899, ""-(\w+)-""), {Data_Validation!$F$16:$F$29, Data_Validation!$E$16:$E$29}, 2, FALSE), """"))
"),"")</f>
        <v/>
      </c>
      <c r="B899" s="217"/>
      <c r="C899" s="218" t="str">
        <f>IFERROR(__xludf.DUMMYFUNCTION("IFERROR(REGEXEXTRACT(B899, ""^[A-Z]+-[A-Z]+-"") &amp; TEXT(VALUE(REGEXEXTRACT(B899, ""-(\d+)\."")), ""00""), """")"),"")</f>
        <v/>
      </c>
      <c r="D899" s="219" t="str">
        <f>IFERROR(VLOOKUP(C899, Content_Creation!B:D, 2, FALSE), IFERROR(VLOOKUP(C899, Project_Management!B:D, 2, FALSE), ""))
&amp; " - "
&amp; IFERROR(VLOOKUP(C899, Content_Creation!B:E, 4, FALSE), IFERROR(VLOOKUP(C899, Project_Management!B:E, 4, FALSE), ""))</f>
        <v> - </v>
      </c>
      <c r="E899" s="220" t="str">
        <f>IFERROR(
    VLOOKUP(B898:B1001, Content_Creation!B:D, 3, FALSE),
    IFERROR(VLOOKUP(B898:B1001, Project_Management!B:D, 3, FALSE),"")
  )</f>
        <v/>
      </c>
      <c r="F899" s="221" t="str">
        <f>IFERROR(VLOOKUP(B899, Content_Creation!B:F, 5, FALSE), IFERROR(VLOOKUP(B899, Project_Management!B:F, 5, FALSE), ""))</f>
        <v/>
      </c>
      <c r="G899" s="267" t="s">
        <v>1317</v>
      </c>
      <c r="H899" s="223" t="str">
        <f>IFERROR(VLOOKUP(B899, Content_Creation!B:H, 7, FALSE), IFERROR(VLOOKUP(B899, Project_Management!B:H, 7, FALSE), ""))</f>
        <v/>
      </c>
      <c r="I899" s="224">
        <v>0.0</v>
      </c>
      <c r="J899" s="217"/>
      <c r="K899" s="217"/>
      <c r="L899" s="225" t="str">
        <f>IFERROR(VLOOKUP(B899, Data_Validation!X:Y, 2, FALSE), "")</f>
        <v/>
      </c>
      <c r="M899" s="226" t="str">
        <f t="shared" si="1"/>
        <v> |  -  | </v>
      </c>
      <c r="N899" s="226"/>
      <c r="O899" s="226"/>
    </row>
    <row r="900" ht="24.0" customHeight="1">
      <c r="A900" s="216" t="str">
        <f>IFERROR(__xludf.DUMMYFUNCTION("ARRAYFORMULA(IFERROR(VLOOKUP(REGEXEXTRACT(B900, ""-(\w+)-""), {Data_Validation!$F$16:$F$29, Data_Validation!$E$16:$E$29}, 2, FALSE), """"))
"),"")</f>
        <v/>
      </c>
      <c r="B900" s="217"/>
      <c r="C900" s="218" t="str">
        <f>IFERROR(__xludf.DUMMYFUNCTION("IFERROR(REGEXEXTRACT(B900, ""^[A-Z]+-[A-Z]+-"") &amp; TEXT(VALUE(REGEXEXTRACT(B900, ""-(\d+)\."")), ""00""), """")"),"")</f>
        <v/>
      </c>
      <c r="D900" s="219" t="str">
        <f>IFERROR(VLOOKUP(C900, Content_Creation!B:D, 2, FALSE), IFERROR(VLOOKUP(C900, Project_Management!B:D, 2, FALSE), ""))
&amp; " - "
&amp; IFERROR(VLOOKUP(C900, Content_Creation!B:E, 4, FALSE), IFERROR(VLOOKUP(C900, Project_Management!B:E, 4, FALSE), ""))</f>
        <v> - </v>
      </c>
      <c r="E900" s="220" t="str">
        <f>IFERROR(
    VLOOKUP(B899:B1001, Content_Creation!B:D, 3, FALSE),
    IFERROR(VLOOKUP(B899:B1001, Project_Management!B:D, 3, FALSE),"")
  )</f>
        <v/>
      </c>
      <c r="F900" s="221" t="str">
        <f>IFERROR(VLOOKUP(B900, Content_Creation!B:F, 5, FALSE), IFERROR(VLOOKUP(B900, Project_Management!B:F, 5, FALSE), ""))</f>
        <v/>
      </c>
      <c r="G900" s="267" t="s">
        <v>1317</v>
      </c>
      <c r="H900" s="223" t="str">
        <f>IFERROR(VLOOKUP(B900, Content_Creation!B:H, 7, FALSE), IFERROR(VLOOKUP(B900, Project_Management!B:H, 7, FALSE), ""))</f>
        <v/>
      </c>
      <c r="I900" s="224">
        <v>0.0</v>
      </c>
      <c r="J900" s="217"/>
      <c r="K900" s="217"/>
      <c r="L900" s="225" t="str">
        <f>IFERROR(VLOOKUP(B900, Data_Validation!X:Y, 2, FALSE), "")</f>
        <v/>
      </c>
      <c r="M900" s="226" t="str">
        <f t="shared" si="1"/>
        <v> |  -  | </v>
      </c>
      <c r="N900" s="226"/>
      <c r="O900" s="226"/>
    </row>
    <row r="901" ht="24.0" customHeight="1">
      <c r="A901" s="216" t="str">
        <f>IFERROR(__xludf.DUMMYFUNCTION("ARRAYFORMULA(IFERROR(VLOOKUP(REGEXEXTRACT(B901, ""-(\w+)-""), {Data_Validation!$F$16:$F$29, Data_Validation!$E$16:$E$29}, 2, FALSE), """"))
"),"")</f>
        <v/>
      </c>
      <c r="B901" s="217"/>
      <c r="C901" s="218" t="str">
        <f>IFERROR(__xludf.DUMMYFUNCTION("IFERROR(REGEXEXTRACT(B901, ""^[A-Z]+-[A-Z]+-"") &amp; TEXT(VALUE(REGEXEXTRACT(B901, ""-(\d+)\."")), ""00""), """")"),"")</f>
        <v/>
      </c>
      <c r="D901" s="219" t="str">
        <f>IFERROR(VLOOKUP(C901, Content_Creation!B:D, 2, FALSE), IFERROR(VLOOKUP(C901, Project_Management!B:D, 2, FALSE), ""))
&amp; " - "
&amp; IFERROR(VLOOKUP(C901, Content_Creation!B:E, 4, FALSE), IFERROR(VLOOKUP(C901, Project_Management!B:E, 4, FALSE), ""))</f>
        <v> - </v>
      </c>
      <c r="E901" s="220" t="str">
        <f>IFERROR(
    VLOOKUP(B900:B1001, Content_Creation!B:D, 3, FALSE),
    IFERROR(VLOOKUP(B900:B1001, Project_Management!B:D, 3, FALSE),"")
  )</f>
        <v/>
      </c>
      <c r="F901" s="221" t="str">
        <f>IFERROR(VLOOKUP(B901, Content_Creation!B:F, 5, FALSE), IFERROR(VLOOKUP(B901, Project_Management!B:F, 5, FALSE), ""))</f>
        <v/>
      </c>
      <c r="G901" s="267" t="s">
        <v>1317</v>
      </c>
      <c r="H901" s="223" t="str">
        <f>IFERROR(VLOOKUP(B901, Content_Creation!B:H, 7, FALSE), IFERROR(VLOOKUP(B901, Project_Management!B:H, 7, FALSE), ""))</f>
        <v/>
      </c>
      <c r="I901" s="224">
        <v>0.0</v>
      </c>
      <c r="J901" s="217"/>
      <c r="K901" s="217"/>
      <c r="L901" s="225" t="str">
        <f>IFERROR(VLOOKUP(B901, Data_Validation!X:Y, 2, FALSE), "")</f>
        <v/>
      </c>
      <c r="M901" s="226" t="str">
        <f t="shared" si="1"/>
        <v> |  -  | </v>
      </c>
      <c r="N901" s="226"/>
      <c r="O901" s="226"/>
    </row>
    <row r="902" ht="24.0" customHeight="1">
      <c r="A902" s="216" t="str">
        <f>IFERROR(__xludf.DUMMYFUNCTION("ARRAYFORMULA(IFERROR(VLOOKUP(REGEXEXTRACT(B902, ""-(\w+)-""), {Data_Validation!$F$16:$F$29, Data_Validation!$E$16:$E$29}, 2, FALSE), """"))
"),"")</f>
        <v/>
      </c>
      <c r="B902" s="217"/>
      <c r="C902" s="218" t="str">
        <f>IFERROR(__xludf.DUMMYFUNCTION("IFERROR(REGEXEXTRACT(B902, ""^[A-Z]+-[A-Z]+-"") &amp; TEXT(VALUE(REGEXEXTRACT(B902, ""-(\d+)\."")), ""00""), """")"),"")</f>
        <v/>
      </c>
      <c r="D902" s="219" t="str">
        <f>IFERROR(VLOOKUP(C902, Content_Creation!B:D, 2, FALSE), IFERROR(VLOOKUP(C902, Project_Management!B:D, 2, FALSE), ""))
&amp; " - "
&amp; IFERROR(VLOOKUP(C902, Content_Creation!B:E, 4, FALSE), IFERROR(VLOOKUP(C902, Project_Management!B:E, 4, FALSE), ""))</f>
        <v> - </v>
      </c>
      <c r="E902" s="220" t="str">
        <f>IFERROR(
    VLOOKUP(B901:B1001, Content_Creation!B:D, 3, FALSE),
    IFERROR(VLOOKUP(B901:B1001, Project_Management!B:D, 3, FALSE),"")
  )</f>
        <v/>
      </c>
      <c r="F902" s="221" t="str">
        <f>IFERROR(VLOOKUP(B902, Content_Creation!B:F, 5, FALSE), IFERROR(VLOOKUP(B902, Project_Management!B:F, 5, FALSE), ""))</f>
        <v/>
      </c>
      <c r="G902" s="267" t="s">
        <v>1317</v>
      </c>
      <c r="H902" s="223" t="str">
        <f>IFERROR(VLOOKUP(B902, Content_Creation!B:H, 7, FALSE), IFERROR(VLOOKUP(B902, Project_Management!B:H, 7, FALSE), ""))</f>
        <v/>
      </c>
      <c r="I902" s="224">
        <v>0.0</v>
      </c>
      <c r="J902" s="217"/>
      <c r="K902" s="217"/>
      <c r="L902" s="225" t="str">
        <f>IFERROR(VLOOKUP(B902, Data_Validation!X:Y, 2, FALSE), "")</f>
        <v/>
      </c>
      <c r="M902" s="226" t="str">
        <f t="shared" si="1"/>
        <v> |  -  | </v>
      </c>
      <c r="N902" s="226"/>
      <c r="O902" s="226"/>
    </row>
    <row r="903" ht="24.0" customHeight="1">
      <c r="A903" s="216" t="str">
        <f>IFERROR(__xludf.DUMMYFUNCTION("ARRAYFORMULA(IFERROR(VLOOKUP(REGEXEXTRACT(B903, ""-(\w+)-""), {Data_Validation!$F$16:$F$29, Data_Validation!$E$16:$E$29}, 2, FALSE), """"))
"),"")</f>
        <v/>
      </c>
      <c r="B903" s="217"/>
      <c r="C903" s="218" t="str">
        <f>IFERROR(__xludf.DUMMYFUNCTION("IFERROR(REGEXEXTRACT(B903, ""^[A-Z]+-[A-Z]+-"") &amp; TEXT(VALUE(REGEXEXTRACT(B903, ""-(\d+)\."")), ""00""), """")"),"")</f>
        <v/>
      </c>
      <c r="D903" s="219" t="str">
        <f>IFERROR(VLOOKUP(C903, Content_Creation!B:D, 2, FALSE), IFERROR(VLOOKUP(C903, Project_Management!B:D, 2, FALSE), ""))
&amp; " - "
&amp; IFERROR(VLOOKUP(C903, Content_Creation!B:E, 4, FALSE), IFERROR(VLOOKUP(C903, Project_Management!B:E, 4, FALSE), ""))</f>
        <v> - </v>
      </c>
      <c r="E903" s="220" t="str">
        <f>IFERROR(
    VLOOKUP(B902:B1001, Content_Creation!B:D, 3, FALSE),
    IFERROR(VLOOKUP(B902:B1001, Project_Management!B:D, 3, FALSE),"")
  )</f>
        <v/>
      </c>
      <c r="F903" s="221" t="str">
        <f>IFERROR(VLOOKUP(B903, Content_Creation!B:F, 5, FALSE), IFERROR(VLOOKUP(B903, Project_Management!B:F, 5, FALSE), ""))</f>
        <v/>
      </c>
      <c r="G903" s="267" t="s">
        <v>1317</v>
      </c>
      <c r="H903" s="223" t="str">
        <f>IFERROR(VLOOKUP(B903, Content_Creation!B:H, 7, FALSE), IFERROR(VLOOKUP(B903, Project_Management!B:H, 7, FALSE), ""))</f>
        <v/>
      </c>
      <c r="I903" s="224">
        <v>0.0</v>
      </c>
      <c r="J903" s="217"/>
      <c r="K903" s="217"/>
      <c r="L903" s="225" t="str">
        <f>IFERROR(VLOOKUP(B903, Data_Validation!X:Y, 2, FALSE), "")</f>
        <v/>
      </c>
      <c r="M903" s="226" t="str">
        <f t="shared" si="1"/>
        <v> |  -  | </v>
      </c>
      <c r="N903" s="226"/>
      <c r="O903" s="226"/>
    </row>
    <row r="904" ht="24.0" customHeight="1">
      <c r="A904" s="216" t="str">
        <f>IFERROR(__xludf.DUMMYFUNCTION("ARRAYFORMULA(IFERROR(VLOOKUP(REGEXEXTRACT(B904, ""-(\w+)-""), {Data_Validation!$F$16:$F$29, Data_Validation!$E$16:$E$29}, 2, FALSE), """"))
"),"")</f>
        <v/>
      </c>
      <c r="B904" s="217"/>
      <c r="C904" s="218" t="str">
        <f>IFERROR(__xludf.DUMMYFUNCTION("IFERROR(REGEXEXTRACT(B904, ""^[A-Z]+-[A-Z]+-"") &amp; TEXT(VALUE(REGEXEXTRACT(B904, ""-(\d+)\."")), ""00""), """")"),"")</f>
        <v/>
      </c>
      <c r="D904" s="219" t="str">
        <f>IFERROR(VLOOKUP(C904, Content_Creation!B:D, 2, FALSE), IFERROR(VLOOKUP(C904, Project_Management!B:D, 2, FALSE), ""))
&amp; " - "
&amp; IFERROR(VLOOKUP(C904, Content_Creation!B:E, 4, FALSE), IFERROR(VLOOKUP(C904, Project_Management!B:E, 4, FALSE), ""))</f>
        <v> - </v>
      </c>
      <c r="E904" s="220" t="str">
        <f>IFERROR(
    VLOOKUP(B903:B1001, Content_Creation!B:D, 3, FALSE),
    IFERROR(VLOOKUP(B903:B1001, Project_Management!B:D, 3, FALSE),"")
  )</f>
        <v/>
      </c>
      <c r="F904" s="221" t="str">
        <f>IFERROR(VLOOKUP(B904, Content_Creation!B:F, 5, FALSE), IFERROR(VLOOKUP(B904, Project_Management!B:F, 5, FALSE), ""))</f>
        <v/>
      </c>
      <c r="G904" s="267" t="s">
        <v>1317</v>
      </c>
      <c r="H904" s="223" t="str">
        <f>IFERROR(VLOOKUP(B904, Content_Creation!B:H, 7, FALSE), IFERROR(VLOOKUP(B904, Project_Management!B:H, 7, FALSE), ""))</f>
        <v/>
      </c>
      <c r="I904" s="224">
        <v>0.0</v>
      </c>
      <c r="J904" s="217"/>
      <c r="K904" s="217"/>
      <c r="L904" s="225" t="str">
        <f>IFERROR(VLOOKUP(B904, Data_Validation!X:Y, 2, FALSE), "")</f>
        <v/>
      </c>
      <c r="M904" s="226" t="str">
        <f t="shared" si="1"/>
        <v> |  -  | </v>
      </c>
      <c r="N904" s="226"/>
      <c r="O904" s="226"/>
    </row>
    <row r="905" ht="24.0" customHeight="1">
      <c r="A905" s="216" t="str">
        <f>IFERROR(__xludf.DUMMYFUNCTION("ARRAYFORMULA(IFERROR(VLOOKUP(REGEXEXTRACT(B905, ""-(\w+)-""), {Data_Validation!$F$16:$F$29, Data_Validation!$E$16:$E$29}, 2, FALSE), """"))
"),"")</f>
        <v/>
      </c>
      <c r="B905" s="217"/>
      <c r="C905" s="218" t="str">
        <f>IFERROR(__xludf.DUMMYFUNCTION("IFERROR(REGEXEXTRACT(B905, ""^[A-Z]+-[A-Z]+-"") &amp; TEXT(VALUE(REGEXEXTRACT(B905, ""-(\d+)\."")), ""00""), """")"),"")</f>
        <v/>
      </c>
      <c r="D905" s="219" t="str">
        <f>IFERROR(VLOOKUP(C905, Content_Creation!B:D, 2, FALSE), IFERROR(VLOOKUP(C905, Project_Management!B:D, 2, FALSE), ""))
&amp; " - "
&amp; IFERROR(VLOOKUP(C905, Content_Creation!B:E, 4, FALSE), IFERROR(VLOOKUP(C905, Project_Management!B:E, 4, FALSE), ""))</f>
        <v> - </v>
      </c>
      <c r="E905" s="220" t="str">
        <f>IFERROR(
    VLOOKUP(B904:B1001, Content_Creation!B:D, 3, FALSE),
    IFERROR(VLOOKUP(B904:B1001, Project_Management!B:D, 3, FALSE),"")
  )</f>
        <v/>
      </c>
      <c r="F905" s="221" t="str">
        <f>IFERROR(VLOOKUP(B905, Content_Creation!B:F, 5, FALSE), IFERROR(VLOOKUP(B905, Project_Management!B:F, 5, FALSE), ""))</f>
        <v/>
      </c>
      <c r="G905" s="267" t="s">
        <v>1317</v>
      </c>
      <c r="H905" s="223" t="str">
        <f>IFERROR(VLOOKUP(B905, Content_Creation!B:H, 7, FALSE), IFERROR(VLOOKUP(B905, Project_Management!B:H, 7, FALSE), ""))</f>
        <v/>
      </c>
      <c r="I905" s="224">
        <v>0.0</v>
      </c>
      <c r="J905" s="217"/>
      <c r="K905" s="217"/>
      <c r="L905" s="225" t="str">
        <f>IFERROR(VLOOKUP(B905, Data_Validation!X:Y, 2, FALSE), "")</f>
        <v/>
      </c>
      <c r="M905" s="226" t="str">
        <f t="shared" si="1"/>
        <v> |  -  | </v>
      </c>
      <c r="N905" s="226"/>
      <c r="O905" s="226"/>
    </row>
    <row r="906" ht="24.0" customHeight="1">
      <c r="A906" s="216" t="str">
        <f>IFERROR(__xludf.DUMMYFUNCTION("ARRAYFORMULA(IFERROR(VLOOKUP(REGEXEXTRACT(B906, ""-(\w+)-""), {Data_Validation!$F$16:$F$29, Data_Validation!$E$16:$E$29}, 2, FALSE), """"))
"),"")</f>
        <v/>
      </c>
      <c r="B906" s="217"/>
      <c r="C906" s="218" t="str">
        <f>IFERROR(__xludf.DUMMYFUNCTION("IFERROR(REGEXEXTRACT(B906, ""^[A-Z]+-[A-Z]+-"") &amp; TEXT(VALUE(REGEXEXTRACT(B906, ""-(\d+)\."")), ""00""), """")"),"")</f>
        <v/>
      </c>
      <c r="D906" s="219" t="str">
        <f>IFERROR(VLOOKUP(C906, Content_Creation!B:D, 2, FALSE), IFERROR(VLOOKUP(C906, Project_Management!B:D, 2, FALSE), ""))
&amp; " - "
&amp; IFERROR(VLOOKUP(C906, Content_Creation!B:E, 4, FALSE), IFERROR(VLOOKUP(C906, Project_Management!B:E, 4, FALSE), ""))</f>
        <v> - </v>
      </c>
      <c r="E906" s="220" t="str">
        <f>IFERROR(
    VLOOKUP(B905:B1001, Content_Creation!B:D, 3, FALSE),
    IFERROR(VLOOKUP(B905:B1001, Project_Management!B:D, 3, FALSE),"")
  )</f>
        <v/>
      </c>
      <c r="F906" s="221" t="str">
        <f>IFERROR(VLOOKUP(B906, Content_Creation!B:F, 5, FALSE), IFERROR(VLOOKUP(B906, Project_Management!B:F, 5, FALSE), ""))</f>
        <v/>
      </c>
      <c r="G906" s="267" t="s">
        <v>1317</v>
      </c>
      <c r="H906" s="223" t="str">
        <f>IFERROR(VLOOKUP(B906, Content_Creation!B:H, 7, FALSE), IFERROR(VLOOKUP(B906, Project_Management!B:H, 7, FALSE), ""))</f>
        <v/>
      </c>
      <c r="I906" s="224">
        <v>0.0</v>
      </c>
      <c r="J906" s="217"/>
      <c r="K906" s="217"/>
      <c r="L906" s="225" t="str">
        <f>IFERROR(VLOOKUP(B906, Data_Validation!X:Y, 2, FALSE), "")</f>
        <v/>
      </c>
      <c r="M906" s="226" t="str">
        <f t="shared" si="1"/>
        <v> |  -  | </v>
      </c>
      <c r="N906" s="226"/>
      <c r="O906" s="226"/>
    </row>
    <row r="907" ht="24.0" customHeight="1">
      <c r="A907" s="216" t="str">
        <f>IFERROR(__xludf.DUMMYFUNCTION("ARRAYFORMULA(IFERROR(VLOOKUP(REGEXEXTRACT(B907, ""-(\w+)-""), {Data_Validation!$F$16:$F$29, Data_Validation!$E$16:$E$29}, 2, FALSE), """"))
"),"")</f>
        <v/>
      </c>
      <c r="B907" s="217"/>
      <c r="C907" s="218" t="str">
        <f>IFERROR(__xludf.DUMMYFUNCTION("IFERROR(REGEXEXTRACT(B907, ""^[A-Z]+-[A-Z]+-"") &amp; TEXT(VALUE(REGEXEXTRACT(B907, ""-(\d+)\."")), ""00""), """")"),"")</f>
        <v/>
      </c>
      <c r="D907" s="219" t="str">
        <f>IFERROR(VLOOKUP(C907, Content_Creation!B:D, 2, FALSE), IFERROR(VLOOKUP(C907, Project_Management!B:D, 2, FALSE), ""))
&amp; " - "
&amp; IFERROR(VLOOKUP(C907, Content_Creation!B:E, 4, FALSE), IFERROR(VLOOKUP(C907, Project_Management!B:E, 4, FALSE), ""))</f>
        <v> - </v>
      </c>
      <c r="E907" s="220" t="str">
        <f>IFERROR(
    VLOOKUP(B906:B1001, Content_Creation!B:D, 3, FALSE),
    IFERROR(VLOOKUP(B906:B1001, Project_Management!B:D, 3, FALSE),"")
  )</f>
        <v/>
      </c>
      <c r="F907" s="221" t="str">
        <f>IFERROR(VLOOKUP(B907, Content_Creation!B:F, 5, FALSE), IFERROR(VLOOKUP(B907, Project_Management!B:F, 5, FALSE), ""))</f>
        <v/>
      </c>
      <c r="G907" s="267" t="s">
        <v>1317</v>
      </c>
      <c r="H907" s="223" t="str">
        <f>IFERROR(VLOOKUP(B907, Content_Creation!B:H, 7, FALSE), IFERROR(VLOOKUP(B907, Project_Management!B:H, 7, FALSE), ""))</f>
        <v/>
      </c>
      <c r="I907" s="224">
        <v>0.0</v>
      </c>
      <c r="J907" s="217"/>
      <c r="K907" s="217"/>
      <c r="L907" s="225" t="str">
        <f>IFERROR(VLOOKUP(B907, Data_Validation!X:Y, 2, FALSE), "")</f>
        <v/>
      </c>
      <c r="M907" s="226" t="str">
        <f t="shared" si="1"/>
        <v> |  -  | </v>
      </c>
      <c r="N907" s="226"/>
      <c r="O907" s="226"/>
    </row>
    <row r="908" ht="24.0" customHeight="1">
      <c r="A908" s="216" t="str">
        <f>IFERROR(__xludf.DUMMYFUNCTION("ARRAYFORMULA(IFERROR(VLOOKUP(REGEXEXTRACT(B908, ""-(\w+)-""), {Data_Validation!$F$16:$F$29, Data_Validation!$E$16:$E$29}, 2, FALSE), """"))
"),"")</f>
        <v/>
      </c>
      <c r="B908" s="217"/>
      <c r="C908" s="218" t="str">
        <f>IFERROR(__xludf.DUMMYFUNCTION("IFERROR(REGEXEXTRACT(B908, ""^[A-Z]+-[A-Z]+-"") &amp; TEXT(VALUE(REGEXEXTRACT(B908, ""-(\d+)\."")), ""00""), """")"),"")</f>
        <v/>
      </c>
      <c r="D908" s="219" t="str">
        <f>IFERROR(VLOOKUP(C908, Content_Creation!B:D, 2, FALSE), IFERROR(VLOOKUP(C908, Project_Management!B:D, 2, FALSE), ""))
&amp; " - "
&amp; IFERROR(VLOOKUP(C908, Content_Creation!B:E, 4, FALSE), IFERROR(VLOOKUP(C908, Project_Management!B:E, 4, FALSE), ""))</f>
        <v> - </v>
      </c>
      <c r="E908" s="220" t="str">
        <f>IFERROR(
    VLOOKUP(B907:B1001, Content_Creation!B:D, 3, FALSE),
    IFERROR(VLOOKUP(B907:B1001, Project_Management!B:D, 3, FALSE),"")
  )</f>
        <v/>
      </c>
      <c r="F908" s="221" t="str">
        <f>IFERROR(VLOOKUP(B908, Content_Creation!B:F, 5, FALSE), IFERROR(VLOOKUP(B908, Project_Management!B:F, 5, FALSE), ""))</f>
        <v/>
      </c>
      <c r="G908" s="267" t="s">
        <v>1317</v>
      </c>
      <c r="H908" s="223" t="str">
        <f>IFERROR(VLOOKUP(B908, Content_Creation!B:H, 7, FALSE), IFERROR(VLOOKUP(B908, Project_Management!B:H, 7, FALSE), ""))</f>
        <v/>
      </c>
      <c r="I908" s="224">
        <v>0.0</v>
      </c>
      <c r="J908" s="217"/>
      <c r="K908" s="217"/>
      <c r="L908" s="225" t="str">
        <f>IFERROR(VLOOKUP(B908, Data_Validation!X:Y, 2, FALSE), "")</f>
        <v/>
      </c>
      <c r="M908" s="226" t="str">
        <f t="shared" si="1"/>
        <v> |  -  | </v>
      </c>
      <c r="N908" s="226"/>
      <c r="O908" s="226"/>
    </row>
    <row r="909" ht="24.0" customHeight="1">
      <c r="A909" s="216" t="str">
        <f>IFERROR(__xludf.DUMMYFUNCTION("ARRAYFORMULA(IFERROR(VLOOKUP(REGEXEXTRACT(B909, ""-(\w+)-""), {Data_Validation!$F$16:$F$29, Data_Validation!$E$16:$E$29}, 2, FALSE), """"))
"),"")</f>
        <v/>
      </c>
      <c r="B909" s="217"/>
      <c r="C909" s="218" t="str">
        <f>IFERROR(__xludf.DUMMYFUNCTION("IFERROR(REGEXEXTRACT(B909, ""^[A-Z]+-[A-Z]+-"") &amp; TEXT(VALUE(REGEXEXTRACT(B909, ""-(\d+)\."")), ""00""), """")"),"")</f>
        <v/>
      </c>
      <c r="D909" s="219" t="str">
        <f>IFERROR(VLOOKUP(C909, Content_Creation!B:D, 2, FALSE), IFERROR(VLOOKUP(C909, Project_Management!B:D, 2, FALSE), ""))
&amp; " - "
&amp; IFERROR(VLOOKUP(C909, Content_Creation!B:E, 4, FALSE), IFERROR(VLOOKUP(C909, Project_Management!B:E, 4, FALSE), ""))</f>
        <v> - </v>
      </c>
      <c r="E909" s="220" t="str">
        <f>IFERROR(
    VLOOKUP(B908:B1001, Content_Creation!B:D, 3, FALSE),
    IFERROR(VLOOKUP(B908:B1001, Project_Management!B:D, 3, FALSE),"")
  )</f>
        <v/>
      </c>
      <c r="F909" s="221" t="str">
        <f>IFERROR(VLOOKUP(B909, Content_Creation!B:F, 5, FALSE), IFERROR(VLOOKUP(B909, Project_Management!B:F, 5, FALSE), ""))</f>
        <v/>
      </c>
      <c r="G909" s="267" t="s">
        <v>1317</v>
      </c>
      <c r="H909" s="223" t="str">
        <f>IFERROR(VLOOKUP(B909, Content_Creation!B:H, 7, FALSE), IFERROR(VLOOKUP(B909, Project_Management!B:H, 7, FALSE), ""))</f>
        <v/>
      </c>
      <c r="I909" s="224">
        <v>0.0</v>
      </c>
      <c r="J909" s="217"/>
      <c r="K909" s="217"/>
      <c r="L909" s="225" t="str">
        <f>IFERROR(VLOOKUP(B909, Data_Validation!X:Y, 2, FALSE), "")</f>
        <v/>
      </c>
      <c r="M909" s="226" t="str">
        <f t="shared" si="1"/>
        <v> |  -  | </v>
      </c>
      <c r="N909" s="226"/>
      <c r="O909" s="226"/>
    </row>
    <row r="910" ht="24.0" customHeight="1">
      <c r="A910" s="216" t="str">
        <f>IFERROR(__xludf.DUMMYFUNCTION("ARRAYFORMULA(IFERROR(VLOOKUP(REGEXEXTRACT(B910, ""-(\w+)-""), {Data_Validation!$F$16:$F$29, Data_Validation!$E$16:$E$29}, 2, FALSE), """"))
"),"")</f>
        <v/>
      </c>
      <c r="B910" s="217"/>
      <c r="C910" s="218" t="str">
        <f>IFERROR(__xludf.DUMMYFUNCTION("IFERROR(REGEXEXTRACT(B910, ""^[A-Z]+-[A-Z]+-"") &amp; TEXT(VALUE(REGEXEXTRACT(B910, ""-(\d+)\."")), ""00""), """")"),"")</f>
        <v/>
      </c>
      <c r="D910" s="219" t="str">
        <f>IFERROR(VLOOKUP(C910, Content_Creation!B:D, 2, FALSE), IFERROR(VLOOKUP(C910, Project_Management!B:D, 2, FALSE), ""))
&amp; " - "
&amp; IFERROR(VLOOKUP(C910, Content_Creation!B:E, 4, FALSE), IFERROR(VLOOKUP(C910, Project_Management!B:E, 4, FALSE), ""))</f>
        <v> - </v>
      </c>
      <c r="E910" s="220" t="str">
        <f>IFERROR(
    VLOOKUP(B909:B1001, Content_Creation!B:D, 3, FALSE),
    IFERROR(VLOOKUP(B909:B1001, Project_Management!B:D, 3, FALSE),"")
  )</f>
        <v/>
      </c>
      <c r="F910" s="221" t="str">
        <f>IFERROR(VLOOKUP(B910, Content_Creation!B:F, 5, FALSE), IFERROR(VLOOKUP(B910, Project_Management!B:F, 5, FALSE), ""))</f>
        <v/>
      </c>
      <c r="G910" s="267" t="s">
        <v>1317</v>
      </c>
      <c r="H910" s="223" t="str">
        <f>IFERROR(VLOOKUP(B910, Content_Creation!B:H, 7, FALSE), IFERROR(VLOOKUP(B910, Project_Management!B:H, 7, FALSE), ""))</f>
        <v/>
      </c>
      <c r="I910" s="224">
        <v>0.0</v>
      </c>
      <c r="J910" s="217"/>
      <c r="K910" s="217"/>
      <c r="L910" s="225" t="str">
        <f>IFERROR(VLOOKUP(B910, Data_Validation!X:Y, 2, FALSE), "")</f>
        <v/>
      </c>
      <c r="M910" s="226" t="str">
        <f t="shared" si="1"/>
        <v> |  -  | </v>
      </c>
      <c r="N910" s="226"/>
      <c r="O910" s="226"/>
    </row>
    <row r="911" ht="24.0" customHeight="1">
      <c r="A911" s="216" t="str">
        <f>IFERROR(__xludf.DUMMYFUNCTION("ARRAYFORMULA(IFERROR(VLOOKUP(REGEXEXTRACT(B911, ""-(\w+)-""), {Data_Validation!$F$16:$F$29, Data_Validation!$E$16:$E$29}, 2, FALSE), """"))
"),"")</f>
        <v/>
      </c>
      <c r="B911" s="217"/>
      <c r="C911" s="218" t="str">
        <f>IFERROR(__xludf.DUMMYFUNCTION("IFERROR(REGEXEXTRACT(B911, ""^[A-Z]+-[A-Z]+-"") &amp; TEXT(VALUE(REGEXEXTRACT(B911, ""-(\d+)\."")), ""00""), """")"),"")</f>
        <v/>
      </c>
      <c r="D911" s="219" t="str">
        <f>IFERROR(VLOOKUP(C911, Content_Creation!B:D, 2, FALSE), IFERROR(VLOOKUP(C911, Project_Management!B:D, 2, FALSE), ""))
&amp; " - "
&amp; IFERROR(VLOOKUP(C911, Content_Creation!B:E, 4, FALSE), IFERROR(VLOOKUP(C911, Project_Management!B:E, 4, FALSE), ""))</f>
        <v> - </v>
      </c>
      <c r="E911" s="220" t="str">
        <f>IFERROR(
    VLOOKUP(B910:B1001, Content_Creation!B:D, 3, FALSE),
    IFERROR(VLOOKUP(B910:B1001, Project_Management!B:D, 3, FALSE),"")
  )</f>
        <v/>
      </c>
      <c r="F911" s="221" t="str">
        <f>IFERROR(VLOOKUP(B911, Content_Creation!B:F, 5, FALSE), IFERROR(VLOOKUP(B911, Project_Management!B:F, 5, FALSE), ""))</f>
        <v/>
      </c>
      <c r="G911" s="267" t="s">
        <v>1317</v>
      </c>
      <c r="H911" s="223" t="str">
        <f>IFERROR(VLOOKUP(B911, Content_Creation!B:H, 7, FALSE), IFERROR(VLOOKUP(B911, Project_Management!B:H, 7, FALSE), ""))</f>
        <v/>
      </c>
      <c r="I911" s="224">
        <v>0.0</v>
      </c>
      <c r="J911" s="217"/>
      <c r="K911" s="217"/>
      <c r="L911" s="225" t="str">
        <f>IFERROR(VLOOKUP(B911, Data_Validation!X:Y, 2, FALSE), "")</f>
        <v/>
      </c>
      <c r="M911" s="226" t="str">
        <f t="shared" si="1"/>
        <v> |  -  | </v>
      </c>
      <c r="N911" s="226"/>
      <c r="O911" s="226"/>
    </row>
    <row r="912" ht="24.0" customHeight="1">
      <c r="A912" s="216" t="str">
        <f>IFERROR(__xludf.DUMMYFUNCTION("ARRAYFORMULA(IFERROR(VLOOKUP(REGEXEXTRACT(B912, ""-(\w+)-""), {Data_Validation!$F$16:$F$29, Data_Validation!$E$16:$E$29}, 2, FALSE), """"))
"),"")</f>
        <v/>
      </c>
      <c r="B912" s="217"/>
      <c r="C912" s="218" t="str">
        <f>IFERROR(__xludf.DUMMYFUNCTION("IFERROR(REGEXEXTRACT(B912, ""^[A-Z]+-[A-Z]+-"") &amp; TEXT(VALUE(REGEXEXTRACT(B912, ""-(\d+)\."")), ""00""), """")"),"")</f>
        <v/>
      </c>
      <c r="D912" s="219" t="str">
        <f>IFERROR(VLOOKUP(C912, Content_Creation!B:D, 2, FALSE), IFERROR(VLOOKUP(C912, Project_Management!B:D, 2, FALSE), ""))
&amp; " - "
&amp; IFERROR(VLOOKUP(C912, Content_Creation!B:E, 4, FALSE), IFERROR(VLOOKUP(C912, Project_Management!B:E, 4, FALSE), ""))</f>
        <v> - </v>
      </c>
      <c r="E912" s="220" t="str">
        <f>IFERROR(
    VLOOKUP(B911:B1001, Content_Creation!B:D, 3, FALSE),
    IFERROR(VLOOKUP(B911:B1001, Project_Management!B:D, 3, FALSE),"")
  )</f>
        <v/>
      </c>
      <c r="F912" s="221" t="str">
        <f>IFERROR(VLOOKUP(B912, Content_Creation!B:F, 5, FALSE), IFERROR(VLOOKUP(B912, Project_Management!B:F, 5, FALSE), ""))</f>
        <v/>
      </c>
      <c r="G912" s="267" t="s">
        <v>1317</v>
      </c>
      <c r="H912" s="223" t="str">
        <f>IFERROR(VLOOKUP(B912, Content_Creation!B:H, 7, FALSE), IFERROR(VLOOKUP(B912, Project_Management!B:H, 7, FALSE), ""))</f>
        <v/>
      </c>
      <c r="I912" s="224">
        <v>0.0</v>
      </c>
      <c r="J912" s="217"/>
      <c r="K912" s="217"/>
      <c r="L912" s="225" t="str">
        <f>IFERROR(VLOOKUP(B912, Data_Validation!X:Y, 2, FALSE), "")</f>
        <v/>
      </c>
      <c r="M912" s="226" t="str">
        <f t="shared" si="1"/>
        <v> |  -  | </v>
      </c>
      <c r="N912" s="226"/>
      <c r="O912" s="226"/>
    </row>
    <row r="913" ht="24.0" customHeight="1">
      <c r="A913" s="216" t="str">
        <f>IFERROR(__xludf.DUMMYFUNCTION("ARRAYFORMULA(IFERROR(VLOOKUP(REGEXEXTRACT(B913, ""-(\w+)-""), {Data_Validation!$F$16:$F$29, Data_Validation!$E$16:$E$29}, 2, FALSE), """"))
"),"")</f>
        <v/>
      </c>
      <c r="B913" s="217"/>
      <c r="C913" s="218" t="str">
        <f>IFERROR(__xludf.DUMMYFUNCTION("IFERROR(REGEXEXTRACT(B913, ""^[A-Z]+-[A-Z]+-"") &amp; TEXT(VALUE(REGEXEXTRACT(B913, ""-(\d+)\."")), ""00""), """")"),"")</f>
        <v/>
      </c>
      <c r="D913" s="219" t="str">
        <f>IFERROR(VLOOKUP(C913, Content_Creation!B:D, 2, FALSE), IFERROR(VLOOKUP(C913, Project_Management!B:D, 2, FALSE), ""))
&amp; " - "
&amp; IFERROR(VLOOKUP(C913, Content_Creation!B:E, 4, FALSE), IFERROR(VLOOKUP(C913, Project_Management!B:E, 4, FALSE), ""))</f>
        <v> - </v>
      </c>
      <c r="E913" s="220" t="str">
        <f>IFERROR(
    VLOOKUP(B912:B1001, Content_Creation!B:D, 3, FALSE),
    IFERROR(VLOOKUP(B912:B1001, Project_Management!B:D, 3, FALSE),"")
  )</f>
        <v/>
      </c>
      <c r="F913" s="221" t="str">
        <f>IFERROR(VLOOKUP(B913, Content_Creation!B:F, 5, FALSE), IFERROR(VLOOKUP(B913, Project_Management!B:F, 5, FALSE), ""))</f>
        <v/>
      </c>
      <c r="G913" s="267" t="s">
        <v>1317</v>
      </c>
      <c r="H913" s="223" t="str">
        <f>IFERROR(VLOOKUP(B913, Content_Creation!B:H, 7, FALSE), IFERROR(VLOOKUP(B913, Project_Management!B:H, 7, FALSE), ""))</f>
        <v/>
      </c>
      <c r="I913" s="224">
        <v>0.0</v>
      </c>
      <c r="J913" s="217"/>
      <c r="K913" s="217"/>
      <c r="L913" s="225" t="str">
        <f>IFERROR(VLOOKUP(B913, Data_Validation!X:Y, 2, FALSE), "")</f>
        <v/>
      </c>
      <c r="M913" s="226" t="str">
        <f t="shared" si="1"/>
        <v> |  -  | </v>
      </c>
      <c r="N913" s="226"/>
      <c r="O913" s="226"/>
    </row>
    <row r="914" ht="24.0" customHeight="1">
      <c r="A914" s="216" t="str">
        <f>IFERROR(__xludf.DUMMYFUNCTION("ARRAYFORMULA(IFERROR(VLOOKUP(REGEXEXTRACT(B914, ""-(\w+)-""), {Data_Validation!$F$16:$F$29, Data_Validation!$E$16:$E$29}, 2, FALSE), """"))
"),"")</f>
        <v/>
      </c>
      <c r="B914" s="217"/>
      <c r="C914" s="218" t="str">
        <f>IFERROR(__xludf.DUMMYFUNCTION("IFERROR(REGEXEXTRACT(B914, ""^[A-Z]+-[A-Z]+-"") &amp; TEXT(VALUE(REGEXEXTRACT(B914, ""-(\d+)\."")), ""00""), """")"),"")</f>
        <v/>
      </c>
      <c r="D914" s="219" t="str">
        <f>IFERROR(VLOOKUP(C914, Content_Creation!B:D, 2, FALSE), IFERROR(VLOOKUP(C914, Project_Management!B:D, 2, FALSE), ""))
&amp; " - "
&amp; IFERROR(VLOOKUP(C914, Content_Creation!B:E, 4, FALSE), IFERROR(VLOOKUP(C914, Project_Management!B:E, 4, FALSE), ""))</f>
        <v> - </v>
      </c>
      <c r="E914" s="220" t="str">
        <f>IFERROR(
    VLOOKUP(B913:B1001, Content_Creation!B:D, 3, FALSE),
    IFERROR(VLOOKUP(B913:B1001, Project_Management!B:D, 3, FALSE),"")
  )</f>
        <v/>
      </c>
      <c r="F914" s="221" t="str">
        <f>IFERROR(VLOOKUP(B914, Content_Creation!B:F, 5, FALSE), IFERROR(VLOOKUP(B914, Project_Management!B:F, 5, FALSE), ""))</f>
        <v/>
      </c>
      <c r="G914" s="267" t="s">
        <v>1317</v>
      </c>
      <c r="H914" s="223" t="str">
        <f>IFERROR(VLOOKUP(B914, Content_Creation!B:H, 7, FALSE), IFERROR(VLOOKUP(B914, Project_Management!B:H, 7, FALSE), ""))</f>
        <v/>
      </c>
      <c r="I914" s="224">
        <v>0.0</v>
      </c>
      <c r="J914" s="217"/>
      <c r="K914" s="217"/>
      <c r="L914" s="225" t="str">
        <f>IFERROR(VLOOKUP(B914, Data_Validation!X:Y, 2, FALSE), "")</f>
        <v/>
      </c>
      <c r="M914" s="226" t="str">
        <f t="shared" si="1"/>
        <v> |  -  | </v>
      </c>
      <c r="N914" s="226"/>
      <c r="O914" s="226"/>
    </row>
    <row r="915" ht="24.0" customHeight="1">
      <c r="A915" s="216" t="str">
        <f>IFERROR(__xludf.DUMMYFUNCTION("ARRAYFORMULA(IFERROR(VLOOKUP(REGEXEXTRACT(B915, ""-(\w+)-""), {Data_Validation!$F$16:$F$29, Data_Validation!$E$16:$E$29}, 2, FALSE), """"))
"),"")</f>
        <v/>
      </c>
      <c r="B915" s="217"/>
      <c r="C915" s="218" t="str">
        <f>IFERROR(__xludf.DUMMYFUNCTION("IFERROR(REGEXEXTRACT(B915, ""^[A-Z]+-[A-Z]+-"") &amp; TEXT(VALUE(REGEXEXTRACT(B915, ""-(\d+)\."")), ""00""), """")"),"")</f>
        <v/>
      </c>
      <c r="D915" s="219" t="str">
        <f>IFERROR(VLOOKUP(C915, Content_Creation!B:D, 2, FALSE), IFERROR(VLOOKUP(C915, Project_Management!B:D, 2, FALSE), ""))
&amp; " - "
&amp; IFERROR(VLOOKUP(C915, Content_Creation!B:E, 4, FALSE), IFERROR(VLOOKUP(C915, Project_Management!B:E, 4, FALSE), ""))</f>
        <v> - </v>
      </c>
      <c r="E915" s="220" t="str">
        <f>IFERROR(
    VLOOKUP(B914:B1001, Content_Creation!B:D, 3, FALSE),
    IFERROR(VLOOKUP(B914:B1001, Project_Management!B:D, 3, FALSE),"")
  )</f>
        <v/>
      </c>
      <c r="F915" s="221" t="str">
        <f>IFERROR(VLOOKUP(B915, Content_Creation!B:F, 5, FALSE), IFERROR(VLOOKUP(B915, Project_Management!B:F, 5, FALSE), ""))</f>
        <v/>
      </c>
      <c r="G915" s="267" t="s">
        <v>1317</v>
      </c>
      <c r="H915" s="223" t="str">
        <f>IFERROR(VLOOKUP(B915, Content_Creation!B:H, 7, FALSE), IFERROR(VLOOKUP(B915, Project_Management!B:H, 7, FALSE), ""))</f>
        <v/>
      </c>
      <c r="I915" s="224">
        <v>0.0</v>
      </c>
      <c r="J915" s="217"/>
      <c r="K915" s="217"/>
      <c r="L915" s="225" t="str">
        <f>IFERROR(VLOOKUP(B915, Data_Validation!X:Y, 2, FALSE), "")</f>
        <v/>
      </c>
      <c r="M915" s="226" t="str">
        <f t="shared" si="1"/>
        <v> |  -  | </v>
      </c>
      <c r="N915" s="226"/>
      <c r="O915" s="226"/>
    </row>
    <row r="916" ht="24.0" customHeight="1">
      <c r="A916" s="216" t="str">
        <f>IFERROR(__xludf.DUMMYFUNCTION("ARRAYFORMULA(IFERROR(VLOOKUP(REGEXEXTRACT(B916, ""-(\w+)-""), {Data_Validation!$F$16:$F$29, Data_Validation!$E$16:$E$29}, 2, FALSE), """"))
"),"")</f>
        <v/>
      </c>
      <c r="B916" s="217"/>
      <c r="C916" s="218" t="str">
        <f>IFERROR(__xludf.DUMMYFUNCTION("IFERROR(REGEXEXTRACT(B916, ""^[A-Z]+-[A-Z]+-"") &amp; TEXT(VALUE(REGEXEXTRACT(B916, ""-(\d+)\."")), ""00""), """")"),"")</f>
        <v/>
      </c>
      <c r="D916" s="219" t="str">
        <f>IFERROR(VLOOKUP(C916, Content_Creation!B:D, 2, FALSE), IFERROR(VLOOKUP(C916, Project_Management!B:D, 2, FALSE), ""))
&amp; " - "
&amp; IFERROR(VLOOKUP(C916, Content_Creation!B:E, 4, FALSE), IFERROR(VLOOKUP(C916, Project_Management!B:E, 4, FALSE), ""))</f>
        <v> - </v>
      </c>
      <c r="E916" s="220" t="str">
        <f>IFERROR(
    VLOOKUP(B915:B1001, Content_Creation!B:D, 3, FALSE),
    IFERROR(VLOOKUP(B915:B1001, Project_Management!B:D, 3, FALSE),"")
  )</f>
        <v/>
      </c>
      <c r="F916" s="221" t="str">
        <f>IFERROR(VLOOKUP(B916, Content_Creation!B:F, 5, FALSE), IFERROR(VLOOKUP(B916, Project_Management!B:F, 5, FALSE), ""))</f>
        <v/>
      </c>
      <c r="G916" s="267" t="s">
        <v>1317</v>
      </c>
      <c r="H916" s="223" t="str">
        <f>IFERROR(VLOOKUP(B916, Content_Creation!B:H, 7, FALSE), IFERROR(VLOOKUP(B916, Project_Management!B:H, 7, FALSE), ""))</f>
        <v/>
      </c>
      <c r="I916" s="224">
        <v>0.0</v>
      </c>
      <c r="J916" s="217"/>
      <c r="K916" s="217"/>
      <c r="L916" s="225" t="str">
        <f>IFERROR(VLOOKUP(B916, Data_Validation!X:Y, 2, FALSE), "")</f>
        <v/>
      </c>
      <c r="M916" s="226" t="str">
        <f t="shared" si="1"/>
        <v> |  -  | </v>
      </c>
      <c r="N916" s="226"/>
      <c r="O916" s="226"/>
    </row>
    <row r="917" ht="24.0" customHeight="1">
      <c r="A917" s="216" t="str">
        <f>IFERROR(__xludf.DUMMYFUNCTION("ARRAYFORMULA(IFERROR(VLOOKUP(REGEXEXTRACT(B917, ""-(\w+)-""), {Data_Validation!$F$16:$F$29, Data_Validation!$E$16:$E$29}, 2, FALSE), """"))
"),"")</f>
        <v/>
      </c>
      <c r="B917" s="217"/>
      <c r="C917" s="218" t="str">
        <f>IFERROR(__xludf.DUMMYFUNCTION("IFERROR(REGEXEXTRACT(B917, ""^[A-Z]+-[A-Z]+-"") &amp; TEXT(VALUE(REGEXEXTRACT(B917, ""-(\d+)\."")), ""00""), """")"),"")</f>
        <v/>
      </c>
      <c r="D917" s="219" t="str">
        <f>IFERROR(VLOOKUP(C917, Content_Creation!B:D, 2, FALSE), IFERROR(VLOOKUP(C917, Project_Management!B:D, 2, FALSE), ""))
&amp; " - "
&amp; IFERROR(VLOOKUP(C917, Content_Creation!B:E, 4, FALSE), IFERROR(VLOOKUP(C917, Project_Management!B:E, 4, FALSE), ""))</f>
        <v> - </v>
      </c>
      <c r="E917" s="220" t="str">
        <f>IFERROR(
    VLOOKUP(B916:B1001, Content_Creation!B:D, 3, FALSE),
    IFERROR(VLOOKUP(B916:B1001, Project_Management!B:D, 3, FALSE),"")
  )</f>
        <v/>
      </c>
      <c r="F917" s="221" t="str">
        <f>IFERROR(VLOOKUP(B917, Content_Creation!B:F, 5, FALSE), IFERROR(VLOOKUP(B917, Project_Management!B:F, 5, FALSE), ""))</f>
        <v/>
      </c>
      <c r="G917" s="267" t="s">
        <v>1317</v>
      </c>
      <c r="H917" s="223" t="str">
        <f>IFERROR(VLOOKUP(B917, Content_Creation!B:H, 7, FALSE), IFERROR(VLOOKUP(B917, Project_Management!B:H, 7, FALSE), ""))</f>
        <v/>
      </c>
      <c r="I917" s="224">
        <v>0.0</v>
      </c>
      <c r="J917" s="217"/>
      <c r="K917" s="217"/>
      <c r="L917" s="225" t="str">
        <f>IFERROR(VLOOKUP(B917, Data_Validation!X:Y, 2, FALSE), "")</f>
        <v/>
      </c>
      <c r="M917" s="226" t="str">
        <f t="shared" si="1"/>
        <v> |  -  | </v>
      </c>
      <c r="N917" s="226"/>
      <c r="O917" s="226"/>
    </row>
    <row r="918" ht="24.0" customHeight="1">
      <c r="A918" s="216" t="str">
        <f>IFERROR(__xludf.DUMMYFUNCTION("ARRAYFORMULA(IFERROR(VLOOKUP(REGEXEXTRACT(B918, ""-(\w+)-""), {Data_Validation!$F$16:$F$29, Data_Validation!$E$16:$E$29}, 2, FALSE), """"))
"),"")</f>
        <v/>
      </c>
      <c r="B918" s="217"/>
      <c r="C918" s="218" t="str">
        <f>IFERROR(__xludf.DUMMYFUNCTION("IFERROR(REGEXEXTRACT(B918, ""^[A-Z]+-[A-Z]+-"") &amp; TEXT(VALUE(REGEXEXTRACT(B918, ""-(\d+)\."")), ""00""), """")"),"")</f>
        <v/>
      </c>
      <c r="D918" s="219" t="str">
        <f>IFERROR(VLOOKUP(C918, Content_Creation!B:D, 2, FALSE), IFERROR(VLOOKUP(C918, Project_Management!B:D, 2, FALSE), ""))
&amp; " - "
&amp; IFERROR(VLOOKUP(C918, Content_Creation!B:E, 4, FALSE), IFERROR(VLOOKUP(C918, Project_Management!B:E, 4, FALSE), ""))</f>
        <v> - </v>
      </c>
      <c r="E918" s="220" t="str">
        <f>IFERROR(
    VLOOKUP(B917:B1001, Content_Creation!B:D, 3, FALSE),
    IFERROR(VLOOKUP(B917:B1001, Project_Management!B:D, 3, FALSE),"")
  )</f>
        <v/>
      </c>
      <c r="F918" s="221" t="str">
        <f>IFERROR(VLOOKUP(B918, Content_Creation!B:F, 5, FALSE), IFERROR(VLOOKUP(B918, Project_Management!B:F, 5, FALSE), ""))</f>
        <v/>
      </c>
      <c r="G918" s="267" t="s">
        <v>1317</v>
      </c>
      <c r="H918" s="223" t="str">
        <f>IFERROR(VLOOKUP(B918, Content_Creation!B:H, 7, FALSE), IFERROR(VLOOKUP(B918, Project_Management!B:H, 7, FALSE), ""))</f>
        <v/>
      </c>
      <c r="I918" s="224">
        <v>0.0</v>
      </c>
      <c r="J918" s="217"/>
      <c r="K918" s="217"/>
      <c r="L918" s="225" t="str">
        <f>IFERROR(VLOOKUP(B918, Data_Validation!X:Y, 2, FALSE), "")</f>
        <v/>
      </c>
      <c r="M918" s="226" t="str">
        <f t="shared" si="1"/>
        <v> |  -  | </v>
      </c>
      <c r="N918" s="226"/>
      <c r="O918" s="226"/>
    </row>
    <row r="919" ht="24.0" customHeight="1">
      <c r="A919" s="216" t="str">
        <f>IFERROR(__xludf.DUMMYFUNCTION("ARRAYFORMULA(IFERROR(VLOOKUP(REGEXEXTRACT(B919, ""-(\w+)-""), {Data_Validation!$F$16:$F$29, Data_Validation!$E$16:$E$29}, 2, FALSE), """"))
"),"")</f>
        <v/>
      </c>
      <c r="B919" s="217"/>
      <c r="C919" s="218" t="str">
        <f>IFERROR(__xludf.DUMMYFUNCTION("IFERROR(REGEXEXTRACT(B919, ""^[A-Z]+-[A-Z]+-"") &amp; TEXT(VALUE(REGEXEXTRACT(B919, ""-(\d+)\."")), ""00""), """")"),"")</f>
        <v/>
      </c>
      <c r="D919" s="219" t="str">
        <f>IFERROR(VLOOKUP(C919, Content_Creation!B:D, 2, FALSE), IFERROR(VLOOKUP(C919, Project_Management!B:D, 2, FALSE), ""))
&amp; " - "
&amp; IFERROR(VLOOKUP(C919, Content_Creation!B:E, 4, FALSE), IFERROR(VLOOKUP(C919, Project_Management!B:E, 4, FALSE), ""))</f>
        <v> - </v>
      </c>
      <c r="E919" s="220" t="str">
        <f>IFERROR(
    VLOOKUP(B918:B1001, Content_Creation!B:D, 3, FALSE),
    IFERROR(VLOOKUP(B918:B1001, Project_Management!B:D, 3, FALSE),"")
  )</f>
        <v/>
      </c>
      <c r="F919" s="221" t="str">
        <f>IFERROR(VLOOKUP(B919, Content_Creation!B:F, 5, FALSE), IFERROR(VLOOKUP(B919, Project_Management!B:F, 5, FALSE), ""))</f>
        <v/>
      </c>
      <c r="G919" s="267" t="s">
        <v>1317</v>
      </c>
      <c r="H919" s="223" t="str">
        <f>IFERROR(VLOOKUP(B919, Content_Creation!B:H, 7, FALSE), IFERROR(VLOOKUP(B919, Project_Management!B:H, 7, FALSE), ""))</f>
        <v/>
      </c>
      <c r="I919" s="224">
        <v>0.0</v>
      </c>
      <c r="J919" s="217"/>
      <c r="K919" s="217"/>
      <c r="L919" s="225" t="str">
        <f>IFERROR(VLOOKUP(B919, Data_Validation!X:Y, 2, FALSE), "")</f>
        <v/>
      </c>
      <c r="M919" s="226" t="str">
        <f t="shared" si="1"/>
        <v> |  -  | </v>
      </c>
      <c r="N919" s="226"/>
      <c r="O919" s="226"/>
    </row>
    <row r="920" ht="24.0" customHeight="1">
      <c r="A920" s="216" t="str">
        <f>IFERROR(__xludf.DUMMYFUNCTION("ARRAYFORMULA(IFERROR(VLOOKUP(REGEXEXTRACT(B920, ""-(\w+)-""), {Data_Validation!$F$16:$F$29, Data_Validation!$E$16:$E$29}, 2, FALSE), """"))
"),"")</f>
        <v/>
      </c>
      <c r="B920" s="217"/>
      <c r="C920" s="218" t="str">
        <f>IFERROR(__xludf.DUMMYFUNCTION("IFERROR(REGEXEXTRACT(B920, ""^[A-Z]+-[A-Z]+-"") &amp; TEXT(VALUE(REGEXEXTRACT(B920, ""-(\d+)\."")), ""00""), """")"),"")</f>
        <v/>
      </c>
      <c r="D920" s="219" t="str">
        <f>IFERROR(VLOOKUP(C920, Content_Creation!B:D, 2, FALSE), IFERROR(VLOOKUP(C920, Project_Management!B:D, 2, FALSE), ""))
&amp; " - "
&amp; IFERROR(VLOOKUP(C920, Content_Creation!B:E, 4, FALSE), IFERROR(VLOOKUP(C920, Project_Management!B:E, 4, FALSE), ""))</f>
        <v> - </v>
      </c>
      <c r="E920" s="220" t="str">
        <f>IFERROR(
    VLOOKUP(B919:B1001, Content_Creation!B:D, 3, FALSE),
    IFERROR(VLOOKUP(B919:B1001, Project_Management!B:D, 3, FALSE),"")
  )</f>
        <v/>
      </c>
      <c r="F920" s="221" t="str">
        <f>IFERROR(VLOOKUP(B920, Content_Creation!B:F, 5, FALSE), IFERROR(VLOOKUP(B920, Project_Management!B:F, 5, FALSE), ""))</f>
        <v/>
      </c>
      <c r="G920" s="267" t="s">
        <v>1317</v>
      </c>
      <c r="H920" s="223" t="str">
        <f>IFERROR(VLOOKUP(B920, Content_Creation!B:H, 7, FALSE), IFERROR(VLOOKUP(B920, Project_Management!B:H, 7, FALSE), ""))</f>
        <v/>
      </c>
      <c r="I920" s="224">
        <v>0.0</v>
      </c>
      <c r="J920" s="217"/>
      <c r="K920" s="217"/>
      <c r="L920" s="225" t="str">
        <f>IFERROR(VLOOKUP(B920, Data_Validation!X:Y, 2, FALSE), "")</f>
        <v/>
      </c>
      <c r="M920" s="226" t="str">
        <f t="shared" si="1"/>
        <v> |  -  | </v>
      </c>
      <c r="N920" s="226"/>
      <c r="O920" s="226"/>
    </row>
    <row r="921" ht="24.0" customHeight="1">
      <c r="A921" s="216" t="str">
        <f>IFERROR(__xludf.DUMMYFUNCTION("ARRAYFORMULA(IFERROR(VLOOKUP(REGEXEXTRACT(B921, ""-(\w+)-""), {Data_Validation!$F$16:$F$29, Data_Validation!$E$16:$E$29}, 2, FALSE), """"))
"),"")</f>
        <v/>
      </c>
      <c r="B921" s="217"/>
      <c r="C921" s="218" t="str">
        <f>IFERROR(__xludf.DUMMYFUNCTION("IFERROR(REGEXEXTRACT(B921, ""^[A-Z]+-[A-Z]+-"") &amp; TEXT(VALUE(REGEXEXTRACT(B921, ""-(\d+)\."")), ""00""), """")"),"")</f>
        <v/>
      </c>
      <c r="D921" s="219" t="str">
        <f>IFERROR(VLOOKUP(C921, Content_Creation!B:D, 2, FALSE), IFERROR(VLOOKUP(C921, Project_Management!B:D, 2, FALSE), ""))
&amp; " - "
&amp; IFERROR(VLOOKUP(C921, Content_Creation!B:E, 4, FALSE), IFERROR(VLOOKUP(C921, Project_Management!B:E, 4, FALSE), ""))</f>
        <v> - </v>
      </c>
      <c r="E921" s="220" t="str">
        <f>IFERROR(
    VLOOKUP(B920:B1001, Content_Creation!B:D, 3, FALSE),
    IFERROR(VLOOKUP(B920:B1001, Project_Management!B:D, 3, FALSE),"")
  )</f>
        <v/>
      </c>
      <c r="F921" s="221" t="str">
        <f>IFERROR(VLOOKUP(B921, Content_Creation!B:F, 5, FALSE), IFERROR(VLOOKUP(B921, Project_Management!B:F, 5, FALSE), ""))</f>
        <v/>
      </c>
      <c r="G921" s="267" t="s">
        <v>1317</v>
      </c>
      <c r="H921" s="223" t="str">
        <f>IFERROR(VLOOKUP(B921, Content_Creation!B:H, 7, FALSE), IFERROR(VLOOKUP(B921, Project_Management!B:H, 7, FALSE), ""))</f>
        <v/>
      </c>
      <c r="I921" s="224">
        <v>0.0</v>
      </c>
      <c r="J921" s="217"/>
      <c r="K921" s="217"/>
      <c r="L921" s="225" t="str">
        <f>IFERROR(VLOOKUP(B921, Data_Validation!X:Y, 2, FALSE), "")</f>
        <v/>
      </c>
      <c r="M921" s="226" t="str">
        <f t="shared" si="1"/>
        <v> |  -  | </v>
      </c>
      <c r="N921" s="226"/>
      <c r="O921" s="226"/>
    </row>
    <row r="922" ht="24.0" customHeight="1">
      <c r="A922" s="216" t="str">
        <f>IFERROR(__xludf.DUMMYFUNCTION("ARRAYFORMULA(IFERROR(VLOOKUP(REGEXEXTRACT(B922, ""-(\w+)-""), {Data_Validation!$F$16:$F$29, Data_Validation!$E$16:$E$29}, 2, FALSE), """"))
"),"")</f>
        <v/>
      </c>
      <c r="B922" s="217"/>
      <c r="C922" s="218" t="str">
        <f>IFERROR(__xludf.DUMMYFUNCTION("IFERROR(REGEXEXTRACT(B922, ""^[A-Z]+-[A-Z]+-"") &amp; TEXT(VALUE(REGEXEXTRACT(B922, ""-(\d+)\."")), ""00""), """")"),"")</f>
        <v/>
      </c>
      <c r="D922" s="219" t="str">
        <f>IFERROR(VLOOKUP(C922, Content_Creation!B:D, 2, FALSE), IFERROR(VLOOKUP(C922, Project_Management!B:D, 2, FALSE), ""))
&amp; " - "
&amp; IFERROR(VLOOKUP(C922, Content_Creation!B:E, 4, FALSE), IFERROR(VLOOKUP(C922, Project_Management!B:E, 4, FALSE), ""))</f>
        <v> - </v>
      </c>
      <c r="E922" s="220" t="str">
        <f>IFERROR(
    VLOOKUP(B921:B1001, Content_Creation!B:D, 3, FALSE),
    IFERROR(VLOOKUP(B921:B1001, Project_Management!B:D, 3, FALSE),"")
  )</f>
        <v/>
      </c>
      <c r="F922" s="221" t="str">
        <f>IFERROR(VLOOKUP(B922, Content_Creation!B:F, 5, FALSE), IFERROR(VLOOKUP(B922, Project_Management!B:F, 5, FALSE), ""))</f>
        <v/>
      </c>
      <c r="G922" s="267" t="s">
        <v>1317</v>
      </c>
      <c r="H922" s="223" t="str">
        <f>IFERROR(VLOOKUP(B922, Content_Creation!B:H, 7, FALSE), IFERROR(VLOOKUP(B922, Project_Management!B:H, 7, FALSE), ""))</f>
        <v/>
      </c>
      <c r="I922" s="224">
        <v>0.0</v>
      </c>
      <c r="J922" s="217"/>
      <c r="K922" s="217"/>
      <c r="L922" s="225" t="str">
        <f>IFERROR(VLOOKUP(B922, Data_Validation!X:Y, 2, FALSE), "")</f>
        <v/>
      </c>
      <c r="M922" s="226" t="str">
        <f t="shared" si="1"/>
        <v> |  -  | </v>
      </c>
      <c r="N922" s="226"/>
      <c r="O922" s="226"/>
    </row>
    <row r="923" ht="24.0" customHeight="1">
      <c r="A923" s="216" t="str">
        <f>IFERROR(__xludf.DUMMYFUNCTION("ARRAYFORMULA(IFERROR(VLOOKUP(REGEXEXTRACT(B923, ""-(\w+)-""), {Data_Validation!$F$16:$F$29, Data_Validation!$E$16:$E$29}, 2, FALSE), """"))
"),"")</f>
        <v/>
      </c>
      <c r="B923" s="217"/>
      <c r="C923" s="218" t="str">
        <f>IFERROR(__xludf.DUMMYFUNCTION("IFERROR(REGEXEXTRACT(B923, ""^[A-Z]+-[A-Z]+-"") &amp; TEXT(VALUE(REGEXEXTRACT(B923, ""-(\d+)\."")), ""00""), """")"),"")</f>
        <v/>
      </c>
      <c r="D923" s="219" t="str">
        <f>IFERROR(VLOOKUP(C923, Content_Creation!B:D, 2, FALSE), IFERROR(VLOOKUP(C923, Project_Management!B:D, 2, FALSE), ""))
&amp; " - "
&amp; IFERROR(VLOOKUP(C923, Content_Creation!B:E, 4, FALSE), IFERROR(VLOOKUP(C923, Project_Management!B:E, 4, FALSE), ""))</f>
        <v> - </v>
      </c>
      <c r="E923" s="220" t="str">
        <f>IFERROR(
    VLOOKUP(B922:B1001, Content_Creation!B:D, 3, FALSE),
    IFERROR(VLOOKUP(B922:B1001, Project_Management!B:D, 3, FALSE),"")
  )</f>
        <v/>
      </c>
      <c r="F923" s="221" t="str">
        <f>IFERROR(VLOOKUP(B923, Content_Creation!B:F, 5, FALSE), IFERROR(VLOOKUP(B923, Project_Management!B:F, 5, FALSE), ""))</f>
        <v/>
      </c>
      <c r="G923" s="267" t="s">
        <v>1317</v>
      </c>
      <c r="H923" s="223" t="str">
        <f>IFERROR(VLOOKUP(B923, Content_Creation!B:H, 7, FALSE), IFERROR(VLOOKUP(B923, Project_Management!B:H, 7, FALSE), ""))</f>
        <v/>
      </c>
      <c r="I923" s="224">
        <v>0.0</v>
      </c>
      <c r="J923" s="217"/>
      <c r="K923" s="217"/>
      <c r="L923" s="225" t="str">
        <f>IFERROR(VLOOKUP(B923, Data_Validation!X:Y, 2, FALSE), "")</f>
        <v/>
      </c>
      <c r="M923" s="226" t="str">
        <f t="shared" si="1"/>
        <v> |  -  | </v>
      </c>
      <c r="N923" s="226"/>
      <c r="O923" s="226"/>
    </row>
    <row r="924" ht="24.0" customHeight="1">
      <c r="A924" s="216" t="str">
        <f>IFERROR(__xludf.DUMMYFUNCTION("ARRAYFORMULA(IFERROR(VLOOKUP(REGEXEXTRACT(B924, ""-(\w+)-""), {Data_Validation!$F$16:$F$29, Data_Validation!$E$16:$E$29}, 2, FALSE), """"))
"),"")</f>
        <v/>
      </c>
      <c r="B924" s="217"/>
      <c r="C924" s="218" t="str">
        <f>IFERROR(__xludf.DUMMYFUNCTION("IFERROR(REGEXEXTRACT(B924, ""^[A-Z]+-[A-Z]+-"") &amp; TEXT(VALUE(REGEXEXTRACT(B924, ""-(\d+)\."")), ""00""), """")"),"")</f>
        <v/>
      </c>
      <c r="D924" s="219" t="str">
        <f>IFERROR(VLOOKUP(C924, Content_Creation!B:D, 2, FALSE), IFERROR(VLOOKUP(C924, Project_Management!B:D, 2, FALSE), ""))
&amp; " - "
&amp; IFERROR(VLOOKUP(C924, Content_Creation!B:E, 4, FALSE), IFERROR(VLOOKUP(C924, Project_Management!B:E, 4, FALSE), ""))</f>
        <v> - </v>
      </c>
      <c r="E924" s="220" t="str">
        <f>IFERROR(
    VLOOKUP(B923:B1001, Content_Creation!B:D, 3, FALSE),
    IFERROR(VLOOKUP(B923:B1001, Project_Management!B:D, 3, FALSE),"")
  )</f>
        <v/>
      </c>
      <c r="F924" s="221" t="str">
        <f>IFERROR(VLOOKUP(B924, Content_Creation!B:F, 5, FALSE), IFERROR(VLOOKUP(B924, Project_Management!B:F, 5, FALSE), ""))</f>
        <v/>
      </c>
      <c r="G924" s="267" t="s">
        <v>1317</v>
      </c>
      <c r="H924" s="223" t="str">
        <f>IFERROR(VLOOKUP(B924, Content_Creation!B:H, 7, FALSE), IFERROR(VLOOKUP(B924, Project_Management!B:H, 7, FALSE), ""))</f>
        <v/>
      </c>
      <c r="I924" s="224">
        <v>0.0</v>
      </c>
      <c r="J924" s="217"/>
      <c r="K924" s="217"/>
      <c r="L924" s="225" t="str">
        <f>IFERROR(VLOOKUP(B924, Data_Validation!X:Y, 2, FALSE), "")</f>
        <v/>
      </c>
      <c r="M924" s="226" t="str">
        <f t="shared" si="1"/>
        <v> |  -  | </v>
      </c>
      <c r="N924" s="226"/>
      <c r="O924" s="226"/>
    </row>
    <row r="925" ht="24.0" customHeight="1">
      <c r="A925" s="216" t="str">
        <f>IFERROR(__xludf.DUMMYFUNCTION("ARRAYFORMULA(IFERROR(VLOOKUP(REGEXEXTRACT(B925, ""-(\w+)-""), {Data_Validation!$F$16:$F$29, Data_Validation!$E$16:$E$29}, 2, FALSE), """"))
"),"")</f>
        <v/>
      </c>
      <c r="B925" s="217"/>
      <c r="C925" s="218" t="str">
        <f>IFERROR(__xludf.DUMMYFUNCTION("IFERROR(REGEXEXTRACT(B925, ""^[A-Z]+-[A-Z]+-"") &amp; TEXT(VALUE(REGEXEXTRACT(B925, ""-(\d+)\."")), ""00""), """")"),"")</f>
        <v/>
      </c>
      <c r="D925" s="219" t="str">
        <f>IFERROR(VLOOKUP(C925, Content_Creation!B:D, 2, FALSE), IFERROR(VLOOKUP(C925, Project_Management!B:D, 2, FALSE), ""))
&amp; " - "
&amp; IFERROR(VLOOKUP(C925, Content_Creation!B:E, 4, FALSE), IFERROR(VLOOKUP(C925, Project_Management!B:E, 4, FALSE), ""))</f>
        <v> - </v>
      </c>
      <c r="E925" s="220" t="str">
        <f>IFERROR(
    VLOOKUP(B924:B1001, Content_Creation!B:D, 3, FALSE),
    IFERROR(VLOOKUP(B924:B1001, Project_Management!B:D, 3, FALSE),"")
  )</f>
        <v/>
      </c>
      <c r="F925" s="221" t="str">
        <f>IFERROR(VLOOKUP(B925, Content_Creation!B:F, 5, FALSE), IFERROR(VLOOKUP(B925, Project_Management!B:F, 5, FALSE), ""))</f>
        <v/>
      </c>
      <c r="G925" s="267" t="s">
        <v>1317</v>
      </c>
      <c r="H925" s="223" t="str">
        <f>IFERROR(VLOOKUP(B925, Content_Creation!B:H, 7, FALSE), IFERROR(VLOOKUP(B925, Project_Management!B:H, 7, FALSE), ""))</f>
        <v/>
      </c>
      <c r="I925" s="224">
        <v>0.0</v>
      </c>
      <c r="J925" s="217"/>
      <c r="K925" s="217"/>
      <c r="L925" s="225" t="str">
        <f>IFERROR(VLOOKUP(B925, Data_Validation!X:Y, 2, FALSE), "")</f>
        <v/>
      </c>
      <c r="M925" s="226" t="str">
        <f t="shared" si="1"/>
        <v> |  -  | </v>
      </c>
      <c r="N925" s="226"/>
      <c r="O925" s="226"/>
    </row>
    <row r="926" ht="24.0" customHeight="1">
      <c r="A926" s="216" t="str">
        <f>IFERROR(__xludf.DUMMYFUNCTION("ARRAYFORMULA(IFERROR(VLOOKUP(REGEXEXTRACT(B926, ""-(\w+)-""), {Data_Validation!$F$16:$F$29, Data_Validation!$E$16:$E$29}, 2, FALSE), """"))
"),"")</f>
        <v/>
      </c>
      <c r="B926" s="217"/>
      <c r="C926" s="218" t="str">
        <f>IFERROR(__xludf.DUMMYFUNCTION("IFERROR(REGEXEXTRACT(B926, ""^[A-Z]+-[A-Z]+-"") &amp; TEXT(VALUE(REGEXEXTRACT(B926, ""-(\d+)\."")), ""00""), """")"),"")</f>
        <v/>
      </c>
      <c r="D926" s="219" t="str">
        <f>IFERROR(VLOOKUP(C926, Content_Creation!B:D, 2, FALSE), IFERROR(VLOOKUP(C926, Project_Management!B:D, 2, FALSE), ""))
&amp; " - "
&amp; IFERROR(VLOOKUP(C926, Content_Creation!B:E, 4, FALSE), IFERROR(VLOOKUP(C926, Project_Management!B:E, 4, FALSE), ""))</f>
        <v> - </v>
      </c>
      <c r="E926" s="220" t="str">
        <f>IFERROR(
    VLOOKUP(B925:B1001, Content_Creation!B:D, 3, FALSE),
    IFERROR(VLOOKUP(B925:B1001, Project_Management!B:D, 3, FALSE),"")
  )</f>
        <v/>
      </c>
      <c r="F926" s="221" t="str">
        <f>IFERROR(VLOOKUP(B926, Content_Creation!B:F, 5, FALSE), IFERROR(VLOOKUP(B926, Project_Management!B:F, 5, FALSE), ""))</f>
        <v/>
      </c>
      <c r="G926" s="267" t="s">
        <v>1317</v>
      </c>
      <c r="H926" s="223" t="str">
        <f>IFERROR(VLOOKUP(B926, Content_Creation!B:H, 7, FALSE), IFERROR(VLOOKUP(B926, Project_Management!B:H, 7, FALSE), ""))</f>
        <v/>
      </c>
      <c r="I926" s="224">
        <v>0.0</v>
      </c>
      <c r="J926" s="217"/>
      <c r="K926" s="217"/>
      <c r="L926" s="225" t="str">
        <f>IFERROR(VLOOKUP(B926, Data_Validation!X:Y, 2, FALSE), "")</f>
        <v/>
      </c>
      <c r="M926" s="226" t="str">
        <f t="shared" si="1"/>
        <v> |  -  | </v>
      </c>
      <c r="N926" s="226"/>
      <c r="O926" s="226"/>
    </row>
    <row r="927" ht="24.0" customHeight="1">
      <c r="A927" s="216" t="str">
        <f>IFERROR(__xludf.DUMMYFUNCTION("ARRAYFORMULA(IFERROR(VLOOKUP(REGEXEXTRACT(B927, ""-(\w+)-""), {Data_Validation!$F$16:$F$29, Data_Validation!$E$16:$E$29}, 2, FALSE), """"))
"),"")</f>
        <v/>
      </c>
      <c r="B927" s="217"/>
      <c r="C927" s="218" t="str">
        <f>IFERROR(__xludf.DUMMYFUNCTION("IFERROR(REGEXEXTRACT(B927, ""^[A-Z]+-[A-Z]+-"") &amp; TEXT(VALUE(REGEXEXTRACT(B927, ""-(\d+)\."")), ""00""), """")"),"")</f>
        <v/>
      </c>
      <c r="D927" s="219" t="str">
        <f>IFERROR(VLOOKUP(C927, Content_Creation!B:D, 2, FALSE), IFERROR(VLOOKUP(C927, Project_Management!B:D, 2, FALSE), ""))
&amp; " - "
&amp; IFERROR(VLOOKUP(C927, Content_Creation!B:E, 4, FALSE), IFERROR(VLOOKUP(C927, Project_Management!B:E, 4, FALSE), ""))</f>
        <v> - </v>
      </c>
      <c r="E927" s="220" t="str">
        <f>IFERROR(
    VLOOKUP(B926:B1001, Content_Creation!B:D, 3, FALSE),
    IFERROR(VLOOKUP(B926:B1001, Project_Management!B:D, 3, FALSE),"")
  )</f>
        <v/>
      </c>
      <c r="F927" s="221" t="str">
        <f>IFERROR(VLOOKUP(B927, Content_Creation!B:F, 5, FALSE), IFERROR(VLOOKUP(B927, Project_Management!B:F, 5, FALSE), ""))</f>
        <v/>
      </c>
      <c r="G927" s="267" t="s">
        <v>1317</v>
      </c>
      <c r="H927" s="223" t="str">
        <f>IFERROR(VLOOKUP(B927, Content_Creation!B:H, 7, FALSE), IFERROR(VLOOKUP(B927, Project_Management!B:H, 7, FALSE), ""))</f>
        <v/>
      </c>
      <c r="I927" s="224">
        <v>0.0</v>
      </c>
      <c r="J927" s="217"/>
      <c r="K927" s="217"/>
      <c r="L927" s="225" t="str">
        <f>IFERROR(VLOOKUP(B927, Data_Validation!X:Y, 2, FALSE), "")</f>
        <v/>
      </c>
      <c r="M927" s="226" t="str">
        <f t="shared" si="1"/>
        <v> |  -  | </v>
      </c>
      <c r="N927" s="226"/>
      <c r="O927" s="226"/>
    </row>
    <row r="928" ht="24.0" customHeight="1">
      <c r="A928" s="216" t="str">
        <f>IFERROR(__xludf.DUMMYFUNCTION("ARRAYFORMULA(IFERROR(VLOOKUP(REGEXEXTRACT(B928, ""-(\w+)-""), {Data_Validation!$F$16:$F$29, Data_Validation!$E$16:$E$29}, 2, FALSE), """"))
"),"")</f>
        <v/>
      </c>
      <c r="B928" s="217"/>
      <c r="C928" s="218" t="str">
        <f>IFERROR(__xludf.DUMMYFUNCTION("IFERROR(REGEXEXTRACT(B928, ""^[A-Z]+-[A-Z]+-"") &amp; TEXT(VALUE(REGEXEXTRACT(B928, ""-(\d+)\."")), ""00""), """")"),"")</f>
        <v/>
      </c>
      <c r="D928" s="219" t="str">
        <f>IFERROR(VLOOKUP(C928, Content_Creation!B:D, 2, FALSE), IFERROR(VLOOKUP(C928, Project_Management!B:D, 2, FALSE), ""))
&amp; " - "
&amp; IFERROR(VLOOKUP(C928, Content_Creation!B:E, 4, FALSE), IFERROR(VLOOKUP(C928, Project_Management!B:E, 4, FALSE), ""))</f>
        <v> - </v>
      </c>
      <c r="E928" s="220" t="str">
        <f>IFERROR(
    VLOOKUP(B927:B1001, Content_Creation!B:D, 3, FALSE),
    IFERROR(VLOOKUP(B927:B1001, Project_Management!B:D, 3, FALSE),"")
  )</f>
        <v/>
      </c>
      <c r="F928" s="221" t="str">
        <f>IFERROR(VLOOKUP(B928, Content_Creation!B:F, 5, FALSE), IFERROR(VLOOKUP(B928, Project_Management!B:F, 5, FALSE), ""))</f>
        <v/>
      </c>
      <c r="G928" s="267" t="s">
        <v>1317</v>
      </c>
      <c r="H928" s="223" t="str">
        <f>IFERROR(VLOOKUP(B928, Content_Creation!B:H, 7, FALSE), IFERROR(VLOOKUP(B928, Project_Management!B:H, 7, FALSE), ""))</f>
        <v/>
      </c>
      <c r="I928" s="224">
        <v>0.0</v>
      </c>
      <c r="J928" s="217"/>
      <c r="K928" s="217"/>
      <c r="L928" s="225" t="str">
        <f>IFERROR(VLOOKUP(B928, Data_Validation!X:Y, 2, FALSE), "")</f>
        <v/>
      </c>
      <c r="M928" s="226" t="str">
        <f t="shared" si="1"/>
        <v> |  -  | </v>
      </c>
      <c r="N928" s="226"/>
      <c r="O928" s="226"/>
    </row>
    <row r="929" ht="24.0" customHeight="1">
      <c r="A929" s="216" t="str">
        <f>IFERROR(__xludf.DUMMYFUNCTION("ARRAYFORMULA(IFERROR(VLOOKUP(REGEXEXTRACT(B929, ""-(\w+)-""), {Data_Validation!$F$16:$F$29, Data_Validation!$E$16:$E$29}, 2, FALSE), """"))
"),"")</f>
        <v/>
      </c>
      <c r="B929" s="217"/>
      <c r="C929" s="218" t="str">
        <f>IFERROR(__xludf.DUMMYFUNCTION("IFERROR(REGEXEXTRACT(B929, ""^[A-Z]+-[A-Z]+-"") &amp; TEXT(VALUE(REGEXEXTRACT(B929, ""-(\d+)\."")), ""00""), """")"),"")</f>
        <v/>
      </c>
      <c r="D929" s="219" t="str">
        <f>IFERROR(VLOOKUP(C929, Content_Creation!B:D, 2, FALSE), IFERROR(VLOOKUP(C929, Project_Management!B:D, 2, FALSE), ""))
&amp; " - "
&amp; IFERROR(VLOOKUP(C929, Content_Creation!B:E, 4, FALSE), IFERROR(VLOOKUP(C929, Project_Management!B:E, 4, FALSE), ""))</f>
        <v> - </v>
      </c>
      <c r="E929" s="220" t="str">
        <f>IFERROR(
    VLOOKUP(B928:B1001, Content_Creation!B:D, 3, FALSE),
    IFERROR(VLOOKUP(B928:B1001, Project_Management!B:D, 3, FALSE),"")
  )</f>
        <v/>
      </c>
      <c r="F929" s="221" t="str">
        <f>IFERROR(VLOOKUP(B929, Content_Creation!B:F, 5, FALSE), IFERROR(VLOOKUP(B929, Project_Management!B:F, 5, FALSE), ""))</f>
        <v/>
      </c>
      <c r="G929" s="267" t="s">
        <v>1317</v>
      </c>
      <c r="H929" s="223" t="str">
        <f>IFERROR(VLOOKUP(B929, Content_Creation!B:H, 7, FALSE), IFERROR(VLOOKUP(B929, Project_Management!B:H, 7, FALSE), ""))</f>
        <v/>
      </c>
      <c r="I929" s="224">
        <v>0.0</v>
      </c>
      <c r="J929" s="217"/>
      <c r="K929" s="217"/>
      <c r="L929" s="225" t="str">
        <f>IFERROR(VLOOKUP(B929, Data_Validation!X:Y, 2, FALSE), "")</f>
        <v/>
      </c>
      <c r="M929" s="226" t="str">
        <f t="shared" si="1"/>
        <v> |  -  | </v>
      </c>
      <c r="N929" s="226"/>
      <c r="O929" s="226"/>
    </row>
    <row r="930" ht="24.0" customHeight="1">
      <c r="A930" s="216" t="str">
        <f>IFERROR(__xludf.DUMMYFUNCTION("ARRAYFORMULA(IFERROR(VLOOKUP(REGEXEXTRACT(B930, ""-(\w+)-""), {Data_Validation!$F$16:$F$29, Data_Validation!$E$16:$E$29}, 2, FALSE), """"))
"),"")</f>
        <v/>
      </c>
      <c r="B930" s="217"/>
      <c r="C930" s="218" t="str">
        <f>IFERROR(__xludf.DUMMYFUNCTION("IFERROR(REGEXEXTRACT(B930, ""^[A-Z]+-[A-Z]+-"") &amp; TEXT(VALUE(REGEXEXTRACT(B930, ""-(\d+)\."")), ""00""), """")"),"")</f>
        <v/>
      </c>
      <c r="D930" s="219" t="str">
        <f>IFERROR(VLOOKUP(C930, Content_Creation!B:D, 2, FALSE), IFERROR(VLOOKUP(C930, Project_Management!B:D, 2, FALSE), ""))
&amp; " - "
&amp; IFERROR(VLOOKUP(C930, Content_Creation!B:E, 4, FALSE), IFERROR(VLOOKUP(C930, Project_Management!B:E, 4, FALSE), ""))</f>
        <v> - </v>
      </c>
      <c r="E930" s="220" t="str">
        <f>IFERROR(
    VLOOKUP(B929:B1001, Content_Creation!B:D, 3, FALSE),
    IFERROR(VLOOKUP(B929:B1001, Project_Management!B:D, 3, FALSE),"")
  )</f>
        <v/>
      </c>
      <c r="F930" s="221" t="str">
        <f>IFERROR(VLOOKUP(B930, Content_Creation!B:F, 5, FALSE), IFERROR(VLOOKUP(B930, Project_Management!B:F, 5, FALSE), ""))</f>
        <v/>
      </c>
      <c r="G930" s="267" t="s">
        <v>1317</v>
      </c>
      <c r="H930" s="223" t="str">
        <f>IFERROR(VLOOKUP(B930, Content_Creation!B:H, 7, FALSE), IFERROR(VLOOKUP(B930, Project_Management!B:H, 7, FALSE), ""))</f>
        <v/>
      </c>
      <c r="I930" s="224">
        <v>0.0</v>
      </c>
      <c r="J930" s="217"/>
      <c r="K930" s="217"/>
      <c r="L930" s="225" t="str">
        <f>IFERROR(VLOOKUP(B930, Data_Validation!X:Y, 2, FALSE), "")</f>
        <v/>
      </c>
      <c r="M930" s="226" t="str">
        <f t="shared" si="1"/>
        <v> |  -  | </v>
      </c>
      <c r="N930" s="226"/>
      <c r="O930" s="226"/>
    </row>
    <row r="931" ht="24.0" customHeight="1">
      <c r="A931" s="216" t="str">
        <f>IFERROR(__xludf.DUMMYFUNCTION("ARRAYFORMULA(IFERROR(VLOOKUP(REGEXEXTRACT(B931, ""-(\w+)-""), {Data_Validation!$F$16:$F$29, Data_Validation!$E$16:$E$29}, 2, FALSE), """"))
"),"")</f>
        <v/>
      </c>
      <c r="B931" s="217"/>
      <c r="C931" s="218" t="str">
        <f>IFERROR(__xludf.DUMMYFUNCTION("IFERROR(REGEXEXTRACT(B931, ""^[A-Z]+-[A-Z]+-"") &amp; TEXT(VALUE(REGEXEXTRACT(B931, ""-(\d+)\."")), ""00""), """")"),"")</f>
        <v/>
      </c>
      <c r="D931" s="219" t="str">
        <f>IFERROR(VLOOKUP(C931, Content_Creation!B:D, 2, FALSE), IFERROR(VLOOKUP(C931, Project_Management!B:D, 2, FALSE), ""))
&amp; " - "
&amp; IFERROR(VLOOKUP(C931, Content_Creation!B:E, 4, FALSE), IFERROR(VLOOKUP(C931, Project_Management!B:E, 4, FALSE), ""))</f>
        <v> - </v>
      </c>
      <c r="E931" s="220" t="str">
        <f>IFERROR(
    VLOOKUP(B930:B1001, Content_Creation!B:D, 3, FALSE),
    IFERROR(VLOOKUP(B930:B1001, Project_Management!B:D, 3, FALSE),"")
  )</f>
        <v/>
      </c>
      <c r="F931" s="221" t="str">
        <f>IFERROR(VLOOKUP(B931, Content_Creation!B:F, 5, FALSE), IFERROR(VLOOKUP(B931, Project_Management!B:F, 5, FALSE), ""))</f>
        <v/>
      </c>
      <c r="G931" s="267" t="s">
        <v>1317</v>
      </c>
      <c r="H931" s="223" t="str">
        <f>IFERROR(VLOOKUP(B931, Content_Creation!B:H, 7, FALSE), IFERROR(VLOOKUP(B931, Project_Management!B:H, 7, FALSE), ""))</f>
        <v/>
      </c>
      <c r="I931" s="224">
        <v>0.0</v>
      </c>
      <c r="J931" s="217"/>
      <c r="K931" s="217"/>
      <c r="L931" s="225" t="str">
        <f>IFERROR(VLOOKUP(B931, Data_Validation!X:Y, 2, FALSE), "")</f>
        <v/>
      </c>
      <c r="M931" s="226" t="str">
        <f t="shared" si="1"/>
        <v> |  -  | </v>
      </c>
      <c r="N931" s="226"/>
      <c r="O931" s="226"/>
    </row>
    <row r="932" ht="24.0" customHeight="1">
      <c r="A932" s="216" t="str">
        <f>IFERROR(__xludf.DUMMYFUNCTION("ARRAYFORMULA(IFERROR(VLOOKUP(REGEXEXTRACT(B932, ""-(\w+)-""), {Data_Validation!$F$16:$F$29, Data_Validation!$E$16:$E$29}, 2, FALSE), """"))
"),"")</f>
        <v/>
      </c>
      <c r="B932" s="217"/>
      <c r="C932" s="218" t="str">
        <f>IFERROR(__xludf.DUMMYFUNCTION("IFERROR(REGEXEXTRACT(B932, ""^[A-Z]+-[A-Z]+-"") &amp; TEXT(VALUE(REGEXEXTRACT(B932, ""-(\d+)\."")), ""00""), """")"),"")</f>
        <v/>
      </c>
      <c r="D932" s="219" t="str">
        <f>IFERROR(VLOOKUP(C932, Content_Creation!B:D, 2, FALSE), IFERROR(VLOOKUP(C932, Project_Management!B:D, 2, FALSE), ""))
&amp; " - "
&amp; IFERROR(VLOOKUP(C932, Content_Creation!B:E, 4, FALSE), IFERROR(VLOOKUP(C932, Project_Management!B:E, 4, FALSE), ""))</f>
        <v> - </v>
      </c>
      <c r="E932" s="220" t="str">
        <f>IFERROR(
    VLOOKUP(B931:B1001, Content_Creation!B:D, 3, FALSE),
    IFERROR(VLOOKUP(B931:B1001, Project_Management!B:D, 3, FALSE),"")
  )</f>
        <v/>
      </c>
      <c r="F932" s="221" t="str">
        <f>IFERROR(VLOOKUP(B932, Content_Creation!B:F, 5, FALSE), IFERROR(VLOOKUP(B932, Project_Management!B:F, 5, FALSE), ""))</f>
        <v/>
      </c>
      <c r="G932" s="267" t="s">
        <v>1317</v>
      </c>
      <c r="H932" s="223" t="str">
        <f>IFERROR(VLOOKUP(B932, Content_Creation!B:H, 7, FALSE), IFERROR(VLOOKUP(B932, Project_Management!B:H, 7, FALSE), ""))</f>
        <v/>
      </c>
      <c r="I932" s="224">
        <v>0.0</v>
      </c>
      <c r="J932" s="217"/>
      <c r="K932" s="217"/>
      <c r="L932" s="225" t="str">
        <f>IFERROR(VLOOKUP(B932, Data_Validation!X:Y, 2, FALSE), "")</f>
        <v/>
      </c>
      <c r="M932" s="226" t="str">
        <f t="shared" si="1"/>
        <v> |  -  | </v>
      </c>
      <c r="N932" s="226"/>
      <c r="O932" s="226"/>
    </row>
    <row r="933" ht="24.0" customHeight="1">
      <c r="A933" s="216" t="str">
        <f>IFERROR(__xludf.DUMMYFUNCTION("ARRAYFORMULA(IFERROR(VLOOKUP(REGEXEXTRACT(B933, ""-(\w+)-""), {Data_Validation!$F$16:$F$29, Data_Validation!$E$16:$E$29}, 2, FALSE), """"))
"),"")</f>
        <v/>
      </c>
      <c r="B933" s="217"/>
      <c r="C933" s="218" t="str">
        <f>IFERROR(__xludf.DUMMYFUNCTION("IFERROR(REGEXEXTRACT(B933, ""^[A-Z]+-[A-Z]+-"") &amp; TEXT(VALUE(REGEXEXTRACT(B933, ""-(\d+)\."")), ""00""), """")"),"")</f>
        <v/>
      </c>
      <c r="D933" s="219" t="str">
        <f>IFERROR(VLOOKUP(C933, Content_Creation!B:D, 2, FALSE), IFERROR(VLOOKUP(C933, Project_Management!B:D, 2, FALSE), ""))
&amp; " - "
&amp; IFERROR(VLOOKUP(C933, Content_Creation!B:E, 4, FALSE), IFERROR(VLOOKUP(C933, Project_Management!B:E, 4, FALSE), ""))</f>
        <v> - </v>
      </c>
      <c r="E933" s="220" t="str">
        <f>IFERROR(
    VLOOKUP(B932:B1001, Content_Creation!B:D, 3, FALSE),
    IFERROR(VLOOKUP(B932:B1001, Project_Management!B:D, 3, FALSE),"")
  )</f>
        <v/>
      </c>
      <c r="F933" s="221" t="str">
        <f>IFERROR(VLOOKUP(B933, Content_Creation!B:F, 5, FALSE), IFERROR(VLOOKUP(B933, Project_Management!B:F, 5, FALSE), ""))</f>
        <v/>
      </c>
      <c r="G933" s="267" t="s">
        <v>1317</v>
      </c>
      <c r="H933" s="223" t="str">
        <f>IFERROR(VLOOKUP(B933, Content_Creation!B:H, 7, FALSE), IFERROR(VLOOKUP(B933, Project_Management!B:H, 7, FALSE), ""))</f>
        <v/>
      </c>
      <c r="I933" s="224">
        <v>0.0</v>
      </c>
      <c r="J933" s="217"/>
      <c r="K933" s="217"/>
      <c r="L933" s="225" t="str">
        <f>IFERROR(VLOOKUP(B933, Data_Validation!X:Y, 2, FALSE), "")</f>
        <v/>
      </c>
      <c r="M933" s="226" t="str">
        <f t="shared" si="1"/>
        <v> |  -  | </v>
      </c>
      <c r="N933" s="226"/>
      <c r="O933" s="226"/>
    </row>
    <row r="934" ht="24.0" customHeight="1">
      <c r="A934" s="216" t="str">
        <f>IFERROR(__xludf.DUMMYFUNCTION("ARRAYFORMULA(IFERROR(VLOOKUP(REGEXEXTRACT(B934, ""-(\w+)-""), {Data_Validation!$F$16:$F$29, Data_Validation!$E$16:$E$29}, 2, FALSE), """"))
"),"")</f>
        <v/>
      </c>
      <c r="B934" s="217"/>
      <c r="C934" s="218" t="str">
        <f>IFERROR(__xludf.DUMMYFUNCTION("IFERROR(REGEXEXTRACT(B934, ""^[A-Z]+-[A-Z]+-"") &amp; TEXT(VALUE(REGEXEXTRACT(B934, ""-(\d+)\."")), ""00""), """")"),"")</f>
        <v/>
      </c>
      <c r="D934" s="219" t="str">
        <f>IFERROR(VLOOKUP(C934, Content_Creation!B:D, 2, FALSE), IFERROR(VLOOKUP(C934, Project_Management!B:D, 2, FALSE), ""))
&amp; " - "
&amp; IFERROR(VLOOKUP(C934, Content_Creation!B:E, 4, FALSE), IFERROR(VLOOKUP(C934, Project_Management!B:E, 4, FALSE), ""))</f>
        <v> - </v>
      </c>
      <c r="E934" s="220" t="str">
        <f>IFERROR(
    VLOOKUP(B933:B1001, Content_Creation!B:D, 3, FALSE),
    IFERROR(VLOOKUP(B933:B1001, Project_Management!B:D, 3, FALSE),"")
  )</f>
        <v/>
      </c>
      <c r="F934" s="221" t="str">
        <f>IFERROR(VLOOKUP(B934, Content_Creation!B:F, 5, FALSE), IFERROR(VLOOKUP(B934, Project_Management!B:F, 5, FALSE), ""))</f>
        <v/>
      </c>
      <c r="G934" s="267" t="s">
        <v>1317</v>
      </c>
      <c r="H934" s="223" t="str">
        <f>IFERROR(VLOOKUP(B934, Content_Creation!B:H, 7, FALSE), IFERROR(VLOOKUP(B934, Project_Management!B:H, 7, FALSE), ""))</f>
        <v/>
      </c>
      <c r="I934" s="224">
        <v>0.0</v>
      </c>
      <c r="J934" s="217"/>
      <c r="K934" s="217"/>
      <c r="L934" s="225" t="str">
        <f>IFERROR(VLOOKUP(B934, Data_Validation!X:Y, 2, FALSE), "")</f>
        <v/>
      </c>
      <c r="M934" s="226" t="str">
        <f t="shared" si="1"/>
        <v> |  -  | </v>
      </c>
      <c r="N934" s="226"/>
      <c r="O934" s="226"/>
    </row>
    <row r="935" ht="24.0" customHeight="1">
      <c r="A935" s="216" t="str">
        <f>IFERROR(__xludf.DUMMYFUNCTION("ARRAYFORMULA(IFERROR(VLOOKUP(REGEXEXTRACT(B935, ""-(\w+)-""), {Data_Validation!$F$16:$F$29, Data_Validation!$E$16:$E$29}, 2, FALSE), """"))
"),"")</f>
        <v/>
      </c>
      <c r="B935" s="217"/>
      <c r="C935" s="218" t="str">
        <f>IFERROR(__xludf.DUMMYFUNCTION("IFERROR(REGEXEXTRACT(B935, ""^[A-Z]+-[A-Z]+-"") &amp; TEXT(VALUE(REGEXEXTRACT(B935, ""-(\d+)\."")), ""00""), """")"),"")</f>
        <v/>
      </c>
      <c r="D935" s="219" t="str">
        <f>IFERROR(VLOOKUP(C935, Content_Creation!B:D, 2, FALSE), IFERROR(VLOOKUP(C935, Project_Management!B:D, 2, FALSE), ""))
&amp; " - "
&amp; IFERROR(VLOOKUP(C935, Content_Creation!B:E, 4, FALSE), IFERROR(VLOOKUP(C935, Project_Management!B:E, 4, FALSE), ""))</f>
        <v> - </v>
      </c>
      <c r="E935" s="220" t="str">
        <f>IFERROR(
    VLOOKUP(B934:B1001, Content_Creation!B:D, 3, FALSE),
    IFERROR(VLOOKUP(B934:B1001, Project_Management!B:D, 3, FALSE),"")
  )</f>
        <v/>
      </c>
      <c r="F935" s="221" t="str">
        <f>IFERROR(VLOOKUP(B935, Content_Creation!B:F, 5, FALSE), IFERROR(VLOOKUP(B935, Project_Management!B:F, 5, FALSE), ""))</f>
        <v/>
      </c>
      <c r="G935" s="267" t="s">
        <v>1317</v>
      </c>
      <c r="H935" s="223" t="str">
        <f>IFERROR(VLOOKUP(B935, Content_Creation!B:H, 7, FALSE), IFERROR(VLOOKUP(B935, Project_Management!B:H, 7, FALSE), ""))</f>
        <v/>
      </c>
      <c r="I935" s="224">
        <v>0.0</v>
      </c>
      <c r="J935" s="217"/>
      <c r="K935" s="217"/>
      <c r="L935" s="225" t="str">
        <f>IFERROR(VLOOKUP(B935, Data_Validation!X:Y, 2, FALSE), "")</f>
        <v/>
      </c>
      <c r="M935" s="226" t="str">
        <f t="shared" si="1"/>
        <v> |  -  | </v>
      </c>
      <c r="N935" s="226"/>
      <c r="O935" s="226"/>
    </row>
    <row r="936" ht="24.0" customHeight="1">
      <c r="A936" s="216" t="str">
        <f>IFERROR(__xludf.DUMMYFUNCTION("ARRAYFORMULA(IFERROR(VLOOKUP(REGEXEXTRACT(B936, ""-(\w+)-""), {Data_Validation!$F$16:$F$29, Data_Validation!$E$16:$E$29}, 2, FALSE), """"))
"),"")</f>
        <v/>
      </c>
      <c r="B936" s="217"/>
      <c r="C936" s="218" t="str">
        <f>IFERROR(__xludf.DUMMYFUNCTION("IFERROR(REGEXEXTRACT(B936, ""^[A-Z]+-[A-Z]+-"") &amp; TEXT(VALUE(REGEXEXTRACT(B936, ""-(\d+)\."")), ""00""), """")"),"")</f>
        <v/>
      </c>
      <c r="D936" s="219" t="str">
        <f>IFERROR(VLOOKUP(C936, Content_Creation!B:D, 2, FALSE), IFERROR(VLOOKUP(C936, Project_Management!B:D, 2, FALSE), ""))
&amp; " - "
&amp; IFERROR(VLOOKUP(C936, Content_Creation!B:E, 4, FALSE), IFERROR(VLOOKUP(C936, Project_Management!B:E, 4, FALSE), ""))</f>
        <v> - </v>
      </c>
      <c r="E936" s="220" t="str">
        <f>IFERROR(
    VLOOKUP(B935:B1001, Content_Creation!B:D, 3, FALSE),
    IFERROR(VLOOKUP(B935:B1001, Project_Management!B:D, 3, FALSE),"")
  )</f>
        <v/>
      </c>
      <c r="F936" s="221" t="str">
        <f>IFERROR(VLOOKUP(B936, Content_Creation!B:F, 5, FALSE), IFERROR(VLOOKUP(B936, Project_Management!B:F, 5, FALSE), ""))</f>
        <v/>
      </c>
      <c r="G936" s="267" t="s">
        <v>1317</v>
      </c>
      <c r="H936" s="223" t="str">
        <f>IFERROR(VLOOKUP(B936, Content_Creation!B:H, 7, FALSE), IFERROR(VLOOKUP(B936, Project_Management!B:H, 7, FALSE), ""))</f>
        <v/>
      </c>
      <c r="I936" s="224">
        <v>0.0</v>
      </c>
      <c r="J936" s="217"/>
      <c r="K936" s="217"/>
      <c r="L936" s="225" t="str">
        <f>IFERROR(VLOOKUP(B936, Data_Validation!X:Y, 2, FALSE), "")</f>
        <v/>
      </c>
      <c r="M936" s="226" t="str">
        <f t="shared" si="1"/>
        <v> |  -  | </v>
      </c>
      <c r="N936" s="226"/>
      <c r="O936" s="226"/>
    </row>
    <row r="937" ht="24.0" customHeight="1">
      <c r="A937" s="216" t="str">
        <f>IFERROR(__xludf.DUMMYFUNCTION("ARRAYFORMULA(IFERROR(VLOOKUP(REGEXEXTRACT(B937, ""-(\w+)-""), {Data_Validation!$F$16:$F$29, Data_Validation!$E$16:$E$29}, 2, FALSE), """"))
"),"")</f>
        <v/>
      </c>
      <c r="B937" s="217"/>
      <c r="C937" s="218" t="str">
        <f>IFERROR(__xludf.DUMMYFUNCTION("IFERROR(REGEXEXTRACT(B937, ""^[A-Z]+-[A-Z]+-"") &amp; TEXT(VALUE(REGEXEXTRACT(B937, ""-(\d+)\."")), ""00""), """")"),"")</f>
        <v/>
      </c>
      <c r="D937" s="219" t="str">
        <f>IFERROR(VLOOKUP(C937, Content_Creation!B:D, 2, FALSE), IFERROR(VLOOKUP(C937, Project_Management!B:D, 2, FALSE), ""))
&amp; " - "
&amp; IFERROR(VLOOKUP(C937, Content_Creation!B:E, 4, FALSE), IFERROR(VLOOKUP(C937, Project_Management!B:E, 4, FALSE), ""))</f>
        <v> - </v>
      </c>
      <c r="E937" s="220" t="str">
        <f>IFERROR(
    VLOOKUP(B936:B1001, Content_Creation!B:D, 3, FALSE),
    IFERROR(VLOOKUP(B936:B1001, Project_Management!B:D, 3, FALSE),"")
  )</f>
        <v/>
      </c>
      <c r="F937" s="221" t="str">
        <f>IFERROR(VLOOKUP(B937, Content_Creation!B:F, 5, FALSE), IFERROR(VLOOKUP(B937, Project_Management!B:F, 5, FALSE), ""))</f>
        <v/>
      </c>
      <c r="G937" s="267" t="s">
        <v>1317</v>
      </c>
      <c r="H937" s="223" t="str">
        <f>IFERROR(VLOOKUP(B937, Content_Creation!B:H, 7, FALSE), IFERROR(VLOOKUP(B937, Project_Management!B:H, 7, FALSE), ""))</f>
        <v/>
      </c>
      <c r="I937" s="224">
        <v>0.0</v>
      </c>
      <c r="J937" s="217"/>
      <c r="K937" s="217"/>
      <c r="L937" s="225" t="str">
        <f>IFERROR(VLOOKUP(B937, Data_Validation!X:Y, 2, FALSE), "")</f>
        <v/>
      </c>
      <c r="M937" s="226" t="str">
        <f t="shared" si="1"/>
        <v> |  -  | </v>
      </c>
      <c r="N937" s="226"/>
      <c r="O937" s="226"/>
    </row>
    <row r="938" ht="24.0" customHeight="1">
      <c r="A938" s="216" t="str">
        <f>IFERROR(__xludf.DUMMYFUNCTION("ARRAYFORMULA(IFERROR(VLOOKUP(REGEXEXTRACT(B938, ""-(\w+)-""), {Data_Validation!$F$16:$F$29, Data_Validation!$E$16:$E$29}, 2, FALSE), """"))
"),"")</f>
        <v/>
      </c>
      <c r="B938" s="217"/>
      <c r="C938" s="218" t="str">
        <f>IFERROR(__xludf.DUMMYFUNCTION("IFERROR(REGEXEXTRACT(B938, ""^[A-Z]+-[A-Z]+-"") &amp; TEXT(VALUE(REGEXEXTRACT(B938, ""-(\d+)\."")), ""00""), """")"),"")</f>
        <v/>
      </c>
      <c r="D938" s="219" t="str">
        <f>IFERROR(VLOOKUP(C938, Content_Creation!B:D, 2, FALSE), IFERROR(VLOOKUP(C938, Project_Management!B:D, 2, FALSE), ""))
&amp; " - "
&amp; IFERROR(VLOOKUP(C938, Content_Creation!B:E, 4, FALSE), IFERROR(VLOOKUP(C938, Project_Management!B:E, 4, FALSE), ""))</f>
        <v> - </v>
      </c>
      <c r="E938" s="220" t="str">
        <f>IFERROR(
    VLOOKUP(B937:B1001, Content_Creation!B:D, 3, FALSE),
    IFERROR(VLOOKUP(B937:B1001, Project_Management!B:D, 3, FALSE),"")
  )</f>
        <v/>
      </c>
      <c r="F938" s="221" t="str">
        <f>IFERROR(VLOOKUP(B938, Content_Creation!B:F, 5, FALSE), IFERROR(VLOOKUP(B938, Project_Management!B:F, 5, FALSE), ""))</f>
        <v/>
      </c>
      <c r="G938" s="267" t="s">
        <v>1317</v>
      </c>
      <c r="H938" s="223" t="str">
        <f>IFERROR(VLOOKUP(B938, Content_Creation!B:H, 7, FALSE), IFERROR(VLOOKUP(B938, Project_Management!B:H, 7, FALSE), ""))</f>
        <v/>
      </c>
      <c r="I938" s="224">
        <v>0.0</v>
      </c>
      <c r="J938" s="217"/>
      <c r="K938" s="217"/>
      <c r="L938" s="225" t="str">
        <f>IFERROR(VLOOKUP(B938, Data_Validation!X:Y, 2, FALSE), "")</f>
        <v/>
      </c>
      <c r="M938" s="226" t="str">
        <f t="shared" si="1"/>
        <v> |  -  | </v>
      </c>
      <c r="N938" s="226"/>
      <c r="O938" s="226"/>
    </row>
    <row r="939" ht="24.0" customHeight="1">
      <c r="A939" s="216" t="str">
        <f>IFERROR(__xludf.DUMMYFUNCTION("ARRAYFORMULA(IFERROR(VLOOKUP(REGEXEXTRACT(B939, ""-(\w+)-""), {Data_Validation!$F$16:$F$29, Data_Validation!$E$16:$E$29}, 2, FALSE), """"))
"),"")</f>
        <v/>
      </c>
      <c r="B939" s="217"/>
      <c r="C939" s="218" t="str">
        <f>IFERROR(__xludf.DUMMYFUNCTION("IFERROR(REGEXEXTRACT(B939, ""^[A-Z]+-[A-Z]+-"") &amp; TEXT(VALUE(REGEXEXTRACT(B939, ""-(\d+)\."")), ""00""), """")"),"")</f>
        <v/>
      </c>
      <c r="D939" s="219" t="str">
        <f>IFERROR(VLOOKUP(C939, Content_Creation!B:D, 2, FALSE), IFERROR(VLOOKUP(C939, Project_Management!B:D, 2, FALSE), ""))
&amp; " - "
&amp; IFERROR(VLOOKUP(C939, Content_Creation!B:E, 4, FALSE), IFERROR(VLOOKUP(C939, Project_Management!B:E, 4, FALSE), ""))</f>
        <v> - </v>
      </c>
      <c r="E939" s="220" t="str">
        <f>IFERROR(
    VLOOKUP(B938:B1001, Content_Creation!B:D, 3, FALSE),
    IFERROR(VLOOKUP(B938:B1001, Project_Management!B:D, 3, FALSE),"")
  )</f>
        <v/>
      </c>
      <c r="F939" s="221" t="str">
        <f>IFERROR(VLOOKUP(B939, Content_Creation!B:F, 5, FALSE), IFERROR(VLOOKUP(B939, Project_Management!B:F, 5, FALSE), ""))</f>
        <v/>
      </c>
      <c r="G939" s="267" t="s">
        <v>1317</v>
      </c>
      <c r="H939" s="223" t="str">
        <f>IFERROR(VLOOKUP(B939, Content_Creation!B:H, 7, FALSE), IFERROR(VLOOKUP(B939, Project_Management!B:H, 7, FALSE), ""))</f>
        <v/>
      </c>
      <c r="I939" s="224">
        <v>0.0</v>
      </c>
      <c r="J939" s="217"/>
      <c r="K939" s="217"/>
      <c r="L939" s="225" t="str">
        <f>IFERROR(VLOOKUP(B939, Data_Validation!X:Y, 2, FALSE), "")</f>
        <v/>
      </c>
      <c r="M939" s="226" t="str">
        <f t="shared" si="1"/>
        <v> |  -  | </v>
      </c>
      <c r="N939" s="226"/>
      <c r="O939" s="226"/>
    </row>
    <row r="940" ht="24.0" customHeight="1">
      <c r="A940" s="216" t="str">
        <f>IFERROR(__xludf.DUMMYFUNCTION("ARRAYFORMULA(IFERROR(VLOOKUP(REGEXEXTRACT(B940, ""-(\w+)-""), {Data_Validation!$F$16:$F$29, Data_Validation!$E$16:$E$29}, 2, FALSE), """"))
"),"")</f>
        <v/>
      </c>
      <c r="B940" s="217"/>
      <c r="C940" s="218" t="str">
        <f>IFERROR(__xludf.DUMMYFUNCTION("IFERROR(REGEXEXTRACT(B940, ""^[A-Z]+-[A-Z]+-"") &amp; TEXT(VALUE(REGEXEXTRACT(B940, ""-(\d+)\."")), ""00""), """")"),"")</f>
        <v/>
      </c>
      <c r="D940" s="219" t="str">
        <f>IFERROR(VLOOKUP(C940, Content_Creation!B:D, 2, FALSE), IFERROR(VLOOKUP(C940, Project_Management!B:D, 2, FALSE), ""))
&amp; " - "
&amp; IFERROR(VLOOKUP(C940, Content_Creation!B:E, 4, FALSE), IFERROR(VLOOKUP(C940, Project_Management!B:E, 4, FALSE), ""))</f>
        <v> - </v>
      </c>
      <c r="E940" s="220" t="str">
        <f>IFERROR(
    VLOOKUP(B939:B1001, Content_Creation!B:D, 3, FALSE),
    IFERROR(VLOOKUP(B939:B1001, Project_Management!B:D, 3, FALSE),"")
  )</f>
        <v/>
      </c>
      <c r="F940" s="221" t="str">
        <f>IFERROR(VLOOKUP(B940, Content_Creation!B:F, 5, FALSE), IFERROR(VLOOKUP(B940, Project_Management!B:F, 5, FALSE), ""))</f>
        <v/>
      </c>
      <c r="G940" s="267" t="s">
        <v>1317</v>
      </c>
      <c r="H940" s="223" t="str">
        <f>IFERROR(VLOOKUP(B940, Content_Creation!B:H, 7, FALSE), IFERROR(VLOOKUP(B940, Project_Management!B:H, 7, FALSE), ""))</f>
        <v/>
      </c>
      <c r="I940" s="224">
        <v>0.0</v>
      </c>
      <c r="J940" s="217"/>
      <c r="K940" s="217"/>
      <c r="L940" s="225" t="str">
        <f>IFERROR(VLOOKUP(B940, Data_Validation!X:Y, 2, FALSE), "")</f>
        <v/>
      </c>
      <c r="M940" s="226" t="str">
        <f t="shared" si="1"/>
        <v> |  -  | </v>
      </c>
      <c r="N940" s="226"/>
      <c r="O940" s="226"/>
    </row>
    <row r="941" ht="24.0" customHeight="1">
      <c r="A941" s="216" t="str">
        <f>IFERROR(__xludf.DUMMYFUNCTION("ARRAYFORMULA(IFERROR(VLOOKUP(REGEXEXTRACT(B941, ""-(\w+)-""), {Data_Validation!$F$16:$F$29, Data_Validation!$E$16:$E$29}, 2, FALSE), """"))
"),"")</f>
        <v/>
      </c>
      <c r="B941" s="217"/>
      <c r="C941" s="218" t="str">
        <f>IFERROR(__xludf.DUMMYFUNCTION("IFERROR(REGEXEXTRACT(B941, ""^[A-Z]+-[A-Z]+-"") &amp; TEXT(VALUE(REGEXEXTRACT(B941, ""-(\d+)\."")), ""00""), """")"),"")</f>
        <v/>
      </c>
      <c r="D941" s="219" t="str">
        <f>IFERROR(VLOOKUP(C941, Content_Creation!B:D, 2, FALSE), IFERROR(VLOOKUP(C941, Project_Management!B:D, 2, FALSE), ""))
&amp; " - "
&amp; IFERROR(VLOOKUP(C941, Content_Creation!B:E, 4, FALSE), IFERROR(VLOOKUP(C941, Project_Management!B:E, 4, FALSE), ""))</f>
        <v> - </v>
      </c>
      <c r="E941" s="220" t="str">
        <f>IFERROR(
    VLOOKUP(B940:B1001, Content_Creation!B:D, 3, FALSE),
    IFERROR(VLOOKUP(B940:B1001, Project_Management!B:D, 3, FALSE),"")
  )</f>
        <v/>
      </c>
      <c r="F941" s="221" t="str">
        <f>IFERROR(VLOOKUP(B941, Content_Creation!B:F, 5, FALSE), IFERROR(VLOOKUP(B941, Project_Management!B:F, 5, FALSE), ""))</f>
        <v/>
      </c>
      <c r="G941" s="267" t="s">
        <v>1317</v>
      </c>
      <c r="H941" s="223" t="str">
        <f>IFERROR(VLOOKUP(B941, Content_Creation!B:H, 7, FALSE), IFERROR(VLOOKUP(B941, Project_Management!B:H, 7, FALSE), ""))</f>
        <v/>
      </c>
      <c r="I941" s="224">
        <v>0.0</v>
      </c>
      <c r="J941" s="217"/>
      <c r="K941" s="217"/>
      <c r="L941" s="225" t="str">
        <f>IFERROR(VLOOKUP(B941, Data_Validation!X:Y, 2, FALSE), "")</f>
        <v/>
      </c>
      <c r="M941" s="226" t="str">
        <f t="shared" si="1"/>
        <v> |  -  | </v>
      </c>
      <c r="N941" s="226"/>
      <c r="O941" s="226"/>
    </row>
    <row r="942" ht="24.0" customHeight="1">
      <c r="A942" s="216" t="str">
        <f>IFERROR(__xludf.DUMMYFUNCTION("ARRAYFORMULA(IFERROR(VLOOKUP(REGEXEXTRACT(B942, ""-(\w+)-""), {Data_Validation!$F$16:$F$29, Data_Validation!$E$16:$E$29}, 2, FALSE), """"))
"),"")</f>
        <v/>
      </c>
      <c r="B942" s="217"/>
      <c r="C942" s="218" t="str">
        <f>IFERROR(__xludf.DUMMYFUNCTION("IFERROR(REGEXEXTRACT(B942, ""^[A-Z]+-[A-Z]+-"") &amp; TEXT(VALUE(REGEXEXTRACT(B942, ""-(\d+)\."")), ""00""), """")"),"")</f>
        <v/>
      </c>
      <c r="D942" s="219" t="str">
        <f>IFERROR(VLOOKUP(C942, Content_Creation!B:D, 2, FALSE), IFERROR(VLOOKUP(C942, Project_Management!B:D, 2, FALSE), ""))
&amp; " - "
&amp; IFERROR(VLOOKUP(C942, Content_Creation!B:E, 4, FALSE), IFERROR(VLOOKUP(C942, Project_Management!B:E, 4, FALSE), ""))</f>
        <v> - </v>
      </c>
      <c r="E942" s="220" t="str">
        <f>IFERROR(
    VLOOKUP(B941:B1001, Content_Creation!B:D, 3, FALSE),
    IFERROR(VLOOKUP(B941:B1001, Project_Management!B:D, 3, FALSE),"")
  )</f>
        <v/>
      </c>
      <c r="F942" s="221" t="str">
        <f>IFERROR(VLOOKUP(B942, Content_Creation!B:F, 5, FALSE), IFERROR(VLOOKUP(B942, Project_Management!B:F, 5, FALSE), ""))</f>
        <v/>
      </c>
      <c r="G942" s="267" t="s">
        <v>1317</v>
      </c>
      <c r="H942" s="223" t="str">
        <f>IFERROR(VLOOKUP(B942, Content_Creation!B:H, 7, FALSE), IFERROR(VLOOKUP(B942, Project_Management!B:H, 7, FALSE), ""))</f>
        <v/>
      </c>
      <c r="I942" s="224">
        <v>0.0</v>
      </c>
      <c r="J942" s="217"/>
      <c r="K942" s="217"/>
      <c r="L942" s="225" t="str">
        <f>IFERROR(VLOOKUP(B942, Data_Validation!X:Y, 2, FALSE), "")</f>
        <v/>
      </c>
      <c r="M942" s="226" t="str">
        <f t="shared" si="1"/>
        <v> |  -  | </v>
      </c>
      <c r="N942" s="226"/>
      <c r="O942" s="226"/>
    </row>
    <row r="943" ht="24.0" customHeight="1">
      <c r="A943" s="216" t="str">
        <f>IFERROR(__xludf.DUMMYFUNCTION("ARRAYFORMULA(IFERROR(VLOOKUP(REGEXEXTRACT(B943, ""-(\w+)-""), {Data_Validation!$F$16:$F$29, Data_Validation!$E$16:$E$29}, 2, FALSE), """"))
"),"")</f>
        <v/>
      </c>
      <c r="B943" s="217"/>
      <c r="C943" s="218" t="str">
        <f>IFERROR(__xludf.DUMMYFUNCTION("IFERROR(REGEXEXTRACT(B943, ""^[A-Z]+-[A-Z]+-"") &amp; TEXT(VALUE(REGEXEXTRACT(B943, ""-(\d+)\."")), ""00""), """")"),"")</f>
        <v/>
      </c>
      <c r="D943" s="219" t="str">
        <f>IFERROR(VLOOKUP(C943, Content_Creation!B:D, 2, FALSE), IFERROR(VLOOKUP(C943, Project_Management!B:D, 2, FALSE), ""))
&amp; " - "
&amp; IFERROR(VLOOKUP(C943, Content_Creation!B:E, 4, FALSE), IFERROR(VLOOKUP(C943, Project_Management!B:E, 4, FALSE), ""))</f>
        <v> - </v>
      </c>
      <c r="E943" s="220" t="str">
        <f>IFERROR(
    VLOOKUP(B942:B1001, Content_Creation!B:D, 3, FALSE),
    IFERROR(VLOOKUP(B942:B1001, Project_Management!B:D, 3, FALSE),"")
  )</f>
        <v/>
      </c>
      <c r="F943" s="221" t="str">
        <f>IFERROR(VLOOKUP(B943, Content_Creation!B:F, 5, FALSE), IFERROR(VLOOKUP(B943, Project_Management!B:F, 5, FALSE), ""))</f>
        <v/>
      </c>
      <c r="G943" s="267" t="s">
        <v>1317</v>
      </c>
      <c r="H943" s="223" t="str">
        <f>IFERROR(VLOOKUP(B943, Content_Creation!B:H, 7, FALSE), IFERROR(VLOOKUP(B943, Project_Management!B:H, 7, FALSE), ""))</f>
        <v/>
      </c>
      <c r="I943" s="224">
        <v>0.0</v>
      </c>
      <c r="J943" s="217"/>
      <c r="K943" s="217"/>
      <c r="L943" s="225" t="str">
        <f>IFERROR(VLOOKUP(B943, Data_Validation!X:Y, 2, FALSE), "")</f>
        <v/>
      </c>
      <c r="M943" s="226" t="str">
        <f t="shared" si="1"/>
        <v> |  -  | </v>
      </c>
      <c r="N943" s="226"/>
      <c r="O943" s="226"/>
    </row>
    <row r="944" ht="24.0" customHeight="1">
      <c r="A944" s="216" t="str">
        <f>IFERROR(__xludf.DUMMYFUNCTION("ARRAYFORMULA(IFERROR(VLOOKUP(REGEXEXTRACT(B944, ""-(\w+)-""), {Data_Validation!$F$16:$F$29, Data_Validation!$E$16:$E$29}, 2, FALSE), """"))
"),"")</f>
        <v/>
      </c>
      <c r="B944" s="217"/>
      <c r="C944" s="218" t="str">
        <f>IFERROR(__xludf.DUMMYFUNCTION("IFERROR(REGEXEXTRACT(B944, ""^[A-Z]+-[A-Z]+-"") &amp; TEXT(VALUE(REGEXEXTRACT(B944, ""-(\d+)\."")), ""00""), """")"),"")</f>
        <v/>
      </c>
      <c r="D944" s="219" t="str">
        <f>IFERROR(VLOOKUP(C944, Content_Creation!B:D, 2, FALSE), IFERROR(VLOOKUP(C944, Project_Management!B:D, 2, FALSE), ""))
&amp; " - "
&amp; IFERROR(VLOOKUP(C944, Content_Creation!B:E, 4, FALSE), IFERROR(VLOOKUP(C944, Project_Management!B:E, 4, FALSE), ""))</f>
        <v> - </v>
      </c>
      <c r="E944" s="220" t="str">
        <f>IFERROR(
    VLOOKUP(B943:B1001, Content_Creation!B:D, 3, FALSE),
    IFERROR(VLOOKUP(B943:B1001, Project_Management!B:D, 3, FALSE),"")
  )</f>
        <v/>
      </c>
      <c r="F944" s="221" t="str">
        <f>IFERROR(VLOOKUP(B944, Content_Creation!B:F, 5, FALSE), IFERROR(VLOOKUP(B944, Project_Management!B:F, 5, FALSE), ""))</f>
        <v/>
      </c>
      <c r="G944" s="267" t="s">
        <v>1317</v>
      </c>
      <c r="H944" s="223" t="str">
        <f>IFERROR(VLOOKUP(B944, Content_Creation!B:H, 7, FALSE), IFERROR(VLOOKUP(B944, Project_Management!B:H, 7, FALSE), ""))</f>
        <v/>
      </c>
      <c r="I944" s="224">
        <v>0.0</v>
      </c>
      <c r="J944" s="217"/>
      <c r="K944" s="217"/>
      <c r="L944" s="225" t="str">
        <f>IFERROR(VLOOKUP(B944, Data_Validation!X:Y, 2, FALSE), "")</f>
        <v/>
      </c>
      <c r="M944" s="226" t="str">
        <f t="shared" si="1"/>
        <v> |  -  | </v>
      </c>
      <c r="N944" s="226"/>
      <c r="O944" s="226"/>
    </row>
    <row r="945" ht="24.0" customHeight="1">
      <c r="A945" s="216" t="str">
        <f>IFERROR(__xludf.DUMMYFUNCTION("ARRAYFORMULA(IFERROR(VLOOKUP(REGEXEXTRACT(B945, ""-(\w+)-""), {Data_Validation!$F$16:$F$29, Data_Validation!$E$16:$E$29}, 2, FALSE), """"))
"),"")</f>
        <v/>
      </c>
      <c r="B945" s="217"/>
      <c r="C945" s="218" t="str">
        <f>IFERROR(__xludf.DUMMYFUNCTION("IFERROR(REGEXEXTRACT(B945, ""^[A-Z]+-[A-Z]+-"") &amp; TEXT(VALUE(REGEXEXTRACT(B945, ""-(\d+)\."")), ""00""), """")"),"")</f>
        <v/>
      </c>
      <c r="D945" s="219" t="str">
        <f>IFERROR(VLOOKUP(C945, Content_Creation!B:D, 2, FALSE), IFERROR(VLOOKUP(C945, Project_Management!B:D, 2, FALSE), ""))
&amp; " - "
&amp; IFERROR(VLOOKUP(C945, Content_Creation!B:E, 4, FALSE), IFERROR(VLOOKUP(C945, Project_Management!B:E, 4, FALSE), ""))</f>
        <v> - </v>
      </c>
      <c r="E945" s="220" t="str">
        <f>IFERROR(
    VLOOKUP(B944:B1001, Content_Creation!B:D, 3, FALSE),
    IFERROR(VLOOKUP(B944:B1001, Project_Management!B:D, 3, FALSE),"")
  )</f>
        <v/>
      </c>
      <c r="F945" s="221" t="str">
        <f>IFERROR(VLOOKUP(B945, Content_Creation!B:F, 5, FALSE), IFERROR(VLOOKUP(B945, Project_Management!B:F, 5, FALSE), ""))</f>
        <v/>
      </c>
      <c r="G945" s="267" t="s">
        <v>1317</v>
      </c>
      <c r="H945" s="223" t="str">
        <f>IFERROR(VLOOKUP(B945, Content_Creation!B:H, 7, FALSE), IFERROR(VLOOKUP(B945, Project_Management!B:H, 7, FALSE), ""))</f>
        <v/>
      </c>
      <c r="I945" s="224">
        <v>0.0</v>
      </c>
      <c r="J945" s="217"/>
      <c r="K945" s="217"/>
      <c r="L945" s="225" t="str">
        <f>IFERROR(VLOOKUP(B945, Data_Validation!X:Y, 2, FALSE), "")</f>
        <v/>
      </c>
      <c r="M945" s="226" t="str">
        <f t="shared" si="1"/>
        <v> |  -  | </v>
      </c>
      <c r="N945" s="226"/>
      <c r="O945" s="226"/>
    </row>
    <row r="946" ht="24.0" customHeight="1">
      <c r="A946" s="216" t="str">
        <f>IFERROR(__xludf.DUMMYFUNCTION("ARRAYFORMULA(IFERROR(VLOOKUP(REGEXEXTRACT(B946, ""-(\w+)-""), {Data_Validation!$F$16:$F$29, Data_Validation!$E$16:$E$29}, 2, FALSE), """"))
"),"")</f>
        <v/>
      </c>
      <c r="B946" s="217"/>
      <c r="C946" s="218" t="str">
        <f>IFERROR(__xludf.DUMMYFUNCTION("IFERROR(REGEXEXTRACT(B946, ""^[A-Z]+-[A-Z]+-"") &amp; TEXT(VALUE(REGEXEXTRACT(B946, ""-(\d+)\."")), ""00""), """")"),"")</f>
        <v/>
      </c>
      <c r="D946" s="219" t="str">
        <f>IFERROR(VLOOKUP(C946, Content_Creation!B:D, 2, FALSE), IFERROR(VLOOKUP(C946, Project_Management!B:D, 2, FALSE), ""))
&amp; " - "
&amp; IFERROR(VLOOKUP(C946, Content_Creation!B:E, 4, FALSE), IFERROR(VLOOKUP(C946, Project_Management!B:E, 4, FALSE), ""))</f>
        <v> - </v>
      </c>
      <c r="E946" s="220" t="str">
        <f>IFERROR(
    VLOOKUP(B945:B1001, Content_Creation!B:D, 3, FALSE),
    IFERROR(VLOOKUP(B945:B1001, Project_Management!B:D, 3, FALSE),"")
  )</f>
        <v/>
      </c>
      <c r="F946" s="221" t="str">
        <f>IFERROR(VLOOKUP(B946, Content_Creation!B:F, 5, FALSE), IFERROR(VLOOKUP(B946, Project_Management!B:F, 5, FALSE), ""))</f>
        <v/>
      </c>
      <c r="G946" s="267" t="s">
        <v>1317</v>
      </c>
      <c r="H946" s="223" t="str">
        <f>IFERROR(VLOOKUP(B946, Content_Creation!B:H, 7, FALSE), IFERROR(VLOOKUP(B946, Project_Management!B:H, 7, FALSE), ""))</f>
        <v/>
      </c>
      <c r="I946" s="224">
        <v>0.0</v>
      </c>
      <c r="J946" s="217"/>
      <c r="K946" s="217"/>
      <c r="L946" s="225" t="str">
        <f>IFERROR(VLOOKUP(B946, Data_Validation!X:Y, 2, FALSE), "")</f>
        <v/>
      </c>
      <c r="M946" s="226" t="str">
        <f t="shared" si="1"/>
        <v> |  -  | </v>
      </c>
      <c r="N946" s="226"/>
      <c r="O946" s="226"/>
    </row>
    <row r="947" ht="24.0" customHeight="1">
      <c r="A947" s="216" t="str">
        <f>IFERROR(__xludf.DUMMYFUNCTION("ARRAYFORMULA(IFERROR(VLOOKUP(REGEXEXTRACT(B947, ""-(\w+)-""), {Data_Validation!$F$16:$F$29, Data_Validation!$E$16:$E$29}, 2, FALSE), """"))
"),"")</f>
        <v/>
      </c>
      <c r="B947" s="217"/>
      <c r="C947" s="218" t="str">
        <f>IFERROR(__xludf.DUMMYFUNCTION("IFERROR(REGEXEXTRACT(B947, ""^[A-Z]+-[A-Z]+-"") &amp; TEXT(VALUE(REGEXEXTRACT(B947, ""-(\d+)\."")), ""00""), """")"),"")</f>
        <v/>
      </c>
      <c r="D947" s="219" t="str">
        <f>IFERROR(VLOOKUP(C947, Content_Creation!B:D, 2, FALSE), IFERROR(VLOOKUP(C947, Project_Management!B:D, 2, FALSE), ""))
&amp; " - "
&amp; IFERROR(VLOOKUP(C947, Content_Creation!B:E, 4, FALSE), IFERROR(VLOOKUP(C947, Project_Management!B:E, 4, FALSE), ""))</f>
        <v> - </v>
      </c>
      <c r="E947" s="220" t="str">
        <f>IFERROR(
    VLOOKUP(B946:B1001, Content_Creation!B:D, 3, FALSE),
    IFERROR(VLOOKUP(B946:B1001, Project_Management!B:D, 3, FALSE),"")
  )</f>
        <v/>
      </c>
      <c r="F947" s="221" t="str">
        <f>IFERROR(VLOOKUP(B947, Content_Creation!B:F, 5, FALSE), IFERROR(VLOOKUP(B947, Project_Management!B:F, 5, FALSE), ""))</f>
        <v/>
      </c>
      <c r="G947" s="267" t="s">
        <v>1317</v>
      </c>
      <c r="H947" s="223" t="str">
        <f>IFERROR(VLOOKUP(B947, Content_Creation!B:H, 7, FALSE), IFERROR(VLOOKUP(B947, Project_Management!B:H, 7, FALSE), ""))</f>
        <v/>
      </c>
      <c r="I947" s="224">
        <v>0.0</v>
      </c>
      <c r="J947" s="217"/>
      <c r="K947" s="217"/>
      <c r="L947" s="225" t="str">
        <f>IFERROR(VLOOKUP(B947, Data_Validation!X:Y, 2, FALSE), "")</f>
        <v/>
      </c>
      <c r="M947" s="226" t="str">
        <f t="shared" si="1"/>
        <v> |  -  | </v>
      </c>
      <c r="N947" s="226"/>
      <c r="O947" s="226"/>
    </row>
    <row r="948" ht="24.0" customHeight="1">
      <c r="A948" s="216" t="str">
        <f>IFERROR(__xludf.DUMMYFUNCTION("ARRAYFORMULA(IFERROR(VLOOKUP(REGEXEXTRACT(B948, ""-(\w+)-""), {Data_Validation!$F$16:$F$29, Data_Validation!$E$16:$E$29}, 2, FALSE), """"))
"),"")</f>
        <v/>
      </c>
      <c r="B948" s="217"/>
      <c r="C948" s="218" t="str">
        <f>IFERROR(__xludf.DUMMYFUNCTION("IFERROR(REGEXEXTRACT(B948, ""^[A-Z]+-[A-Z]+-"") &amp; TEXT(VALUE(REGEXEXTRACT(B948, ""-(\d+)\."")), ""00""), """")"),"")</f>
        <v/>
      </c>
      <c r="D948" s="219" t="str">
        <f>IFERROR(VLOOKUP(C948, Content_Creation!B:D, 2, FALSE), IFERROR(VLOOKUP(C948, Project_Management!B:D, 2, FALSE), ""))
&amp; " - "
&amp; IFERROR(VLOOKUP(C948, Content_Creation!B:E, 4, FALSE), IFERROR(VLOOKUP(C948, Project_Management!B:E, 4, FALSE), ""))</f>
        <v> - </v>
      </c>
      <c r="E948" s="220" t="str">
        <f>IFERROR(
    VLOOKUP(B947:B1001, Content_Creation!B:D, 3, FALSE),
    IFERROR(VLOOKUP(B947:B1001, Project_Management!B:D, 3, FALSE),"")
  )</f>
        <v/>
      </c>
      <c r="F948" s="221" t="str">
        <f>IFERROR(VLOOKUP(B948, Content_Creation!B:F, 5, FALSE), IFERROR(VLOOKUP(B948, Project_Management!B:F, 5, FALSE), ""))</f>
        <v/>
      </c>
      <c r="G948" s="267" t="s">
        <v>1317</v>
      </c>
      <c r="H948" s="223" t="str">
        <f>IFERROR(VLOOKUP(B948, Content_Creation!B:H, 7, FALSE), IFERROR(VLOOKUP(B948, Project_Management!B:H, 7, FALSE), ""))</f>
        <v/>
      </c>
      <c r="I948" s="224">
        <v>0.0</v>
      </c>
      <c r="J948" s="217"/>
      <c r="K948" s="217"/>
      <c r="L948" s="225" t="str">
        <f>IFERROR(VLOOKUP(B948, Data_Validation!X:Y, 2, FALSE), "")</f>
        <v/>
      </c>
      <c r="M948" s="226" t="str">
        <f t="shared" si="1"/>
        <v> |  -  | </v>
      </c>
      <c r="N948" s="226"/>
      <c r="O948" s="226"/>
    </row>
    <row r="949" ht="24.0" customHeight="1">
      <c r="A949" s="216" t="str">
        <f>IFERROR(__xludf.DUMMYFUNCTION("ARRAYFORMULA(IFERROR(VLOOKUP(REGEXEXTRACT(B949, ""-(\w+)-""), {Data_Validation!$F$16:$F$29, Data_Validation!$E$16:$E$29}, 2, FALSE), """"))
"),"")</f>
        <v/>
      </c>
      <c r="B949" s="217"/>
      <c r="C949" s="218" t="str">
        <f>IFERROR(__xludf.DUMMYFUNCTION("IFERROR(REGEXEXTRACT(B949, ""^[A-Z]+-[A-Z]+-"") &amp; TEXT(VALUE(REGEXEXTRACT(B949, ""-(\d+)\."")), ""00""), """")"),"")</f>
        <v/>
      </c>
      <c r="D949" s="219" t="str">
        <f>IFERROR(VLOOKUP(C949, Content_Creation!B:D, 2, FALSE), IFERROR(VLOOKUP(C949, Project_Management!B:D, 2, FALSE), ""))
&amp; " - "
&amp; IFERROR(VLOOKUP(C949, Content_Creation!B:E, 4, FALSE), IFERROR(VLOOKUP(C949, Project_Management!B:E, 4, FALSE), ""))</f>
        <v> - </v>
      </c>
      <c r="E949" s="220" t="str">
        <f>IFERROR(
    VLOOKUP(B948:B1001, Content_Creation!B:D, 3, FALSE),
    IFERROR(VLOOKUP(B948:B1001, Project_Management!B:D, 3, FALSE),"")
  )</f>
        <v/>
      </c>
      <c r="F949" s="221" t="str">
        <f>IFERROR(VLOOKUP(B949, Content_Creation!B:F, 5, FALSE), IFERROR(VLOOKUP(B949, Project_Management!B:F, 5, FALSE), ""))</f>
        <v/>
      </c>
      <c r="G949" s="267" t="s">
        <v>1317</v>
      </c>
      <c r="H949" s="223" t="str">
        <f>IFERROR(VLOOKUP(B949, Content_Creation!B:H, 7, FALSE), IFERROR(VLOOKUP(B949, Project_Management!B:H, 7, FALSE), ""))</f>
        <v/>
      </c>
      <c r="I949" s="224">
        <v>0.0</v>
      </c>
      <c r="J949" s="217"/>
      <c r="K949" s="217"/>
      <c r="L949" s="225" t="str">
        <f>IFERROR(VLOOKUP(B949, Data_Validation!X:Y, 2, FALSE), "")</f>
        <v/>
      </c>
      <c r="M949" s="226" t="str">
        <f t="shared" si="1"/>
        <v> |  -  | </v>
      </c>
      <c r="N949" s="226"/>
      <c r="O949" s="226"/>
    </row>
    <row r="950" ht="24.0" customHeight="1">
      <c r="A950" s="216" t="str">
        <f>IFERROR(__xludf.DUMMYFUNCTION("ARRAYFORMULA(IFERROR(VLOOKUP(REGEXEXTRACT(B950, ""-(\w+)-""), {Data_Validation!$F$16:$F$29, Data_Validation!$E$16:$E$29}, 2, FALSE), """"))
"),"")</f>
        <v/>
      </c>
      <c r="B950" s="217"/>
      <c r="C950" s="218" t="str">
        <f>IFERROR(__xludf.DUMMYFUNCTION("IFERROR(REGEXEXTRACT(B950, ""^[A-Z]+-[A-Z]+-"") &amp; TEXT(VALUE(REGEXEXTRACT(B950, ""-(\d+)\."")), ""00""), """")"),"")</f>
        <v/>
      </c>
      <c r="D950" s="219" t="str">
        <f>IFERROR(VLOOKUP(C950, Content_Creation!B:D, 2, FALSE), IFERROR(VLOOKUP(C950, Project_Management!B:D, 2, FALSE), ""))
&amp; " - "
&amp; IFERROR(VLOOKUP(C950, Content_Creation!B:E, 4, FALSE), IFERROR(VLOOKUP(C950, Project_Management!B:E, 4, FALSE), ""))</f>
        <v> - </v>
      </c>
      <c r="E950" s="220" t="str">
        <f>IFERROR(
    VLOOKUP(B949:B1001, Content_Creation!B:D, 3, FALSE),
    IFERROR(VLOOKUP(B949:B1001, Project_Management!B:D, 3, FALSE),"")
  )</f>
        <v/>
      </c>
      <c r="F950" s="221" t="str">
        <f>IFERROR(VLOOKUP(B950, Content_Creation!B:F, 5, FALSE), IFERROR(VLOOKUP(B950, Project_Management!B:F, 5, FALSE), ""))</f>
        <v/>
      </c>
      <c r="G950" s="267" t="s">
        <v>1317</v>
      </c>
      <c r="H950" s="223" t="str">
        <f>IFERROR(VLOOKUP(B950, Content_Creation!B:H, 7, FALSE), IFERROR(VLOOKUP(B950, Project_Management!B:H, 7, FALSE), ""))</f>
        <v/>
      </c>
      <c r="I950" s="224">
        <v>0.0</v>
      </c>
      <c r="J950" s="217"/>
      <c r="K950" s="217"/>
      <c r="L950" s="225" t="str">
        <f>IFERROR(VLOOKUP(B950, Data_Validation!X:Y, 2, FALSE), "")</f>
        <v/>
      </c>
      <c r="M950" s="226" t="str">
        <f t="shared" si="1"/>
        <v> |  -  | </v>
      </c>
      <c r="N950" s="226"/>
      <c r="O950" s="226"/>
    </row>
    <row r="951" ht="24.0" customHeight="1">
      <c r="A951" s="216" t="str">
        <f>IFERROR(__xludf.DUMMYFUNCTION("ARRAYFORMULA(IFERROR(VLOOKUP(REGEXEXTRACT(B951, ""-(\w+)-""), {Data_Validation!$F$16:$F$29, Data_Validation!$E$16:$E$29}, 2, FALSE), """"))
"),"")</f>
        <v/>
      </c>
      <c r="B951" s="217"/>
      <c r="C951" s="218" t="str">
        <f>IFERROR(__xludf.DUMMYFUNCTION("IFERROR(REGEXEXTRACT(B951, ""^[A-Z]+-[A-Z]+-"") &amp; TEXT(VALUE(REGEXEXTRACT(B951, ""-(\d+)\."")), ""00""), """")"),"")</f>
        <v/>
      </c>
      <c r="D951" s="219" t="str">
        <f>IFERROR(VLOOKUP(C951, Content_Creation!B:D, 2, FALSE), IFERROR(VLOOKUP(C951, Project_Management!B:D, 2, FALSE), ""))
&amp; " - "
&amp; IFERROR(VLOOKUP(C951, Content_Creation!B:E, 4, FALSE), IFERROR(VLOOKUP(C951, Project_Management!B:E, 4, FALSE), ""))</f>
        <v> - </v>
      </c>
      <c r="E951" s="220" t="str">
        <f>IFERROR(
    VLOOKUP(B950:B1001, Content_Creation!B:D, 3, FALSE),
    IFERROR(VLOOKUP(B950:B1001, Project_Management!B:D, 3, FALSE),"")
  )</f>
        <v/>
      </c>
      <c r="F951" s="221" t="str">
        <f>IFERROR(VLOOKUP(B951, Content_Creation!B:F, 5, FALSE), IFERROR(VLOOKUP(B951, Project_Management!B:F, 5, FALSE), ""))</f>
        <v/>
      </c>
      <c r="G951" s="267" t="s">
        <v>1317</v>
      </c>
      <c r="H951" s="223" t="str">
        <f>IFERROR(VLOOKUP(B951, Content_Creation!B:H, 7, FALSE), IFERROR(VLOOKUP(B951, Project_Management!B:H, 7, FALSE), ""))</f>
        <v/>
      </c>
      <c r="I951" s="224">
        <v>0.0</v>
      </c>
      <c r="J951" s="217"/>
      <c r="K951" s="217"/>
      <c r="L951" s="225" t="str">
        <f>IFERROR(VLOOKUP(B951, Data_Validation!X:Y, 2, FALSE), "")</f>
        <v/>
      </c>
      <c r="M951" s="226" t="str">
        <f t="shared" si="1"/>
        <v> |  -  | </v>
      </c>
      <c r="N951" s="226"/>
      <c r="O951" s="226"/>
    </row>
    <row r="952" ht="24.0" customHeight="1">
      <c r="A952" s="216" t="str">
        <f>IFERROR(__xludf.DUMMYFUNCTION("ARRAYFORMULA(IFERROR(VLOOKUP(REGEXEXTRACT(B952, ""-(\w+)-""), {Data_Validation!$F$16:$F$29, Data_Validation!$E$16:$E$29}, 2, FALSE), """"))
"),"")</f>
        <v/>
      </c>
      <c r="B952" s="217"/>
      <c r="C952" s="218" t="str">
        <f>IFERROR(__xludf.DUMMYFUNCTION("IFERROR(REGEXEXTRACT(B952, ""^[A-Z]+-[A-Z]+-"") &amp; TEXT(VALUE(REGEXEXTRACT(B952, ""-(\d+)\."")), ""00""), """")"),"")</f>
        <v/>
      </c>
      <c r="D952" s="219" t="str">
        <f>IFERROR(VLOOKUP(C952, Content_Creation!B:D, 2, FALSE), IFERROR(VLOOKUP(C952, Project_Management!B:D, 2, FALSE), ""))
&amp; " - "
&amp; IFERROR(VLOOKUP(C952, Content_Creation!B:E, 4, FALSE), IFERROR(VLOOKUP(C952, Project_Management!B:E, 4, FALSE), ""))</f>
        <v> - </v>
      </c>
      <c r="E952" s="220" t="str">
        <f>IFERROR(
    VLOOKUP(B951:B1001, Content_Creation!B:D, 3, FALSE),
    IFERROR(VLOOKUP(B951:B1001, Project_Management!B:D, 3, FALSE),"")
  )</f>
        <v/>
      </c>
      <c r="F952" s="221" t="str">
        <f>IFERROR(VLOOKUP(B952, Content_Creation!B:F, 5, FALSE), IFERROR(VLOOKUP(B952, Project_Management!B:F, 5, FALSE), ""))</f>
        <v/>
      </c>
      <c r="G952" s="267" t="s">
        <v>1317</v>
      </c>
      <c r="H952" s="223" t="str">
        <f>IFERROR(VLOOKUP(B952, Content_Creation!B:H, 7, FALSE), IFERROR(VLOOKUP(B952, Project_Management!B:H, 7, FALSE), ""))</f>
        <v/>
      </c>
      <c r="I952" s="224">
        <v>0.0</v>
      </c>
      <c r="J952" s="217"/>
      <c r="K952" s="217"/>
      <c r="L952" s="225" t="str">
        <f>IFERROR(VLOOKUP(B952, Data_Validation!X:Y, 2, FALSE), "")</f>
        <v/>
      </c>
      <c r="M952" s="226" t="str">
        <f t="shared" si="1"/>
        <v> |  -  | </v>
      </c>
      <c r="N952" s="226"/>
      <c r="O952" s="226"/>
    </row>
    <row r="953" ht="24.0" customHeight="1">
      <c r="A953" s="216" t="str">
        <f>IFERROR(__xludf.DUMMYFUNCTION("ARRAYFORMULA(IFERROR(VLOOKUP(REGEXEXTRACT(B953, ""-(\w+)-""), {Data_Validation!$F$16:$F$29, Data_Validation!$E$16:$E$29}, 2, FALSE), """"))
"),"")</f>
        <v/>
      </c>
      <c r="B953" s="217"/>
      <c r="C953" s="218" t="str">
        <f>IFERROR(__xludf.DUMMYFUNCTION("IFERROR(REGEXEXTRACT(B953, ""^[A-Z]+-[A-Z]+-"") &amp; TEXT(VALUE(REGEXEXTRACT(B953, ""-(\d+)\."")), ""00""), """")"),"")</f>
        <v/>
      </c>
      <c r="D953" s="219" t="str">
        <f>IFERROR(VLOOKUP(C953, Content_Creation!B:D, 2, FALSE), IFERROR(VLOOKUP(C953, Project_Management!B:D, 2, FALSE), ""))
&amp; " - "
&amp; IFERROR(VLOOKUP(C953, Content_Creation!B:E, 4, FALSE), IFERROR(VLOOKUP(C953, Project_Management!B:E, 4, FALSE), ""))</f>
        <v> - </v>
      </c>
      <c r="E953" s="220" t="str">
        <f>IFERROR(
    VLOOKUP(B952:B1001, Content_Creation!B:D, 3, FALSE),
    IFERROR(VLOOKUP(B952:B1001, Project_Management!B:D, 3, FALSE),"")
  )</f>
        <v/>
      </c>
      <c r="F953" s="221" t="str">
        <f>IFERROR(VLOOKUP(B953, Content_Creation!B:F, 5, FALSE), IFERROR(VLOOKUP(B953, Project_Management!B:F, 5, FALSE), ""))</f>
        <v/>
      </c>
      <c r="G953" s="267" t="s">
        <v>1317</v>
      </c>
      <c r="H953" s="223" t="str">
        <f>IFERROR(VLOOKUP(B953, Content_Creation!B:H, 7, FALSE), IFERROR(VLOOKUP(B953, Project_Management!B:H, 7, FALSE), ""))</f>
        <v/>
      </c>
      <c r="I953" s="224">
        <v>0.0</v>
      </c>
      <c r="J953" s="217"/>
      <c r="K953" s="217"/>
      <c r="L953" s="225" t="str">
        <f>IFERROR(VLOOKUP(B953, Data_Validation!X:Y, 2, FALSE), "")</f>
        <v/>
      </c>
      <c r="M953" s="226" t="str">
        <f t="shared" si="1"/>
        <v> |  -  | </v>
      </c>
      <c r="N953" s="226"/>
      <c r="O953" s="226"/>
    </row>
    <row r="954" ht="24.0" customHeight="1">
      <c r="A954" s="216" t="str">
        <f>IFERROR(__xludf.DUMMYFUNCTION("ARRAYFORMULA(IFERROR(VLOOKUP(REGEXEXTRACT(B954, ""-(\w+)-""), {Data_Validation!$F$16:$F$29, Data_Validation!$E$16:$E$29}, 2, FALSE), """"))
"),"")</f>
        <v/>
      </c>
      <c r="B954" s="217"/>
      <c r="C954" s="218" t="str">
        <f>IFERROR(__xludf.DUMMYFUNCTION("IFERROR(REGEXEXTRACT(B954, ""^[A-Z]+-[A-Z]+-"") &amp; TEXT(VALUE(REGEXEXTRACT(B954, ""-(\d+)\."")), ""00""), """")"),"")</f>
        <v/>
      </c>
      <c r="D954" s="219" t="str">
        <f>IFERROR(VLOOKUP(C954, Content_Creation!B:D, 2, FALSE), IFERROR(VLOOKUP(C954, Project_Management!B:D, 2, FALSE), ""))
&amp; " - "
&amp; IFERROR(VLOOKUP(C954, Content_Creation!B:E, 4, FALSE), IFERROR(VLOOKUP(C954, Project_Management!B:E, 4, FALSE), ""))</f>
        <v> - </v>
      </c>
      <c r="E954" s="220" t="str">
        <f>IFERROR(
    VLOOKUP(B953:B1001, Content_Creation!B:D, 3, FALSE),
    IFERROR(VLOOKUP(B953:B1001, Project_Management!B:D, 3, FALSE),"")
  )</f>
        <v/>
      </c>
      <c r="F954" s="221" t="str">
        <f>IFERROR(VLOOKUP(B954, Content_Creation!B:F, 5, FALSE), IFERROR(VLOOKUP(B954, Project_Management!B:F, 5, FALSE), ""))</f>
        <v/>
      </c>
      <c r="G954" s="267" t="s">
        <v>1317</v>
      </c>
      <c r="H954" s="223" t="str">
        <f>IFERROR(VLOOKUP(B954, Content_Creation!B:H, 7, FALSE), IFERROR(VLOOKUP(B954, Project_Management!B:H, 7, FALSE), ""))</f>
        <v/>
      </c>
      <c r="I954" s="224">
        <v>0.0</v>
      </c>
      <c r="J954" s="217"/>
      <c r="K954" s="217"/>
      <c r="L954" s="225" t="str">
        <f>IFERROR(VLOOKUP(B954, Data_Validation!X:Y, 2, FALSE), "")</f>
        <v/>
      </c>
      <c r="M954" s="226" t="str">
        <f t="shared" si="1"/>
        <v> |  -  | </v>
      </c>
      <c r="N954" s="226"/>
      <c r="O954" s="226"/>
    </row>
    <row r="955" ht="24.0" customHeight="1">
      <c r="A955" s="216" t="str">
        <f>IFERROR(__xludf.DUMMYFUNCTION("ARRAYFORMULA(IFERROR(VLOOKUP(REGEXEXTRACT(B955, ""-(\w+)-""), {Data_Validation!$F$16:$F$29, Data_Validation!$E$16:$E$29}, 2, FALSE), """"))
"),"")</f>
        <v/>
      </c>
      <c r="B955" s="217"/>
      <c r="C955" s="218" t="str">
        <f>IFERROR(__xludf.DUMMYFUNCTION("IFERROR(REGEXEXTRACT(B955, ""^[A-Z]+-[A-Z]+-"") &amp; TEXT(VALUE(REGEXEXTRACT(B955, ""-(\d+)\."")), ""00""), """")"),"")</f>
        <v/>
      </c>
      <c r="D955" s="219" t="str">
        <f>IFERROR(VLOOKUP(C955, Content_Creation!B:D, 2, FALSE), IFERROR(VLOOKUP(C955, Project_Management!B:D, 2, FALSE), ""))
&amp; " - "
&amp; IFERROR(VLOOKUP(C955, Content_Creation!B:E, 4, FALSE), IFERROR(VLOOKUP(C955, Project_Management!B:E, 4, FALSE), ""))</f>
        <v> - </v>
      </c>
      <c r="E955" s="220" t="str">
        <f>IFERROR(
    VLOOKUP(B954:B1001, Content_Creation!B:D, 3, FALSE),
    IFERROR(VLOOKUP(B954:B1001, Project_Management!B:D, 3, FALSE),"")
  )</f>
        <v/>
      </c>
      <c r="F955" s="221" t="str">
        <f>IFERROR(VLOOKUP(B955, Content_Creation!B:F, 5, FALSE), IFERROR(VLOOKUP(B955, Project_Management!B:F, 5, FALSE), ""))</f>
        <v/>
      </c>
      <c r="G955" s="267" t="s">
        <v>1317</v>
      </c>
      <c r="H955" s="223" t="str">
        <f>IFERROR(VLOOKUP(B955, Content_Creation!B:H, 7, FALSE), IFERROR(VLOOKUP(B955, Project_Management!B:H, 7, FALSE), ""))</f>
        <v/>
      </c>
      <c r="I955" s="224">
        <v>0.0</v>
      </c>
      <c r="J955" s="217"/>
      <c r="K955" s="217"/>
      <c r="L955" s="225" t="str">
        <f>IFERROR(VLOOKUP(B955, Data_Validation!X:Y, 2, FALSE), "")</f>
        <v/>
      </c>
      <c r="M955" s="226" t="str">
        <f t="shared" si="1"/>
        <v> |  -  | </v>
      </c>
      <c r="N955" s="226"/>
      <c r="O955" s="226"/>
    </row>
    <row r="956" ht="24.0" customHeight="1">
      <c r="A956" s="216" t="str">
        <f>IFERROR(__xludf.DUMMYFUNCTION("ARRAYFORMULA(IFERROR(VLOOKUP(REGEXEXTRACT(B956, ""-(\w+)-""), {Data_Validation!$F$16:$F$29, Data_Validation!$E$16:$E$29}, 2, FALSE), """"))
"),"")</f>
        <v/>
      </c>
      <c r="B956" s="217"/>
      <c r="C956" s="218" t="str">
        <f>IFERROR(__xludf.DUMMYFUNCTION("IFERROR(REGEXEXTRACT(B956, ""^[A-Z]+-[A-Z]+-"") &amp; TEXT(VALUE(REGEXEXTRACT(B956, ""-(\d+)\."")), ""00""), """")"),"")</f>
        <v/>
      </c>
      <c r="D956" s="219" t="str">
        <f>IFERROR(VLOOKUP(C956, Content_Creation!B:D, 2, FALSE), IFERROR(VLOOKUP(C956, Project_Management!B:D, 2, FALSE), ""))
&amp; " - "
&amp; IFERROR(VLOOKUP(C956, Content_Creation!B:E, 4, FALSE), IFERROR(VLOOKUP(C956, Project_Management!B:E, 4, FALSE), ""))</f>
        <v> - </v>
      </c>
      <c r="E956" s="220" t="str">
        <f>IFERROR(
    VLOOKUP(B955:B1001, Content_Creation!B:D, 3, FALSE),
    IFERROR(VLOOKUP(B955:B1001, Project_Management!B:D, 3, FALSE),"")
  )</f>
        <v/>
      </c>
      <c r="F956" s="221" t="str">
        <f>IFERROR(VLOOKUP(B956, Content_Creation!B:F, 5, FALSE), IFERROR(VLOOKUP(B956, Project_Management!B:F, 5, FALSE), ""))</f>
        <v/>
      </c>
      <c r="G956" s="267" t="s">
        <v>1317</v>
      </c>
      <c r="H956" s="223" t="str">
        <f>IFERROR(VLOOKUP(B956, Content_Creation!B:H, 7, FALSE), IFERROR(VLOOKUP(B956, Project_Management!B:H, 7, FALSE), ""))</f>
        <v/>
      </c>
      <c r="I956" s="224">
        <v>0.0</v>
      </c>
      <c r="J956" s="217"/>
      <c r="K956" s="217"/>
      <c r="L956" s="225" t="str">
        <f>IFERROR(VLOOKUP(B956, Data_Validation!X:Y, 2, FALSE), "")</f>
        <v/>
      </c>
      <c r="M956" s="226" t="str">
        <f t="shared" si="1"/>
        <v> |  -  | </v>
      </c>
      <c r="N956" s="226"/>
      <c r="O956" s="226"/>
    </row>
    <row r="957" ht="24.0" customHeight="1">
      <c r="A957" s="216" t="str">
        <f>IFERROR(__xludf.DUMMYFUNCTION("ARRAYFORMULA(IFERROR(VLOOKUP(REGEXEXTRACT(B957, ""-(\w+)-""), {Data_Validation!$F$16:$F$29, Data_Validation!$E$16:$E$29}, 2, FALSE), """"))
"),"")</f>
        <v/>
      </c>
      <c r="B957" s="217"/>
      <c r="C957" s="218" t="str">
        <f>IFERROR(__xludf.DUMMYFUNCTION("IFERROR(REGEXEXTRACT(B957, ""^[A-Z]+-[A-Z]+-"") &amp; TEXT(VALUE(REGEXEXTRACT(B957, ""-(\d+)\."")), ""00""), """")"),"")</f>
        <v/>
      </c>
      <c r="D957" s="219" t="str">
        <f>IFERROR(VLOOKUP(C957, Content_Creation!B:D, 2, FALSE), IFERROR(VLOOKUP(C957, Project_Management!B:D, 2, FALSE), ""))
&amp; " - "
&amp; IFERROR(VLOOKUP(C957, Content_Creation!B:E, 4, FALSE), IFERROR(VLOOKUP(C957, Project_Management!B:E, 4, FALSE), ""))</f>
        <v> - </v>
      </c>
      <c r="E957" s="220" t="str">
        <f>IFERROR(
    VLOOKUP(B956:B1001, Content_Creation!B:D, 3, FALSE),
    IFERROR(VLOOKUP(B956:B1001, Project_Management!B:D, 3, FALSE),"")
  )</f>
        <v/>
      </c>
      <c r="F957" s="221" t="str">
        <f>IFERROR(VLOOKUP(B957, Content_Creation!B:F, 5, FALSE), IFERROR(VLOOKUP(B957, Project_Management!B:F, 5, FALSE), ""))</f>
        <v/>
      </c>
      <c r="G957" s="267" t="s">
        <v>1317</v>
      </c>
      <c r="H957" s="223" t="str">
        <f>IFERROR(VLOOKUP(B957, Content_Creation!B:H, 7, FALSE), IFERROR(VLOOKUP(B957, Project_Management!B:H, 7, FALSE), ""))</f>
        <v/>
      </c>
      <c r="I957" s="224">
        <v>0.0</v>
      </c>
      <c r="J957" s="217"/>
      <c r="K957" s="217"/>
      <c r="L957" s="225" t="str">
        <f>IFERROR(VLOOKUP(B957, Data_Validation!X:Y, 2, FALSE), "")</f>
        <v/>
      </c>
      <c r="M957" s="226" t="str">
        <f t="shared" si="1"/>
        <v> |  -  | </v>
      </c>
      <c r="N957" s="226"/>
      <c r="O957" s="226"/>
    </row>
    <row r="958" ht="24.0" customHeight="1">
      <c r="A958" s="216" t="str">
        <f>IFERROR(__xludf.DUMMYFUNCTION("ARRAYFORMULA(IFERROR(VLOOKUP(REGEXEXTRACT(B958, ""-(\w+)-""), {Data_Validation!$F$16:$F$29, Data_Validation!$E$16:$E$29}, 2, FALSE), """"))
"),"")</f>
        <v/>
      </c>
      <c r="B958" s="217"/>
      <c r="C958" s="218" t="str">
        <f>IFERROR(__xludf.DUMMYFUNCTION("IFERROR(REGEXEXTRACT(B958, ""^[A-Z]+-[A-Z]+-"") &amp; TEXT(VALUE(REGEXEXTRACT(B958, ""-(\d+)\."")), ""00""), """")"),"")</f>
        <v/>
      </c>
      <c r="D958" s="219" t="str">
        <f>IFERROR(VLOOKUP(C958, Content_Creation!B:D, 2, FALSE), IFERROR(VLOOKUP(C958, Project_Management!B:D, 2, FALSE), ""))
&amp; " - "
&amp; IFERROR(VLOOKUP(C958, Content_Creation!B:E, 4, FALSE), IFERROR(VLOOKUP(C958, Project_Management!B:E, 4, FALSE), ""))</f>
        <v> - </v>
      </c>
      <c r="E958" s="220" t="str">
        <f>IFERROR(
    VLOOKUP(B957:B1001, Content_Creation!B:D, 3, FALSE),
    IFERROR(VLOOKUP(B957:B1001, Project_Management!B:D, 3, FALSE),"")
  )</f>
        <v/>
      </c>
      <c r="F958" s="221" t="str">
        <f>IFERROR(VLOOKUP(B958, Content_Creation!B:F, 5, FALSE), IFERROR(VLOOKUP(B958, Project_Management!B:F, 5, FALSE), ""))</f>
        <v/>
      </c>
      <c r="G958" s="267" t="s">
        <v>1317</v>
      </c>
      <c r="H958" s="223" t="str">
        <f>IFERROR(VLOOKUP(B958, Content_Creation!B:H, 7, FALSE), IFERROR(VLOOKUP(B958, Project_Management!B:H, 7, FALSE), ""))</f>
        <v/>
      </c>
      <c r="I958" s="224">
        <v>0.0</v>
      </c>
      <c r="J958" s="217"/>
      <c r="K958" s="217"/>
      <c r="L958" s="225" t="str">
        <f>IFERROR(VLOOKUP(B958, Data_Validation!X:Y, 2, FALSE), "")</f>
        <v/>
      </c>
      <c r="M958" s="226" t="str">
        <f t="shared" si="1"/>
        <v> |  -  | </v>
      </c>
      <c r="N958" s="226"/>
      <c r="O958" s="226"/>
    </row>
    <row r="959" ht="24.0" customHeight="1">
      <c r="A959" s="216" t="str">
        <f>IFERROR(__xludf.DUMMYFUNCTION("ARRAYFORMULA(IFERROR(VLOOKUP(REGEXEXTRACT(B959, ""-(\w+)-""), {Data_Validation!$F$16:$F$29, Data_Validation!$E$16:$E$29}, 2, FALSE), """"))
"),"")</f>
        <v/>
      </c>
      <c r="B959" s="217"/>
      <c r="C959" s="218" t="str">
        <f>IFERROR(__xludf.DUMMYFUNCTION("IFERROR(REGEXEXTRACT(B959, ""^[A-Z]+-[A-Z]+-"") &amp; TEXT(VALUE(REGEXEXTRACT(B959, ""-(\d+)\."")), ""00""), """")"),"")</f>
        <v/>
      </c>
      <c r="D959" s="219" t="str">
        <f>IFERROR(VLOOKUP(C959, Content_Creation!B:D, 2, FALSE), IFERROR(VLOOKUP(C959, Project_Management!B:D, 2, FALSE), ""))
&amp; " - "
&amp; IFERROR(VLOOKUP(C959, Content_Creation!B:E, 4, FALSE), IFERROR(VLOOKUP(C959, Project_Management!B:E, 4, FALSE), ""))</f>
        <v> - </v>
      </c>
      <c r="E959" s="220" t="str">
        <f>IFERROR(
    VLOOKUP(B958:B1001, Content_Creation!B:D, 3, FALSE),
    IFERROR(VLOOKUP(B958:B1001, Project_Management!B:D, 3, FALSE),"")
  )</f>
        <v/>
      </c>
      <c r="F959" s="221" t="str">
        <f>IFERROR(VLOOKUP(B959, Content_Creation!B:F, 5, FALSE), IFERROR(VLOOKUP(B959, Project_Management!B:F, 5, FALSE), ""))</f>
        <v/>
      </c>
      <c r="G959" s="267" t="s">
        <v>1317</v>
      </c>
      <c r="H959" s="223" t="str">
        <f>IFERROR(VLOOKUP(B959, Content_Creation!B:H, 7, FALSE), IFERROR(VLOOKUP(B959, Project_Management!B:H, 7, FALSE), ""))</f>
        <v/>
      </c>
      <c r="I959" s="224">
        <v>0.0</v>
      </c>
      <c r="J959" s="217"/>
      <c r="K959" s="217"/>
      <c r="L959" s="225" t="str">
        <f>IFERROR(VLOOKUP(B959, Data_Validation!X:Y, 2, FALSE), "")</f>
        <v/>
      </c>
      <c r="M959" s="226" t="str">
        <f t="shared" si="1"/>
        <v> |  -  | </v>
      </c>
      <c r="N959" s="226"/>
      <c r="O959" s="226"/>
    </row>
    <row r="960" ht="24.0" customHeight="1">
      <c r="A960" s="216" t="str">
        <f>IFERROR(__xludf.DUMMYFUNCTION("ARRAYFORMULA(IFERROR(VLOOKUP(REGEXEXTRACT(B960, ""-(\w+)-""), {Data_Validation!$F$16:$F$29, Data_Validation!$E$16:$E$29}, 2, FALSE), """"))
"),"")</f>
        <v/>
      </c>
      <c r="B960" s="217"/>
      <c r="C960" s="218" t="str">
        <f>IFERROR(__xludf.DUMMYFUNCTION("IFERROR(REGEXEXTRACT(B960, ""^[A-Z]+-[A-Z]+-"") &amp; TEXT(VALUE(REGEXEXTRACT(B960, ""-(\d+)\."")), ""00""), """")"),"")</f>
        <v/>
      </c>
      <c r="D960" s="219" t="str">
        <f>IFERROR(VLOOKUP(C960, Content_Creation!B:D, 2, FALSE), IFERROR(VLOOKUP(C960, Project_Management!B:D, 2, FALSE), ""))
&amp; " - "
&amp; IFERROR(VLOOKUP(C960, Content_Creation!B:E, 4, FALSE), IFERROR(VLOOKUP(C960, Project_Management!B:E, 4, FALSE), ""))</f>
        <v> - </v>
      </c>
      <c r="E960" s="220" t="str">
        <f>IFERROR(
    VLOOKUP(B959:B1001, Content_Creation!B:D, 3, FALSE),
    IFERROR(VLOOKUP(B959:B1001, Project_Management!B:D, 3, FALSE),"")
  )</f>
        <v/>
      </c>
      <c r="F960" s="221" t="str">
        <f>IFERROR(VLOOKUP(B960, Content_Creation!B:F, 5, FALSE), IFERROR(VLOOKUP(B960, Project_Management!B:F, 5, FALSE), ""))</f>
        <v/>
      </c>
      <c r="G960" s="267" t="s">
        <v>1317</v>
      </c>
      <c r="H960" s="223" t="str">
        <f>IFERROR(VLOOKUP(B960, Content_Creation!B:H, 7, FALSE), IFERROR(VLOOKUP(B960, Project_Management!B:H, 7, FALSE), ""))</f>
        <v/>
      </c>
      <c r="I960" s="224">
        <v>0.0</v>
      </c>
      <c r="J960" s="217"/>
      <c r="K960" s="217"/>
      <c r="L960" s="225" t="str">
        <f>IFERROR(VLOOKUP(B960, Data_Validation!X:Y, 2, FALSE), "")</f>
        <v/>
      </c>
      <c r="M960" s="226" t="str">
        <f t="shared" si="1"/>
        <v> |  -  | </v>
      </c>
      <c r="N960" s="226"/>
      <c r="O960" s="226"/>
    </row>
    <row r="961" ht="24.0" customHeight="1">
      <c r="A961" s="216" t="str">
        <f>IFERROR(__xludf.DUMMYFUNCTION("ARRAYFORMULA(IFERROR(VLOOKUP(REGEXEXTRACT(B961, ""-(\w+)-""), {Data_Validation!$F$16:$F$29, Data_Validation!$E$16:$E$29}, 2, FALSE), """"))
"),"")</f>
        <v/>
      </c>
      <c r="B961" s="217"/>
      <c r="C961" s="218" t="str">
        <f>IFERROR(__xludf.DUMMYFUNCTION("IFERROR(REGEXEXTRACT(B961, ""^[A-Z]+-[A-Z]+-"") &amp; TEXT(VALUE(REGEXEXTRACT(B961, ""-(\d+)\."")), ""00""), """")"),"")</f>
        <v/>
      </c>
      <c r="D961" s="219" t="str">
        <f>IFERROR(VLOOKUP(C961, Content_Creation!B:D, 2, FALSE), IFERROR(VLOOKUP(C961, Project_Management!B:D, 2, FALSE), ""))
&amp; " - "
&amp; IFERROR(VLOOKUP(C961, Content_Creation!B:E, 4, FALSE), IFERROR(VLOOKUP(C961, Project_Management!B:E, 4, FALSE), ""))</f>
        <v> - </v>
      </c>
      <c r="E961" s="220" t="str">
        <f>IFERROR(
    VLOOKUP(B960:B1001, Content_Creation!B:D, 3, FALSE),
    IFERROR(VLOOKUP(B960:B1001, Project_Management!B:D, 3, FALSE),"")
  )</f>
        <v/>
      </c>
      <c r="F961" s="221" t="str">
        <f>IFERROR(VLOOKUP(B961, Content_Creation!B:F, 5, FALSE), IFERROR(VLOOKUP(B961, Project_Management!B:F, 5, FALSE), ""))</f>
        <v/>
      </c>
      <c r="G961" s="267" t="s">
        <v>1317</v>
      </c>
      <c r="H961" s="223" t="str">
        <f>IFERROR(VLOOKUP(B961, Content_Creation!B:H, 7, FALSE), IFERROR(VLOOKUP(B961, Project_Management!B:H, 7, FALSE), ""))</f>
        <v/>
      </c>
      <c r="I961" s="224">
        <v>0.0</v>
      </c>
      <c r="J961" s="217"/>
      <c r="K961" s="217"/>
      <c r="L961" s="225" t="str">
        <f>IFERROR(VLOOKUP(B961, Data_Validation!X:Y, 2, FALSE), "")</f>
        <v/>
      </c>
      <c r="M961" s="226" t="str">
        <f t="shared" si="1"/>
        <v> |  -  | </v>
      </c>
      <c r="N961" s="226"/>
      <c r="O961" s="226"/>
    </row>
    <row r="962" ht="24.0" customHeight="1">
      <c r="A962" s="216" t="str">
        <f>IFERROR(__xludf.DUMMYFUNCTION("ARRAYFORMULA(IFERROR(VLOOKUP(REGEXEXTRACT(B962, ""-(\w+)-""), {Data_Validation!$F$16:$F$29, Data_Validation!$E$16:$E$29}, 2, FALSE), """"))
"),"")</f>
        <v/>
      </c>
      <c r="B962" s="217"/>
      <c r="C962" s="218" t="str">
        <f>IFERROR(__xludf.DUMMYFUNCTION("IFERROR(REGEXEXTRACT(B962, ""^[A-Z]+-[A-Z]+-"") &amp; TEXT(VALUE(REGEXEXTRACT(B962, ""-(\d+)\."")), ""00""), """")"),"")</f>
        <v/>
      </c>
      <c r="D962" s="219" t="str">
        <f>IFERROR(VLOOKUP(C962, Content_Creation!B:D, 2, FALSE), IFERROR(VLOOKUP(C962, Project_Management!B:D, 2, FALSE), ""))
&amp; " - "
&amp; IFERROR(VLOOKUP(C962, Content_Creation!B:E, 4, FALSE), IFERROR(VLOOKUP(C962, Project_Management!B:E, 4, FALSE), ""))</f>
        <v> - </v>
      </c>
      <c r="E962" s="220" t="str">
        <f>IFERROR(
    VLOOKUP(B961:B1001, Content_Creation!B:D, 3, FALSE),
    IFERROR(VLOOKUP(B961:B1001, Project_Management!B:D, 3, FALSE),"")
  )</f>
        <v/>
      </c>
      <c r="F962" s="221" t="str">
        <f>IFERROR(VLOOKUP(B962, Content_Creation!B:F, 5, FALSE), IFERROR(VLOOKUP(B962, Project_Management!B:F, 5, FALSE), ""))</f>
        <v/>
      </c>
      <c r="G962" s="267" t="s">
        <v>1317</v>
      </c>
      <c r="H962" s="223" t="str">
        <f>IFERROR(VLOOKUP(B962, Content_Creation!B:H, 7, FALSE), IFERROR(VLOOKUP(B962, Project_Management!B:H, 7, FALSE), ""))</f>
        <v/>
      </c>
      <c r="I962" s="224">
        <v>0.0</v>
      </c>
      <c r="J962" s="217"/>
      <c r="K962" s="217"/>
      <c r="L962" s="225" t="str">
        <f>IFERROR(VLOOKUP(B962, Data_Validation!X:Y, 2, FALSE), "")</f>
        <v/>
      </c>
      <c r="M962" s="226" t="str">
        <f t="shared" si="1"/>
        <v> |  -  | </v>
      </c>
      <c r="N962" s="226"/>
      <c r="O962" s="226"/>
    </row>
    <row r="963" ht="24.0" customHeight="1">
      <c r="A963" s="216" t="str">
        <f>IFERROR(__xludf.DUMMYFUNCTION("ARRAYFORMULA(IFERROR(VLOOKUP(REGEXEXTRACT(B963, ""-(\w+)-""), {Data_Validation!$F$16:$F$29, Data_Validation!$E$16:$E$29}, 2, FALSE), """"))
"),"")</f>
        <v/>
      </c>
      <c r="B963" s="217"/>
      <c r="C963" s="218" t="str">
        <f>IFERROR(__xludf.DUMMYFUNCTION("IFERROR(REGEXEXTRACT(B963, ""^[A-Z]+-[A-Z]+-"") &amp; TEXT(VALUE(REGEXEXTRACT(B963, ""-(\d+)\."")), ""00""), """")"),"")</f>
        <v/>
      </c>
      <c r="D963" s="219" t="str">
        <f>IFERROR(VLOOKUP(C963, Content_Creation!B:D, 2, FALSE), IFERROR(VLOOKUP(C963, Project_Management!B:D, 2, FALSE), ""))
&amp; " - "
&amp; IFERROR(VLOOKUP(C963, Content_Creation!B:E, 4, FALSE), IFERROR(VLOOKUP(C963, Project_Management!B:E, 4, FALSE), ""))</f>
        <v> - </v>
      </c>
      <c r="E963" s="220" t="str">
        <f>IFERROR(
    VLOOKUP(B962:B1001, Content_Creation!B:D, 3, FALSE),
    IFERROR(VLOOKUP(B962:B1001, Project_Management!B:D, 3, FALSE),"")
  )</f>
        <v/>
      </c>
      <c r="F963" s="221" t="str">
        <f>IFERROR(VLOOKUP(B963, Content_Creation!B:F, 5, FALSE), IFERROR(VLOOKUP(B963, Project_Management!B:F, 5, FALSE), ""))</f>
        <v/>
      </c>
      <c r="G963" s="267" t="s">
        <v>1317</v>
      </c>
      <c r="H963" s="223" t="str">
        <f>IFERROR(VLOOKUP(B963, Content_Creation!B:H, 7, FALSE), IFERROR(VLOOKUP(B963, Project_Management!B:H, 7, FALSE), ""))</f>
        <v/>
      </c>
      <c r="I963" s="224">
        <v>0.0</v>
      </c>
      <c r="J963" s="217"/>
      <c r="K963" s="217"/>
      <c r="L963" s="225" t="str">
        <f>IFERROR(VLOOKUP(B963, Data_Validation!X:Y, 2, FALSE), "")</f>
        <v/>
      </c>
      <c r="M963" s="226" t="str">
        <f t="shared" si="1"/>
        <v> |  -  | </v>
      </c>
      <c r="N963" s="226"/>
      <c r="O963" s="226"/>
    </row>
    <row r="964" ht="24.0" customHeight="1">
      <c r="A964" s="216" t="str">
        <f>IFERROR(__xludf.DUMMYFUNCTION("ARRAYFORMULA(IFERROR(VLOOKUP(REGEXEXTRACT(B964, ""-(\w+)-""), {Data_Validation!$F$16:$F$29, Data_Validation!$E$16:$E$29}, 2, FALSE), """"))
"),"")</f>
        <v/>
      </c>
      <c r="B964" s="217"/>
      <c r="C964" s="218" t="str">
        <f>IFERROR(__xludf.DUMMYFUNCTION("IFERROR(REGEXEXTRACT(B964, ""^[A-Z]+-[A-Z]+-"") &amp; TEXT(VALUE(REGEXEXTRACT(B964, ""-(\d+)\."")), ""00""), """")"),"")</f>
        <v/>
      </c>
      <c r="D964" s="219" t="str">
        <f>IFERROR(VLOOKUP(C964, Content_Creation!B:D, 2, FALSE), IFERROR(VLOOKUP(C964, Project_Management!B:D, 2, FALSE), ""))
&amp; " - "
&amp; IFERROR(VLOOKUP(C964, Content_Creation!B:E, 4, FALSE), IFERROR(VLOOKUP(C964, Project_Management!B:E, 4, FALSE), ""))</f>
        <v> - </v>
      </c>
      <c r="E964" s="220" t="str">
        <f>IFERROR(
    VLOOKUP(B963:B1001, Content_Creation!B:D, 3, FALSE),
    IFERROR(VLOOKUP(B963:B1001, Project_Management!B:D, 3, FALSE),"")
  )</f>
        <v/>
      </c>
      <c r="F964" s="221" t="str">
        <f>IFERROR(VLOOKUP(B964, Content_Creation!B:F, 5, FALSE), IFERROR(VLOOKUP(B964, Project_Management!B:F, 5, FALSE), ""))</f>
        <v/>
      </c>
      <c r="G964" s="267" t="s">
        <v>1317</v>
      </c>
      <c r="H964" s="223" t="str">
        <f>IFERROR(VLOOKUP(B964, Content_Creation!B:H, 7, FALSE), IFERROR(VLOOKUP(B964, Project_Management!B:H, 7, FALSE), ""))</f>
        <v/>
      </c>
      <c r="I964" s="224">
        <v>0.0</v>
      </c>
      <c r="J964" s="217"/>
      <c r="K964" s="217"/>
      <c r="L964" s="225" t="str">
        <f>IFERROR(VLOOKUP(B964, Data_Validation!X:Y, 2, FALSE), "")</f>
        <v/>
      </c>
      <c r="M964" s="226" t="str">
        <f t="shared" si="1"/>
        <v> |  -  | </v>
      </c>
      <c r="N964" s="226"/>
      <c r="O964" s="226"/>
    </row>
    <row r="965" ht="24.0" customHeight="1">
      <c r="A965" s="216" t="str">
        <f>IFERROR(__xludf.DUMMYFUNCTION("ARRAYFORMULA(IFERROR(VLOOKUP(REGEXEXTRACT(B965, ""-(\w+)-""), {Data_Validation!$F$16:$F$29, Data_Validation!$E$16:$E$29}, 2, FALSE), """"))
"),"")</f>
        <v/>
      </c>
      <c r="B965" s="217"/>
      <c r="C965" s="218" t="str">
        <f>IFERROR(__xludf.DUMMYFUNCTION("IFERROR(REGEXEXTRACT(B965, ""^[A-Z]+-[A-Z]+-"") &amp; TEXT(VALUE(REGEXEXTRACT(B965, ""-(\d+)\."")), ""00""), """")"),"")</f>
        <v/>
      </c>
      <c r="D965" s="219" t="str">
        <f>IFERROR(VLOOKUP(C965, Content_Creation!B:D, 2, FALSE), IFERROR(VLOOKUP(C965, Project_Management!B:D, 2, FALSE), ""))
&amp; " - "
&amp; IFERROR(VLOOKUP(C965, Content_Creation!B:E, 4, FALSE), IFERROR(VLOOKUP(C965, Project_Management!B:E, 4, FALSE), ""))</f>
        <v> - </v>
      </c>
      <c r="E965" s="220" t="str">
        <f>IFERROR(
    VLOOKUP(B964:B1001, Content_Creation!B:D, 3, FALSE),
    IFERROR(VLOOKUP(B964:B1001, Project_Management!B:D, 3, FALSE),"")
  )</f>
        <v/>
      </c>
      <c r="F965" s="221" t="str">
        <f>IFERROR(VLOOKUP(B965, Content_Creation!B:F, 5, FALSE), IFERROR(VLOOKUP(B965, Project_Management!B:F, 5, FALSE), ""))</f>
        <v/>
      </c>
      <c r="G965" s="267" t="s">
        <v>1317</v>
      </c>
      <c r="H965" s="223" t="str">
        <f>IFERROR(VLOOKUP(B965, Content_Creation!B:H, 7, FALSE), IFERROR(VLOOKUP(B965, Project_Management!B:H, 7, FALSE), ""))</f>
        <v/>
      </c>
      <c r="I965" s="224">
        <v>0.0</v>
      </c>
      <c r="J965" s="217"/>
      <c r="K965" s="217"/>
      <c r="L965" s="225" t="str">
        <f>IFERROR(VLOOKUP(B965, Data_Validation!X:Y, 2, FALSE), "")</f>
        <v/>
      </c>
      <c r="M965" s="226" t="str">
        <f t="shared" si="1"/>
        <v> |  -  | </v>
      </c>
      <c r="N965" s="226"/>
      <c r="O965" s="226"/>
    </row>
    <row r="966" ht="24.0" customHeight="1">
      <c r="A966" s="216" t="str">
        <f>IFERROR(__xludf.DUMMYFUNCTION("ARRAYFORMULA(IFERROR(VLOOKUP(REGEXEXTRACT(B966, ""-(\w+)-""), {Data_Validation!$F$16:$F$29, Data_Validation!$E$16:$E$29}, 2, FALSE), """"))
"),"")</f>
        <v/>
      </c>
      <c r="B966" s="217"/>
      <c r="C966" s="218" t="str">
        <f>IFERROR(__xludf.DUMMYFUNCTION("IFERROR(REGEXEXTRACT(B966, ""^[A-Z]+-[A-Z]+-"") &amp; TEXT(VALUE(REGEXEXTRACT(B966, ""-(\d+)\."")), ""00""), """")"),"")</f>
        <v/>
      </c>
      <c r="D966" s="219" t="str">
        <f>IFERROR(VLOOKUP(C966, Content_Creation!B:D, 2, FALSE), IFERROR(VLOOKUP(C966, Project_Management!B:D, 2, FALSE), ""))
&amp; " - "
&amp; IFERROR(VLOOKUP(C966, Content_Creation!B:E, 4, FALSE), IFERROR(VLOOKUP(C966, Project_Management!B:E, 4, FALSE), ""))</f>
        <v> - </v>
      </c>
      <c r="E966" s="220" t="str">
        <f>IFERROR(
    VLOOKUP(B965:B1001, Content_Creation!B:D, 3, FALSE),
    IFERROR(VLOOKUP(B965:B1001, Project_Management!B:D, 3, FALSE),"")
  )</f>
        <v/>
      </c>
      <c r="F966" s="221" t="str">
        <f>IFERROR(VLOOKUP(B966, Content_Creation!B:F, 5, FALSE), IFERROR(VLOOKUP(B966, Project_Management!B:F, 5, FALSE), ""))</f>
        <v/>
      </c>
      <c r="G966" s="267" t="s">
        <v>1317</v>
      </c>
      <c r="H966" s="223" t="str">
        <f>IFERROR(VLOOKUP(B966, Content_Creation!B:H, 7, FALSE), IFERROR(VLOOKUP(B966, Project_Management!B:H, 7, FALSE), ""))</f>
        <v/>
      </c>
      <c r="I966" s="224">
        <v>0.0</v>
      </c>
      <c r="J966" s="217"/>
      <c r="K966" s="217"/>
      <c r="L966" s="225" t="str">
        <f>IFERROR(VLOOKUP(B966, Data_Validation!X:Y, 2, FALSE), "")</f>
        <v/>
      </c>
      <c r="M966" s="226" t="str">
        <f t="shared" si="1"/>
        <v> |  -  | </v>
      </c>
      <c r="N966" s="226"/>
      <c r="O966" s="226"/>
    </row>
    <row r="967" ht="24.0" customHeight="1">
      <c r="A967" s="216" t="str">
        <f>IFERROR(__xludf.DUMMYFUNCTION("ARRAYFORMULA(IFERROR(VLOOKUP(REGEXEXTRACT(B967, ""-(\w+)-""), {Data_Validation!$F$16:$F$29, Data_Validation!$E$16:$E$29}, 2, FALSE), """"))
"),"")</f>
        <v/>
      </c>
      <c r="B967" s="217"/>
      <c r="C967" s="218" t="str">
        <f>IFERROR(__xludf.DUMMYFUNCTION("IFERROR(REGEXEXTRACT(B967, ""^[A-Z]+-[A-Z]+-"") &amp; TEXT(VALUE(REGEXEXTRACT(B967, ""-(\d+)\."")), ""00""), """")"),"")</f>
        <v/>
      </c>
      <c r="D967" s="219" t="str">
        <f>IFERROR(VLOOKUP(C967, Content_Creation!B:D, 2, FALSE), IFERROR(VLOOKUP(C967, Project_Management!B:D, 2, FALSE), ""))
&amp; " - "
&amp; IFERROR(VLOOKUP(C967, Content_Creation!B:E, 4, FALSE), IFERROR(VLOOKUP(C967, Project_Management!B:E, 4, FALSE), ""))</f>
        <v> - </v>
      </c>
      <c r="E967" s="220" t="str">
        <f>IFERROR(
    VLOOKUP(B966:B1001, Content_Creation!B:D, 3, FALSE),
    IFERROR(VLOOKUP(B966:B1001, Project_Management!B:D, 3, FALSE),"")
  )</f>
        <v/>
      </c>
      <c r="F967" s="221" t="str">
        <f>IFERROR(VLOOKUP(B967, Content_Creation!B:F, 5, FALSE), IFERROR(VLOOKUP(B967, Project_Management!B:F, 5, FALSE), ""))</f>
        <v/>
      </c>
      <c r="G967" s="267" t="s">
        <v>1317</v>
      </c>
      <c r="H967" s="223" t="str">
        <f>IFERROR(VLOOKUP(B967, Content_Creation!B:H, 7, FALSE), IFERROR(VLOOKUP(B967, Project_Management!B:H, 7, FALSE), ""))</f>
        <v/>
      </c>
      <c r="I967" s="224">
        <v>0.0</v>
      </c>
      <c r="J967" s="217"/>
      <c r="K967" s="217"/>
      <c r="L967" s="225" t="str">
        <f>IFERROR(VLOOKUP(B967, Data_Validation!X:Y, 2, FALSE), "")</f>
        <v/>
      </c>
      <c r="M967" s="226" t="str">
        <f t="shared" si="1"/>
        <v> |  -  | </v>
      </c>
      <c r="N967" s="226"/>
      <c r="O967" s="226"/>
    </row>
    <row r="968" ht="24.0" customHeight="1">
      <c r="A968" s="216" t="str">
        <f>IFERROR(__xludf.DUMMYFUNCTION("ARRAYFORMULA(IFERROR(VLOOKUP(REGEXEXTRACT(B968, ""-(\w+)-""), {Data_Validation!$F$16:$F$29, Data_Validation!$E$16:$E$29}, 2, FALSE), """"))
"),"")</f>
        <v/>
      </c>
      <c r="B968" s="217"/>
      <c r="C968" s="218" t="str">
        <f>IFERROR(__xludf.DUMMYFUNCTION("IFERROR(REGEXEXTRACT(B968, ""^[A-Z]+-[A-Z]+-"") &amp; TEXT(VALUE(REGEXEXTRACT(B968, ""-(\d+)\."")), ""00""), """")"),"")</f>
        <v/>
      </c>
      <c r="D968" s="219" t="str">
        <f>IFERROR(VLOOKUP(C968, Content_Creation!B:D, 2, FALSE), IFERROR(VLOOKUP(C968, Project_Management!B:D, 2, FALSE), ""))
&amp; " - "
&amp; IFERROR(VLOOKUP(C968, Content_Creation!B:E, 4, FALSE), IFERROR(VLOOKUP(C968, Project_Management!B:E, 4, FALSE), ""))</f>
        <v> - </v>
      </c>
      <c r="E968" s="220" t="str">
        <f>IFERROR(
    VLOOKUP(B967:B1001, Content_Creation!B:D, 3, FALSE),
    IFERROR(VLOOKUP(B967:B1001, Project_Management!B:D, 3, FALSE),"")
  )</f>
        <v/>
      </c>
      <c r="F968" s="221" t="str">
        <f>IFERROR(VLOOKUP(B968, Content_Creation!B:F, 5, FALSE), IFERROR(VLOOKUP(B968, Project_Management!B:F, 5, FALSE), ""))</f>
        <v/>
      </c>
      <c r="G968" s="267" t="s">
        <v>1317</v>
      </c>
      <c r="H968" s="223" t="str">
        <f>IFERROR(VLOOKUP(B968, Content_Creation!B:H, 7, FALSE), IFERROR(VLOOKUP(B968, Project_Management!B:H, 7, FALSE), ""))</f>
        <v/>
      </c>
      <c r="I968" s="224">
        <v>0.0</v>
      </c>
      <c r="J968" s="217"/>
      <c r="K968" s="217"/>
      <c r="L968" s="225" t="str">
        <f>IFERROR(VLOOKUP(B968, Data_Validation!X:Y, 2, FALSE), "")</f>
        <v/>
      </c>
      <c r="M968" s="226" t="str">
        <f t="shared" si="1"/>
        <v> |  -  | </v>
      </c>
      <c r="N968" s="226"/>
      <c r="O968" s="226"/>
    </row>
    <row r="969" ht="24.0" customHeight="1">
      <c r="A969" s="216" t="str">
        <f>IFERROR(__xludf.DUMMYFUNCTION("ARRAYFORMULA(IFERROR(VLOOKUP(REGEXEXTRACT(B969, ""-(\w+)-""), {Data_Validation!$F$16:$F$29, Data_Validation!$E$16:$E$29}, 2, FALSE), """"))
"),"")</f>
        <v/>
      </c>
      <c r="B969" s="217"/>
      <c r="C969" s="218" t="str">
        <f>IFERROR(__xludf.DUMMYFUNCTION("IFERROR(REGEXEXTRACT(B969, ""^[A-Z]+-[A-Z]+-"") &amp; TEXT(VALUE(REGEXEXTRACT(B969, ""-(\d+)\."")), ""00""), """")"),"")</f>
        <v/>
      </c>
      <c r="D969" s="219" t="str">
        <f>IFERROR(VLOOKUP(C969, Content_Creation!B:D, 2, FALSE), IFERROR(VLOOKUP(C969, Project_Management!B:D, 2, FALSE), ""))
&amp; " - "
&amp; IFERROR(VLOOKUP(C969, Content_Creation!B:E, 4, FALSE), IFERROR(VLOOKUP(C969, Project_Management!B:E, 4, FALSE), ""))</f>
        <v> - </v>
      </c>
      <c r="E969" s="220" t="str">
        <f>IFERROR(
    VLOOKUP(B968:B1001, Content_Creation!B:D, 3, FALSE),
    IFERROR(VLOOKUP(B968:B1001, Project_Management!B:D, 3, FALSE),"")
  )</f>
        <v/>
      </c>
      <c r="F969" s="221" t="str">
        <f>IFERROR(VLOOKUP(B969, Content_Creation!B:F, 5, FALSE), IFERROR(VLOOKUP(B969, Project_Management!B:F, 5, FALSE), ""))</f>
        <v/>
      </c>
      <c r="G969" s="267" t="s">
        <v>1317</v>
      </c>
      <c r="H969" s="223" t="str">
        <f>IFERROR(VLOOKUP(B969, Content_Creation!B:H, 7, FALSE), IFERROR(VLOOKUP(B969, Project_Management!B:H, 7, FALSE), ""))</f>
        <v/>
      </c>
      <c r="I969" s="224">
        <v>0.0</v>
      </c>
      <c r="J969" s="217"/>
      <c r="K969" s="217"/>
      <c r="L969" s="225" t="str">
        <f>IFERROR(VLOOKUP(B969, Data_Validation!X:Y, 2, FALSE), "")</f>
        <v/>
      </c>
      <c r="M969" s="226" t="str">
        <f t="shared" si="1"/>
        <v> |  -  | </v>
      </c>
      <c r="N969" s="226"/>
      <c r="O969" s="226"/>
    </row>
    <row r="970" ht="24.0" customHeight="1">
      <c r="A970" s="216" t="str">
        <f>IFERROR(__xludf.DUMMYFUNCTION("ARRAYFORMULA(IFERROR(VLOOKUP(REGEXEXTRACT(B970, ""-(\w+)-""), {Data_Validation!$F$16:$F$29, Data_Validation!$E$16:$E$29}, 2, FALSE), """"))
"),"")</f>
        <v/>
      </c>
      <c r="B970" s="217"/>
      <c r="C970" s="218" t="str">
        <f>IFERROR(__xludf.DUMMYFUNCTION("IFERROR(REGEXEXTRACT(B970, ""^[A-Z]+-[A-Z]+-"") &amp; TEXT(VALUE(REGEXEXTRACT(B970, ""-(\d+)\."")), ""00""), """")"),"")</f>
        <v/>
      </c>
      <c r="D970" s="219" t="str">
        <f>IFERROR(VLOOKUP(C970, Content_Creation!B:D, 2, FALSE), IFERROR(VLOOKUP(C970, Project_Management!B:D, 2, FALSE), ""))
&amp; " - "
&amp; IFERROR(VLOOKUP(C970, Content_Creation!B:E, 4, FALSE), IFERROR(VLOOKUP(C970, Project_Management!B:E, 4, FALSE), ""))</f>
        <v> - </v>
      </c>
      <c r="E970" s="220" t="str">
        <f>IFERROR(
    VLOOKUP(B969:B1001, Content_Creation!B:D, 3, FALSE),
    IFERROR(VLOOKUP(B969:B1001, Project_Management!B:D, 3, FALSE),"")
  )</f>
        <v/>
      </c>
      <c r="F970" s="221" t="str">
        <f>IFERROR(VLOOKUP(B970, Content_Creation!B:F, 5, FALSE), IFERROR(VLOOKUP(B970, Project_Management!B:F, 5, FALSE), ""))</f>
        <v/>
      </c>
      <c r="G970" s="267" t="s">
        <v>1317</v>
      </c>
      <c r="H970" s="223" t="str">
        <f>IFERROR(VLOOKUP(B970, Content_Creation!B:H, 7, FALSE), IFERROR(VLOOKUP(B970, Project_Management!B:H, 7, FALSE), ""))</f>
        <v/>
      </c>
      <c r="I970" s="224">
        <v>0.0</v>
      </c>
      <c r="J970" s="217"/>
      <c r="K970" s="217"/>
      <c r="L970" s="225" t="str">
        <f>IFERROR(VLOOKUP(B970, Data_Validation!X:Y, 2, FALSE), "")</f>
        <v/>
      </c>
      <c r="M970" s="226" t="str">
        <f t="shared" si="1"/>
        <v> |  -  | </v>
      </c>
      <c r="N970" s="226"/>
      <c r="O970" s="226"/>
    </row>
    <row r="971" ht="24.0" customHeight="1">
      <c r="A971" s="216" t="str">
        <f>IFERROR(__xludf.DUMMYFUNCTION("ARRAYFORMULA(IFERROR(VLOOKUP(REGEXEXTRACT(B971, ""-(\w+)-""), {Data_Validation!$F$16:$F$29, Data_Validation!$E$16:$E$29}, 2, FALSE), """"))
"),"")</f>
        <v/>
      </c>
      <c r="B971" s="217"/>
      <c r="C971" s="218" t="str">
        <f>IFERROR(__xludf.DUMMYFUNCTION("IFERROR(REGEXEXTRACT(B971, ""^[A-Z]+-[A-Z]+-"") &amp; TEXT(VALUE(REGEXEXTRACT(B971, ""-(\d+)\."")), ""00""), """")"),"")</f>
        <v/>
      </c>
      <c r="D971" s="219" t="str">
        <f>IFERROR(VLOOKUP(C971, Content_Creation!B:D, 2, FALSE), IFERROR(VLOOKUP(C971, Project_Management!B:D, 2, FALSE), ""))
&amp; " - "
&amp; IFERROR(VLOOKUP(C971, Content_Creation!B:E, 4, FALSE), IFERROR(VLOOKUP(C971, Project_Management!B:E, 4, FALSE), ""))</f>
        <v> - </v>
      </c>
      <c r="E971" s="220" t="str">
        <f>IFERROR(
    VLOOKUP(B970:B1001, Content_Creation!B:D, 3, FALSE),
    IFERROR(VLOOKUP(B970:B1001, Project_Management!B:D, 3, FALSE),"")
  )</f>
        <v/>
      </c>
      <c r="F971" s="221" t="str">
        <f>IFERROR(VLOOKUP(B971, Content_Creation!B:F, 5, FALSE), IFERROR(VLOOKUP(B971, Project_Management!B:F, 5, FALSE), ""))</f>
        <v/>
      </c>
      <c r="G971" s="267" t="s">
        <v>1317</v>
      </c>
      <c r="H971" s="223" t="str">
        <f>IFERROR(VLOOKUP(B971, Content_Creation!B:H, 7, FALSE), IFERROR(VLOOKUP(B971, Project_Management!B:H, 7, FALSE), ""))</f>
        <v/>
      </c>
      <c r="I971" s="224">
        <v>0.0</v>
      </c>
      <c r="J971" s="217"/>
      <c r="K971" s="217"/>
      <c r="L971" s="225" t="str">
        <f>IFERROR(VLOOKUP(B971, Data_Validation!X:Y, 2, FALSE), "")</f>
        <v/>
      </c>
      <c r="M971" s="226" t="str">
        <f t="shared" si="1"/>
        <v> |  -  | </v>
      </c>
      <c r="N971" s="226"/>
      <c r="O971" s="226"/>
    </row>
    <row r="972" ht="24.0" customHeight="1">
      <c r="A972" s="216" t="str">
        <f>IFERROR(__xludf.DUMMYFUNCTION("ARRAYFORMULA(IFERROR(VLOOKUP(REGEXEXTRACT(B972, ""-(\w+)-""), {Data_Validation!$F$16:$F$29, Data_Validation!$E$16:$E$29}, 2, FALSE), """"))
"),"")</f>
        <v/>
      </c>
      <c r="B972" s="217"/>
      <c r="C972" s="218" t="str">
        <f>IFERROR(__xludf.DUMMYFUNCTION("IFERROR(REGEXEXTRACT(B972, ""^[A-Z]+-[A-Z]+-"") &amp; TEXT(VALUE(REGEXEXTRACT(B972, ""-(\d+)\."")), ""00""), """")"),"")</f>
        <v/>
      </c>
      <c r="D972" s="219" t="str">
        <f>IFERROR(VLOOKUP(C972, Content_Creation!B:D, 2, FALSE), IFERROR(VLOOKUP(C972, Project_Management!B:D, 2, FALSE), ""))
&amp; " - "
&amp; IFERROR(VLOOKUP(C972, Content_Creation!B:E, 4, FALSE), IFERROR(VLOOKUP(C972, Project_Management!B:E, 4, FALSE), ""))</f>
        <v> - </v>
      </c>
      <c r="E972" s="220" t="str">
        <f>IFERROR(
    VLOOKUP(B971:B1001, Content_Creation!B:D, 3, FALSE),
    IFERROR(VLOOKUP(B971:B1001, Project_Management!B:D, 3, FALSE),"")
  )</f>
        <v/>
      </c>
      <c r="F972" s="221" t="str">
        <f>IFERROR(VLOOKUP(B972, Content_Creation!B:F, 5, FALSE), IFERROR(VLOOKUP(B972, Project_Management!B:F, 5, FALSE), ""))</f>
        <v/>
      </c>
      <c r="G972" s="267" t="s">
        <v>1317</v>
      </c>
      <c r="H972" s="223" t="str">
        <f>IFERROR(VLOOKUP(B972, Content_Creation!B:H, 7, FALSE), IFERROR(VLOOKUP(B972, Project_Management!B:H, 7, FALSE), ""))</f>
        <v/>
      </c>
      <c r="I972" s="224">
        <v>0.0</v>
      </c>
      <c r="J972" s="217"/>
      <c r="K972" s="217"/>
      <c r="L972" s="225" t="str">
        <f>IFERROR(VLOOKUP(B972, Data_Validation!X:Y, 2, FALSE), "")</f>
        <v/>
      </c>
      <c r="M972" s="226" t="str">
        <f t="shared" si="1"/>
        <v> |  -  | </v>
      </c>
      <c r="N972" s="226"/>
      <c r="O972" s="226"/>
    </row>
    <row r="973" ht="24.0" customHeight="1">
      <c r="A973" s="216" t="str">
        <f>IFERROR(__xludf.DUMMYFUNCTION("ARRAYFORMULA(IFERROR(VLOOKUP(REGEXEXTRACT(B973, ""-(\w+)-""), {Data_Validation!$F$16:$F$29, Data_Validation!$E$16:$E$29}, 2, FALSE), """"))
"),"")</f>
        <v/>
      </c>
      <c r="B973" s="217"/>
      <c r="C973" s="218" t="str">
        <f>IFERROR(__xludf.DUMMYFUNCTION("IFERROR(REGEXEXTRACT(B973, ""^[A-Z]+-[A-Z]+-"") &amp; TEXT(VALUE(REGEXEXTRACT(B973, ""-(\d+)\."")), ""00""), """")"),"")</f>
        <v/>
      </c>
      <c r="D973" s="219" t="str">
        <f>IFERROR(VLOOKUP(C973, Content_Creation!B:D, 2, FALSE), IFERROR(VLOOKUP(C973, Project_Management!B:D, 2, FALSE), ""))
&amp; " - "
&amp; IFERROR(VLOOKUP(C973, Content_Creation!B:E, 4, FALSE), IFERROR(VLOOKUP(C973, Project_Management!B:E, 4, FALSE), ""))</f>
        <v> - </v>
      </c>
      <c r="E973" s="220" t="str">
        <f>IFERROR(
    VLOOKUP(B972:B1001, Content_Creation!B:D, 3, FALSE),
    IFERROR(VLOOKUP(B972:B1001, Project_Management!B:D, 3, FALSE),"")
  )</f>
        <v/>
      </c>
      <c r="F973" s="221" t="str">
        <f>IFERROR(VLOOKUP(B973, Content_Creation!B:F, 5, FALSE), IFERROR(VLOOKUP(B973, Project_Management!B:F, 5, FALSE), ""))</f>
        <v/>
      </c>
      <c r="G973" s="267" t="s">
        <v>1317</v>
      </c>
      <c r="H973" s="223" t="str">
        <f>IFERROR(VLOOKUP(B973, Content_Creation!B:H, 7, FALSE), IFERROR(VLOOKUP(B973, Project_Management!B:H, 7, FALSE), ""))</f>
        <v/>
      </c>
      <c r="I973" s="224">
        <v>0.0</v>
      </c>
      <c r="J973" s="217"/>
      <c r="K973" s="217"/>
      <c r="L973" s="225" t="str">
        <f>IFERROR(VLOOKUP(B973, Data_Validation!X:Y, 2, FALSE), "")</f>
        <v/>
      </c>
      <c r="M973" s="226" t="str">
        <f t="shared" si="1"/>
        <v> |  -  | </v>
      </c>
      <c r="N973" s="226"/>
      <c r="O973" s="226"/>
    </row>
    <row r="974" ht="24.0" customHeight="1">
      <c r="A974" s="216" t="str">
        <f>IFERROR(__xludf.DUMMYFUNCTION("ARRAYFORMULA(IFERROR(VLOOKUP(REGEXEXTRACT(B974, ""-(\w+)-""), {Data_Validation!$F$16:$F$29, Data_Validation!$E$16:$E$29}, 2, FALSE), """"))
"),"")</f>
        <v/>
      </c>
      <c r="B974" s="217"/>
      <c r="C974" s="218" t="str">
        <f>IFERROR(__xludf.DUMMYFUNCTION("IFERROR(REGEXEXTRACT(B974, ""^[A-Z]+-[A-Z]+-"") &amp; TEXT(VALUE(REGEXEXTRACT(B974, ""-(\d+)\."")), ""00""), """")"),"")</f>
        <v/>
      </c>
      <c r="D974" s="219" t="str">
        <f>IFERROR(VLOOKUP(C974, Content_Creation!B:D, 2, FALSE), IFERROR(VLOOKUP(C974, Project_Management!B:D, 2, FALSE), ""))
&amp; " - "
&amp; IFERROR(VLOOKUP(C974, Content_Creation!B:E, 4, FALSE), IFERROR(VLOOKUP(C974, Project_Management!B:E, 4, FALSE), ""))</f>
        <v> - </v>
      </c>
      <c r="E974" s="220" t="str">
        <f>IFERROR(
    VLOOKUP(B973:B1001, Content_Creation!B:D, 3, FALSE),
    IFERROR(VLOOKUP(B973:B1001, Project_Management!B:D, 3, FALSE),"")
  )</f>
        <v/>
      </c>
      <c r="F974" s="221" t="str">
        <f>IFERROR(VLOOKUP(B974, Content_Creation!B:F, 5, FALSE), IFERROR(VLOOKUP(B974, Project_Management!B:F, 5, FALSE), ""))</f>
        <v/>
      </c>
      <c r="G974" s="267" t="s">
        <v>1317</v>
      </c>
      <c r="H974" s="223" t="str">
        <f>IFERROR(VLOOKUP(B974, Content_Creation!B:H, 7, FALSE), IFERROR(VLOOKUP(B974, Project_Management!B:H, 7, FALSE), ""))</f>
        <v/>
      </c>
      <c r="I974" s="224">
        <v>0.0</v>
      </c>
      <c r="J974" s="217"/>
      <c r="K974" s="217"/>
      <c r="L974" s="225" t="str">
        <f>IFERROR(VLOOKUP(B974, Data_Validation!X:Y, 2, FALSE), "")</f>
        <v/>
      </c>
      <c r="M974" s="226" t="str">
        <f t="shared" si="1"/>
        <v> |  -  | </v>
      </c>
      <c r="N974" s="226"/>
      <c r="O974" s="226"/>
    </row>
    <row r="975" ht="24.0" customHeight="1">
      <c r="A975" s="216" t="str">
        <f>IFERROR(__xludf.DUMMYFUNCTION("ARRAYFORMULA(IFERROR(VLOOKUP(REGEXEXTRACT(B975, ""-(\w+)-""), {Data_Validation!$F$16:$F$29, Data_Validation!$E$16:$E$29}, 2, FALSE), """"))
"),"")</f>
        <v/>
      </c>
      <c r="B975" s="217"/>
      <c r="C975" s="218" t="str">
        <f>IFERROR(__xludf.DUMMYFUNCTION("IFERROR(REGEXEXTRACT(B975, ""^[A-Z]+-[A-Z]+-"") &amp; TEXT(VALUE(REGEXEXTRACT(B975, ""-(\d+)\."")), ""00""), """")"),"")</f>
        <v/>
      </c>
      <c r="D975" s="219" t="str">
        <f>IFERROR(VLOOKUP(C975, Content_Creation!B:D, 2, FALSE), IFERROR(VLOOKUP(C975, Project_Management!B:D, 2, FALSE), ""))
&amp; " - "
&amp; IFERROR(VLOOKUP(C975, Content_Creation!B:E, 4, FALSE), IFERROR(VLOOKUP(C975, Project_Management!B:E, 4, FALSE), ""))</f>
        <v> - </v>
      </c>
      <c r="E975" s="220" t="str">
        <f>IFERROR(
    VLOOKUP(B974:B1001, Content_Creation!B:D, 3, FALSE),
    IFERROR(VLOOKUP(B974:B1001, Project_Management!B:D, 3, FALSE),"")
  )</f>
        <v/>
      </c>
      <c r="F975" s="221" t="str">
        <f>IFERROR(VLOOKUP(B975, Content_Creation!B:F, 5, FALSE), IFERROR(VLOOKUP(B975, Project_Management!B:F, 5, FALSE), ""))</f>
        <v/>
      </c>
      <c r="G975" s="267" t="s">
        <v>1317</v>
      </c>
      <c r="H975" s="223" t="str">
        <f>IFERROR(VLOOKUP(B975, Content_Creation!B:H, 7, FALSE), IFERROR(VLOOKUP(B975, Project_Management!B:H, 7, FALSE), ""))</f>
        <v/>
      </c>
      <c r="I975" s="224">
        <v>0.0</v>
      </c>
      <c r="J975" s="217"/>
      <c r="K975" s="217"/>
      <c r="L975" s="225" t="str">
        <f>IFERROR(VLOOKUP(B975, Data_Validation!X:Y, 2, FALSE), "")</f>
        <v/>
      </c>
      <c r="M975" s="226" t="str">
        <f t="shared" si="1"/>
        <v> |  -  | </v>
      </c>
      <c r="N975" s="226"/>
      <c r="O975" s="226"/>
    </row>
    <row r="976" ht="24.0" customHeight="1">
      <c r="A976" s="216" t="str">
        <f>IFERROR(__xludf.DUMMYFUNCTION("ARRAYFORMULA(IFERROR(VLOOKUP(REGEXEXTRACT(B976, ""-(\w+)-""), {Data_Validation!$F$16:$F$29, Data_Validation!$E$16:$E$29}, 2, FALSE), """"))
"),"")</f>
        <v/>
      </c>
      <c r="B976" s="217"/>
      <c r="C976" s="218" t="str">
        <f>IFERROR(__xludf.DUMMYFUNCTION("IFERROR(REGEXEXTRACT(B976, ""^[A-Z]+-[A-Z]+-"") &amp; TEXT(VALUE(REGEXEXTRACT(B976, ""-(\d+)\."")), ""00""), """")"),"")</f>
        <v/>
      </c>
      <c r="D976" s="219" t="str">
        <f>IFERROR(VLOOKUP(C976, Content_Creation!B:D, 2, FALSE), IFERROR(VLOOKUP(C976, Project_Management!B:D, 2, FALSE), ""))
&amp; " - "
&amp; IFERROR(VLOOKUP(C976, Content_Creation!B:E, 4, FALSE), IFERROR(VLOOKUP(C976, Project_Management!B:E, 4, FALSE), ""))</f>
        <v> - </v>
      </c>
      <c r="E976" s="220" t="str">
        <f>IFERROR(
    VLOOKUP(B975:B1001, Content_Creation!B:D, 3, FALSE),
    IFERROR(VLOOKUP(B975:B1001, Project_Management!B:D, 3, FALSE),"")
  )</f>
        <v/>
      </c>
      <c r="F976" s="221" t="str">
        <f>IFERROR(VLOOKUP(B976, Content_Creation!B:F, 5, FALSE), IFERROR(VLOOKUP(B976, Project_Management!B:F, 5, FALSE), ""))</f>
        <v/>
      </c>
      <c r="G976" s="267" t="s">
        <v>1317</v>
      </c>
      <c r="H976" s="223" t="str">
        <f>IFERROR(VLOOKUP(B976, Content_Creation!B:H, 7, FALSE), IFERROR(VLOOKUP(B976, Project_Management!B:H, 7, FALSE), ""))</f>
        <v/>
      </c>
      <c r="I976" s="224">
        <v>0.0</v>
      </c>
      <c r="J976" s="217"/>
      <c r="K976" s="217"/>
      <c r="L976" s="225" t="str">
        <f>IFERROR(VLOOKUP(B976, Data_Validation!X:Y, 2, FALSE), "")</f>
        <v/>
      </c>
      <c r="M976" s="226" t="str">
        <f t="shared" si="1"/>
        <v> |  -  | </v>
      </c>
      <c r="N976" s="226"/>
      <c r="O976" s="226"/>
    </row>
    <row r="977" ht="24.0" customHeight="1">
      <c r="A977" s="216" t="str">
        <f>IFERROR(__xludf.DUMMYFUNCTION("ARRAYFORMULA(IFERROR(VLOOKUP(REGEXEXTRACT(B977, ""-(\w+)-""), {Data_Validation!$F$16:$F$29, Data_Validation!$E$16:$E$29}, 2, FALSE), """"))
"),"")</f>
        <v/>
      </c>
      <c r="B977" s="217"/>
      <c r="C977" s="218" t="str">
        <f>IFERROR(__xludf.DUMMYFUNCTION("IFERROR(REGEXEXTRACT(B977, ""^[A-Z]+-[A-Z]+-"") &amp; TEXT(VALUE(REGEXEXTRACT(B977, ""-(\d+)\."")), ""00""), """")"),"")</f>
        <v/>
      </c>
      <c r="D977" s="219" t="str">
        <f>IFERROR(VLOOKUP(C977, Content_Creation!B:D, 2, FALSE), IFERROR(VLOOKUP(C977, Project_Management!B:D, 2, FALSE), ""))
&amp; " - "
&amp; IFERROR(VLOOKUP(C977, Content_Creation!B:E, 4, FALSE), IFERROR(VLOOKUP(C977, Project_Management!B:E, 4, FALSE), ""))</f>
        <v> - </v>
      </c>
      <c r="E977" s="220" t="str">
        <f>IFERROR(
    VLOOKUP(B976:B1001, Content_Creation!B:D, 3, FALSE),
    IFERROR(VLOOKUP(B976:B1001, Project_Management!B:D, 3, FALSE),"")
  )</f>
        <v/>
      </c>
      <c r="F977" s="221" t="str">
        <f>IFERROR(VLOOKUP(B977, Content_Creation!B:F, 5, FALSE), IFERROR(VLOOKUP(B977, Project_Management!B:F, 5, FALSE), ""))</f>
        <v/>
      </c>
      <c r="G977" s="267" t="s">
        <v>1317</v>
      </c>
      <c r="H977" s="223" t="str">
        <f>IFERROR(VLOOKUP(B977, Content_Creation!B:H, 7, FALSE), IFERROR(VLOOKUP(B977, Project_Management!B:H, 7, FALSE), ""))</f>
        <v/>
      </c>
      <c r="I977" s="224">
        <v>0.0</v>
      </c>
      <c r="J977" s="217"/>
      <c r="K977" s="217"/>
      <c r="L977" s="225" t="str">
        <f>IFERROR(VLOOKUP(B977, Data_Validation!X:Y, 2, FALSE), "")</f>
        <v/>
      </c>
      <c r="M977" s="226" t="str">
        <f t="shared" si="1"/>
        <v> |  -  | </v>
      </c>
      <c r="N977" s="226"/>
      <c r="O977" s="226"/>
    </row>
    <row r="978" ht="24.0" customHeight="1">
      <c r="A978" s="216" t="str">
        <f>IFERROR(__xludf.DUMMYFUNCTION("ARRAYFORMULA(IFERROR(VLOOKUP(REGEXEXTRACT(B978, ""-(\w+)-""), {Data_Validation!$F$16:$F$29, Data_Validation!$E$16:$E$29}, 2, FALSE), """"))
"),"")</f>
        <v/>
      </c>
      <c r="B978" s="217"/>
      <c r="C978" s="218" t="str">
        <f>IFERROR(__xludf.DUMMYFUNCTION("IFERROR(REGEXEXTRACT(B978, ""^[A-Z]+-[A-Z]+-"") &amp; TEXT(VALUE(REGEXEXTRACT(B978, ""-(\d+)\."")), ""00""), """")"),"")</f>
        <v/>
      </c>
      <c r="D978" s="219" t="str">
        <f>IFERROR(VLOOKUP(C978, Content_Creation!B:D, 2, FALSE), IFERROR(VLOOKUP(C978, Project_Management!B:D, 2, FALSE), ""))
&amp; " - "
&amp; IFERROR(VLOOKUP(C978, Content_Creation!B:E, 4, FALSE), IFERROR(VLOOKUP(C978, Project_Management!B:E, 4, FALSE), ""))</f>
        <v> - </v>
      </c>
      <c r="E978" s="220" t="str">
        <f>IFERROR(
    VLOOKUP(B977:B1001, Content_Creation!B:D, 3, FALSE),
    IFERROR(VLOOKUP(B977:B1001, Project_Management!B:D, 3, FALSE),"")
  )</f>
        <v/>
      </c>
      <c r="F978" s="221" t="str">
        <f>IFERROR(VLOOKUP(B978, Content_Creation!B:F, 5, FALSE), IFERROR(VLOOKUP(B978, Project_Management!B:F, 5, FALSE), ""))</f>
        <v/>
      </c>
      <c r="G978" s="267" t="s">
        <v>1317</v>
      </c>
      <c r="H978" s="223" t="str">
        <f>IFERROR(VLOOKUP(B978, Content_Creation!B:H, 7, FALSE), IFERROR(VLOOKUP(B978, Project_Management!B:H, 7, FALSE), ""))</f>
        <v/>
      </c>
      <c r="I978" s="224">
        <v>0.0</v>
      </c>
      <c r="J978" s="217"/>
      <c r="K978" s="217"/>
      <c r="L978" s="225" t="str">
        <f>IFERROR(VLOOKUP(B978, Data_Validation!X:Y, 2, FALSE), "")</f>
        <v/>
      </c>
      <c r="M978" s="226" t="str">
        <f t="shared" si="1"/>
        <v> |  -  | </v>
      </c>
      <c r="N978" s="226"/>
      <c r="O978" s="226"/>
    </row>
    <row r="979" ht="24.0" customHeight="1">
      <c r="A979" s="216" t="str">
        <f>IFERROR(__xludf.DUMMYFUNCTION("ARRAYFORMULA(IFERROR(VLOOKUP(REGEXEXTRACT(B979, ""-(\w+)-""), {Data_Validation!$F$16:$F$29, Data_Validation!$E$16:$E$29}, 2, FALSE), """"))
"),"")</f>
        <v/>
      </c>
      <c r="B979" s="217"/>
      <c r="C979" s="218" t="str">
        <f>IFERROR(__xludf.DUMMYFUNCTION("IFERROR(REGEXEXTRACT(B979, ""^[A-Z]+-[A-Z]+-"") &amp; TEXT(VALUE(REGEXEXTRACT(B979, ""-(\d+)\."")), ""00""), """")"),"")</f>
        <v/>
      </c>
      <c r="D979" s="219" t="str">
        <f>IFERROR(VLOOKUP(C979, Content_Creation!B:D, 2, FALSE), IFERROR(VLOOKUP(C979, Project_Management!B:D, 2, FALSE), ""))
&amp; " - "
&amp; IFERROR(VLOOKUP(C979, Content_Creation!B:E, 4, FALSE), IFERROR(VLOOKUP(C979, Project_Management!B:E, 4, FALSE), ""))</f>
        <v> - </v>
      </c>
      <c r="E979" s="220" t="str">
        <f>IFERROR(
    VLOOKUP(B978:B1001, Content_Creation!B:D, 3, FALSE),
    IFERROR(VLOOKUP(B978:B1001, Project_Management!B:D, 3, FALSE),"")
  )</f>
        <v/>
      </c>
      <c r="F979" s="221" t="str">
        <f>IFERROR(VLOOKUP(B979, Content_Creation!B:F, 5, FALSE), IFERROR(VLOOKUP(B979, Project_Management!B:F, 5, FALSE), ""))</f>
        <v/>
      </c>
      <c r="G979" s="267" t="s">
        <v>1317</v>
      </c>
      <c r="H979" s="223" t="str">
        <f>IFERROR(VLOOKUP(B979, Content_Creation!B:H, 7, FALSE), IFERROR(VLOOKUP(B979, Project_Management!B:H, 7, FALSE), ""))</f>
        <v/>
      </c>
      <c r="I979" s="224">
        <v>0.0</v>
      </c>
      <c r="J979" s="217"/>
      <c r="K979" s="217"/>
      <c r="L979" s="225" t="str">
        <f>IFERROR(VLOOKUP(B979, Data_Validation!X:Y, 2, FALSE), "")</f>
        <v/>
      </c>
      <c r="M979" s="226" t="str">
        <f t="shared" si="1"/>
        <v> |  -  | </v>
      </c>
      <c r="N979" s="226"/>
      <c r="O979" s="226"/>
    </row>
    <row r="980" ht="24.0" customHeight="1">
      <c r="A980" s="216" t="str">
        <f>IFERROR(__xludf.DUMMYFUNCTION("ARRAYFORMULA(IFERROR(VLOOKUP(REGEXEXTRACT(B980, ""-(\w+)-""), {Data_Validation!$F$16:$F$29, Data_Validation!$E$16:$E$29}, 2, FALSE), """"))
"),"")</f>
        <v/>
      </c>
      <c r="B980" s="217"/>
      <c r="C980" s="218" t="str">
        <f>IFERROR(__xludf.DUMMYFUNCTION("IFERROR(REGEXEXTRACT(B980, ""^[A-Z]+-[A-Z]+-"") &amp; TEXT(VALUE(REGEXEXTRACT(B980, ""-(\d+)\."")), ""00""), """")"),"")</f>
        <v/>
      </c>
      <c r="D980" s="219" t="str">
        <f>IFERROR(VLOOKUP(C980, Content_Creation!B:D, 2, FALSE), IFERROR(VLOOKUP(C980, Project_Management!B:D, 2, FALSE), ""))
&amp; " - "
&amp; IFERROR(VLOOKUP(C980, Content_Creation!B:E, 4, FALSE), IFERROR(VLOOKUP(C980, Project_Management!B:E, 4, FALSE), ""))</f>
        <v> - </v>
      </c>
      <c r="E980" s="220" t="str">
        <f>IFERROR(
    VLOOKUP(B979:B1001, Content_Creation!B:D, 3, FALSE),
    IFERROR(VLOOKUP(B979:B1001, Project_Management!B:D, 3, FALSE),"")
  )</f>
        <v/>
      </c>
      <c r="F980" s="221" t="str">
        <f>IFERROR(VLOOKUP(B980, Content_Creation!B:F, 5, FALSE), IFERROR(VLOOKUP(B980, Project_Management!B:F, 5, FALSE), ""))</f>
        <v/>
      </c>
      <c r="G980" s="267" t="s">
        <v>1317</v>
      </c>
      <c r="H980" s="223" t="str">
        <f>IFERROR(VLOOKUP(B980, Content_Creation!B:H, 7, FALSE), IFERROR(VLOOKUP(B980, Project_Management!B:H, 7, FALSE), ""))</f>
        <v/>
      </c>
      <c r="I980" s="224">
        <v>0.0</v>
      </c>
      <c r="J980" s="217"/>
      <c r="K980" s="217"/>
      <c r="L980" s="225" t="str">
        <f>IFERROR(VLOOKUP(B980, Data_Validation!X:Y, 2, FALSE), "")</f>
        <v/>
      </c>
      <c r="M980" s="226" t="str">
        <f t="shared" si="1"/>
        <v> |  -  | </v>
      </c>
      <c r="N980" s="226"/>
      <c r="O980" s="226"/>
    </row>
    <row r="981" ht="24.0" customHeight="1">
      <c r="A981" s="216" t="str">
        <f>IFERROR(__xludf.DUMMYFUNCTION("ARRAYFORMULA(IFERROR(VLOOKUP(REGEXEXTRACT(B981, ""-(\w+)-""), {Data_Validation!$F$16:$F$29, Data_Validation!$E$16:$E$29}, 2, FALSE), """"))
"),"")</f>
        <v/>
      </c>
      <c r="B981" s="217"/>
      <c r="C981" s="218" t="str">
        <f>IFERROR(__xludf.DUMMYFUNCTION("IFERROR(REGEXEXTRACT(B981, ""^[A-Z]+-[A-Z]+-"") &amp; TEXT(VALUE(REGEXEXTRACT(B981, ""-(\d+)\."")), ""00""), """")"),"")</f>
        <v/>
      </c>
      <c r="D981" s="219" t="str">
        <f>IFERROR(VLOOKUP(C981, Content_Creation!B:D, 2, FALSE), IFERROR(VLOOKUP(C981, Project_Management!B:D, 2, FALSE), ""))
&amp; " - "
&amp; IFERROR(VLOOKUP(C981, Content_Creation!B:E, 4, FALSE), IFERROR(VLOOKUP(C981, Project_Management!B:E, 4, FALSE), ""))</f>
        <v> - </v>
      </c>
      <c r="E981" s="220" t="str">
        <f>IFERROR(
    VLOOKUP(B980:B1001, Content_Creation!B:D, 3, FALSE),
    IFERROR(VLOOKUP(B980:B1001, Project_Management!B:D, 3, FALSE),"")
  )</f>
        <v/>
      </c>
      <c r="F981" s="221" t="str">
        <f>IFERROR(VLOOKUP(B981, Content_Creation!B:F, 5, FALSE), IFERROR(VLOOKUP(B981, Project_Management!B:F, 5, FALSE), ""))</f>
        <v/>
      </c>
      <c r="G981" s="267" t="s">
        <v>1317</v>
      </c>
      <c r="H981" s="223" t="str">
        <f>IFERROR(VLOOKUP(B981, Content_Creation!B:H, 7, FALSE), IFERROR(VLOOKUP(B981, Project_Management!B:H, 7, FALSE), ""))</f>
        <v/>
      </c>
      <c r="I981" s="224">
        <v>0.0</v>
      </c>
      <c r="J981" s="217"/>
      <c r="K981" s="217"/>
      <c r="L981" s="225" t="str">
        <f>IFERROR(VLOOKUP(B981, Data_Validation!X:Y, 2, FALSE), "")</f>
        <v/>
      </c>
      <c r="M981" s="226" t="str">
        <f t="shared" si="1"/>
        <v> |  -  | </v>
      </c>
      <c r="N981" s="226"/>
      <c r="O981" s="226"/>
    </row>
    <row r="982" ht="24.0" customHeight="1">
      <c r="A982" s="216" t="str">
        <f>IFERROR(__xludf.DUMMYFUNCTION("ARRAYFORMULA(IFERROR(VLOOKUP(REGEXEXTRACT(B982, ""-(\w+)-""), {Data_Validation!$F$16:$F$29, Data_Validation!$E$16:$E$29}, 2, FALSE), """"))
"),"")</f>
        <v/>
      </c>
      <c r="B982" s="217"/>
      <c r="C982" s="218" t="str">
        <f>IFERROR(__xludf.DUMMYFUNCTION("IFERROR(REGEXEXTRACT(B982, ""^[A-Z]+-[A-Z]+-"") &amp; TEXT(VALUE(REGEXEXTRACT(B982, ""-(\d+)\."")), ""00""), """")"),"")</f>
        <v/>
      </c>
      <c r="D982" s="219" t="str">
        <f>IFERROR(VLOOKUP(C982, Content_Creation!B:D, 2, FALSE), IFERROR(VLOOKUP(C982, Project_Management!B:D, 2, FALSE), ""))
&amp; " - "
&amp; IFERROR(VLOOKUP(C982, Content_Creation!B:E, 4, FALSE), IFERROR(VLOOKUP(C982, Project_Management!B:E, 4, FALSE), ""))</f>
        <v> - </v>
      </c>
      <c r="E982" s="220" t="str">
        <f>IFERROR(
    VLOOKUP(B981:B1001, Content_Creation!B:D, 3, FALSE),
    IFERROR(VLOOKUP(B981:B1001, Project_Management!B:D, 3, FALSE),"")
  )</f>
        <v/>
      </c>
      <c r="F982" s="221" t="str">
        <f>IFERROR(VLOOKUP(B982, Content_Creation!B:F, 5, FALSE), IFERROR(VLOOKUP(B982, Project_Management!B:F, 5, FALSE), ""))</f>
        <v/>
      </c>
      <c r="G982" s="267" t="s">
        <v>1317</v>
      </c>
      <c r="H982" s="223" t="str">
        <f>IFERROR(VLOOKUP(B982, Content_Creation!B:H, 7, FALSE), IFERROR(VLOOKUP(B982, Project_Management!B:H, 7, FALSE), ""))</f>
        <v/>
      </c>
      <c r="I982" s="224">
        <v>0.0</v>
      </c>
      <c r="J982" s="217"/>
      <c r="K982" s="217"/>
      <c r="L982" s="225" t="str">
        <f>IFERROR(VLOOKUP(B982, Data_Validation!X:Y, 2, FALSE), "")</f>
        <v/>
      </c>
      <c r="M982" s="226" t="str">
        <f t="shared" si="1"/>
        <v> |  -  | </v>
      </c>
      <c r="N982" s="226"/>
      <c r="O982" s="226"/>
    </row>
    <row r="983" ht="24.0" customHeight="1">
      <c r="A983" s="216" t="str">
        <f>IFERROR(__xludf.DUMMYFUNCTION("ARRAYFORMULA(IFERROR(VLOOKUP(REGEXEXTRACT(B983, ""-(\w+)-""), {Data_Validation!$F$16:$F$29, Data_Validation!$E$16:$E$29}, 2, FALSE), """"))
"),"")</f>
        <v/>
      </c>
      <c r="B983" s="217"/>
      <c r="C983" s="218" t="str">
        <f>IFERROR(__xludf.DUMMYFUNCTION("IFERROR(REGEXEXTRACT(B983, ""^[A-Z]+-[A-Z]+-"") &amp; TEXT(VALUE(REGEXEXTRACT(B983, ""-(\d+)\."")), ""00""), """")"),"")</f>
        <v/>
      </c>
      <c r="D983" s="219" t="str">
        <f>IFERROR(VLOOKUP(C983, Content_Creation!B:D, 2, FALSE), IFERROR(VLOOKUP(C983, Project_Management!B:D, 2, FALSE), ""))
&amp; " - "
&amp; IFERROR(VLOOKUP(C983, Content_Creation!B:E, 4, FALSE), IFERROR(VLOOKUP(C983, Project_Management!B:E, 4, FALSE), ""))</f>
        <v> - </v>
      </c>
      <c r="E983" s="220" t="str">
        <f>IFERROR(
    VLOOKUP(B982:B1001, Content_Creation!B:D, 3, FALSE),
    IFERROR(VLOOKUP(B982:B1001, Project_Management!B:D, 3, FALSE),"")
  )</f>
        <v/>
      </c>
      <c r="F983" s="221" t="str">
        <f>IFERROR(VLOOKUP(B983, Content_Creation!B:F, 5, FALSE), IFERROR(VLOOKUP(B983, Project_Management!B:F, 5, FALSE), ""))</f>
        <v/>
      </c>
      <c r="G983" s="267" t="s">
        <v>1317</v>
      </c>
      <c r="H983" s="223" t="str">
        <f>IFERROR(VLOOKUP(B983, Content_Creation!B:H, 7, FALSE), IFERROR(VLOOKUP(B983, Project_Management!B:H, 7, FALSE), ""))</f>
        <v/>
      </c>
      <c r="I983" s="224">
        <v>0.0</v>
      </c>
      <c r="J983" s="217"/>
      <c r="K983" s="217"/>
      <c r="L983" s="225" t="str">
        <f>IFERROR(VLOOKUP(B983, Data_Validation!X:Y, 2, FALSE), "")</f>
        <v/>
      </c>
      <c r="M983" s="226" t="str">
        <f t="shared" si="1"/>
        <v> |  -  | </v>
      </c>
      <c r="N983" s="226"/>
      <c r="O983" s="226"/>
    </row>
    <row r="984" ht="24.0" customHeight="1">
      <c r="A984" s="216" t="str">
        <f>IFERROR(__xludf.DUMMYFUNCTION("ARRAYFORMULA(IFERROR(VLOOKUP(REGEXEXTRACT(B984, ""-(\w+)-""), {Data_Validation!$F$16:$F$29, Data_Validation!$E$16:$E$29}, 2, FALSE), """"))
"),"")</f>
        <v/>
      </c>
      <c r="B984" s="217"/>
      <c r="C984" s="218" t="str">
        <f>IFERROR(__xludf.DUMMYFUNCTION("IFERROR(REGEXEXTRACT(B984, ""^[A-Z]+-[A-Z]+-"") &amp; TEXT(VALUE(REGEXEXTRACT(B984, ""-(\d+)\."")), ""00""), """")"),"")</f>
        <v/>
      </c>
      <c r="D984" s="219" t="str">
        <f>IFERROR(VLOOKUP(C984, Content_Creation!B:D, 2, FALSE), IFERROR(VLOOKUP(C984, Project_Management!B:D, 2, FALSE), ""))
&amp; " - "
&amp; IFERROR(VLOOKUP(C984, Content_Creation!B:E, 4, FALSE), IFERROR(VLOOKUP(C984, Project_Management!B:E, 4, FALSE), ""))</f>
        <v> - </v>
      </c>
      <c r="E984" s="220" t="str">
        <f>IFERROR(
    VLOOKUP(B983:B1001, Content_Creation!B:D, 3, FALSE),
    IFERROR(VLOOKUP(B983:B1001, Project_Management!B:D, 3, FALSE),"")
  )</f>
        <v/>
      </c>
      <c r="F984" s="221" t="str">
        <f>IFERROR(VLOOKUP(B984, Content_Creation!B:F, 5, FALSE), IFERROR(VLOOKUP(B984, Project_Management!B:F, 5, FALSE), ""))</f>
        <v/>
      </c>
      <c r="G984" s="267" t="s">
        <v>1317</v>
      </c>
      <c r="H984" s="223" t="str">
        <f>IFERROR(VLOOKUP(B984, Content_Creation!B:H, 7, FALSE), IFERROR(VLOOKUP(B984, Project_Management!B:H, 7, FALSE), ""))</f>
        <v/>
      </c>
      <c r="I984" s="224">
        <v>0.0</v>
      </c>
      <c r="J984" s="217"/>
      <c r="K984" s="217"/>
      <c r="L984" s="225" t="str">
        <f>IFERROR(VLOOKUP(B984, Data_Validation!X:Y, 2, FALSE), "")</f>
        <v/>
      </c>
      <c r="M984" s="226" t="str">
        <f t="shared" si="1"/>
        <v> |  -  | </v>
      </c>
      <c r="N984" s="226"/>
      <c r="O984" s="226"/>
    </row>
    <row r="985" ht="24.0" customHeight="1">
      <c r="A985" s="216" t="str">
        <f>IFERROR(__xludf.DUMMYFUNCTION("ARRAYFORMULA(IFERROR(VLOOKUP(REGEXEXTRACT(B985, ""-(\w+)-""), {Data_Validation!$F$16:$F$29, Data_Validation!$E$16:$E$29}, 2, FALSE), """"))
"),"")</f>
        <v/>
      </c>
      <c r="B985" s="217"/>
      <c r="C985" s="218" t="str">
        <f>IFERROR(__xludf.DUMMYFUNCTION("IFERROR(REGEXEXTRACT(B985, ""^[A-Z]+-[A-Z]+-"") &amp; TEXT(VALUE(REGEXEXTRACT(B985, ""-(\d+)\."")), ""00""), """")"),"")</f>
        <v/>
      </c>
      <c r="D985" s="219" t="str">
        <f>IFERROR(VLOOKUP(C985, Content_Creation!B:D, 2, FALSE), IFERROR(VLOOKUP(C985, Project_Management!B:D, 2, FALSE), ""))
&amp; " - "
&amp; IFERROR(VLOOKUP(C985, Content_Creation!B:E, 4, FALSE), IFERROR(VLOOKUP(C985, Project_Management!B:E, 4, FALSE), ""))</f>
        <v> - </v>
      </c>
      <c r="E985" s="220" t="str">
        <f>IFERROR(
    VLOOKUP(B984:B1001, Content_Creation!B:D, 3, FALSE),
    IFERROR(VLOOKUP(B984:B1001, Project_Management!B:D, 3, FALSE),"")
  )</f>
        <v/>
      </c>
      <c r="F985" s="221" t="str">
        <f>IFERROR(VLOOKUP(B985, Content_Creation!B:F, 5, FALSE), IFERROR(VLOOKUP(B985, Project_Management!B:F, 5, FALSE), ""))</f>
        <v/>
      </c>
      <c r="G985" s="267" t="s">
        <v>1317</v>
      </c>
      <c r="H985" s="223" t="str">
        <f>IFERROR(VLOOKUP(B985, Content_Creation!B:H, 7, FALSE), IFERROR(VLOOKUP(B985, Project_Management!B:H, 7, FALSE), ""))</f>
        <v/>
      </c>
      <c r="I985" s="224">
        <v>0.0</v>
      </c>
      <c r="J985" s="217"/>
      <c r="K985" s="217"/>
      <c r="L985" s="225" t="str">
        <f>IFERROR(VLOOKUP(B985, Data_Validation!X:Y, 2, FALSE), "")</f>
        <v/>
      </c>
      <c r="M985" s="226" t="str">
        <f t="shared" si="1"/>
        <v> |  -  | </v>
      </c>
      <c r="N985" s="226"/>
      <c r="O985" s="226"/>
    </row>
    <row r="986" ht="24.0" customHeight="1">
      <c r="A986" s="216" t="str">
        <f>IFERROR(__xludf.DUMMYFUNCTION("ARRAYFORMULA(IFERROR(VLOOKUP(REGEXEXTRACT(B986, ""-(\w+)-""), {Data_Validation!$F$16:$F$29, Data_Validation!$E$16:$E$29}, 2, FALSE), """"))
"),"")</f>
        <v/>
      </c>
      <c r="B986" s="217"/>
      <c r="C986" s="218" t="str">
        <f>IFERROR(__xludf.DUMMYFUNCTION("IFERROR(REGEXEXTRACT(B986, ""^[A-Z]+-[A-Z]+-"") &amp; TEXT(VALUE(REGEXEXTRACT(B986, ""-(\d+)\."")), ""00""), """")"),"")</f>
        <v/>
      </c>
      <c r="D986" s="219" t="str">
        <f>IFERROR(VLOOKUP(C986, Content_Creation!B:D, 2, FALSE), IFERROR(VLOOKUP(C986, Project_Management!B:D, 2, FALSE), ""))
&amp; " - "
&amp; IFERROR(VLOOKUP(C986, Content_Creation!B:E, 4, FALSE), IFERROR(VLOOKUP(C986, Project_Management!B:E, 4, FALSE), ""))</f>
        <v> - </v>
      </c>
      <c r="E986" s="220" t="str">
        <f>IFERROR(
    VLOOKUP(B985:B1001, Content_Creation!B:D, 3, FALSE),
    IFERROR(VLOOKUP(B985:B1001, Project_Management!B:D, 3, FALSE),"")
  )</f>
        <v/>
      </c>
      <c r="F986" s="221" t="str">
        <f>IFERROR(VLOOKUP(B986, Content_Creation!B:F, 5, FALSE), IFERROR(VLOOKUP(B986, Project_Management!B:F, 5, FALSE), ""))</f>
        <v/>
      </c>
      <c r="G986" s="267" t="s">
        <v>1317</v>
      </c>
      <c r="H986" s="223" t="str">
        <f>IFERROR(VLOOKUP(B986, Content_Creation!B:H, 7, FALSE), IFERROR(VLOOKUP(B986, Project_Management!B:H, 7, FALSE), ""))</f>
        <v/>
      </c>
      <c r="I986" s="224">
        <v>0.0</v>
      </c>
      <c r="J986" s="217"/>
      <c r="K986" s="217"/>
      <c r="L986" s="225" t="str">
        <f>IFERROR(VLOOKUP(B986, Data_Validation!X:Y, 2, FALSE), "")</f>
        <v/>
      </c>
      <c r="M986" s="226" t="str">
        <f t="shared" si="1"/>
        <v> |  -  | </v>
      </c>
      <c r="N986" s="226"/>
      <c r="O986" s="226"/>
    </row>
    <row r="987" ht="24.0" customHeight="1">
      <c r="A987" s="216" t="str">
        <f>IFERROR(__xludf.DUMMYFUNCTION("ARRAYFORMULA(IFERROR(VLOOKUP(REGEXEXTRACT(B987, ""-(\w+)-""), {Data_Validation!$F$16:$F$29, Data_Validation!$E$16:$E$29}, 2, FALSE), """"))
"),"")</f>
        <v/>
      </c>
      <c r="B987" s="217"/>
      <c r="C987" s="218" t="str">
        <f>IFERROR(__xludf.DUMMYFUNCTION("IFERROR(REGEXEXTRACT(B987, ""^[A-Z]+-[A-Z]+-"") &amp; TEXT(VALUE(REGEXEXTRACT(B987, ""-(\d+)\."")), ""00""), """")"),"")</f>
        <v/>
      </c>
      <c r="D987" s="219" t="str">
        <f>IFERROR(VLOOKUP(C987, Content_Creation!B:D, 2, FALSE), IFERROR(VLOOKUP(C987, Project_Management!B:D, 2, FALSE), ""))
&amp; " - "
&amp; IFERROR(VLOOKUP(C987, Content_Creation!B:E, 4, FALSE), IFERROR(VLOOKUP(C987, Project_Management!B:E, 4, FALSE), ""))</f>
        <v> - </v>
      </c>
      <c r="E987" s="220" t="str">
        <f>IFERROR(
    VLOOKUP(B986:B1001, Content_Creation!B:D, 3, FALSE),
    IFERROR(VLOOKUP(B986:B1001, Project_Management!B:D, 3, FALSE),"")
  )</f>
        <v/>
      </c>
      <c r="F987" s="221" t="str">
        <f>IFERROR(VLOOKUP(B987, Content_Creation!B:F, 5, FALSE), IFERROR(VLOOKUP(B987, Project_Management!B:F, 5, FALSE), ""))</f>
        <v/>
      </c>
      <c r="G987" s="267" t="s">
        <v>1317</v>
      </c>
      <c r="H987" s="223" t="str">
        <f>IFERROR(VLOOKUP(B987, Content_Creation!B:H, 7, FALSE), IFERROR(VLOOKUP(B987, Project_Management!B:H, 7, FALSE), ""))</f>
        <v/>
      </c>
      <c r="I987" s="224">
        <v>0.0</v>
      </c>
      <c r="J987" s="217"/>
      <c r="K987" s="217"/>
      <c r="L987" s="225" t="str">
        <f>IFERROR(VLOOKUP(B987, Data_Validation!X:Y, 2, FALSE), "")</f>
        <v/>
      </c>
      <c r="M987" s="226" t="str">
        <f t="shared" si="1"/>
        <v> |  -  | </v>
      </c>
      <c r="N987" s="226"/>
      <c r="O987" s="226"/>
    </row>
    <row r="988" ht="24.0" customHeight="1">
      <c r="A988" s="216" t="str">
        <f>IFERROR(__xludf.DUMMYFUNCTION("ARRAYFORMULA(IFERROR(VLOOKUP(REGEXEXTRACT(B988, ""-(\w+)-""), {Data_Validation!$F$16:$F$29, Data_Validation!$E$16:$E$29}, 2, FALSE), """"))
"),"")</f>
        <v/>
      </c>
      <c r="B988" s="217"/>
      <c r="C988" s="218" t="str">
        <f>IFERROR(__xludf.DUMMYFUNCTION("IFERROR(REGEXEXTRACT(B988, ""^[A-Z]+-[A-Z]+-"") &amp; TEXT(VALUE(REGEXEXTRACT(B988, ""-(\d+)\."")), ""00""), """")"),"")</f>
        <v/>
      </c>
      <c r="D988" s="219" t="str">
        <f>IFERROR(VLOOKUP(C988, Content_Creation!B:D, 2, FALSE), IFERROR(VLOOKUP(C988, Project_Management!B:D, 2, FALSE), ""))
&amp; " - "
&amp; IFERROR(VLOOKUP(C988, Content_Creation!B:E, 4, FALSE), IFERROR(VLOOKUP(C988, Project_Management!B:E, 4, FALSE), ""))</f>
        <v> - </v>
      </c>
      <c r="E988" s="220" t="str">
        <f>IFERROR(
    VLOOKUP(B987:B1001, Content_Creation!B:D, 3, FALSE),
    IFERROR(VLOOKUP(B987:B1001, Project_Management!B:D, 3, FALSE),"")
  )</f>
        <v/>
      </c>
      <c r="F988" s="221" t="str">
        <f>IFERROR(VLOOKUP(B988, Content_Creation!B:F, 5, FALSE), IFERROR(VLOOKUP(B988, Project_Management!B:F, 5, FALSE), ""))</f>
        <v/>
      </c>
      <c r="G988" s="267" t="s">
        <v>1317</v>
      </c>
      <c r="H988" s="223" t="str">
        <f>IFERROR(VLOOKUP(B988, Content_Creation!B:H, 7, FALSE), IFERROR(VLOOKUP(B988, Project_Management!B:H, 7, FALSE), ""))</f>
        <v/>
      </c>
      <c r="I988" s="224">
        <v>0.0</v>
      </c>
      <c r="J988" s="217"/>
      <c r="K988" s="217"/>
      <c r="L988" s="225" t="str">
        <f>IFERROR(VLOOKUP(B988, Data_Validation!X:Y, 2, FALSE), "")</f>
        <v/>
      </c>
      <c r="M988" s="226" t="str">
        <f t="shared" si="1"/>
        <v> |  -  | </v>
      </c>
      <c r="N988" s="226"/>
      <c r="O988" s="226"/>
    </row>
    <row r="989" ht="24.0" customHeight="1">
      <c r="A989" s="216" t="str">
        <f>IFERROR(__xludf.DUMMYFUNCTION("ARRAYFORMULA(IFERROR(VLOOKUP(REGEXEXTRACT(B989, ""-(\w+)-""), {Data_Validation!$F$16:$F$29, Data_Validation!$E$16:$E$29}, 2, FALSE), """"))
"),"")</f>
        <v/>
      </c>
      <c r="B989" s="217"/>
      <c r="C989" s="218" t="str">
        <f>IFERROR(__xludf.DUMMYFUNCTION("IFERROR(REGEXEXTRACT(B989, ""^[A-Z]+-[A-Z]+-"") &amp; TEXT(VALUE(REGEXEXTRACT(B989, ""-(\d+)\."")), ""00""), """")"),"")</f>
        <v/>
      </c>
      <c r="D989" s="219" t="str">
        <f>IFERROR(VLOOKUP(C989, Content_Creation!B:D, 2, FALSE), IFERROR(VLOOKUP(C989, Project_Management!B:D, 2, FALSE), ""))
&amp; " - "
&amp; IFERROR(VLOOKUP(C989, Content_Creation!B:E, 4, FALSE), IFERROR(VLOOKUP(C989, Project_Management!B:E, 4, FALSE), ""))</f>
        <v> - </v>
      </c>
      <c r="E989" s="220" t="str">
        <f>IFERROR(
    VLOOKUP(B988:B1001, Content_Creation!B:D, 3, FALSE),
    IFERROR(VLOOKUP(B988:B1001, Project_Management!B:D, 3, FALSE),"")
  )</f>
        <v/>
      </c>
      <c r="F989" s="221" t="str">
        <f>IFERROR(VLOOKUP(B989, Content_Creation!B:F, 5, FALSE), IFERROR(VLOOKUP(B989, Project_Management!B:F, 5, FALSE), ""))</f>
        <v/>
      </c>
      <c r="G989" s="267" t="s">
        <v>1317</v>
      </c>
      <c r="H989" s="223" t="str">
        <f>IFERROR(VLOOKUP(B989, Content_Creation!B:H, 7, FALSE), IFERROR(VLOOKUP(B989, Project_Management!B:H, 7, FALSE), ""))</f>
        <v/>
      </c>
      <c r="I989" s="224">
        <v>0.0</v>
      </c>
      <c r="J989" s="217"/>
      <c r="K989" s="217"/>
      <c r="L989" s="225" t="str">
        <f>IFERROR(VLOOKUP(B989, Data_Validation!X:Y, 2, FALSE), "")</f>
        <v/>
      </c>
      <c r="M989" s="226" t="str">
        <f t="shared" si="1"/>
        <v> |  -  | </v>
      </c>
      <c r="N989" s="226"/>
      <c r="O989" s="226"/>
    </row>
    <row r="990" ht="24.0" customHeight="1">
      <c r="A990" s="216" t="str">
        <f>IFERROR(__xludf.DUMMYFUNCTION("ARRAYFORMULA(IFERROR(VLOOKUP(REGEXEXTRACT(B990, ""-(\w+)-""), {Data_Validation!$F$16:$F$29, Data_Validation!$E$16:$E$29}, 2, FALSE), """"))
"),"")</f>
        <v/>
      </c>
      <c r="B990" s="217"/>
      <c r="C990" s="218" t="str">
        <f>IFERROR(__xludf.DUMMYFUNCTION("IFERROR(REGEXEXTRACT(B990, ""^[A-Z]+-[A-Z]+-"") &amp; TEXT(VALUE(REGEXEXTRACT(B990, ""-(\d+)\."")), ""00""), """")"),"")</f>
        <v/>
      </c>
      <c r="D990" s="219" t="str">
        <f>IFERROR(VLOOKUP(C990, Content_Creation!B:D, 2, FALSE), IFERROR(VLOOKUP(C990, Project_Management!B:D, 2, FALSE), ""))
&amp; " - "
&amp; IFERROR(VLOOKUP(C990, Content_Creation!B:E, 4, FALSE), IFERROR(VLOOKUP(C990, Project_Management!B:E, 4, FALSE), ""))</f>
        <v> - </v>
      </c>
      <c r="E990" s="220" t="str">
        <f>IFERROR(
    VLOOKUP(B989:B1001, Content_Creation!B:D, 3, FALSE),
    IFERROR(VLOOKUP(B989:B1001, Project_Management!B:D, 3, FALSE),"")
  )</f>
        <v/>
      </c>
      <c r="F990" s="221" t="str">
        <f>IFERROR(VLOOKUP(B990, Content_Creation!B:F, 5, FALSE), IFERROR(VLOOKUP(B990, Project_Management!B:F, 5, FALSE), ""))</f>
        <v/>
      </c>
      <c r="G990" s="267" t="s">
        <v>1317</v>
      </c>
      <c r="H990" s="223" t="str">
        <f>IFERROR(VLOOKUP(B990, Content_Creation!B:H, 7, FALSE), IFERROR(VLOOKUP(B990, Project_Management!B:H, 7, FALSE), ""))</f>
        <v/>
      </c>
      <c r="I990" s="224">
        <v>0.0</v>
      </c>
      <c r="J990" s="217"/>
      <c r="K990" s="217"/>
      <c r="L990" s="225" t="str">
        <f>IFERROR(VLOOKUP(B990, Data_Validation!X:Y, 2, FALSE), "")</f>
        <v/>
      </c>
      <c r="M990" s="226" t="str">
        <f t="shared" si="1"/>
        <v> |  -  | </v>
      </c>
      <c r="N990" s="226"/>
      <c r="O990" s="226"/>
    </row>
    <row r="991" ht="24.0" customHeight="1">
      <c r="A991" s="216" t="str">
        <f>IFERROR(__xludf.DUMMYFUNCTION("ARRAYFORMULA(IFERROR(VLOOKUP(REGEXEXTRACT(B991, ""-(\w+)-""), {Data_Validation!$F$16:$F$29, Data_Validation!$E$16:$E$29}, 2, FALSE), """"))
"),"")</f>
        <v/>
      </c>
      <c r="B991" s="217"/>
      <c r="C991" s="218" t="str">
        <f>IFERROR(__xludf.DUMMYFUNCTION("IFERROR(REGEXEXTRACT(B991, ""^[A-Z]+-[A-Z]+-"") &amp; TEXT(VALUE(REGEXEXTRACT(B991, ""-(\d+)\."")), ""00""), """")"),"")</f>
        <v/>
      </c>
      <c r="D991" s="219" t="str">
        <f>IFERROR(VLOOKUP(C991, Content_Creation!B:D, 2, FALSE), IFERROR(VLOOKUP(C991, Project_Management!B:D, 2, FALSE), ""))
&amp; " - "
&amp; IFERROR(VLOOKUP(C991, Content_Creation!B:E, 4, FALSE), IFERROR(VLOOKUP(C991, Project_Management!B:E, 4, FALSE), ""))</f>
        <v> - </v>
      </c>
      <c r="E991" s="220" t="str">
        <f>IFERROR(
    VLOOKUP(B990:B1001, Content_Creation!B:D, 3, FALSE),
    IFERROR(VLOOKUP(B990:B1001, Project_Management!B:D, 3, FALSE),"")
  )</f>
        <v/>
      </c>
      <c r="F991" s="221" t="str">
        <f>IFERROR(VLOOKUP(B991, Content_Creation!B:F, 5, FALSE), IFERROR(VLOOKUP(B991, Project_Management!B:F, 5, FALSE), ""))</f>
        <v/>
      </c>
      <c r="G991" s="267" t="s">
        <v>1317</v>
      </c>
      <c r="H991" s="223" t="str">
        <f>IFERROR(VLOOKUP(B991, Content_Creation!B:H, 7, FALSE), IFERROR(VLOOKUP(B991, Project_Management!B:H, 7, FALSE), ""))</f>
        <v/>
      </c>
      <c r="I991" s="224">
        <v>0.0</v>
      </c>
      <c r="J991" s="217"/>
      <c r="K991" s="217"/>
      <c r="L991" s="225" t="str">
        <f>IFERROR(VLOOKUP(B991, Data_Validation!X:Y, 2, FALSE), "")</f>
        <v/>
      </c>
      <c r="M991" s="226" t="str">
        <f t="shared" si="1"/>
        <v> |  -  | </v>
      </c>
      <c r="N991" s="226"/>
      <c r="O991" s="226"/>
    </row>
    <row r="992" ht="24.0" customHeight="1">
      <c r="A992" s="216" t="str">
        <f>IFERROR(__xludf.DUMMYFUNCTION("ARRAYFORMULA(IFERROR(VLOOKUP(REGEXEXTRACT(B992, ""-(\w+)-""), {Data_Validation!$F$16:$F$29, Data_Validation!$E$16:$E$29}, 2, FALSE), """"))
"),"")</f>
        <v/>
      </c>
      <c r="B992" s="217"/>
      <c r="C992" s="218" t="str">
        <f>IFERROR(__xludf.DUMMYFUNCTION("IFERROR(REGEXEXTRACT(B992, ""^[A-Z]+-[A-Z]+-"") &amp; TEXT(VALUE(REGEXEXTRACT(B992, ""-(\d+)\."")), ""00""), """")"),"")</f>
        <v/>
      </c>
      <c r="D992" s="219" t="str">
        <f>IFERROR(VLOOKUP(C992, Content_Creation!B:D, 2, FALSE), IFERROR(VLOOKUP(C992, Project_Management!B:D, 2, FALSE), ""))
&amp; " - "
&amp; IFERROR(VLOOKUP(C992, Content_Creation!B:E, 4, FALSE), IFERROR(VLOOKUP(C992, Project_Management!B:E, 4, FALSE), ""))</f>
        <v> - </v>
      </c>
      <c r="E992" s="220" t="str">
        <f>IFERROR(
    VLOOKUP(B991:B1001, Content_Creation!B:D, 3, FALSE),
    IFERROR(VLOOKUP(B991:B1001, Project_Management!B:D, 3, FALSE),"")
  )</f>
        <v/>
      </c>
      <c r="F992" s="221" t="str">
        <f>IFERROR(VLOOKUP(B992, Content_Creation!B:F, 5, FALSE), IFERROR(VLOOKUP(B992, Project_Management!B:F, 5, FALSE), ""))</f>
        <v/>
      </c>
      <c r="G992" s="267" t="s">
        <v>1317</v>
      </c>
      <c r="H992" s="223" t="str">
        <f>IFERROR(VLOOKUP(B992, Content_Creation!B:H, 7, FALSE), IFERROR(VLOOKUP(B992, Project_Management!B:H, 7, FALSE), ""))</f>
        <v/>
      </c>
      <c r="I992" s="224">
        <v>0.0</v>
      </c>
      <c r="J992" s="217"/>
      <c r="K992" s="217"/>
      <c r="L992" s="225" t="str">
        <f>IFERROR(VLOOKUP(B992, Data_Validation!X:Y, 2, FALSE), "")</f>
        <v/>
      </c>
      <c r="M992" s="226" t="str">
        <f t="shared" si="1"/>
        <v> |  -  | </v>
      </c>
      <c r="N992" s="226"/>
      <c r="O992" s="226"/>
    </row>
    <row r="993" ht="24.0" customHeight="1">
      <c r="A993" s="216" t="str">
        <f>IFERROR(__xludf.DUMMYFUNCTION("ARRAYFORMULA(IFERROR(VLOOKUP(REGEXEXTRACT(B993, ""-(\w+)-""), {Data_Validation!$F$16:$F$29, Data_Validation!$E$16:$E$29}, 2, FALSE), """"))
"),"")</f>
        <v/>
      </c>
      <c r="B993" s="217"/>
      <c r="C993" s="218" t="str">
        <f>IFERROR(__xludf.DUMMYFUNCTION("IFERROR(REGEXEXTRACT(B993, ""^[A-Z]+-[A-Z]+-"") &amp; TEXT(VALUE(REGEXEXTRACT(B993, ""-(\d+)\."")), ""00""), """")"),"")</f>
        <v/>
      </c>
      <c r="D993" s="219" t="str">
        <f>IFERROR(VLOOKUP(C993, Content_Creation!B:D, 2, FALSE), IFERROR(VLOOKUP(C993, Project_Management!B:D, 2, FALSE), ""))
&amp; " - "
&amp; IFERROR(VLOOKUP(C993, Content_Creation!B:E, 4, FALSE), IFERROR(VLOOKUP(C993, Project_Management!B:E, 4, FALSE), ""))</f>
        <v> - </v>
      </c>
      <c r="E993" s="220" t="str">
        <f>IFERROR(
    VLOOKUP(B992:B1001, Content_Creation!B:D, 3, FALSE),
    IFERROR(VLOOKUP(B992:B1001, Project_Management!B:D, 3, FALSE),"")
  )</f>
        <v/>
      </c>
      <c r="F993" s="221" t="str">
        <f>IFERROR(VLOOKUP(B993, Content_Creation!B:F, 5, FALSE), IFERROR(VLOOKUP(B993, Project_Management!B:F, 5, FALSE), ""))</f>
        <v/>
      </c>
      <c r="G993" s="267" t="s">
        <v>1317</v>
      </c>
      <c r="H993" s="223" t="str">
        <f>IFERROR(VLOOKUP(B993, Content_Creation!B:H, 7, FALSE), IFERROR(VLOOKUP(B993, Project_Management!B:H, 7, FALSE), ""))</f>
        <v/>
      </c>
      <c r="I993" s="224">
        <v>0.0</v>
      </c>
      <c r="J993" s="217"/>
      <c r="K993" s="217"/>
      <c r="L993" s="225" t="str">
        <f>IFERROR(VLOOKUP(B993, Data_Validation!X:Y, 2, FALSE), "")</f>
        <v/>
      </c>
      <c r="M993" s="226" t="str">
        <f t="shared" si="1"/>
        <v> |  -  | </v>
      </c>
      <c r="N993" s="226"/>
      <c r="O993" s="226"/>
    </row>
    <row r="994" ht="24.0" customHeight="1">
      <c r="A994" s="216" t="str">
        <f>IFERROR(__xludf.DUMMYFUNCTION("ARRAYFORMULA(IFERROR(VLOOKUP(REGEXEXTRACT(B994, ""-(\w+)-""), {Data_Validation!$F$16:$F$29, Data_Validation!$E$16:$E$29}, 2, FALSE), """"))
"),"")</f>
        <v/>
      </c>
      <c r="B994" s="217"/>
      <c r="C994" s="218" t="str">
        <f>IFERROR(__xludf.DUMMYFUNCTION("IFERROR(REGEXEXTRACT(B994, ""^[A-Z]+-[A-Z]+-"") &amp; TEXT(VALUE(REGEXEXTRACT(B994, ""-(\d+)\."")), ""00""), """")"),"")</f>
        <v/>
      </c>
      <c r="D994" s="219" t="str">
        <f>IFERROR(VLOOKUP(C994, Content_Creation!B:D, 2, FALSE), IFERROR(VLOOKUP(C994, Project_Management!B:D, 2, FALSE), ""))
&amp; " - "
&amp; IFERROR(VLOOKUP(C994, Content_Creation!B:E, 4, FALSE), IFERROR(VLOOKUP(C994, Project_Management!B:E, 4, FALSE), ""))</f>
        <v> - </v>
      </c>
      <c r="E994" s="220" t="str">
        <f>IFERROR(
    VLOOKUP(B993:B1001, Content_Creation!B:D, 3, FALSE),
    IFERROR(VLOOKUP(B993:B1001, Project_Management!B:D, 3, FALSE),"")
  )</f>
        <v/>
      </c>
      <c r="F994" s="221" t="str">
        <f>IFERROR(VLOOKUP(B994, Content_Creation!B:F, 5, FALSE), IFERROR(VLOOKUP(B994, Project_Management!B:F, 5, FALSE), ""))</f>
        <v/>
      </c>
      <c r="G994" s="267" t="s">
        <v>1317</v>
      </c>
      <c r="H994" s="223" t="str">
        <f>IFERROR(VLOOKUP(B994, Content_Creation!B:H, 7, FALSE), IFERROR(VLOOKUP(B994, Project_Management!B:H, 7, FALSE), ""))</f>
        <v/>
      </c>
      <c r="I994" s="224">
        <v>0.0</v>
      </c>
      <c r="J994" s="217"/>
      <c r="K994" s="217"/>
      <c r="L994" s="225" t="str">
        <f>IFERROR(VLOOKUP(B994, Data_Validation!X:Y, 2, FALSE), "")</f>
        <v/>
      </c>
      <c r="M994" s="226" t="str">
        <f t="shared" si="1"/>
        <v> |  -  | </v>
      </c>
      <c r="N994" s="226"/>
      <c r="O994" s="226"/>
    </row>
    <row r="995" ht="24.0" customHeight="1">
      <c r="A995" s="216" t="str">
        <f>IFERROR(__xludf.DUMMYFUNCTION("ARRAYFORMULA(IFERROR(VLOOKUP(REGEXEXTRACT(B995, ""-(\w+)-""), {Data_Validation!$F$16:$F$29, Data_Validation!$E$16:$E$29}, 2, FALSE), """"))
"),"")</f>
        <v/>
      </c>
      <c r="B995" s="217"/>
      <c r="C995" s="218" t="str">
        <f>IFERROR(__xludf.DUMMYFUNCTION("IFERROR(REGEXEXTRACT(B995, ""^[A-Z]+-[A-Z]+-"") &amp; TEXT(VALUE(REGEXEXTRACT(B995, ""-(\d+)\."")), ""00""), """")"),"")</f>
        <v/>
      </c>
      <c r="D995" s="219" t="str">
        <f>IFERROR(VLOOKUP(C995, Content_Creation!B:D, 2, FALSE), IFERROR(VLOOKUP(C995, Project_Management!B:D, 2, FALSE), ""))
&amp; " - "
&amp; IFERROR(VLOOKUP(C995, Content_Creation!B:E, 4, FALSE), IFERROR(VLOOKUP(C995, Project_Management!B:E, 4, FALSE), ""))</f>
        <v> - </v>
      </c>
      <c r="E995" s="220" t="str">
        <f>IFERROR(
    VLOOKUP(B994:B1001, Content_Creation!B:D, 3, FALSE),
    IFERROR(VLOOKUP(B994:B1001, Project_Management!B:D, 3, FALSE),"")
  )</f>
        <v/>
      </c>
      <c r="F995" s="221" t="str">
        <f>IFERROR(VLOOKUP(B995, Content_Creation!B:F, 5, FALSE), IFERROR(VLOOKUP(B995, Project_Management!B:F, 5, FALSE), ""))</f>
        <v/>
      </c>
      <c r="G995" s="267" t="s">
        <v>1317</v>
      </c>
      <c r="H995" s="223" t="str">
        <f>IFERROR(VLOOKUP(B995, Content_Creation!B:H, 7, FALSE), IFERROR(VLOOKUP(B995, Project_Management!B:H, 7, FALSE), ""))</f>
        <v/>
      </c>
      <c r="I995" s="224">
        <v>0.0</v>
      </c>
      <c r="J995" s="217"/>
      <c r="K995" s="217"/>
      <c r="L995" s="225" t="str">
        <f>IFERROR(VLOOKUP(B995, Data_Validation!X:Y, 2, FALSE), "")</f>
        <v/>
      </c>
      <c r="M995" s="226" t="str">
        <f t="shared" si="1"/>
        <v> |  -  | </v>
      </c>
      <c r="N995" s="226"/>
      <c r="O995" s="226"/>
    </row>
    <row r="996" ht="24.0" customHeight="1">
      <c r="A996" s="216" t="str">
        <f>IFERROR(__xludf.DUMMYFUNCTION("ARRAYFORMULA(IFERROR(VLOOKUP(REGEXEXTRACT(B996, ""-(\w+)-""), {Data_Validation!$F$16:$F$29, Data_Validation!$E$16:$E$29}, 2, FALSE), """"))
"),"")</f>
        <v/>
      </c>
      <c r="B996" s="217"/>
      <c r="C996" s="218" t="str">
        <f>IFERROR(__xludf.DUMMYFUNCTION("IFERROR(REGEXEXTRACT(B996, ""^[A-Z]+-[A-Z]+-"") &amp; TEXT(VALUE(REGEXEXTRACT(B996, ""-(\d+)\."")), ""00""), """")"),"")</f>
        <v/>
      </c>
      <c r="D996" s="219" t="str">
        <f>IFERROR(VLOOKUP(C996, Content_Creation!B:D, 2, FALSE), IFERROR(VLOOKUP(C996, Project_Management!B:D, 2, FALSE), ""))
&amp; " - "
&amp; IFERROR(VLOOKUP(C996, Content_Creation!B:E, 4, FALSE), IFERROR(VLOOKUP(C996, Project_Management!B:E, 4, FALSE), ""))</f>
        <v> - </v>
      </c>
      <c r="E996" s="220" t="str">
        <f>IFERROR(
    VLOOKUP(B995:B1001, Content_Creation!B:D, 3, FALSE),
    IFERROR(VLOOKUP(B995:B1001, Project_Management!B:D, 3, FALSE),"")
  )</f>
        <v/>
      </c>
      <c r="F996" s="221" t="str">
        <f>IFERROR(VLOOKUP(B996, Content_Creation!B:F, 5, FALSE), IFERROR(VLOOKUP(B996, Project_Management!B:F, 5, FALSE), ""))</f>
        <v/>
      </c>
      <c r="G996" s="267" t="s">
        <v>1317</v>
      </c>
      <c r="H996" s="223" t="str">
        <f>IFERROR(VLOOKUP(B996, Content_Creation!B:H, 7, FALSE), IFERROR(VLOOKUP(B996, Project_Management!B:H, 7, FALSE), ""))</f>
        <v/>
      </c>
      <c r="I996" s="224">
        <v>0.0</v>
      </c>
      <c r="J996" s="217"/>
      <c r="K996" s="217"/>
      <c r="L996" s="225" t="str">
        <f>IFERROR(VLOOKUP(B996, Data_Validation!X:Y, 2, FALSE), "")</f>
        <v/>
      </c>
      <c r="M996" s="226" t="str">
        <f t="shared" si="1"/>
        <v> |  -  | </v>
      </c>
      <c r="N996" s="226"/>
      <c r="O996" s="226"/>
    </row>
    <row r="997" ht="24.0" customHeight="1">
      <c r="A997" s="216" t="str">
        <f>IFERROR(__xludf.DUMMYFUNCTION("ARRAYFORMULA(IFERROR(VLOOKUP(REGEXEXTRACT(B997, ""-(\w+)-""), {Data_Validation!$F$16:$F$29, Data_Validation!$E$16:$E$29}, 2, FALSE), """"))
"),"")</f>
        <v/>
      </c>
      <c r="B997" s="217"/>
      <c r="C997" s="218" t="str">
        <f>IFERROR(__xludf.DUMMYFUNCTION("IFERROR(REGEXEXTRACT(B997, ""^[A-Z]+-[A-Z]+-"") &amp; TEXT(VALUE(REGEXEXTRACT(B997, ""-(\d+)\."")), ""00""), """")"),"")</f>
        <v/>
      </c>
      <c r="D997" s="219" t="str">
        <f>IFERROR(VLOOKUP(C997, Content_Creation!B:D, 2, FALSE), IFERROR(VLOOKUP(C997, Project_Management!B:D, 2, FALSE), ""))
&amp; " - "
&amp; IFERROR(VLOOKUP(C997, Content_Creation!B:E, 4, FALSE), IFERROR(VLOOKUP(C997, Project_Management!B:E, 4, FALSE), ""))</f>
        <v> - </v>
      </c>
      <c r="E997" s="220" t="str">
        <f>IFERROR(
    VLOOKUP(B996:B1001, Content_Creation!B:D, 3, FALSE),
    IFERROR(VLOOKUP(B996:B1001, Project_Management!B:D, 3, FALSE),"")
  )</f>
        <v/>
      </c>
      <c r="F997" s="221" t="str">
        <f>IFERROR(VLOOKUP(B997, Content_Creation!B:F, 5, FALSE), IFERROR(VLOOKUP(B997, Project_Management!B:F, 5, FALSE), ""))</f>
        <v/>
      </c>
      <c r="G997" s="267" t="s">
        <v>1317</v>
      </c>
      <c r="H997" s="223" t="str">
        <f>IFERROR(VLOOKUP(B997, Content_Creation!B:H, 7, FALSE), IFERROR(VLOOKUP(B997, Project_Management!B:H, 7, FALSE), ""))</f>
        <v/>
      </c>
      <c r="I997" s="224">
        <v>0.0</v>
      </c>
      <c r="J997" s="217"/>
      <c r="K997" s="217"/>
      <c r="L997" s="225" t="str">
        <f>IFERROR(VLOOKUP(B997, Data_Validation!X:Y, 2, FALSE), "")</f>
        <v/>
      </c>
      <c r="M997" s="226" t="str">
        <f t="shared" si="1"/>
        <v> |  -  | </v>
      </c>
      <c r="N997" s="226"/>
      <c r="O997" s="226"/>
    </row>
    <row r="998" ht="24.0" customHeight="1">
      <c r="A998" s="216" t="str">
        <f>IFERROR(__xludf.DUMMYFUNCTION("ARRAYFORMULA(IFERROR(VLOOKUP(REGEXEXTRACT(B998, ""-(\w+)-""), {Data_Validation!$F$16:$F$29, Data_Validation!$E$16:$E$29}, 2, FALSE), """"))
"),"")</f>
        <v/>
      </c>
      <c r="B998" s="217"/>
      <c r="C998" s="218" t="str">
        <f>IFERROR(__xludf.DUMMYFUNCTION("IFERROR(REGEXEXTRACT(B998, ""^[A-Z]+-[A-Z]+-"") &amp; TEXT(VALUE(REGEXEXTRACT(B998, ""-(\d+)\."")), ""00""), """")"),"")</f>
        <v/>
      </c>
      <c r="D998" s="219" t="str">
        <f>IFERROR(VLOOKUP(C998, Content_Creation!B:D, 2, FALSE), IFERROR(VLOOKUP(C998, Project_Management!B:D, 2, FALSE), ""))
&amp; " - "
&amp; IFERROR(VLOOKUP(C998, Content_Creation!B:E, 4, FALSE), IFERROR(VLOOKUP(C998, Project_Management!B:E, 4, FALSE), ""))</f>
        <v> - </v>
      </c>
      <c r="E998" s="220" t="str">
        <f>IFERROR(
    VLOOKUP(B997:B1001, Content_Creation!B:D, 3, FALSE),
    IFERROR(VLOOKUP(B997:B1001, Project_Management!B:D, 3, FALSE),"")
  )</f>
        <v/>
      </c>
      <c r="F998" s="221" t="str">
        <f>IFERROR(VLOOKUP(B998, Content_Creation!B:F, 5, FALSE), IFERROR(VLOOKUP(B998, Project_Management!B:F, 5, FALSE), ""))</f>
        <v/>
      </c>
      <c r="G998" s="267" t="s">
        <v>1317</v>
      </c>
      <c r="H998" s="223" t="str">
        <f>IFERROR(VLOOKUP(B998, Content_Creation!B:H, 7, FALSE), IFERROR(VLOOKUP(B998, Project_Management!B:H, 7, FALSE), ""))</f>
        <v/>
      </c>
      <c r="I998" s="224">
        <v>0.0</v>
      </c>
      <c r="J998" s="217"/>
      <c r="K998" s="217"/>
      <c r="L998" s="225" t="str">
        <f>IFERROR(VLOOKUP(B998, Data_Validation!X:Y, 2, FALSE), "")</f>
        <v/>
      </c>
      <c r="M998" s="226" t="str">
        <f t="shared" si="1"/>
        <v> |  -  | </v>
      </c>
      <c r="N998" s="226"/>
      <c r="O998" s="226"/>
    </row>
    <row r="999" ht="24.0" customHeight="1">
      <c r="A999" s="216" t="str">
        <f>IFERROR(__xludf.DUMMYFUNCTION("ARRAYFORMULA(IFERROR(VLOOKUP(REGEXEXTRACT(B999, ""-(\w+)-""), {Data_Validation!$F$16:$F$29, Data_Validation!$E$16:$E$29}, 2, FALSE), """"))
"),"")</f>
        <v/>
      </c>
      <c r="B999" s="217"/>
      <c r="C999" s="218" t="str">
        <f>IFERROR(__xludf.DUMMYFUNCTION("IFERROR(REGEXEXTRACT(B999, ""^[A-Z]+-[A-Z]+-"") &amp; TEXT(VALUE(REGEXEXTRACT(B999, ""-(\d+)\."")), ""00""), """")"),"")</f>
        <v/>
      </c>
      <c r="D999" s="219" t="str">
        <f>IFERROR(VLOOKUP(C999, Content_Creation!B:D, 2, FALSE), IFERROR(VLOOKUP(C999, Project_Management!B:D, 2, FALSE), ""))
&amp; " - "
&amp; IFERROR(VLOOKUP(C999, Content_Creation!B:E, 4, FALSE), IFERROR(VLOOKUP(C999, Project_Management!B:E, 4, FALSE), ""))</f>
        <v> - </v>
      </c>
      <c r="E999" s="220" t="str">
        <f>IFERROR(
    VLOOKUP(B998:B1001, Content_Creation!B:D, 3, FALSE),
    IFERROR(VLOOKUP(B998:B1001, Project_Management!B:D, 3, FALSE),"")
  )</f>
        <v/>
      </c>
      <c r="F999" s="221" t="str">
        <f>IFERROR(VLOOKUP(B999, Content_Creation!B:F, 5, FALSE), IFERROR(VLOOKUP(B999, Project_Management!B:F, 5, FALSE), ""))</f>
        <v/>
      </c>
      <c r="G999" s="267" t="s">
        <v>1317</v>
      </c>
      <c r="H999" s="223" t="str">
        <f>IFERROR(VLOOKUP(B999, Content_Creation!B:H, 7, FALSE), IFERROR(VLOOKUP(B999, Project_Management!B:H, 7, FALSE), ""))</f>
        <v/>
      </c>
      <c r="I999" s="224">
        <v>0.0</v>
      </c>
      <c r="J999" s="217"/>
      <c r="K999" s="217"/>
      <c r="L999" s="225" t="str">
        <f>IFERROR(VLOOKUP(B999, Data_Validation!X:Y, 2, FALSE), "")</f>
        <v/>
      </c>
      <c r="M999" s="226" t="str">
        <f t="shared" si="1"/>
        <v> |  -  | </v>
      </c>
      <c r="N999" s="226"/>
      <c r="O999" s="226"/>
    </row>
    <row r="1000" ht="24.0" customHeight="1">
      <c r="A1000" s="216" t="str">
        <f>IFERROR(__xludf.DUMMYFUNCTION("ARRAYFORMULA(IFERROR(VLOOKUP(REGEXEXTRACT(B1000, ""-(\w+)-""), {Data_Validation!$F$16:$F$29, Data_Validation!$E$16:$E$29}, 2, FALSE), """"))
"),"")</f>
        <v/>
      </c>
      <c r="B1000" s="217"/>
      <c r="C1000" s="218" t="str">
        <f>IFERROR(__xludf.DUMMYFUNCTION("IFERROR(REGEXEXTRACT(B1000, ""^[A-Z]+-[A-Z]+-"") &amp; TEXT(VALUE(REGEXEXTRACT(B1000, ""-(\d+)\."")), ""00""), """")"),"")</f>
        <v/>
      </c>
      <c r="D1000" s="219" t="str">
        <f>IFERROR(VLOOKUP(C1000, Content_Creation!B:D, 2, FALSE), IFERROR(VLOOKUP(C1000, Project_Management!B:D, 2, FALSE), ""))
&amp; " - "
&amp; IFERROR(VLOOKUP(C1000, Content_Creation!B:E, 4, FALSE), IFERROR(VLOOKUP(C1000, Project_Management!B:E, 4, FALSE), ""))</f>
        <v> - </v>
      </c>
      <c r="E1000" s="220" t="str">
        <f>IFERROR(
    VLOOKUP(B999:B1001, Content_Creation!B:D, 3, FALSE),
    IFERROR(VLOOKUP(B999:B1001, Project_Management!B:D, 3, FALSE),"")
  )</f>
        <v/>
      </c>
      <c r="F1000" s="221" t="str">
        <f>IFERROR(VLOOKUP(B1000, Content_Creation!B:F, 5, FALSE), IFERROR(VLOOKUP(B1000, Project_Management!B:F, 5, FALSE), ""))</f>
        <v/>
      </c>
      <c r="G1000" s="267" t="s">
        <v>1317</v>
      </c>
      <c r="H1000" s="223" t="str">
        <f>IFERROR(VLOOKUP(B1000, Content_Creation!B:H, 7, FALSE), IFERROR(VLOOKUP(B1000, Project_Management!B:H, 7, FALSE), ""))</f>
        <v/>
      </c>
      <c r="I1000" s="224">
        <v>0.0</v>
      </c>
      <c r="J1000" s="217"/>
      <c r="K1000" s="217"/>
      <c r="L1000" s="225" t="str">
        <f>IFERROR(VLOOKUP(B1000, Data_Validation!X:Y, 2, FALSE), "")</f>
        <v/>
      </c>
      <c r="M1000" s="226" t="str">
        <f t="shared" si="1"/>
        <v> |  -  | </v>
      </c>
      <c r="N1000" s="226"/>
      <c r="O1000" s="226"/>
    </row>
    <row r="1001" ht="24.0" customHeight="1">
      <c r="A1001" s="216" t="str">
        <f>IFERROR(__xludf.DUMMYFUNCTION("ARRAYFORMULA(IFERROR(VLOOKUP(REGEXEXTRACT(B1001, ""-(\w+)-""), {Data_Validation!$F$16:$F$29, Data_Validation!$E$16:$E$29}, 2, FALSE), """"))
"),"")</f>
        <v/>
      </c>
      <c r="B1001" s="217"/>
      <c r="C1001" s="218" t="str">
        <f>IFERROR(__xludf.DUMMYFUNCTION("IFERROR(REGEXEXTRACT(B1001, ""^[A-Z]+-[A-Z]+-"") &amp; TEXT(VALUE(REGEXEXTRACT(B1001, ""-(\d+)\."")), ""00""), """")"),"")</f>
        <v/>
      </c>
      <c r="D1001" s="219" t="str">
        <f>IFERROR(VLOOKUP(C1001, Content_Creation!B:D, 2, FALSE), IFERROR(VLOOKUP(C1001, Project_Management!B:D, 2, FALSE), ""))
&amp; " - "
&amp; IFERROR(VLOOKUP(C1001, Content_Creation!B:E, 4, FALSE), IFERROR(VLOOKUP(C1001, Project_Management!B:E, 4, FALSE), ""))</f>
        <v> - </v>
      </c>
      <c r="E1001" s="220" t="str">
        <f>IFERROR(
    VLOOKUP(B1000:B1001, Content_Creation!B:D, 3, FALSE),
    IFERROR(VLOOKUP(B1000:B1001, Project_Management!B:D, 3, FALSE),"")
  )</f>
        <v/>
      </c>
      <c r="F1001" s="221" t="str">
        <f>IFERROR(VLOOKUP(B1001, Content_Creation!B:F, 5, FALSE), IFERROR(VLOOKUP(B1001, Project_Management!B:F, 5, FALSE), ""))</f>
        <v/>
      </c>
      <c r="G1001" s="267" t="s">
        <v>1317</v>
      </c>
      <c r="H1001" s="223" t="str">
        <f>IFERROR(VLOOKUP(B1001, Content_Creation!B:H, 7, FALSE), IFERROR(VLOOKUP(B1001, Project_Management!B:H, 7, FALSE), ""))</f>
        <v/>
      </c>
      <c r="I1001" s="224">
        <v>0.0</v>
      </c>
      <c r="J1001" s="217"/>
      <c r="K1001" s="217"/>
      <c r="L1001" s="225" t="str">
        <f>IFERROR(VLOOKUP(B1001, Data_Validation!X:Y, 2, FALSE), "")</f>
        <v/>
      </c>
      <c r="M1001" s="226" t="str">
        <f t="shared" si="1"/>
        <v> |  -  | </v>
      </c>
      <c r="N1001" s="226"/>
      <c r="O1001" s="226"/>
    </row>
  </sheetData>
  <customSheetViews>
    <customSheetView guid="{FA8914D5-6FCE-4E92-9AD4-7C174EC4EFA0}" filter="1" showAutoFilter="1">
      <autoFilter ref="$A$2:$J$1001">
        <filterColumn colId="5">
          <filters>
            <filter val="Naveen"/>
          </filters>
        </filterColumn>
        <filterColumn colId="6">
          <filters blank="1">
            <filter val="In Review"/>
            <filter val="Not Started"/>
            <filter val="On Hold"/>
            <filter val="Working On it"/>
          </filters>
        </filterColumn>
        <filterColumn colId="7">
          <filters>
            <filter val="19-Oct-2023"/>
            <filter val="16-Oct-2023"/>
            <filter val="10-Oct-2023"/>
            <filter val="25-Oct-2023"/>
            <filter val="29-Jul-2023"/>
            <filter val="22-Sep-2023"/>
            <filter val="07-Oct-2023"/>
            <filter val="22-Oct-2023"/>
            <filter val="13-Sep-2023"/>
            <filter val="13-Oct-2023"/>
            <filter val="07-Nov-2023"/>
            <filter val="20-Nov-2023"/>
            <filter val="23-Nov-2023"/>
            <filter val="31-Oct-2023"/>
            <filter val="14-Nov-2023"/>
            <filter val="25-Sep-2023"/>
            <filter val="16-Nov-2023"/>
            <filter val="19-Nov-2023"/>
            <filter val="19-Sep-2023"/>
            <filter val="11-Nov-2023"/>
            <filter val="28-Sep-2023"/>
            <filter val="28-Oct-2023"/>
            <filter val="02-Nov-2023"/>
            <filter val="26-Sep-2023"/>
            <filter val="03-Oct-2023"/>
            <filter val="25-Nov-2023"/>
            <filter val="20-Sep-2023"/>
            <filter val="05-Nov-2023"/>
            <filter val="14-Sep-2023"/>
            <filter val="13-Nov-2023"/>
            <filter val="17-Nov-2023"/>
            <filter val="21-Oct-2023"/>
            <filter val="21-Sep-2023"/>
            <filter val="27-Oct-2023"/>
            <filter val="01-Nov-2023"/>
            <filter val="24-Nov-2023"/>
            <filter val="09-Oct-2023"/>
            <filter val="06-Nov-2023"/>
            <filter val="15-Oct-2023"/>
            <filter val="12-Nov-2023"/>
            <filter val="03-Nov-2023"/>
            <filter val="18-Nov-2023"/>
            <filter val="05-Oct-2023"/>
            <filter val="08-Oct-2023"/>
            <filter val="14-Oct-2023"/>
            <filter val="20-Oct-2023"/>
            <filter val="02-Oct-2023"/>
            <filter val="23-Sep-2023"/>
            <filter val="25-Aug-2023"/>
            <filter val="22-Nov-2023"/>
            <filter val="29-Oct-2023"/>
            <filter val="23-Oct-2023"/>
            <filter val="29-Sep-2023"/>
            <filter val="08-Nov-2023"/>
            <filter val="10-Nov-2023"/>
            <filter val="17-Oct-2023"/>
            <filter val="04-Nov-2023"/>
            <filter val="24-Oct-2023"/>
            <filter val="24-Aug-2023"/>
            <filter val="01-Aug-2023"/>
            <filter val="18-Oct-2023"/>
            <filter val="12-Oct-2023"/>
            <filter val="21-Nov-2023"/>
            <filter val="01-Oct-2023"/>
            <filter val="30-Oct-2023"/>
            <filter val="09-Nov-2023"/>
            <filter val="15-Nov-2023"/>
          </filters>
        </filterColumn>
        <filterColumn colId="0">
          <filters blank="1">
            <filter val="MotoYard"/>
            <filter val="Inno3D"/>
            <filter val="Picture This!"/>
            <filter val="TheMVP"/>
            <filter val="Colorful Tech"/>
            <filter val="Emerson"/>
            <filter val="MaCaw"/>
            <filter val="Thats No Moon"/>
          </filters>
        </filterColumn>
      </autoFilter>
    </customSheetView>
    <customSheetView guid="{B1D83FC1-F809-42E2-AB33-4EE26399C0B4}" filter="1" showAutoFilter="1">
      <autoFilter ref="$A$2:$I$1001">
        <filterColumn colId="5">
          <filters>
            <filter val="Nasser"/>
          </filters>
        </filterColumn>
        <filterColumn colId="7">
          <filters>
            <filter val="19-Oct-2023"/>
            <filter val="16-Oct-2023"/>
            <filter val="10-Oct-2023"/>
            <filter val="25-Oct-2023"/>
            <filter val="29-Jul-2023"/>
            <filter val="22-Sep-2023"/>
            <filter val="07-Oct-2023"/>
            <filter val="22-Oct-2023"/>
            <filter val="13-Sep-2023"/>
            <filter val="13-Oct-2023"/>
            <filter val="07-Nov-2023"/>
            <filter val="20-Nov-2023"/>
            <filter val="23-Nov-2023"/>
            <filter val="31-Oct-2023"/>
            <filter val="14-Nov-2023"/>
            <filter val="25-Sep-2023"/>
            <filter val="16-Nov-2023"/>
            <filter val="19-Nov-2023"/>
            <filter val="19-Sep-2023"/>
            <filter val="11-Nov-2023"/>
            <filter val="28-Sep-2023"/>
            <filter val="28-Oct-2023"/>
            <filter val="02-Nov-2023"/>
            <filter val="26-Sep-2023"/>
            <filter val="03-Oct-2023"/>
            <filter val="25-Nov-2023"/>
            <filter val="20-Sep-2023"/>
            <filter val="05-Nov-2023"/>
            <filter val="14-Sep-2023"/>
            <filter val="13-Nov-2023"/>
            <filter val="17-Nov-2023"/>
            <filter val="21-Oct-2023"/>
            <filter val="21-Sep-2023"/>
            <filter val="27-Oct-2023"/>
            <filter val="01-Nov-2023"/>
            <filter val="24-Nov-2023"/>
            <filter val="09-Oct-2023"/>
            <filter val="06-Nov-2023"/>
            <filter val="15-Oct-2023"/>
            <filter val="12-Nov-2023"/>
            <filter val="03-Nov-2023"/>
            <filter val="18-Nov-2023"/>
            <filter val="05-Oct-2023"/>
            <filter val="08-Oct-2023"/>
            <filter val="14-Oct-2023"/>
            <filter val="20-Oct-2023"/>
            <filter val="02-Oct-2023"/>
            <filter val="23-Sep-2023"/>
            <filter val="25-Aug-2023"/>
            <filter val="22-Nov-2023"/>
            <filter val="29-Oct-2023"/>
            <filter val="23-Oct-2023"/>
            <filter val="29-Sep-2023"/>
            <filter val="08-Nov-2023"/>
            <filter val="10-Nov-2023"/>
            <filter val="17-Oct-2023"/>
            <filter val="04-Nov-2023"/>
            <filter val="24-Oct-2023"/>
            <filter val="24-Aug-2023"/>
            <filter val="01-Aug-2023"/>
            <filter val="18-Oct-2023"/>
            <filter val="12-Oct-2023"/>
            <filter val="21-Nov-2023"/>
            <filter val="01-Oct-2023"/>
            <filter val="30-Oct-2023"/>
            <filter val="09-Nov-2023"/>
            <filter val="15-Nov-2023"/>
          </filters>
        </filterColumn>
        <filterColumn colId="6">
          <filters blank="1">
            <filter val="In Review"/>
            <filter val="Not Started"/>
            <filter val="On Hold"/>
            <filter val="Working On it"/>
          </filters>
        </filterColumn>
      </autoFilter>
    </customSheetView>
    <customSheetView guid="{CDC669F0-840D-46F0-953A-7DF835798C0A}" filter="1" showAutoFilter="1">
      <autoFilter ref="$A$2:$N$1001">
        <filterColumn colId="5">
          <filters>
            <filter val="Talha"/>
          </filters>
        </filterColumn>
        <filterColumn colId="6">
          <filters blank="1">
            <filter val="In Review"/>
            <filter val="Not Started"/>
            <filter val="On Hold"/>
            <filter val="Working On it"/>
          </filters>
        </filterColumn>
        <filterColumn colId="7">
          <filters>
            <filter val="19-Oct-2023"/>
            <filter val="16-Oct-2023"/>
            <filter val="10-Oct-2023"/>
            <filter val="25-Oct-2023"/>
            <filter val="29-Jul-2023"/>
            <filter val="22-Sep-2023"/>
            <filter val="07-Oct-2023"/>
            <filter val="22-Oct-2023"/>
            <filter val="13-Sep-2023"/>
            <filter val="13-Oct-2023"/>
            <filter val="20-Nov-2023"/>
            <filter val="23-Nov-2023"/>
            <filter val="31-Oct-2023"/>
            <filter val="14-Nov-2023"/>
            <filter val="16-Nov-2023"/>
            <filter val="19-Nov-2023"/>
            <filter val="19-Sep-2023"/>
            <filter val="11-Nov-2023"/>
            <filter val="28-Sep-2023"/>
            <filter val="28-Oct-2023"/>
            <filter val="03-Oct-2023"/>
            <filter val="25-Nov-2023"/>
            <filter val="05-Nov-2023"/>
            <filter val="14-Sep-2023"/>
            <filter val="13-Nov-2023"/>
            <filter val="17-Nov-2023"/>
            <filter val="21-Oct-2023"/>
            <filter val="27-Oct-2023"/>
            <filter val="01-Nov-2023"/>
            <filter val="24-Nov-2023"/>
            <filter val="09-Oct-2023"/>
            <filter val="06-Nov-2023"/>
            <filter val="15-Oct-2023"/>
            <filter val="12-Nov-2023"/>
            <filter val="18-Nov-2023"/>
            <filter val="05-Oct-2023"/>
            <filter val="08-Oct-2023"/>
            <filter val="14-Oct-2023"/>
            <filter val="20-Oct-2023"/>
            <filter val="02-Oct-2023"/>
            <filter val="23-Sep-2023"/>
            <filter val="25-Aug-2023"/>
            <filter val="22-Nov-2023"/>
            <filter val="29-Oct-2023"/>
            <filter val="23-Oct-2023"/>
            <filter val="29-Sep-2023"/>
            <filter val="08-Nov-2023"/>
            <filter val="10-Nov-2023"/>
            <filter val="17-Oct-2023"/>
            <filter val="24-Oct-2023"/>
            <filter val="01-Aug-2023"/>
            <filter val="18-Oct-2023"/>
            <filter val="12-Oct-2023"/>
            <filter val="21-Nov-2023"/>
            <filter val="01-Oct-2023"/>
            <filter val="30-Oct-2023"/>
            <filter val="09-Nov-2023"/>
            <filter val="15-Nov-2023"/>
          </filters>
        </filterColumn>
      </autoFilter>
    </customSheetView>
    <customSheetView guid="{43224BE4-0EBB-4A62-B95F-9433A22E0F69}" filter="1" showAutoFilter="1">
      <autoFilter ref="$A$2:$J$1001">
        <filterColumn colId="6">
          <filters blank="1">
            <filter val="In Review"/>
            <filter val="Not Started"/>
            <filter val="On Hold"/>
            <filter val="Working On it"/>
          </filters>
        </filterColumn>
        <filterColumn colId="7">
          <filters>
            <filter val="19-Oct-2023"/>
            <filter val="16-Oct-2023"/>
            <filter val="10-Oct-2023"/>
            <filter val="25-Oct-2023"/>
            <filter val="29-Jul-2023"/>
            <filter val="22-Sep-2023"/>
            <filter val="07-Oct-2023"/>
            <filter val="22-Oct-2023"/>
            <filter val="13-Sep-2023"/>
            <filter val="13-Oct-2023"/>
            <filter val="07-Nov-2023"/>
            <filter val="20-Nov-2023"/>
            <filter val="23-Nov-2023"/>
            <filter val="31-Oct-2023"/>
            <filter val="14-Nov-2023"/>
            <filter val="25-Sep-2023"/>
            <filter val="16-Nov-2023"/>
            <filter val="19-Nov-2023"/>
            <filter val="19-Sep-2023"/>
            <filter val="11-Nov-2023"/>
            <filter val="28-Sep-2023"/>
            <filter val="28-Oct-2023"/>
            <filter val="02-Nov-2023"/>
            <filter val="26-Sep-2023"/>
            <filter val="03-Oct-2023"/>
            <filter val="25-Nov-2023"/>
            <filter val="20-Sep-2023"/>
            <filter val="05-Nov-2023"/>
            <filter val="14-Sep-2023"/>
            <filter val="13-Nov-2023"/>
            <filter val="17-Nov-2023"/>
            <filter val="21-Oct-2023"/>
            <filter val="21-Sep-2023"/>
            <filter val="27-Oct-2023"/>
            <filter val="01-Nov-2023"/>
            <filter val="24-Nov-2023"/>
            <filter val="09-Oct-2023"/>
            <filter val="06-Nov-2023"/>
            <filter val="15-Oct-2023"/>
            <filter val="12-Nov-2023"/>
            <filter val="03-Nov-2023"/>
            <filter val="18-Nov-2023"/>
            <filter val="05-Oct-2023"/>
            <filter val="08-Oct-2023"/>
            <filter val="14-Oct-2023"/>
            <filter val="20-Oct-2023"/>
            <filter val="02-Oct-2023"/>
            <filter val="23-Sep-2023"/>
            <filter val="25-Aug-2023"/>
            <filter val="22-Nov-2023"/>
            <filter val="29-Oct-2023"/>
            <filter val="23-Oct-2023"/>
            <filter val="29-Sep-2023"/>
            <filter val="08-Nov-2023"/>
            <filter val="10-Nov-2023"/>
            <filter val="17-Oct-2023"/>
            <filter val="04-Nov-2023"/>
            <filter val="24-Oct-2023"/>
            <filter val="24-Aug-2023"/>
            <filter val="01-Aug-2023"/>
            <filter val="18-Oct-2023"/>
            <filter val="12-Oct-2023"/>
            <filter val="21-Nov-2023"/>
            <filter val="01-Oct-2023"/>
            <filter val="30-Oct-2023"/>
            <filter val="09-Nov-2023"/>
            <filter val="15-Nov-2023"/>
          </filters>
        </filterColumn>
        <filterColumn colId="5">
          <filters>
            <filter val="Ibraheem"/>
            <filter val="Jayanth"/>
          </filters>
        </filterColumn>
      </autoFilter>
    </customSheetView>
    <customSheetView guid="{1411A99E-CAF5-4FF9-9019-C32210338440}" filter="1" showAutoFilter="1">
      <autoFilter ref="$A$2:$O$1001">
        <filterColumn colId="5">
          <filters>
            <filter val="Akhil"/>
          </filters>
        </filterColumn>
        <filterColumn colId="6">
          <filters blank="1">
            <filter val="In Review"/>
            <filter val="Not Started"/>
            <filter val="On Hold"/>
            <filter val="Working On it"/>
          </filters>
        </filterColumn>
      </autoFilter>
    </customSheetView>
    <customSheetView guid="{5213895D-0FAE-4B14-BD63-CEE4EBABE025}" filter="1" showAutoFilter="1">
      <autoFilter ref="$A$2:$O$1001">
        <filterColumn colId="0">
          <filters>
            <filter val="TheMVP"/>
          </filters>
        </filterColumn>
        <filterColumn colId="6">
          <filters blank="1">
            <filter val="In Review"/>
            <filter val="Not Started"/>
            <filter val="On Hold"/>
            <filter val="Working On it"/>
          </filters>
        </filterColumn>
      </autoFilter>
    </customSheetView>
    <customSheetView guid="{15E1162C-D28D-48DB-845F-5BBF24BA49B0}" filter="1" showAutoFilter="1">
      <autoFilter ref="$A$2:$N$1001">
        <filterColumn colId="5">
          <filters>
            <filter val="Tazeen"/>
          </filters>
        </filterColumn>
        <filterColumn colId="6">
          <filters blank="1">
            <filter val="In Review"/>
            <filter val="Not Started"/>
            <filter val="On Hold"/>
            <filter val="Working On it"/>
          </filters>
        </filterColumn>
        <filterColumn colId="7">
          <filters>
            <filter val="19-Oct-2023"/>
            <filter val="16-Oct-2023"/>
            <filter val="10-Oct-2023"/>
            <filter val="25-Oct-2023"/>
            <filter val="29-Jul-2023"/>
            <filter val="22-Sep-2023"/>
            <filter val="07-Oct-2023"/>
            <filter val="22-Oct-2023"/>
            <filter val="13-Sep-2023"/>
            <filter val="13-Oct-2023"/>
            <filter val="07-Nov-2023"/>
            <filter val="20-Nov-2023"/>
            <filter val="23-Nov-2023"/>
            <filter val="31-Oct-2023"/>
            <filter val="14-Nov-2023"/>
            <filter val="25-Sep-2023"/>
            <filter val="16-Nov-2023"/>
            <filter val="19-Nov-2023"/>
            <filter val="19-Sep-2023"/>
            <filter val="11-Nov-2023"/>
            <filter val="28-Sep-2023"/>
            <filter val="28-Oct-2023"/>
            <filter val="02-Nov-2023"/>
            <filter val="26-Sep-2023"/>
            <filter val="03-Oct-2023"/>
            <filter val="25-Nov-2023"/>
            <filter val="20-Sep-2023"/>
            <filter val="05-Nov-2023"/>
            <filter val="14-Sep-2023"/>
            <filter val="13-Nov-2023"/>
            <filter val="17-Nov-2023"/>
            <filter val="21-Oct-2023"/>
            <filter val="21-Sep-2023"/>
            <filter val="27-Oct-2023"/>
            <filter val="01-Nov-2023"/>
            <filter val="24-Nov-2023"/>
            <filter val="09-Oct-2023"/>
            <filter val="06-Nov-2023"/>
            <filter val="15-Oct-2023"/>
            <filter val="12-Nov-2023"/>
            <filter val="03-Nov-2023"/>
            <filter val="18-Nov-2023"/>
            <filter val="05-Oct-2023"/>
            <filter val="08-Oct-2023"/>
            <filter val="14-Oct-2023"/>
            <filter val="20-Oct-2023"/>
            <filter val="02-Oct-2023"/>
            <filter val="23-Sep-2023"/>
            <filter val="25-Aug-2023"/>
            <filter val="22-Nov-2023"/>
            <filter val="29-Oct-2023"/>
            <filter val="23-Oct-2023"/>
            <filter val="29-Sep-2023"/>
            <filter val="08-Nov-2023"/>
            <filter val="10-Nov-2023"/>
            <filter val="17-Oct-2023"/>
            <filter val="04-Nov-2023"/>
            <filter val="24-Oct-2023"/>
            <filter val="24-Aug-2023"/>
            <filter val="01-Aug-2023"/>
            <filter val="18-Oct-2023"/>
            <filter val="12-Oct-2023"/>
            <filter val="21-Nov-2023"/>
            <filter val="01-Oct-2023"/>
            <filter val="30-Oct-2023"/>
            <filter val="09-Nov-2023"/>
            <filter val="15-Nov-2023"/>
          </filters>
        </filterColumn>
      </autoFilter>
    </customSheetView>
  </customSheetViews>
  <conditionalFormatting sqref="G3:G484 L3:L1000 G486:G508 G511:G1000">
    <cfRule type="containsText" dxfId="30" priority="1" operator="containsText" text="Working On it">
      <formula>NOT(ISERROR(SEARCH(("Working On it"),(G3))))</formula>
    </cfRule>
  </conditionalFormatting>
  <conditionalFormatting sqref="G3:G304 L3:L1000 G306 G308:G324 G326:G339 G344:G348 G354:G355 G357:G358 G373 G383 G466 G505 G753:G1001">
    <cfRule type="containsText" dxfId="2" priority="2" operator="containsText" text="Done">
      <formula>NOT(ISERROR(SEARCH(("Done"),(G3))))</formula>
    </cfRule>
  </conditionalFormatting>
  <conditionalFormatting sqref="G3:G304 L3:L1000 G306 G308:G324 G326:G339 G344:G348 G354:G355 G357:G358 G373 G383 G466 G505 G753:G1001">
    <cfRule type="containsText" dxfId="31" priority="3" operator="containsText" text="In Review">
      <formula>NOT(ISERROR(SEARCH(("In Review"),(G3))))</formula>
    </cfRule>
  </conditionalFormatting>
  <conditionalFormatting sqref="H1:H1001 J1:J1001">
    <cfRule type="expression" dxfId="32" priority="4">
      <formula>AND(ISNUMBER(H1),TRUNC(H1)&lt;TODAY())</formula>
    </cfRule>
  </conditionalFormatting>
  <conditionalFormatting sqref="L3:L250">
    <cfRule type="containsText" dxfId="30" priority="5" operator="containsText" text="Working On it">
      <formula>NOT(ISERROR(SEARCH(("Working On it"),(L3))))</formula>
    </cfRule>
  </conditionalFormatting>
  <conditionalFormatting sqref="H1:H1001 J1:J1001">
    <cfRule type="timePeriod" dxfId="33" priority="6" timePeriod="today"/>
  </conditionalFormatting>
  <conditionalFormatting sqref="J1:J1001">
    <cfRule type="timePeriod" dxfId="34" priority="7" timePeriod="tomorrow"/>
  </conditionalFormatting>
  <dataValidations>
    <dataValidation type="list" allowBlank="1" showErrorMessage="1" sqref="G3:G1001">
      <formula1>Data_Validation!$A$2:$A$15</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6E677"/>
    <outlinePr summaryBelow="0" summaryRight="0"/>
  </sheetPr>
  <sheetViews>
    <sheetView workbookViewId="0"/>
  </sheetViews>
  <sheetFormatPr customHeight="1" defaultColWidth="12.63" defaultRowHeight="15.75" outlineLevelRow="1"/>
  <cols>
    <col customWidth="1" min="1" max="1" width="2.63"/>
    <col customWidth="1" hidden="1" min="2" max="2" width="4.75"/>
    <col customWidth="1" min="3" max="3" width="32.88"/>
    <col customWidth="1" min="4" max="4" width="29.75"/>
    <col customWidth="1" min="5" max="5" width="16.63"/>
    <col customWidth="1" min="6" max="6" width="18.0"/>
  </cols>
  <sheetData>
    <row r="1" ht="26.25" customHeight="1">
      <c r="A1" s="268"/>
      <c r="B1" s="2" t="s">
        <v>0</v>
      </c>
      <c r="C1" s="2" t="s">
        <v>833</v>
      </c>
      <c r="D1" s="2" t="s">
        <v>1318</v>
      </c>
      <c r="E1" s="2" t="s">
        <v>1319</v>
      </c>
      <c r="F1" s="3" t="s">
        <v>3</v>
      </c>
    </row>
    <row r="2" ht="21.0" customHeight="1">
      <c r="A2" s="269"/>
      <c r="B2" s="1"/>
      <c r="C2" s="1"/>
      <c r="D2" s="1"/>
      <c r="E2" s="1"/>
      <c r="F2" s="1"/>
    </row>
    <row r="3" ht="36.0" customHeight="1">
      <c r="A3" s="12"/>
      <c r="B3" s="12" t="s">
        <v>18</v>
      </c>
      <c r="C3" s="270" t="s">
        <v>18</v>
      </c>
      <c r="D3" s="13"/>
      <c r="E3" s="13"/>
      <c r="F3" s="13"/>
    </row>
    <row r="4" ht="21.75" customHeight="1" outlineLevel="1">
      <c r="A4" s="20"/>
      <c r="B4" s="64"/>
      <c r="C4" s="22" t="s">
        <v>1320</v>
      </c>
      <c r="D4" s="22" t="s">
        <v>1321</v>
      </c>
      <c r="E4" s="24" t="s">
        <v>62</v>
      </c>
      <c r="F4" s="25" t="s">
        <v>27</v>
      </c>
    </row>
    <row r="5" ht="21.75" customHeight="1" outlineLevel="1">
      <c r="A5" s="20"/>
      <c r="B5" s="64"/>
      <c r="C5" s="22" t="s">
        <v>1322</v>
      </c>
      <c r="D5" s="22" t="s">
        <v>1323</v>
      </c>
      <c r="E5" s="24" t="s">
        <v>21</v>
      </c>
      <c r="F5" s="25" t="s">
        <v>27</v>
      </c>
    </row>
    <row r="6" ht="21.75" customHeight="1" outlineLevel="1">
      <c r="A6" s="20"/>
      <c r="B6" s="64"/>
      <c r="C6" s="22" t="s">
        <v>404</v>
      </c>
      <c r="D6" s="22" t="s">
        <v>1324</v>
      </c>
      <c r="E6" s="24" t="s">
        <v>21</v>
      </c>
      <c r="F6" s="25" t="s">
        <v>22</v>
      </c>
    </row>
    <row r="7" ht="21.75" customHeight="1" outlineLevel="1">
      <c r="A7" s="20"/>
      <c r="B7" s="64"/>
      <c r="C7" s="22" t="s">
        <v>1325</v>
      </c>
      <c r="D7" s="22" t="s">
        <v>1326</v>
      </c>
      <c r="E7" s="24" t="s">
        <v>21</v>
      </c>
      <c r="F7" s="25" t="s">
        <v>27</v>
      </c>
    </row>
    <row r="8" ht="21.75" customHeight="1" outlineLevel="1">
      <c r="A8" s="20"/>
      <c r="B8" s="64"/>
      <c r="C8" s="22" t="s">
        <v>1327</v>
      </c>
      <c r="D8" s="22" t="s">
        <v>1328</v>
      </c>
      <c r="E8" s="24" t="s">
        <v>21</v>
      </c>
      <c r="F8" s="25" t="s">
        <v>34</v>
      </c>
    </row>
    <row r="9" ht="21.75" customHeight="1" outlineLevel="1">
      <c r="A9" s="20"/>
      <c r="B9" s="64"/>
      <c r="C9" s="271" t="s">
        <v>1329</v>
      </c>
      <c r="D9" s="22" t="s">
        <v>1328</v>
      </c>
      <c r="E9" s="24" t="s">
        <v>21</v>
      </c>
      <c r="F9" s="25" t="s">
        <v>22</v>
      </c>
    </row>
    <row r="10" ht="21.75" customHeight="1" outlineLevel="1">
      <c r="A10" s="20"/>
      <c r="B10" s="64"/>
      <c r="C10" s="22" t="s">
        <v>1330</v>
      </c>
      <c r="D10" s="22" t="s">
        <v>1331</v>
      </c>
      <c r="E10" s="24" t="s">
        <v>21</v>
      </c>
      <c r="F10" s="25" t="s">
        <v>27</v>
      </c>
    </row>
    <row r="11" ht="21.75" customHeight="1" outlineLevel="1">
      <c r="A11" s="20"/>
      <c r="B11" s="64"/>
      <c r="C11" s="271" t="s">
        <v>1332</v>
      </c>
      <c r="D11" s="22" t="s">
        <v>1331</v>
      </c>
      <c r="E11" s="24" t="s">
        <v>21</v>
      </c>
      <c r="F11" s="25" t="s">
        <v>22</v>
      </c>
    </row>
    <row r="12" ht="21.75" customHeight="1" outlineLevel="1">
      <c r="A12" s="20"/>
      <c r="B12" s="64"/>
      <c r="C12" s="22" t="s">
        <v>1333</v>
      </c>
      <c r="D12" s="22" t="s">
        <v>1331</v>
      </c>
      <c r="E12" s="24" t="s">
        <v>21</v>
      </c>
      <c r="F12" s="25" t="s">
        <v>27</v>
      </c>
    </row>
    <row r="13" ht="21.75" customHeight="1" outlineLevel="1">
      <c r="A13" s="20"/>
      <c r="B13" s="64"/>
      <c r="C13" s="22" t="s">
        <v>1334</v>
      </c>
      <c r="D13" s="22" t="s">
        <v>1331</v>
      </c>
      <c r="E13" s="24" t="s">
        <v>21</v>
      </c>
      <c r="F13" s="25" t="s">
        <v>27</v>
      </c>
    </row>
    <row r="14" ht="21.75" customHeight="1" outlineLevel="1">
      <c r="A14" s="20"/>
      <c r="B14" s="64"/>
      <c r="C14" s="22" t="s">
        <v>1335</v>
      </c>
      <c r="D14" s="23"/>
      <c r="E14" s="24"/>
      <c r="F14" s="25"/>
    </row>
    <row r="15" ht="21.75" customHeight="1" outlineLevel="1">
      <c r="A15" s="20"/>
      <c r="B15" s="64"/>
      <c r="C15" s="23"/>
      <c r="D15" s="23"/>
      <c r="E15" s="24"/>
      <c r="F15" s="25"/>
    </row>
    <row r="16" ht="21.75" customHeight="1" outlineLevel="1">
      <c r="A16" s="20"/>
      <c r="B16" s="64"/>
      <c r="C16" s="23"/>
      <c r="D16" s="23"/>
      <c r="E16" s="24"/>
      <c r="F16" s="25"/>
    </row>
    <row r="17" ht="36.0" customHeight="1">
      <c r="A17" s="65"/>
      <c r="B17" s="65" t="s">
        <v>457</v>
      </c>
      <c r="C17" s="65" t="s">
        <v>457</v>
      </c>
      <c r="D17" s="66"/>
      <c r="E17" s="66"/>
      <c r="F17" s="66"/>
    </row>
    <row r="18" ht="21.75" customHeight="1" outlineLevel="1">
      <c r="A18" s="71"/>
      <c r="B18" s="21"/>
      <c r="C18" s="22" t="s">
        <v>1336</v>
      </c>
      <c r="D18" s="23"/>
      <c r="E18" s="24" t="s">
        <v>78</v>
      </c>
      <c r="F18" s="25" t="s">
        <v>48</v>
      </c>
    </row>
    <row r="19" ht="21.75" customHeight="1" outlineLevel="1">
      <c r="A19" s="71"/>
      <c r="B19" s="64"/>
      <c r="C19" s="22" t="s">
        <v>1337</v>
      </c>
      <c r="D19" s="271" t="s">
        <v>1338</v>
      </c>
      <c r="E19" s="24" t="s">
        <v>21</v>
      </c>
      <c r="F19" s="25" t="s">
        <v>48</v>
      </c>
    </row>
    <row r="20" ht="21.75" customHeight="1" outlineLevel="1">
      <c r="A20" s="71"/>
      <c r="B20" s="64"/>
      <c r="C20" s="22" t="s">
        <v>1339</v>
      </c>
      <c r="D20" s="271" t="s">
        <v>1340</v>
      </c>
      <c r="E20" s="24" t="s">
        <v>21</v>
      </c>
      <c r="F20" s="25" t="s">
        <v>48</v>
      </c>
    </row>
    <row r="21" ht="21.75" customHeight="1" outlineLevel="1">
      <c r="A21" s="71"/>
      <c r="B21" s="64"/>
      <c r="C21" s="22" t="s">
        <v>1341</v>
      </c>
      <c r="D21" s="22" t="s">
        <v>1342</v>
      </c>
      <c r="E21" s="24"/>
      <c r="F21" s="25"/>
    </row>
    <row r="22" ht="21.75" customHeight="1" outlineLevel="1">
      <c r="A22" s="71"/>
      <c r="B22" s="64"/>
      <c r="C22" s="22" t="s">
        <v>1343</v>
      </c>
      <c r="D22" s="23"/>
      <c r="E22" s="24" t="s">
        <v>21</v>
      </c>
      <c r="F22" s="25" t="s">
        <v>22</v>
      </c>
    </row>
    <row r="23" ht="21.75" customHeight="1" outlineLevel="1">
      <c r="A23" s="71"/>
      <c r="B23" s="64"/>
      <c r="C23" s="23"/>
      <c r="D23" s="23"/>
      <c r="E23" s="24"/>
      <c r="F23" s="25"/>
    </row>
    <row r="24" ht="21.75" customHeight="1" outlineLevel="1">
      <c r="A24" s="71"/>
      <c r="B24" s="64"/>
      <c r="C24" s="23"/>
      <c r="D24" s="23"/>
      <c r="E24" s="24"/>
      <c r="F24" s="25"/>
    </row>
    <row r="25" ht="21.75" customHeight="1" outlineLevel="1">
      <c r="A25" s="71"/>
      <c r="B25" s="64"/>
      <c r="C25" s="23"/>
      <c r="D25" s="23"/>
      <c r="E25" s="24"/>
      <c r="F25" s="25"/>
    </row>
    <row r="26" ht="21.75" customHeight="1" outlineLevel="1">
      <c r="A26" s="71"/>
      <c r="B26" s="64"/>
      <c r="C26" s="23"/>
      <c r="D26" s="23"/>
      <c r="E26" s="24"/>
      <c r="F26" s="25"/>
    </row>
    <row r="27" ht="21.75" customHeight="1" outlineLevel="1">
      <c r="A27" s="71"/>
      <c r="B27" s="64"/>
      <c r="C27" s="23"/>
      <c r="D27" s="23"/>
      <c r="E27" s="24"/>
      <c r="F27" s="25"/>
    </row>
    <row r="28" ht="21.75" customHeight="1" outlineLevel="1">
      <c r="A28" s="71"/>
      <c r="B28" s="64"/>
      <c r="C28" s="23"/>
      <c r="D28" s="23"/>
      <c r="E28" s="24"/>
      <c r="F28" s="25"/>
    </row>
    <row r="29" ht="21.75" customHeight="1" outlineLevel="1">
      <c r="A29" s="71"/>
      <c r="B29" s="64"/>
      <c r="C29" s="23"/>
      <c r="D29" s="23"/>
      <c r="E29" s="24"/>
      <c r="F29" s="25"/>
    </row>
    <row r="30" ht="21.75" customHeight="1" outlineLevel="1">
      <c r="A30" s="71"/>
      <c r="B30" s="64"/>
      <c r="C30" s="23"/>
      <c r="D30" s="23"/>
      <c r="E30" s="24"/>
      <c r="F30" s="25"/>
    </row>
    <row r="31" ht="21.75" customHeight="1" outlineLevel="1">
      <c r="A31" s="71"/>
      <c r="B31" s="64"/>
      <c r="C31" s="23"/>
      <c r="D31" s="23"/>
      <c r="E31" s="24"/>
      <c r="F31" s="25"/>
    </row>
    <row r="32" ht="21.75" customHeight="1" outlineLevel="1">
      <c r="A32" s="71"/>
      <c r="B32" s="64"/>
      <c r="C32" s="23"/>
      <c r="D32" s="23"/>
      <c r="E32" s="24"/>
      <c r="F32" s="25"/>
    </row>
    <row r="33" ht="21.75" customHeight="1" outlineLevel="1">
      <c r="A33" s="71"/>
      <c r="B33" s="64"/>
      <c r="C33" s="23"/>
      <c r="D33" s="23"/>
      <c r="E33" s="24"/>
      <c r="F33" s="25"/>
    </row>
    <row r="34" ht="21.75" customHeight="1" outlineLevel="1">
      <c r="A34" s="71"/>
      <c r="B34" s="64"/>
      <c r="C34" s="23"/>
      <c r="D34" s="23"/>
      <c r="E34" s="24"/>
      <c r="F34" s="25"/>
    </row>
    <row r="35" ht="21.75" customHeight="1" outlineLevel="1">
      <c r="A35" s="71"/>
      <c r="B35" s="64"/>
      <c r="C35" s="23"/>
      <c r="D35" s="23"/>
      <c r="E35" s="24"/>
      <c r="F35" s="25"/>
    </row>
    <row r="36" ht="21.75" customHeight="1" outlineLevel="1">
      <c r="A36" s="71"/>
      <c r="B36" s="64"/>
      <c r="C36" s="23"/>
      <c r="D36" s="23"/>
      <c r="E36" s="24"/>
      <c r="F36" s="25"/>
    </row>
    <row r="37" ht="36.0" customHeight="1">
      <c r="A37" s="85"/>
      <c r="B37" s="85" t="s">
        <v>18</v>
      </c>
      <c r="C37" s="85" t="s">
        <v>1344</v>
      </c>
      <c r="D37" s="85"/>
      <c r="E37" s="85"/>
      <c r="F37" s="85"/>
    </row>
    <row r="38" ht="21.75" customHeight="1">
      <c r="A38" s="272"/>
      <c r="B38" s="64"/>
      <c r="C38" s="23"/>
      <c r="D38" s="23"/>
      <c r="E38" s="24"/>
      <c r="F38" s="25"/>
    </row>
    <row r="39" ht="21.75" customHeight="1">
      <c r="A39" s="272"/>
      <c r="B39" s="64"/>
      <c r="C39" s="23"/>
      <c r="D39" s="23"/>
      <c r="E39" s="24"/>
      <c r="F39" s="25"/>
    </row>
    <row r="40" ht="21.75" customHeight="1">
      <c r="A40" s="272"/>
      <c r="B40" s="64"/>
      <c r="C40" s="23"/>
      <c r="D40" s="23"/>
      <c r="E40" s="24"/>
      <c r="F40" s="25"/>
    </row>
    <row r="41" ht="21.75" customHeight="1">
      <c r="A41" s="272"/>
      <c r="B41" s="64"/>
      <c r="C41" s="23"/>
      <c r="D41" s="23"/>
      <c r="E41" s="24"/>
      <c r="F41" s="25"/>
    </row>
    <row r="42" ht="21.75" customHeight="1">
      <c r="A42" s="272"/>
      <c r="B42" s="64"/>
      <c r="C42" s="23"/>
      <c r="D42" s="23"/>
      <c r="E42" s="24"/>
      <c r="F42" s="25"/>
    </row>
    <row r="43" ht="21.75" customHeight="1">
      <c r="A43" s="272"/>
      <c r="B43" s="64"/>
      <c r="C43" s="23"/>
      <c r="D43" s="23"/>
      <c r="E43" s="24"/>
      <c r="F43" s="25"/>
    </row>
    <row r="44" ht="21.75" customHeight="1">
      <c r="A44" s="272"/>
      <c r="B44" s="64"/>
      <c r="C44" s="23"/>
      <c r="D44" s="23"/>
      <c r="E44" s="24"/>
      <c r="F44" s="25"/>
    </row>
    <row r="45" ht="21.75" customHeight="1">
      <c r="A45" s="272"/>
      <c r="B45" s="64"/>
      <c r="C45" s="23"/>
      <c r="D45" s="23"/>
      <c r="E45" s="24"/>
      <c r="F45" s="25"/>
    </row>
    <row r="46" ht="21.75" customHeight="1">
      <c r="A46" s="272"/>
      <c r="B46" s="64"/>
      <c r="C46" s="23"/>
      <c r="D46" s="23"/>
      <c r="E46" s="24"/>
      <c r="F46" s="25"/>
    </row>
    <row r="47" ht="21.75" customHeight="1">
      <c r="A47" s="272"/>
      <c r="B47" s="64"/>
      <c r="C47" s="23"/>
      <c r="D47" s="23"/>
      <c r="E47" s="24"/>
      <c r="F47" s="25"/>
    </row>
    <row r="48" ht="21.75" customHeight="1">
      <c r="A48" s="272"/>
      <c r="B48" s="64"/>
      <c r="C48" s="23"/>
      <c r="D48" s="23"/>
      <c r="E48" s="24"/>
      <c r="F48" s="25"/>
    </row>
    <row r="49" ht="21.75" customHeight="1">
      <c r="A49" s="272"/>
      <c r="B49" s="64"/>
      <c r="C49" s="23"/>
      <c r="D49" s="23"/>
      <c r="E49" s="24"/>
      <c r="F49" s="25"/>
    </row>
    <row r="50" ht="21.75" customHeight="1">
      <c r="A50" s="272"/>
      <c r="B50" s="64"/>
      <c r="C50" s="23"/>
      <c r="D50" s="23"/>
      <c r="E50" s="24"/>
      <c r="F50" s="25"/>
    </row>
    <row r="51" ht="21.75" customHeight="1">
      <c r="A51" s="272"/>
      <c r="B51" s="64"/>
      <c r="C51" s="23"/>
      <c r="D51" s="23"/>
      <c r="E51" s="24"/>
      <c r="F51" s="25"/>
    </row>
    <row r="52" ht="21.75" customHeight="1">
      <c r="A52" s="272"/>
      <c r="B52" s="64"/>
      <c r="C52" s="23"/>
      <c r="D52" s="23"/>
      <c r="E52" s="24"/>
      <c r="F52" s="25"/>
    </row>
    <row r="53" ht="21.75" customHeight="1">
      <c r="A53" s="272"/>
      <c r="B53" s="64"/>
      <c r="C53" s="23"/>
      <c r="D53" s="23"/>
      <c r="E53" s="24"/>
      <c r="F53" s="25"/>
    </row>
    <row r="54" ht="21.75" customHeight="1">
      <c r="A54" s="272"/>
      <c r="B54" s="64"/>
      <c r="C54" s="23"/>
      <c r="D54" s="23"/>
      <c r="E54" s="24"/>
      <c r="F54" s="25"/>
    </row>
    <row r="55" ht="21.75" customHeight="1">
      <c r="A55" s="272"/>
      <c r="B55" s="64"/>
      <c r="C55" s="23"/>
      <c r="D55" s="23"/>
      <c r="E55" s="24"/>
      <c r="F55" s="25"/>
    </row>
    <row r="56" ht="21.75" customHeight="1">
      <c r="A56" s="272"/>
      <c r="B56" s="64"/>
      <c r="C56" s="23"/>
      <c r="D56" s="23"/>
      <c r="E56" s="24"/>
      <c r="F56" s="25"/>
    </row>
    <row r="57" ht="36.0" customHeight="1">
      <c r="A57" s="125"/>
      <c r="B57" s="125" t="s">
        <v>18</v>
      </c>
      <c r="C57" s="125" t="s">
        <v>1345</v>
      </c>
      <c r="D57" s="125"/>
      <c r="E57" s="125"/>
      <c r="F57" s="125"/>
    </row>
    <row r="58" ht="21.75" customHeight="1">
      <c r="A58" s="125"/>
      <c r="B58" s="64"/>
      <c r="C58" s="22" t="s">
        <v>1346</v>
      </c>
      <c r="D58" s="23"/>
      <c r="E58" s="24"/>
      <c r="F58" s="25"/>
    </row>
    <row r="59" ht="21.75" customHeight="1">
      <c r="A59" s="125"/>
      <c r="B59" s="64"/>
      <c r="C59" s="22" t="s">
        <v>870</v>
      </c>
      <c r="D59" s="23"/>
      <c r="E59" s="24"/>
      <c r="F59" s="25"/>
    </row>
    <row r="60" ht="21.75" customHeight="1">
      <c r="A60" s="125"/>
      <c r="B60" s="64"/>
      <c r="C60" s="22" t="s">
        <v>1347</v>
      </c>
      <c r="D60" s="23"/>
      <c r="E60" s="24"/>
      <c r="F60" s="25"/>
    </row>
    <row r="61" ht="21.75" customHeight="1">
      <c r="A61" s="125"/>
      <c r="B61" s="64"/>
      <c r="C61" s="22" t="s">
        <v>1348</v>
      </c>
      <c r="D61" s="23"/>
      <c r="E61" s="24"/>
      <c r="F61" s="25"/>
    </row>
    <row r="62" ht="21.75" customHeight="1">
      <c r="A62" s="125"/>
      <c r="B62" s="64"/>
      <c r="C62" s="22" t="s">
        <v>1349</v>
      </c>
      <c r="D62" s="23"/>
      <c r="E62" s="24"/>
      <c r="F62" s="25"/>
    </row>
    <row r="63" ht="21.75" customHeight="1">
      <c r="A63" s="125"/>
      <c r="B63" s="64"/>
      <c r="C63" s="23" t="s">
        <v>862</v>
      </c>
      <c r="D63" s="23"/>
      <c r="E63" s="24"/>
      <c r="F63" s="25"/>
    </row>
    <row r="64" ht="21.75" customHeight="1">
      <c r="A64" s="125"/>
      <c r="B64" s="64"/>
      <c r="C64" s="22" t="s">
        <v>1350</v>
      </c>
      <c r="D64" s="23"/>
      <c r="E64" s="24"/>
      <c r="F64" s="25"/>
    </row>
    <row r="65" ht="21.75" customHeight="1">
      <c r="A65" s="125"/>
      <c r="B65" s="64"/>
      <c r="C65" s="23"/>
      <c r="D65" s="23"/>
      <c r="E65" s="24"/>
      <c r="F65" s="25"/>
    </row>
    <row r="66" ht="21.75" customHeight="1">
      <c r="A66" s="125"/>
      <c r="B66" s="64"/>
      <c r="C66" s="23"/>
      <c r="D66" s="23"/>
      <c r="E66" s="24"/>
      <c r="F66" s="25"/>
    </row>
    <row r="67" ht="21.75" customHeight="1">
      <c r="A67" s="125"/>
      <c r="B67" s="64"/>
      <c r="C67" s="23"/>
      <c r="D67" s="23"/>
      <c r="E67" s="24"/>
      <c r="F67" s="25"/>
    </row>
    <row r="68" ht="21.75" customHeight="1">
      <c r="A68" s="125"/>
      <c r="B68" s="64"/>
      <c r="C68" s="23"/>
      <c r="D68" s="23"/>
      <c r="E68" s="24"/>
      <c r="F68" s="25"/>
    </row>
    <row r="69" ht="21.75" customHeight="1">
      <c r="A69" s="125"/>
      <c r="B69" s="64"/>
      <c r="C69" s="23"/>
      <c r="D69" s="23"/>
      <c r="E69" s="24"/>
      <c r="F69" s="25"/>
    </row>
    <row r="70" ht="21.75" customHeight="1">
      <c r="A70" s="125"/>
      <c r="B70" s="64"/>
      <c r="C70" s="23"/>
      <c r="D70" s="23"/>
      <c r="E70" s="24"/>
      <c r="F70" s="25"/>
    </row>
    <row r="71" ht="21.75" customHeight="1">
      <c r="A71" s="125"/>
      <c r="B71" s="64"/>
      <c r="C71" s="23"/>
      <c r="D71" s="23"/>
      <c r="E71" s="24"/>
      <c r="F71" s="25"/>
    </row>
    <row r="72" ht="21.75" customHeight="1">
      <c r="A72" s="125"/>
      <c r="B72" s="64"/>
      <c r="C72" s="23"/>
      <c r="D72" s="23"/>
      <c r="E72" s="24"/>
      <c r="F72" s="25"/>
    </row>
    <row r="73" ht="21.75" customHeight="1">
      <c r="A73" s="125"/>
      <c r="B73" s="64"/>
      <c r="C73" s="23"/>
      <c r="D73" s="23"/>
      <c r="E73" s="24"/>
      <c r="F73" s="25"/>
    </row>
    <row r="74" ht="21.75" customHeight="1">
      <c r="A74" s="125"/>
      <c r="B74" s="64"/>
      <c r="C74" s="23"/>
      <c r="D74" s="23"/>
      <c r="E74" s="24"/>
      <c r="F74" s="25"/>
    </row>
    <row r="75" ht="21.75" customHeight="1">
      <c r="A75" s="125"/>
      <c r="B75" s="64"/>
      <c r="C75" s="23"/>
      <c r="D75" s="23"/>
      <c r="E75" s="24"/>
      <c r="F75" s="25"/>
    </row>
    <row r="76" ht="21.75" customHeight="1">
      <c r="A76" s="125"/>
      <c r="B76" s="64"/>
      <c r="C76" s="23"/>
      <c r="D76" s="23"/>
      <c r="E76" s="24"/>
      <c r="F76" s="25"/>
    </row>
    <row r="77">
      <c r="A77" s="91"/>
      <c r="B77" s="91"/>
      <c r="C77" s="91" t="s">
        <v>743</v>
      </c>
      <c r="D77" s="91"/>
      <c r="E77" s="91"/>
      <c r="F77" s="91"/>
    </row>
    <row r="78" ht="21.75" customHeight="1">
      <c r="A78" s="91"/>
      <c r="B78" s="64"/>
      <c r="C78" s="23"/>
      <c r="D78" s="23"/>
      <c r="E78" s="24"/>
      <c r="F78" s="25"/>
    </row>
    <row r="79" ht="21.75" customHeight="1">
      <c r="A79" s="91"/>
      <c r="B79" s="64"/>
      <c r="C79" s="23"/>
      <c r="D79" s="23"/>
      <c r="E79" s="24"/>
      <c r="F79" s="25"/>
    </row>
    <row r="80" ht="21.75" customHeight="1">
      <c r="A80" s="91"/>
      <c r="B80" s="64"/>
      <c r="C80" s="23"/>
      <c r="D80" s="23"/>
      <c r="E80" s="24"/>
      <c r="F80" s="25"/>
    </row>
    <row r="81" ht="21.75" customHeight="1">
      <c r="A81" s="91"/>
      <c r="B81" s="64"/>
      <c r="C81" s="23"/>
      <c r="D81" s="23"/>
      <c r="E81" s="24"/>
      <c r="F81" s="25"/>
    </row>
    <row r="82" ht="21.75" customHeight="1">
      <c r="A82" s="91"/>
      <c r="B82" s="64"/>
      <c r="C82" s="23"/>
      <c r="D82" s="23"/>
      <c r="E82" s="24"/>
      <c r="F82" s="25"/>
    </row>
    <row r="83" ht="21.75" customHeight="1">
      <c r="A83" s="91"/>
      <c r="B83" s="64"/>
      <c r="C83" s="23"/>
      <c r="D83" s="23"/>
      <c r="E83" s="24"/>
      <c r="F83" s="25"/>
    </row>
    <row r="84" ht="21.75" customHeight="1">
      <c r="A84" s="91"/>
      <c r="B84" s="64"/>
      <c r="C84" s="23"/>
      <c r="D84" s="23"/>
      <c r="E84" s="24"/>
      <c r="F84" s="25"/>
    </row>
    <row r="85" ht="21.75" customHeight="1">
      <c r="A85" s="91"/>
      <c r="B85" s="64"/>
      <c r="C85" s="23"/>
      <c r="D85" s="23"/>
      <c r="E85" s="24"/>
      <c r="F85" s="25"/>
    </row>
    <row r="86" ht="21.75" customHeight="1">
      <c r="A86" s="91"/>
      <c r="B86" s="64"/>
      <c r="C86" s="23"/>
      <c r="D86" s="23"/>
      <c r="E86" s="24"/>
      <c r="F86" s="25"/>
    </row>
    <row r="87" ht="21.75" customHeight="1">
      <c r="A87" s="91"/>
      <c r="B87" s="64"/>
      <c r="C87" s="23"/>
      <c r="D87" s="23"/>
      <c r="E87" s="24"/>
      <c r="F87" s="25"/>
    </row>
    <row r="88" ht="21.75" customHeight="1">
      <c r="A88" s="91"/>
      <c r="B88" s="64"/>
      <c r="C88" s="23"/>
      <c r="D88" s="23"/>
      <c r="E88" s="24"/>
      <c r="F88" s="25"/>
    </row>
    <row r="89" ht="21.75" customHeight="1">
      <c r="A89" s="91"/>
      <c r="B89" s="64"/>
      <c r="C89" s="23"/>
      <c r="D89" s="23"/>
      <c r="E89" s="24"/>
      <c r="F89" s="25"/>
    </row>
    <row r="90" ht="21.75" customHeight="1">
      <c r="A90" s="91"/>
      <c r="B90" s="64"/>
      <c r="C90" s="23"/>
      <c r="D90" s="23"/>
      <c r="E90" s="24"/>
      <c r="F90" s="25"/>
    </row>
    <row r="91" ht="21.75" customHeight="1">
      <c r="A91" s="91"/>
      <c r="B91" s="64"/>
      <c r="C91" s="23"/>
      <c r="D91" s="23"/>
      <c r="E91" s="24"/>
      <c r="F91" s="25"/>
    </row>
    <row r="92" ht="21.75" customHeight="1">
      <c r="A92" s="91"/>
      <c r="B92" s="64"/>
      <c r="C92" s="23"/>
      <c r="D92" s="23"/>
      <c r="E92" s="24"/>
      <c r="F92" s="25"/>
    </row>
    <row r="93" ht="21.75" customHeight="1">
      <c r="A93" s="91"/>
      <c r="B93" s="64"/>
      <c r="C93" s="23"/>
      <c r="D93" s="23"/>
      <c r="E93" s="24"/>
      <c r="F93" s="25"/>
    </row>
    <row r="94" ht="21.75" customHeight="1">
      <c r="A94" s="91"/>
      <c r="B94" s="64"/>
      <c r="C94" s="23"/>
      <c r="D94" s="23"/>
      <c r="E94" s="24"/>
      <c r="F94" s="25"/>
    </row>
    <row r="95" ht="21.75" customHeight="1">
      <c r="A95" s="91"/>
      <c r="B95" s="64"/>
      <c r="C95" s="23"/>
      <c r="D95" s="23"/>
      <c r="E95" s="24"/>
      <c r="F95" s="25"/>
    </row>
    <row r="96" ht="21.75" customHeight="1">
      <c r="A96" s="91"/>
      <c r="B96" s="64"/>
      <c r="C96" s="23"/>
      <c r="D96" s="23"/>
      <c r="E96" s="24"/>
      <c r="F96" s="25"/>
    </row>
    <row r="97" ht="21.75" customHeight="1">
      <c r="A97" s="91"/>
      <c r="B97" s="64"/>
      <c r="C97" s="23"/>
      <c r="D97" s="23"/>
      <c r="E97" s="24"/>
      <c r="F97" s="25"/>
    </row>
    <row r="98" ht="21.75" customHeight="1">
      <c r="A98" s="273"/>
      <c r="B98" s="64"/>
      <c r="C98" s="23"/>
      <c r="D98" s="23"/>
      <c r="E98" s="24"/>
      <c r="F98" s="25"/>
    </row>
    <row r="99" ht="21.75" customHeight="1">
      <c r="A99" s="273"/>
      <c r="B99" s="64"/>
      <c r="C99" s="23"/>
      <c r="D99" s="23"/>
      <c r="E99" s="24"/>
      <c r="F99" s="25"/>
    </row>
    <row r="100" ht="21.75" customHeight="1">
      <c r="A100" s="273"/>
      <c r="B100" s="64"/>
      <c r="C100" s="23"/>
      <c r="D100" s="23"/>
      <c r="E100" s="24"/>
      <c r="F100" s="25"/>
    </row>
    <row r="101" ht="21.75" customHeight="1">
      <c r="A101" s="273"/>
      <c r="B101" s="64"/>
      <c r="C101" s="23"/>
      <c r="D101" s="23"/>
      <c r="E101" s="24"/>
      <c r="F101" s="25"/>
    </row>
    <row r="102" ht="21.75" customHeight="1">
      <c r="A102" s="273"/>
      <c r="B102" s="64"/>
      <c r="C102" s="23"/>
      <c r="D102" s="23"/>
      <c r="E102" s="24"/>
      <c r="F102" s="25"/>
    </row>
    <row r="103" ht="21.75" customHeight="1">
      <c r="A103" s="273"/>
      <c r="B103" s="64"/>
      <c r="C103" s="23"/>
      <c r="D103" s="23"/>
      <c r="E103" s="24"/>
      <c r="F103" s="25"/>
    </row>
    <row r="104" ht="21.75" customHeight="1">
      <c r="A104" s="273"/>
      <c r="B104" s="64"/>
      <c r="C104" s="23"/>
      <c r="D104" s="23"/>
      <c r="E104" s="24"/>
      <c r="F104" s="25"/>
    </row>
    <row r="105" ht="21.75" customHeight="1">
      <c r="A105" s="273"/>
      <c r="B105" s="64"/>
      <c r="C105" s="23"/>
      <c r="D105" s="23"/>
      <c r="E105" s="24"/>
      <c r="F105" s="25"/>
    </row>
    <row r="106" ht="21.75" customHeight="1">
      <c r="A106" s="273"/>
      <c r="B106" s="64"/>
      <c r="C106" s="23"/>
      <c r="D106" s="23"/>
      <c r="E106" s="24"/>
      <c r="F106" s="25"/>
    </row>
    <row r="107" ht="21.75" customHeight="1">
      <c r="A107" s="273"/>
      <c r="B107" s="64"/>
      <c r="C107" s="23"/>
      <c r="D107" s="23"/>
      <c r="E107" s="24"/>
      <c r="F107" s="25"/>
    </row>
    <row r="108" ht="21.75" customHeight="1">
      <c r="A108" s="273"/>
      <c r="B108" s="64"/>
      <c r="C108" s="23"/>
      <c r="D108" s="23"/>
      <c r="E108" s="24"/>
      <c r="F108" s="25"/>
    </row>
    <row r="109" ht="21.75" customHeight="1">
      <c r="A109" s="273"/>
      <c r="B109" s="64"/>
      <c r="C109" s="23"/>
      <c r="D109" s="23"/>
      <c r="E109" s="24"/>
      <c r="F109" s="25"/>
    </row>
    <row r="110" ht="21.75" customHeight="1">
      <c r="A110" s="273"/>
      <c r="B110" s="64"/>
      <c r="C110" s="23"/>
      <c r="D110" s="23"/>
      <c r="E110" s="24"/>
      <c r="F110" s="25"/>
    </row>
    <row r="111" ht="21.75" customHeight="1">
      <c r="A111" s="273"/>
      <c r="B111" s="64"/>
      <c r="C111" s="23"/>
      <c r="D111" s="23"/>
      <c r="E111" s="24"/>
      <c r="F111" s="25"/>
    </row>
    <row r="112" ht="21.75" customHeight="1">
      <c r="A112" s="273"/>
      <c r="B112" s="64"/>
      <c r="C112" s="23"/>
      <c r="D112" s="23"/>
      <c r="E112" s="24"/>
      <c r="F112" s="25"/>
    </row>
    <row r="113" ht="21.75" customHeight="1">
      <c r="A113" s="273"/>
      <c r="B113" s="64"/>
      <c r="C113" s="23"/>
      <c r="D113" s="23"/>
      <c r="E113" s="24"/>
      <c r="F113" s="25"/>
    </row>
    <row r="114" ht="21.75" customHeight="1">
      <c r="A114" s="273"/>
      <c r="B114" s="64"/>
      <c r="C114" s="23"/>
      <c r="D114" s="23"/>
      <c r="E114" s="24"/>
      <c r="F114" s="25"/>
    </row>
    <row r="115" ht="21.75" customHeight="1">
      <c r="A115" s="273"/>
      <c r="B115" s="64"/>
      <c r="C115" s="23"/>
      <c r="D115" s="23"/>
      <c r="E115" s="24"/>
      <c r="F115" s="25"/>
    </row>
    <row r="116" ht="21.75" customHeight="1">
      <c r="A116" s="273"/>
      <c r="B116" s="64"/>
      <c r="C116" s="23"/>
      <c r="D116" s="23"/>
      <c r="E116" s="24"/>
      <c r="F116" s="25"/>
    </row>
    <row r="117" ht="21.75" customHeight="1">
      <c r="A117" s="273"/>
      <c r="B117" s="64"/>
      <c r="C117" s="23"/>
      <c r="D117" s="23"/>
      <c r="E117" s="24"/>
      <c r="F117" s="25"/>
    </row>
    <row r="118" ht="21.75" customHeight="1">
      <c r="A118" s="273"/>
      <c r="B118" s="64"/>
      <c r="C118" s="23"/>
      <c r="D118" s="23"/>
      <c r="E118" s="24"/>
      <c r="F118" s="25"/>
    </row>
    <row r="119" ht="21.75" customHeight="1">
      <c r="A119" s="273"/>
      <c r="B119" s="64"/>
      <c r="C119" s="23"/>
      <c r="D119" s="23"/>
      <c r="E119" s="24"/>
      <c r="F119" s="25"/>
    </row>
    <row r="120" ht="21.75" customHeight="1">
      <c r="A120" s="273"/>
      <c r="B120" s="64"/>
      <c r="C120" s="23"/>
      <c r="D120" s="23"/>
      <c r="E120" s="24"/>
      <c r="F120" s="25"/>
    </row>
    <row r="121" ht="21.75" customHeight="1">
      <c r="A121" s="273"/>
      <c r="B121" s="64"/>
      <c r="C121" s="23"/>
      <c r="D121" s="23"/>
      <c r="E121" s="24"/>
      <c r="F121" s="25"/>
    </row>
    <row r="122" ht="21.75" customHeight="1">
      <c r="A122" s="273"/>
      <c r="B122" s="64"/>
      <c r="C122" s="23"/>
      <c r="D122" s="23"/>
      <c r="E122" s="24"/>
      <c r="F122" s="25"/>
    </row>
    <row r="123" ht="21.75" customHeight="1">
      <c r="A123" s="273"/>
      <c r="B123" s="64"/>
      <c r="C123" s="23"/>
      <c r="D123" s="23"/>
      <c r="E123" s="24"/>
      <c r="F123" s="25"/>
    </row>
    <row r="124" ht="21.75" customHeight="1">
      <c r="A124" s="273"/>
      <c r="B124" s="64"/>
      <c r="C124" s="23"/>
      <c r="D124" s="23"/>
      <c r="E124" s="24"/>
      <c r="F124" s="25"/>
    </row>
    <row r="125" ht="21.75" customHeight="1">
      <c r="A125" s="273"/>
      <c r="B125" s="64"/>
      <c r="C125" s="23"/>
      <c r="D125" s="23"/>
      <c r="E125" s="24"/>
      <c r="F125" s="25"/>
    </row>
    <row r="126" ht="21.75" customHeight="1">
      <c r="A126" s="273"/>
      <c r="B126" s="64"/>
      <c r="C126" s="23"/>
      <c r="D126" s="23"/>
      <c r="E126" s="24"/>
      <c r="F126" s="25"/>
    </row>
    <row r="127" ht="21.75" customHeight="1">
      <c r="A127" s="273"/>
      <c r="B127" s="64"/>
      <c r="C127" s="23"/>
      <c r="D127" s="23"/>
      <c r="E127" s="24"/>
      <c r="F127" s="25"/>
    </row>
    <row r="128" ht="21.75" customHeight="1">
      <c r="A128" s="273"/>
      <c r="B128" s="64"/>
      <c r="C128" s="23"/>
      <c r="D128" s="23"/>
      <c r="E128" s="24"/>
      <c r="F128" s="25"/>
    </row>
    <row r="129" ht="21.75" customHeight="1">
      <c r="A129" s="273"/>
      <c r="B129" s="64"/>
      <c r="C129" s="23"/>
      <c r="D129" s="23"/>
      <c r="E129" s="24"/>
      <c r="F129" s="25"/>
    </row>
    <row r="130" ht="21.75" customHeight="1">
      <c r="A130" s="273"/>
      <c r="B130" s="64"/>
      <c r="C130" s="23"/>
      <c r="D130" s="23"/>
      <c r="E130" s="24"/>
      <c r="F130" s="25"/>
    </row>
    <row r="131" ht="21.75" customHeight="1">
      <c r="A131" s="273"/>
      <c r="B131" s="64"/>
      <c r="C131" s="23"/>
      <c r="D131" s="23"/>
      <c r="E131" s="24"/>
      <c r="F131" s="25"/>
    </row>
    <row r="132" ht="21.75" customHeight="1">
      <c r="A132" s="273"/>
      <c r="B132" s="64"/>
      <c r="C132" s="23"/>
      <c r="D132" s="23"/>
      <c r="E132" s="24"/>
      <c r="F132" s="25"/>
    </row>
    <row r="133" ht="21.75" customHeight="1">
      <c r="A133" s="273"/>
      <c r="B133" s="64"/>
      <c r="C133" s="23"/>
      <c r="D133" s="23"/>
      <c r="E133" s="24"/>
      <c r="F133" s="25"/>
    </row>
    <row r="134" ht="21.75" customHeight="1">
      <c r="A134" s="273"/>
      <c r="B134" s="64"/>
      <c r="C134" s="23"/>
      <c r="D134" s="23"/>
      <c r="E134" s="24"/>
      <c r="F134" s="25"/>
    </row>
    <row r="135" ht="21.75" customHeight="1">
      <c r="A135" s="273"/>
      <c r="B135" s="64"/>
      <c r="C135" s="23"/>
      <c r="D135" s="23"/>
      <c r="E135" s="24"/>
      <c r="F135" s="25"/>
    </row>
    <row r="136" ht="21.75" customHeight="1">
      <c r="A136" s="273"/>
      <c r="B136" s="64"/>
      <c r="C136" s="23"/>
      <c r="D136" s="23"/>
      <c r="E136" s="24"/>
      <c r="F136" s="25"/>
    </row>
    <row r="137" ht="21.75" customHeight="1">
      <c r="A137" s="273"/>
      <c r="B137" s="64"/>
      <c r="C137" s="23"/>
      <c r="D137" s="23"/>
      <c r="E137" s="24"/>
      <c r="F137" s="25"/>
    </row>
    <row r="138" ht="21.75" customHeight="1">
      <c r="A138" s="273"/>
      <c r="B138" s="64"/>
      <c r="C138" s="23"/>
      <c r="D138" s="23"/>
      <c r="E138" s="24"/>
      <c r="F138" s="25"/>
    </row>
    <row r="139" ht="21.75" customHeight="1">
      <c r="A139" s="273"/>
      <c r="B139" s="64"/>
      <c r="C139" s="23"/>
      <c r="D139" s="23"/>
      <c r="E139" s="24"/>
      <c r="F139" s="25"/>
    </row>
    <row r="140" ht="21.75" customHeight="1">
      <c r="A140" s="273"/>
      <c r="B140" s="64"/>
      <c r="C140" s="23"/>
      <c r="D140" s="23"/>
      <c r="E140" s="24"/>
      <c r="F140" s="25"/>
    </row>
    <row r="141" ht="21.75" customHeight="1">
      <c r="A141" s="273"/>
      <c r="B141" s="64"/>
      <c r="C141" s="23"/>
      <c r="D141" s="23"/>
      <c r="E141" s="24"/>
      <c r="F141" s="25"/>
    </row>
    <row r="142" ht="21.75" customHeight="1">
      <c r="A142" s="273"/>
      <c r="B142" s="64"/>
      <c r="C142" s="23"/>
      <c r="D142" s="23"/>
      <c r="E142" s="24"/>
      <c r="F142" s="25"/>
    </row>
    <row r="143" ht="21.75" customHeight="1">
      <c r="A143" s="273"/>
      <c r="B143" s="64"/>
      <c r="C143" s="23"/>
      <c r="D143" s="23"/>
      <c r="E143" s="24"/>
      <c r="F143" s="25"/>
    </row>
    <row r="144" ht="21.75" customHeight="1">
      <c r="A144" s="273"/>
      <c r="B144" s="64"/>
      <c r="C144" s="23"/>
      <c r="D144" s="23"/>
      <c r="E144" s="24"/>
      <c r="F144" s="25"/>
    </row>
    <row r="145" ht="21.75" customHeight="1">
      <c r="A145" s="273"/>
      <c r="B145" s="64"/>
      <c r="C145" s="23"/>
      <c r="D145" s="23"/>
      <c r="E145" s="24"/>
      <c r="F145" s="25"/>
    </row>
    <row r="146" ht="21.75" customHeight="1">
      <c r="A146" s="273"/>
      <c r="B146" s="64"/>
      <c r="C146" s="23"/>
      <c r="D146" s="23"/>
      <c r="E146" s="24"/>
      <c r="F146" s="25"/>
    </row>
    <row r="147" ht="21.75" customHeight="1">
      <c r="A147" s="273"/>
      <c r="B147" s="64"/>
      <c r="C147" s="23"/>
      <c r="D147" s="23"/>
      <c r="E147" s="24"/>
      <c r="F147" s="25"/>
    </row>
    <row r="148" ht="21.75" customHeight="1">
      <c r="A148" s="273"/>
      <c r="B148" s="64"/>
      <c r="C148" s="23"/>
      <c r="D148" s="23"/>
      <c r="E148" s="24"/>
      <c r="F148" s="25"/>
    </row>
    <row r="149" ht="21.75" customHeight="1">
      <c r="A149" s="273"/>
      <c r="B149" s="64"/>
      <c r="C149" s="23"/>
      <c r="D149" s="23"/>
      <c r="E149" s="24"/>
      <c r="F149" s="25"/>
    </row>
    <row r="150" ht="21.75" customHeight="1">
      <c r="A150" s="273"/>
      <c r="B150" s="64"/>
      <c r="C150" s="23"/>
      <c r="D150" s="23"/>
      <c r="E150" s="24"/>
      <c r="F150" s="25"/>
    </row>
    <row r="151" ht="21.75" customHeight="1">
      <c r="A151" s="273"/>
      <c r="B151" s="64"/>
      <c r="C151" s="23"/>
      <c r="D151" s="23"/>
      <c r="E151" s="24"/>
      <c r="F151" s="25"/>
    </row>
    <row r="152" ht="21.75" customHeight="1">
      <c r="A152" s="273"/>
      <c r="B152" s="64"/>
      <c r="C152" s="23"/>
      <c r="D152" s="23"/>
      <c r="E152" s="24"/>
      <c r="F152" s="25"/>
    </row>
    <row r="153" ht="21.75" customHeight="1">
      <c r="A153" s="273"/>
      <c r="B153" s="64"/>
      <c r="C153" s="23"/>
      <c r="D153" s="23"/>
      <c r="E153" s="24"/>
      <c r="F153" s="25"/>
    </row>
    <row r="154" ht="21.75" customHeight="1">
      <c r="A154" s="273"/>
      <c r="B154" s="64"/>
      <c r="C154" s="23"/>
      <c r="D154" s="23"/>
      <c r="E154" s="24"/>
      <c r="F154" s="25"/>
    </row>
    <row r="155" ht="21.75" customHeight="1">
      <c r="A155" s="273"/>
      <c r="B155" s="64"/>
      <c r="C155" s="23"/>
      <c r="D155" s="23"/>
      <c r="E155" s="24"/>
      <c r="F155" s="25"/>
    </row>
    <row r="156" ht="21.75" customHeight="1">
      <c r="A156" s="273"/>
      <c r="B156" s="64"/>
      <c r="C156" s="23"/>
      <c r="D156" s="23"/>
      <c r="E156" s="24"/>
      <c r="F156" s="25"/>
    </row>
    <row r="157" ht="21.75" customHeight="1">
      <c r="A157" s="273"/>
      <c r="B157" s="64"/>
      <c r="C157" s="23"/>
      <c r="D157" s="23"/>
      <c r="E157" s="24"/>
      <c r="F157" s="25"/>
    </row>
    <row r="158" ht="21.75" customHeight="1">
      <c r="A158" s="273"/>
      <c r="B158" s="64"/>
      <c r="C158" s="23"/>
      <c r="D158" s="23"/>
      <c r="E158" s="24"/>
      <c r="F158" s="25"/>
    </row>
    <row r="159" ht="21.75" customHeight="1">
      <c r="A159" s="273"/>
      <c r="B159" s="64"/>
      <c r="C159" s="23"/>
      <c r="D159" s="23"/>
      <c r="E159" s="24"/>
      <c r="F159" s="25"/>
    </row>
    <row r="160" ht="21.75" customHeight="1">
      <c r="A160" s="273"/>
      <c r="B160" s="64"/>
      <c r="C160" s="23"/>
      <c r="D160" s="23"/>
      <c r="E160" s="24"/>
      <c r="F160" s="25"/>
    </row>
    <row r="161" ht="21.75" customHeight="1">
      <c r="A161" s="273"/>
      <c r="B161" s="64"/>
      <c r="C161" s="23"/>
      <c r="D161" s="23"/>
      <c r="E161" s="24"/>
      <c r="F161" s="25"/>
    </row>
    <row r="162" ht="21.75" customHeight="1">
      <c r="A162" s="273"/>
      <c r="B162" s="64"/>
      <c r="C162" s="23"/>
      <c r="D162" s="23"/>
      <c r="E162" s="24"/>
      <c r="F162" s="25"/>
    </row>
    <row r="163" ht="21.75" customHeight="1">
      <c r="A163" s="273"/>
      <c r="B163" s="64"/>
      <c r="C163" s="23"/>
      <c r="D163" s="23"/>
      <c r="E163" s="24"/>
      <c r="F163" s="25"/>
    </row>
    <row r="164" ht="21.75" customHeight="1">
      <c r="A164" s="273"/>
      <c r="B164" s="64"/>
      <c r="C164" s="23"/>
      <c r="D164" s="23"/>
      <c r="E164" s="24"/>
      <c r="F164" s="25"/>
    </row>
    <row r="165" ht="21.75" customHeight="1">
      <c r="A165" s="273"/>
      <c r="B165" s="64"/>
      <c r="C165" s="23"/>
      <c r="D165" s="23"/>
      <c r="E165" s="24"/>
      <c r="F165" s="25"/>
    </row>
    <row r="166" ht="21.75" customHeight="1">
      <c r="A166" s="273"/>
      <c r="B166" s="64"/>
      <c r="C166" s="23"/>
      <c r="D166" s="23"/>
      <c r="E166" s="24"/>
      <c r="F166" s="25"/>
    </row>
    <row r="167" ht="21.75" customHeight="1">
      <c r="A167" s="273"/>
      <c r="B167" s="64"/>
      <c r="C167" s="23"/>
      <c r="D167" s="23"/>
      <c r="E167" s="24"/>
      <c r="F167" s="25"/>
    </row>
    <row r="168" ht="21.75" customHeight="1">
      <c r="A168" s="273"/>
      <c r="B168" s="64"/>
      <c r="C168" s="23"/>
      <c r="D168" s="23"/>
      <c r="E168" s="24"/>
      <c r="F168" s="25"/>
    </row>
    <row r="169" ht="21.75" customHeight="1">
      <c r="A169" s="273"/>
      <c r="B169" s="64"/>
      <c r="C169" s="23"/>
      <c r="D169" s="23"/>
      <c r="E169" s="24"/>
      <c r="F169" s="25"/>
    </row>
    <row r="170" ht="21.75" customHeight="1">
      <c r="A170" s="273"/>
      <c r="B170" s="64"/>
      <c r="C170" s="23"/>
      <c r="D170" s="23"/>
      <c r="E170" s="24"/>
      <c r="F170" s="25"/>
    </row>
    <row r="171" ht="21.75" customHeight="1">
      <c r="A171" s="273"/>
      <c r="B171" s="64"/>
      <c r="C171" s="23"/>
      <c r="D171" s="23"/>
      <c r="E171" s="24"/>
      <c r="F171" s="25"/>
    </row>
    <row r="172" ht="21.75" customHeight="1">
      <c r="A172" s="273"/>
      <c r="B172" s="64"/>
      <c r="C172" s="23"/>
      <c r="D172" s="23"/>
      <c r="E172" s="24"/>
      <c r="F172" s="25"/>
    </row>
    <row r="173" ht="21.75" customHeight="1">
      <c r="A173" s="273"/>
      <c r="B173" s="64"/>
      <c r="C173" s="23"/>
      <c r="D173" s="23"/>
      <c r="E173" s="24"/>
      <c r="F173" s="25"/>
    </row>
    <row r="174" ht="21.75" customHeight="1">
      <c r="A174" s="273"/>
      <c r="B174" s="64"/>
      <c r="C174" s="23"/>
      <c r="D174" s="23"/>
      <c r="E174" s="24"/>
      <c r="F174" s="25"/>
    </row>
    <row r="175" ht="21.75" customHeight="1">
      <c r="A175" s="273"/>
      <c r="B175" s="64"/>
      <c r="C175" s="23"/>
      <c r="D175" s="23"/>
      <c r="E175" s="24"/>
      <c r="F175" s="25"/>
    </row>
    <row r="176" ht="21.75" customHeight="1">
      <c r="A176" s="273"/>
      <c r="B176" s="64"/>
      <c r="C176" s="23"/>
      <c r="D176" s="23"/>
      <c r="E176" s="24"/>
      <c r="F176" s="25"/>
    </row>
    <row r="177" ht="21.75" customHeight="1">
      <c r="A177" s="273"/>
      <c r="B177" s="64"/>
      <c r="C177" s="23"/>
      <c r="D177" s="23"/>
      <c r="E177" s="24"/>
      <c r="F177" s="25"/>
    </row>
    <row r="178" ht="21.75" customHeight="1">
      <c r="A178" s="273"/>
      <c r="B178" s="64"/>
      <c r="C178" s="23"/>
      <c r="D178" s="23"/>
      <c r="E178" s="24"/>
      <c r="F178" s="25"/>
    </row>
    <row r="179" ht="21.75" customHeight="1">
      <c r="A179" s="273"/>
      <c r="B179" s="64"/>
      <c r="C179" s="23"/>
      <c r="D179" s="23"/>
      <c r="E179" s="24"/>
      <c r="F179" s="25"/>
    </row>
    <row r="180" ht="21.75" customHeight="1">
      <c r="A180" s="273"/>
      <c r="B180" s="64"/>
      <c r="C180" s="23"/>
      <c r="D180" s="23"/>
      <c r="E180" s="24"/>
      <c r="F180" s="25"/>
    </row>
    <row r="181" ht="21.75" customHeight="1">
      <c r="A181" s="273"/>
      <c r="B181" s="64"/>
      <c r="C181" s="23"/>
      <c r="D181" s="23"/>
      <c r="E181" s="24"/>
      <c r="F181" s="25"/>
    </row>
    <row r="182" ht="21.75" customHeight="1">
      <c r="A182" s="273"/>
      <c r="B182" s="64"/>
      <c r="C182" s="23"/>
      <c r="D182" s="23"/>
      <c r="E182" s="24"/>
      <c r="F182" s="25"/>
    </row>
    <row r="183" ht="21.75" customHeight="1">
      <c r="A183" s="273"/>
      <c r="B183" s="64"/>
      <c r="C183" s="23"/>
      <c r="D183" s="23"/>
      <c r="E183" s="24"/>
      <c r="F183" s="25"/>
    </row>
    <row r="184" ht="21.75" customHeight="1">
      <c r="A184" s="273"/>
      <c r="B184" s="64"/>
      <c r="C184" s="23"/>
      <c r="D184" s="23"/>
      <c r="E184" s="24"/>
      <c r="F184" s="25"/>
    </row>
    <row r="185" ht="21.75" customHeight="1">
      <c r="A185" s="273"/>
      <c r="B185" s="64"/>
      <c r="C185" s="23"/>
      <c r="D185" s="23"/>
      <c r="E185" s="24"/>
      <c r="F185" s="25"/>
    </row>
    <row r="186" ht="21.75" customHeight="1">
      <c r="A186" s="273"/>
      <c r="B186" s="64"/>
      <c r="C186" s="23"/>
      <c r="D186" s="23"/>
      <c r="E186" s="24"/>
      <c r="F186" s="25"/>
    </row>
    <row r="187" ht="21.75" customHeight="1">
      <c r="A187" s="273"/>
      <c r="B187" s="64"/>
      <c r="C187" s="23"/>
      <c r="D187" s="23"/>
      <c r="E187" s="24"/>
      <c r="F187" s="25"/>
    </row>
    <row r="188" ht="21.75" customHeight="1">
      <c r="A188" s="273"/>
      <c r="B188" s="64"/>
      <c r="C188" s="23"/>
      <c r="D188" s="23"/>
      <c r="E188" s="24"/>
      <c r="F188" s="25"/>
    </row>
    <row r="189" ht="21.75" customHeight="1">
      <c r="A189" s="273"/>
      <c r="B189" s="64"/>
      <c r="C189" s="23"/>
      <c r="D189" s="23"/>
      <c r="E189" s="24"/>
      <c r="F189" s="25"/>
    </row>
    <row r="190" ht="21.75" customHeight="1">
      <c r="A190" s="273"/>
      <c r="B190" s="64"/>
      <c r="C190" s="23"/>
      <c r="D190" s="23"/>
      <c r="E190" s="24"/>
      <c r="F190" s="25"/>
    </row>
    <row r="191" ht="21.75" customHeight="1">
      <c r="A191" s="273"/>
      <c r="B191" s="64"/>
      <c r="C191" s="23"/>
      <c r="D191" s="23"/>
      <c r="E191" s="24"/>
      <c r="F191" s="25"/>
    </row>
    <row r="192" ht="21.75" customHeight="1">
      <c r="A192" s="273"/>
      <c r="B192" s="64"/>
      <c r="C192" s="23"/>
      <c r="D192" s="23"/>
      <c r="E192" s="24"/>
      <c r="F192" s="25"/>
    </row>
    <row r="193" ht="21.75" customHeight="1">
      <c r="A193" s="273"/>
      <c r="B193" s="64"/>
      <c r="C193" s="23"/>
      <c r="D193" s="23"/>
      <c r="E193" s="24"/>
      <c r="F193" s="25"/>
    </row>
    <row r="194" ht="21.75" customHeight="1">
      <c r="A194" s="273"/>
      <c r="B194" s="64"/>
      <c r="C194" s="23"/>
      <c r="D194" s="23"/>
      <c r="E194" s="24"/>
      <c r="F194" s="25"/>
    </row>
    <row r="195" ht="21.75" customHeight="1">
      <c r="A195" s="273"/>
      <c r="B195" s="64"/>
      <c r="C195" s="23"/>
      <c r="D195" s="23"/>
      <c r="E195" s="24"/>
      <c r="F195" s="25"/>
    </row>
    <row r="196" ht="21.75" customHeight="1">
      <c r="A196" s="273"/>
      <c r="B196" s="64"/>
      <c r="C196" s="23"/>
      <c r="D196" s="23"/>
      <c r="E196" s="24"/>
      <c r="F196" s="25"/>
    </row>
    <row r="197" ht="21.75" customHeight="1">
      <c r="A197" s="273"/>
      <c r="B197" s="64"/>
      <c r="C197" s="23"/>
      <c r="D197" s="23"/>
      <c r="E197" s="24"/>
      <c r="F197" s="25"/>
    </row>
    <row r="198" ht="21.75" customHeight="1">
      <c r="A198" s="273"/>
      <c r="B198" s="64"/>
      <c r="C198" s="23"/>
      <c r="D198" s="23"/>
      <c r="E198" s="24"/>
      <c r="F198" s="25"/>
    </row>
    <row r="199" ht="21.75" customHeight="1">
      <c r="A199" s="273"/>
      <c r="B199" s="64"/>
      <c r="C199" s="23"/>
      <c r="D199" s="23"/>
      <c r="E199" s="24"/>
      <c r="F199" s="25"/>
    </row>
    <row r="200" ht="21.75" customHeight="1">
      <c r="A200" s="273"/>
      <c r="B200" s="64"/>
      <c r="C200" s="23"/>
      <c r="D200" s="23"/>
      <c r="E200" s="24"/>
      <c r="F200" s="25"/>
    </row>
    <row r="201" ht="21.75" customHeight="1">
      <c r="A201" s="273"/>
      <c r="B201" s="64"/>
      <c r="C201" s="23"/>
      <c r="D201" s="23"/>
      <c r="E201" s="24"/>
      <c r="F201" s="25"/>
    </row>
    <row r="202" ht="21.75" customHeight="1">
      <c r="A202" s="273"/>
      <c r="B202" s="64"/>
      <c r="C202" s="23"/>
      <c r="D202" s="23"/>
      <c r="E202" s="24"/>
      <c r="F202" s="25"/>
    </row>
    <row r="203" ht="21.75" customHeight="1">
      <c r="A203" s="273"/>
      <c r="B203" s="64"/>
      <c r="C203" s="23"/>
      <c r="D203" s="23"/>
      <c r="E203" s="24"/>
      <c r="F203" s="25"/>
    </row>
    <row r="204" ht="21.75" customHeight="1">
      <c r="A204" s="273"/>
      <c r="B204" s="64"/>
      <c r="C204" s="23"/>
      <c r="D204" s="23"/>
      <c r="E204" s="24"/>
      <c r="F204" s="25"/>
    </row>
    <row r="205" ht="21.75" customHeight="1">
      <c r="A205" s="273"/>
      <c r="B205" s="64"/>
      <c r="C205" s="23"/>
      <c r="D205" s="23"/>
      <c r="E205" s="24"/>
      <c r="F205" s="25"/>
    </row>
    <row r="206" ht="21.75" customHeight="1">
      <c r="A206" s="273"/>
      <c r="B206" s="64"/>
      <c r="C206" s="23"/>
      <c r="D206" s="23"/>
      <c r="E206" s="24"/>
      <c r="F206" s="25"/>
    </row>
    <row r="207" ht="21.75" customHeight="1">
      <c r="A207" s="273"/>
      <c r="B207" s="64"/>
      <c r="C207" s="23"/>
      <c r="D207" s="23"/>
      <c r="E207" s="24"/>
      <c r="F207" s="25"/>
    </row>
    <row r="208" ht="21.75" customHeight="1">
      <c r="A208" s="273"/>
      <c r="B208" s="64"/>
      <c r="C208" s="23"/>
      <c r="D208" s="23"/>
      <c r="E208" s="24"/>
      <c r="F208" s="25"/>
    </row>
    <row r="209" ht="21.75" customHeight="1">
      <c r="A209" s="273"/>
      <c r="B209" s="64"/>
      <c r="C209" s="23"/>
      <c r="D209" s="23"/>
      <c r="E209" s="24"/>
      <c r="F209" s="25"/>
    </row>
    <row r="210" ht="21.75" customHeight="1">
      <c r="A210" s="273"/>
      <c r="B210" s="64"/>
      <c r="C210" s="23"/>
      <c r="D210" s="23"/>
      <c r="E210" s="24"/>
      <c r="F210" s="25"/>
    </row>
    <row r="211" ht="21.75" customHeight="1">
      <c r="A211" s="273"/>
      <c r="B211" s="64"/>
      <c r="C211" s="23"/>
      <c r="D211" s="23"/>
      <c r="E211" s="24"/>
      <c r="F211" s="25"/>
    </row>
    <row r="212" ht="21.75" customHeight="1">
      <c r="A212" s="273"/>
      <c r="B212" s="64"/>
      <c r="C212" s="23"/>
      <c r="D212" s="23"/>
      <c r="E212" s="24"/>
      <c r="F212" s="25"/>
    </row>
    <row r="213" ht="21.75" customHeight="1">
      <c r="A213" s="273"/>
      <c r="B213" s="64"/>
      <c r="C213" s="23"/>
      <c r="D213" s="23"/>
      <c r="E213" s="24"/>
      <c r="F213" s="25"/>
    </row>
    <row r="214" ht="21.75" customHeight="1">
      <c r="A214" s="273"/>
      <c r="B214" s="64"/>
      <c r="C214" s="23"/>
      <c r="D214" s="23"/>
      <c r="E214" s="24"/>
      <c r="F214" s="25"/>
    </row>
    <row r="215" ht="21.75" customHeight="1">
      <c r="A215" s="273"/>
      <c r="B215" s="64"/>
      <c r="C215" s="23"/>
      <c r="D215" s="23"/>
      <c r="E215" s="24"/>
      <c r="F215" s="25"/>
    </row>
    <row r="216" ht="21.75" customHeight="1">
      <c r="A216" s="273"/>
      <c r="B216" s="64"/>
      <c r="C216" s="23"/>
      <c r="D216" s="23"/>
      <c r="E216" s="24"/>
      <c r="F216" s="25"/>
    </row>
    <row r="217" ht="21.75" customHeight="1">
      <c r="A217" s="273"/>
      <c r="B217" s="64"/>
      <c r="C217" s="23"/>
      <c r="D217" s="23"/>
      <c r="E217" s="24"/>
      <c r="F217" s="25"/>
    </row>
    <row r="218" ht="21.75" customHeight="1">
      <c r="A218" s="273"/>
      <c r="B218" s="64"/>
      <c r="C218" s="23"/>
      <c r="D218" s="23"/>
      <c r="E218" s="24"/>
      <c r="F218" s="25"/>
    </row>
    <row r="219" ht="21.75" customHeight="1">
      <c r="A219" s="273"/>
      <c r="B219" s="64"/>
      <c r="C219" s="23"/>
      <c r="D219" s="23"/>
      <c r="E219" s="24"/>
      <c r="F219" s="25"/>
    </row>
    <row r="220" ht="21.75" customHeight="1">
      <c r="A220" s="273"/>
      <c r="B220" s="64"/>
      <c r="C220" s="23"/>
      <c r="D220" s="23"/>
      <c r="E220" s="24"/>
      <c r="F220" s="25"/>
    </row>
    <row r="221" ht="21.75" customHeight="1">
      <c r="A221" s="273"/>
      <c r="B221" s="64"/>
      <c r="C221" s="23"/>
      <c r="D221" s="23"/>
      <c r="E221" s="24"/>
      <c r="F221" s="25"/>
    </row>
    <row r="222" ht="21.75" customHeight="1">
      <c r="A222" s="273"/>
      <c r="B222" s="64"/>
      <c r="C222" s="23"/>
      <c r="D222" s="23"/>
      <c r="E222" s="24"/>
      <c r="F222" s="25"/>
    </row>
    <row r="223" ht="21.75" customHeight="1">
      <c r="A223" s="273"/>
      <c r="B223" s="64"/>
      <c r="C223" s="23"/>
      <c r="D223" s="23"/>
      <c r="E223" s="24"/>
      <c r="F223" s="25"/>
    </row>
    <row r="224" ht="21.75" customHeight="1">
      <c r="A224" s="273"/>
      <c r="B224" s="64"/>
      <c r="C224" s="23"/>
      <c r="D224" s="23"/>
      <c r="E224" s="24"/>
      <c r="F224" s="25"/>
    </row>
    <row r="225" ht="21.75" customHeight="1">
      <c r="A225" s="273"/>
      <c r="B225" s="64"/>
      <c r="C225" s="23"/>
      <c r="D225" s="23"/>
      <c r="E225" s="24"/>
      <c r="F225" s="25"/>
    </row>
    <row r="226" ht="21.75" customHeight="1">
      <c r="A226" s="273"/>
      <c r="B226" s="64"/>
      <c r="C226" s="23"/>
      <c r="D226" s="23"/>
      <c r="E226" s="24"/>
      <c r="F226" s="25"/>
    </row>
    <row r="227" ht="21.75" customHeight="1">
      <c r="A227" s="273"/>
      <c r="B227" s="64"/>
      <c r="C227" s="23"/>
      <c r="D227" s="23"/>
      <c r="E227" s="24"/>
      <c r="F227" s="25"/>
    </row>
    <row r="228" ht="21.75" customHeight="1">
      <c r="A228" s="273"/>
      <c r="B228" s="64"/>
      <c r="C228" s="23"/>
      <c r="D228" s="23"/>
      <c r="E228" s="24"/>
      <c r="F228" s="25"/>
    </row>
    <row r="229" ht="21.75" customHeight="1">
      <c r="A229" s="273"/>
      <c r="B229" s="64"/>
      <c r="C229" s="23"/>
      <c r="D229" s="23"/>
      <c r="E229" s="24"/>
      <c r="F229" s="25"/>
    </row>
    <row r="230" ht="21.75" customHeight="1">
      <c r="A230" s="273"/>
      <c r="B230" s="64"/>
      <c r="C230" s="23"/>
      <c r="D230" s="23"/>
      <c r="E230" s="24"/>
      <c r="F230" s="25"/>
    </row>
    <row r="231" ht="21.75" customHeight="1">
      <c r="A231" s="273"/>
      <c r="B231" s="64"/>
      <c r="C231" s="23"/>
      <c r="D231" s="23"/>
      <c r="E231" s="24"/>
      <c r="F231" s="25"/>
    </row>
    <row r="232" ht="21.75" customHeight="1">
      <c r="A232" s="273"/>
      <c r="B232" s="64"/>
      <c r="C232" s="23"/>
      <c r="D232" s="23"/>
      <c r="E232" s="24"/>
      <c r="F232" s="25"/>
    </row>
    <row r="233" ht="21.75" customHeight="1">
      <c r="A233" s="273"/>
      <c r="B233" s="64"/>
      <c r="C233" s="23"/>
      <c r="D233" s="23"/>
      <c r="E233" s="24"/>
      <c r="F233" s="25"/>
    </row>
    <row r="234" ht="21.75" customHeight="1">
      <c r="A234" s="273"/>
      <c r="B234" s="64"/>
      <c r="C234" s="23"/>
      <c r="D234" s="23"/>
      <c r="E234" s="24"/>
      <c r="F234" s="25"/>
    </row>
    <row r="235" ht="21.75" customHeight="1">
      <c r="A235" s="273"/>
      <c r="B235" s="64"/>
      <c r="C235" s="23"/>
      <c r="D235" s="23"/>
      <c r="E235" s="24"/>
      <c r="F235" s="25"/>
    </row>
    <row r="236" ht="21.75" customHeight="1">
      <c r="A236" s="273"/>
      <c r="B236" s="64"/>
      <c r="C236" s="23"/>
      <c r="D236" s="23"/>
      <c r="E236" s="24"/>
      <c r="F236" s="25"/>
    </row>
    <row r="237" ht="21.75" customHeight="1">
      <c r="A237" s="273"/>
      <c r="B237" s="64"/>
      <c r="C237" s="23"/>
      <c r="D237" s="23"/>
      <c r="E237" s="24"/>
      <c r="F237" s="25"/>
    </row>
    <row r="238" ht="21.75" customHeight="1">
      <c r="A238" s="273"/>
      <c r="B238" s="64"/>
      <c r="C238" s="23"/>
      <c r="D238" s="23"/>
      <c r="E238" s="24"/>
      <c r="F238" s="25"/>
    </row>
    <row r="239" ht="21.75" customHeight="1">
      <c r="A239" s="273"/>
      <c r="B239" s="64"/>
      <c r="C239" s="23"/>
      <c r="D239" s="23"/>
      <c r="E239" s="24"/>
      <c r="F239" s="25"/>
    </row>
    <row r="240" ht="21.75" customHeight="1">
      <c r="A240" s="273"/>
      <c r="B240" s="64"/>
      <c r="C240" s="23"/>
      <c r="D240" s="23"/>
      <c r="E240" s="24"/>
      <c r="F240" s="25"/>
    </row>
    <row r="241" ht="21.75" customHeight="1">
      <c r="A241" s="273"/>
      <c r="B241" s="64"/>
      <c r="C241" s="23"/>
      <c r="D241" s="23"/>
      <c r="E241" s="24"/>
      <c r="F241" s="25"/>
    </row>
    <row r="242" ht="21.75" customHeight="1">
      <c r="A242" s="273"/>
      <c r="B242" s="64"/>
      <c r="C242" s="23"/>
      <c r="D242" s="23"/>
      <c r="E242" s="24"/>
      <c r="F242" s="25"/>
    </row>
    <row r="243" ht="21.75" customHeight="1">
      <c r="A243" s="273"/>
      <c r="B243" s="64"/>
      <c r="C243" s="23"/>
      <c r="D243" s="23"/>
      <c r="E243" s="24"/>
      <c r="F243" s="25"/>
    </row>
    <row r="244" ht="21.75" customHeight="1">
      <c r="A244" s="273"/>
      <c r="B244" s="64"/>
      <c r="C244" s="23"/>
      <c r="D244" s="23"/>
      <c r="E244" s="24"/>
      <c r="F244" s="25"/>
    </row>
    <row r="245" ht="21.75" customHeight="1">
      <c r="A245" s="273"/>
      <c r="B245" s="64"/>
      <c r="C245" s="23"/>
      <c r="D245" s="23"/>
      <c r="E245" s="24"/>
      <c r="F245" s="25"/>
    </row>
    <row r="246" ht="21.75" customHeight="1">
      <c r="A246" s="273"/>
      <c r="B246" s="64"/>
      <c r="C246" s="23"/>
      <c r="D246" s="23"/>
      <c r="E246" s="24"/>
      <c r="F246" s="25"/>
    </row>
    <row r="247" ht="21.75" customHeight="1">
      <c r="A247" s="273"/>
      <c r="B247" s="64"/>
      <c r="C247" s="23"/>
      <c r="D247" s="23"/>
      <c r="E247" s="24"/>
      <c r="F247" s="25"/>
    </row>
    <row r="248" ht="21.75" customHeight="1">
      <c r="A248" s="273"/>
      <c r="B248" s="64"/>
      <c r="C248" s="23"/>
      <c r="D248" s="23"/>
      <c r="E248" s="24"/>
      <c r="F248" s="25"/>
    </row>
    <row r="249" ht="21.75" customHeight="1">
      <c r="A249" s="273"/>
      <c r="B249" s="64"/>
      <c r="C249" s="23"/>
      <c r="D249" s="23"/>
      <c r="E249" s="24"/>
      <c r="F249" s="25"/>
    </row>
    <row r="250" ht="21.75" customHeight="1">
      <c r="A250" s="273"/>
      <c r="B250" s="64"/>
      <c r="C250" s="23"/>
      <c r="D250" s="23"/>
      <c r="E250" s="24"/>
      <c r="F250" s="25"/>
    </row>
    <row r="251" ht="21.75" customHeight="1">
      <c r="A251" s="273"/>
      <c r="B251" s="64"/>
      <c r="C251" s="23"/>
      <c r="D251" s="23"/>
      <c r="E251" s="24"/>
      <c r="F251" s="25"/>
    </row>
    <row r="252" ht="21.75" customHeight="1">
      <c r="A252" s="273"/>
      <c r="B252" s="64"/>
      <c r="C252" s="23"/>
      <c r="D252" s="23"/>
      <c r="E252" s="24"/>
      <c r="F252" s="25"/>
    </row>
    <row r="253" ht="21.75" customHeight="1">
      <c r="A253" s="273"/>
      <c r="B253" s="64"/>
      <c r="C253" s="23"/>
      <c r="D253" s="23"/>
      <c r="E253" s="24"/>
      <c r="F253" s="25"/>
    </row>
    <row r="254" ht="21.75" customHeight="1">
      <c r="A254" s="273"/>
      <c r="B254" s="64"/>
      <c r="C254" s="23"/>
      <c r="D254" s="23"/>
      <c r="E254" s="24"/>
      <c r="F254" s="25"/>
    </row>
    <row r="255" ht="21.75" customHeight="1">
      <c r="A255" s="273"/>
      <c r="B255" s="64"/>
      <c r="C255" s="23"/>
      <c r="D255" s="23"/>
      <c r="E255" s="24"/>
      <c r="F255" s="25"/>
    </row>
    <row r="256" ht="21.75" customHeight="1">
      <c r="A256" s="273"/>
      <c r="B256" s="64"/>
      <c r="C256" s="23"/>
      <c r="D256" s="23"/>
      <c r="E256" s="24"/>
      <c r="F256" s="25"/>
    </row>
    <row r="257" ht="21.75" customHeight="1">
      <c r="A257" s="273"/>
      <c r="B257" s="64"/>
      <c r="C257" s="23"/>
      <c r="D257" s="23"/>
      <c r="E257" s="24"/>
      <c r="F257" s="25"/>
    </row>
    <row r="258" ht="21.75" customHeight="1">
      <c r="A258" s="273"/>
      <c r="B258" s="64"/>
      <c r="C258" s="23"/>
      <c r="D258" s="23"/>
      <c r="E258" s="24"/>
      <c r="F258" s="25"/>
    </row>
    <row r="259" ht="21.75" customHeight="1">
      <c r="A259" s="273"/>
      <c r="B259" s="64"/>
      <c r="C259" s="23"/>
      <c r="D259" s="23"/>
      <c r="E259" s="24"/>
      <c r="F259" s="25"/>
    </row>
    <row r="260" ht="21.75" customHeight="1">
      <c r="A260" s="273"/>
      <c r="B260" s="64"/>
      <c r="C260" s="23"/>
      <c r="D260" s="23"/>
      <c r="E260" s="24"/>
      <c r="F260" s="25"/>
    </row>
    <row r="261" ht="21.75" customHeight="1">
      <c r="A261" s="273"/>
      <c r="B261" s="64"/>
      <c r="C261" s="23"/>
      <c r="D261" s="23"/>
      <c r="E261" s="24"/>
      <c r="F261" s="25"/>
    </row>
    <row r="262" ht="21.75" customHeight="1">
      <c r="A262" s="273"/>
      <c r="B262" s="64"/>
      <c r="C262" s="23"/>
      <c r="D262" s="23"/>
      <c r="E262" s="24"/>
      <c r="F262" s="25"/>
    </row>
    <row r="263" ht="21.75" customHeight="1">
      <c r="A263" s="273"/>
      <c r="B263" s="64"/>
      <c r="C263" s="23"/>
      <c r="D263" s="23"/>
      <c r="E263" s="24"/>
      <c r="F263" s="25"/>
    </row>
    <row r="264" ht="21.75" customHeight="1">
      <c r="A264" s="273"/>
      <c r="B264" s="64"/>
      <c r="C264" s="23"/>
      <c r="D264" s="23"/>
      <c r="E264" s="24"/>
      <c r="F264" s="25"/>
    </row>
    <row r="265" ht="21.75" customHeight="1">
      <c r="A265" s="273"/>
      <c r="B265" s="64"/>
      <c r="C265" s="23"/>
      <c r="D265" s="23"/>
      <c r="E265" s="24"/>
      <c r="F265" s="25"/>
    </row>
    <row r="266" ht="21.75" customHeight="1">
      <c r="A266" s="273"/>
      <c r="B266" s="64"/>
      <c r="C266" s="23"/>
      <c r="D266" s="23"/>
      <c r="E266" s="24"/>
      <c r="F266" s="25"/>
    </row>
    <row r="267" ht="21.75" customHeight="1">
      <c r="A267" s="273"/>
      <c r="B267" s="64"/>
      <c r="C267" s="23"/>
      <c r="D267" s="23"/>
      <c r="E267" s="24"/>
      <c r="F267" s="25"/>
    </row>
    <row r="268" ht="21.75" customHeight="1">
      <c r="A268" s="273"/>
      <c r="B268" s="64"/>
      <c r="C268" s="23"/>
      <c r="D268" s="23"/>
      <c r="E268" s="24"/>
      <c r="F268" s="25"/>
    </row>
    <row r="269" ht="21.75" customHeight="1">
      <c r="A269" s="273"/>
      <c r="B269" s="64"/>
      <c r="C269" s="23"/>
      <c r="D269" s="23"/>
      <c r="E269" s="24"/>
      <c r="F269" s="25"/>
    </row>
    <row r="270" ht="21.75" customHeight="1">
      <c r="A270" s="273"/>
      <c r="B270" s="64"/>
      <c r="C270" s="23"/>
      <c r="D270" s="23"/>
      <c r="E270" s="24"/>
      <c r="F270" s="25"/>
    </row>
    <row r="271" ht="21.75" customHeight="1">
      <c r="A271" s="273"/>
      <c r="B271" s="64"/>
      <c r="C271" s="23"/>
      <c r="D271" s="23"/>
      <c r="E271" s="24"/>
      <c r="F271" s="25"/>
    </row>
    <row r="272" ht="21.75" customHeight="1">
      <c r="A272" s="273"/>
      <c r="B272" s="64"/>
      <c r="C272" s="23"/>
      <c r="D272" s="23"/>
      <c r="E272" s="24"/>
      <c r="F272" s="25"/>
    </row>
    <row r="273" ht="21.75" customHeight="1">
      <c r="A273" s="273"/>
      <c r="B273" s="64"/>
      <c r="C273" s="23"/>
      <c r="D273" s="23"/>
      <c r="E273" s="24"/>
      <c r="F273" s="25"/>
    </row>
    <row r="274" ht="21.75" customHeight="1">
      <c r="A274" s="273"/>
      <c r="B274" s="64"/>
      <c r="C274" s="23"/>
      <c r="D274" s="23"/>
      <c r="E274" s="24"/>
      <c r="F274" s="25"/>
    </row>
    <row r="275" ht="21.75" customHeight="1">
      <c r="A275" s="273"/>
      <c r="B275" s="64"/>
      <c r="C275" s="23"/>
      <c r="D275" s="23"/>
      <c r="E275" s="24"/>
      <c r="F275" s="25"/>
    </row>
    <row r="276" ht="21.75" customHeight="1">
      <c r="A276" s="273"/>
      <c r="B276" s="64"/>
      <c r="C276" s="23"/>
      <c r="D276" s="23"/>
      <c r="E276" s="24"/>
      <c r="F276" s="25"/>
    </row>
    <row r="277" ht="21.75" customHeight="1">
      <c r="A277" s="273"/>
      <c r="B277" s="64"/>
      <c r="C277" s="23"/>
      <c r="D277" s="23"/>
      <c r="E277" s="24"/>
      <c r="F277" s="25"/>
    </row>
    <row r="278" ht="21.75" customHeight="1">
      <c r="A278" s="273"/>
      <c r="B278" s="64"/>
      <c r="C278" s="23"/>
      <c r="D278" s="23"/>
      <c r="E278" s="24"/>
      <c r="F278" s="25"/>
    </row>
    <row r="279" ht="21.75" customHeight="1">
      <c r="A279" s="273"/>
      <c r="B279" s="64"/>
      <c r="C279" s="23"/>
      <c r="D279" s="23"/>
      <c r="E279" s="24"/>
      <c r="F279" s="25"/>
    </row>
    <row r="280" ht="21.75" customHeight="1">
      <c r="A280" s="273"/>
      <c r="B280" s="64"/>
      <c r="C280" s="23"/>
      <c r="D280" s="23"/>
      <c r="E280" s="24"/>
      <c r="F280" s="25"/>
    </row>
    <row r="281" ht="21.75" customHeight="1">
      <c r="A281" s="273"/>
      <c r="B281" s="64"/>
      <c r="C281" s="23"/>
      <c r="D281" s="23"/>
      <c r="E281" s="24"/>
      <c r="F281" s="25"/>
    </row>
    <row r="282" ht="21.75" customHeight="1">
      <c r="A282" s="273"/>
      <c r="B282" s="64"/>
      <c r="C282" s="23"/>
      <c r="D282" s="23"/>
      <c r="E282" s="24"/>
      <c r="F282" s="25"/>
    </row>
    <row r="283" ht="21.75" customHeight="1">
      <c r="A283" s="273"/>
      <c r="B283" s="64"/>
      <c r="C283" s="23"/>
      <c r="D283" s="23"/>
      <c r="E283" s="24"/>
      <c r="F283" s="25"/>
    </row>
    <row r="284" ht="21.75" customHeight="1">
      <c r="A284" s="273"/>
      <c r="B284" s="64"/>
      <c r="C284" s="23"/>
      <c r="D284" s="23"/>
      <c r="E284" s="24"/>
      <c r="F284" s="25"/>
    </row>
    <row r="285" ht="21.75" customHeight="1">
      <c r="A285" s="273"/>
      <c r="B285" s="64"/>
      <c r="C285" s="23"/>
      <c r="D285" s="23"/>
      <c r="E285" s="24"/>
      <c r="F285" s="25"/>
    </row>
    <row r="286" ht="21.75" customHeight="1">
      <c r="A286" s="273"/>
      <c r="B286" s="64"/>
      <c r="C286" s="23"/>
      <c r="D286" s="23"/>
      <c r="E286" s="24"/>
      <c r="F286" s="25"/>
    </row>
    <row r="287" ht="21.75" customHeight="1">
      <c r="A287" s="273"/>
      <c r="B287" s="64"/>
      <c r="C287" s="23"/>
      <c r="D287" s="23"/>
      <c r="E287" s="24"/>
      <c r="F287" s="25"/>
    </row>
    <row r="288" ht="21.75" customHeight="1">
      <c r="A288" s="273"/>
      <c r="B288" s="64"/>
      <c r="C288" s="23"/>
      <c r="D288" s="23"/>
      <c r="E288" s="24"/>
      <c r="F288" s="25"/>
    </row>
    <row r="289" ht="21.75" customHeight="1">
      <c r="A289" s="273"/>
      <c r="B289" s="64"/>
      <c r="C289" s="23"/>
      <c r="D289" s="23"/>
      <c r="E289" s="24"/>
      <c r="F289" s="25"/>
    </row>
    <row r="290" ht="21.75" customHeight="1">
      <c r="A290" s="273"/>
      <c r="B290" s="64"/>
      <c r="C290" s="23"/>
      <c r="D290" s="23"/>
      <c r="E290" s="24"/>
      <c r="F290" s="25"/>
    </row>
    <row r="291" ht="21.75" customHeight="1">
      <c r="A291" s="273"/>
      <c r="B291" s="64"/>
      <c r="C291" s="23"/>
      <c r="D291" s="23"/>
      <c r="E291" s="24"/>
      <c r="F291" s="25"/>
    </row>
    <row r="292" ht="21.75" customHeight="1">
      <c r="A292" s="273"/>
      <c r="B292" s="64"/>
      <c r="C292" s="23"/>
      <c r="D292" s="23"/>
      <c r="E292" s="24"/>
      <c r="F292" s="25"/>
    </row>
    <row r="293" ht="21.75" customHeight="1">
      <c r="A293" s="273"/>
      <c r="B293" s="64"/>
      <c r="C293" s="23"/>
      <c r="D293" s="23"/>
      <c r="E293" s="24"/>
      <c r="F293" s="25"/>
    </row>
    <row r="294" ht="21.75" customHeight="1">
      <c r="A294" s="273"/>
      <c r="B294" s="64"/>
      <c r="C294" s="23"/>
      <c r="D294" s="23"/>
      <c r="E294" s="24"/>
      <c r="F294" s="25"/>
    </row>
    <row r="295" ht="21.75" customHeight="1">
      <c r="A295" s="273"/>
      <c r="B295" s="64"/>
      <c r="C295" s="23"/>
      <c r="D295" s="23"/>
      <c r="E295" s="24"/>
      <c r="F295" s="25"/>
    </row>
    <row r="296" ht="21.75" customHeight="1">
      <c r="A296" s="273"/>
      <c r="B296" s="64"/>
      <c r="C296" s="23"/>
      <c r="D296" s="23"/>
      <c r="E296" s="24"/>
      <c r="F296" s="25"/>
    </row>
    <row r="297" ht="21.75" customHeight="1">
      <c r="A297" s="273"/>
      <c r="B297" s="64"/>
      <c r="C297" s="23"/>
      <c r="D297" s="23"/>
      <c r="E297" s="24"/>
      <c r="F297" s="25"/>
    </row>
    <row r="298" ht="21.75" customHeight="1">
      <c r="A298" s="273"/>
      <c r="B298" s="64"/>
      <c r="C298" s="23"/>
      <c r="D298" s="23"/>
      <c r="E298" s="24"/>
      <c r="F298" s="25"/>
    </row>
    <row r="299" ht="21.75" customHeight="1">
      <c r="A299" s="273"/>
      <c r="B299" s="64"/>
      <c r="C299" s="23"/>
      <c r="D299" s="23"/>
      <c r="E299" s="24"/>
      <c r="F299" s="25"/>
    </row>
    <row r="300" ht="21.75" customHeight="1">
      <c r="A300" s="273"/>
      <c r="B300" s="64"/>
      <c r="C300" s="23"/>
      <c r="D300" s="23"/>
      <c r="E300" s="24"/>
      <c r="F300" s="25"/>
    </row>
    <row r="301" ht="21.75" customHeight="1">
      <c r="A301" s="273"/>
      <c r="B301" s="64"/>
      <c r="C301" s="23"/>
      <c r="D301" s="23"/>
      <c r="E301" s="24"/>
      <c r="F301" s="25"/>
    </row>
    <row r="302" ht="21.75" customHeight="1">
      <c r="A302" s="273"/>
      <c r="B302" s="64"/>
      <c r="C302" s="23"/>
      <c r="D302" s="23"/>
      <c r="E302" s="24"/>
      <c r="F302" s="25"/>
    </row>
    <row r="303" ht="21.75" customHeight="1">
      <c r="A303" s="273"/>
      <c r="B303" s="64"/>
      <c r="C303" s="23"/>
      <c r="D303" s="23"/>
      <c r="E303" s="24"/>
      <c r="F303" s="25"/>
    </row>
    <row r="304" ht="21.75" customHeight="1">
      <c r="A304" s="273"/>
      <c r="B304" s="64"/>
      <c r="C304" s="23"/>
      <c r="D304" s="23"/>
      <c r="E304" s="24"/>
      <c r="F304" s="25"/>
    </row>
    <row r="305" ht="21.75" customHeight="1">
      <c r="A305" s="273"/>
      <c r="B305" s="64"/>
      <c r="C305" s="23"/>
      <c r="D305" s="23"/>
      <c r="E305" s="24"/>
      <c r="F305" s="25"/>
    </row>
    <row r="306" ht="21.75" customHeight="1">
      <c r="A306" s="273"/>
      <c r="B306" s="64"/>
      <c r="C306" s="23"/>
      <c r="D306" s="23"/>
      <c r="E306" s="24"/>
      <c r="F306" s="25"/>
    </row>
    <row r="307" ht="21.75" customHeight="1">
      <c r="A307" s="273"/>
      <c r="B307" s="64"/>
      <c r="C307" s="23"/>
      <c r="D307" s="23"/>
      <c r="E307" s="24"/>
      <c r="F307" s="25"/>
    </row>
    <row r="308" ht="21.75" customHeight="1">
      <c r="A308" s="273"/>
      <c r="B308" s="64"/>
      <c r="C308" s="23"/>
      <c r="D308" s="23"/>
      <c r="E308" s="24"/>
      <c r="F308" s="25"/>
    </row>
    <row r="309" ht="21.75" customHeight="1">
      <c r="A309" s="273"/>
      <c r="B309" s="64"/>
      <c r="C309" s="23"/>
      <c r="D309" s="23"/>
      <c r="E309" s="24"/>
      <c r="F309" s="25"/>
    </row>
    <row r="310" ht="21.75" customHeight="1">
      <c r="A310" s="273"/>
      <c r="B310" s="64"/>
      <c r="C310" s="23"/>
      <c r="D310" s="23"/>
      <c r="E310" s="24"/>
      <c r="F310" s="25"/>
    </row>
    <row r="311" ht="21.75" customHeight="1">
      <c r="A311" s="273"/>
      <c r="B311" s="64"/>
      <c r="C311" s="23"/>
      <c r="D311" s="23"/>
      <c r="E311" s="24"/>
      <c r="F311" s="25"/>
    </row>
    <row r="312" ht="21.75" customHeight="1">
      <c r="A312" s="273"/>
      <c r="B312" s="64"/>
      <c r="C312" s="23"/>
      <c r="D312" s="23"/>
      <c r="E312" s="24"/>
      <c r="F312" s="25"/>
    </row>
    <row r="313" ht="21.75" customHeight="1">
      <c r="A313" s="273"/>
      <c r="B313" s="64"/>
      <c r="C313" s="23"/>
      <c r="D313" s="23"/>
      <c r="E313" s="24"/>
      <c r="F313" s="25"/>
    </row>
    <row r="314" ht="21.75" customHeight="1">
      <c r="A314" s="273"/>
      <c r="B314" s="64"/>
      <c r="C314" s="23"/>
      <c r="D314" s="23"/>
      <c r="E314" s="24"/>
      <c r="F314" s="25"/>
    </row>
    <row r="315" ht="21.75" customHeight="1">
      <c r="A315" s="273"/>
      <c r="B315" s="64"/>
      <c r="C315" s="23"/>
      <c r="D315" s="23"/>
      <c r="E315" s="24"/>
      <c r="F315" s="25"/>
    </row>
    <row r="316" ht="21.75" customHeight="1">
      <c r="A316" s="273"/>
      <c r="B316" s="64"/>
      <c r="C316" s="23"/>
      <c r="D316" s="23"/>
      <c r="E316" s="24"/>
      <c r="F316" s="25"/>
    </row>
    <row r="317" ht="21.75" customHeight="1">
      <c r="A317" s="273"/>
      <c r="B317" s="64"/>
      <c r="C317" s="23"/>
      <c r="D317" s="23"/>
      <c r="E317" s="24"/>
      <c r="F317" s="25"/>
    </row>
    <row r="318" ht="21.75" customHeight="1">
      <c r="A318" s="273"/>
      <c r="B318" s="64"/>
      <c r="C318" s="23"/>
      <c r="D318" s="23"/>
      <c r="E318" s="24"/>
      <c r="F318" s="25"/>
    </row>
    <row r="319" ht="21.75" customHeight="1">
      <c r="A319" s="273"/>
      <c r="B319" s="64"/>
      <c r="C319" s="23"/>
      <c r="D319" s="23"/>
      <c r="E319" s="24"/>
      <c r="F319" s="25"/>
    </row>
    <row r="320" ht="21.75" customHeight="1">
      <c r="A320" s="273"/>
      <c r="B320" s="64"/>
      <c r="C320" s="23"/>
      <c r="D320" s="23"/>
      <c r="E320" s="24"/>
      <c r="F320" s="25"/>
    </row>
    <row r="321" ht="21.75" customHeight="1">
      <c r="A321" s="273"/>
      <c r="B321" s="64"/>
      <c r="C321" s="23"/>
      <c r="D321" s="23"/>
      <c r="E321" s="24"/>
      <c r="F321" s="25"/>
    </row>
    <row r="322" ht="21.75" customHeight="1">
      <c r="A322" s="273"/>
      <c r="B322" s="64"/>
      <c r="C322" s="23"/>
      <c r="D322" s="23"/>
      <c r="E322" s="24"/>
      <c r="F322" s="25"/>
    </row>
    <row r="323" ht="21.75" customHeight="1">
      <c r="A323" s="273"/>
      <c r="B323" s="64"/>
      <c r="C323" s="23"/>
      <c r="D323" s="23"/>
      <c r="E323" s="24"/>
      <c r="F323" s="25"/>
    </row>
    <row r="324" ht="21.75" customHeight="1">
      <c r="A324" s="273"/>
      <c r="B324" s="64"/>
      <c r="C324" s="23"/>
      <c r="D324" s="23"/>
      <c r="E324" s="24"/>
      <c r="F324" s="25"/>
    </row>
    <row r="325" ht="21.75" customHeight="1">
      <c r="A325" s="273"/>
      <c r="B325" s="64"/>
      <c r="C325" s="23"/>
      <c r="D325" s="23"/>
      <c r="E325" s="24"/>
      <c r="F325" s="25"/>
    </row>
    <row r="326" ht="21.75" customHeight="1">
      <c r="A326" s="273"/>
      <c r="B326" s="64"/>
      <c r="C326" s="23"/>
      <c r="D326" s="23"/>
      <c r="E326" s="24"/>
      <c r="F326" s="25"/>
    </row>
    <row r="327" ht="21.75" customHeight="1">
      <c r="A327" s="273"/>
      <c r="B327" s="64"/>
      <c r="C327" s="23"/>
      <c r="D327" s="23"/>
      <c r="E327" s="24"/>
      <c r="F327" s="25"/>
    </row>
    <row r="328" ht="21.75" customHeight="1">
      <c r="A328" s="273"/>
      <c r="B328" s="64"/>
      <c r="C328" s="23"/>
      <c r="D328" s="23"/>
      <c r="E328" s="24"/>
      <c r="F328" s="25"/>
    </row>
    <row r="329" ht="21.75" customHeight="1">
      <c r="A329" s="273"/>
      <c r="B329" s="64"/>
      <c r="C329" s="23"/>
      <c r="D329" s="23"/>
      <c r="E329" s="24"/>
      <c r="F329" s="25"/>
    </row>
    <row r="330" ht="21.75" customHeight="1">
      <c r="A330" s="273"/>
      <c r="B330" s="64"/>
      <c r="C330" s="23"/>
      <c r="D330" s="23"/>
      <c r="E330" s="24"/>
      <c r="F330" s="25"/>
    </row>
    <row r="331" ht="21.75" customHeight="1">
      <c r="A331" s="273"/>
      <c r="B331" s="64"/>
      <c r="C331" s="23"/>
      <c r="D331" s="23"/>
      <c r="E331" s="24"/>
      <c r="F331" s="25"/>
    </row>
    <row r="332" ht="21.75" customHeight="1">
      <c r="A332" s="273"/>
      <c r="B332" s="64"/>
      <c r="C332" s="23"/>
      <c r="D332" s="23"/>
      <c r="E332" s="24"/>
      <c r="F332" s="25"/>
    </row>
    <row r="333" ht="21.75" customHeight="1">
      <c r="A333" s="273"/>
      <c r="B333" s="64"/>
      <c r="C333" s="23"/>
      <c r="D333" s="23"/>
      <c r="E333" s="24"/>
      <c r="F333" s="25"/>
    </row>
    <row r="334" ht="21.75" customHeight="1">
      <c r="A334" s="273"/>
      <c r="B334" s="64"/>
      <c r="C334" s="23"/>
      <c r="D334" s="23"/>
      <c r="E334" s="24"/>
      <c r="F334" s="25"/>
    </row>
    <row r="335" ht="21.75" customHeight="1">
      <c r="A335" s="273"/>
      <c r="B335" s="64"/>
      <c r="C335" s="23"/>
      <c r="D335" s="23"/>
      <c r="E335" s="24"/>
      <c r="F335" s="25"/>
    </row>
    <row r="336" ht="21.75" customHeight="1">
      <c r="A336" s="273"/>
      <c r="B336" s="64"/>
      <c r="C336" s="23"/>
      <c r="D336" s="23"/>
      <c r="E336" s="24"/>
      <c r="F336" s="25"/>
    </row>
    <row r="337" ht="21.75" customHeight="1">
      <c r="A337" s="273"/>
      <c r="B337" s="64"/>
      <c r="C337" s="23"/>
      <c r="D337" s="23"/>
      <c r="E337" s="24"/>
      <c r="F337" s="25"/>
    </row>
    <row r="338" ht="21.75" customHeight="1">
      <c r="A338" s="273"/>
      <c r="B338" s="64"/>
      <c r="C338" s="23"/>
      <c r="D338" s="23"/>
      <c r="E338" s="24"/>
      <c r="F338" s="25"/>
    </row>
    <row r="339" ht="21.75" customHeight="1">
      <c r="A339" s="273"/>
      <c r="B339" s="64"/>
      <c r="C339" s="23"/>
      <c r="D339" s="23"/>
      <c r="E339" s="24"/>
      <c r="F339" s="25"/>
    </row>
    <row r="340" ht="21.75" customHeight="1">
      <c r="A340" s="273"/>
      <c r="B340" s="64"/>
      <c r="C340" s="23"/>
      <c r="D340" s="23"/>
      <c r="E340" s="24"/>
      <c r="F340" s="25"/>
    </row>
    <row r="341" ht="21.75" customHeight="1">
      <c r="A341" s="273"/>
      <c r="B341" s="64"/>
      <c r="C341" s="23"/>
      <c r="D341" s="23"/>
      <c r="E341" s="24"/>
      <c r="F341" s="25"/>
    </row>
    <row r="342" ht="21.75" customHeight="1">
      <c r="A342" s="273"/>
      <c r="B342" s="64"/>
      <c r="C342" s="23"/>
      <c r="D342" s="23"/>
      <c r="E342" s="24"/>
      <c r="F342" s="25"/>
    </row>
    <row r="343" ht="21.75" customHeight="1">
      <c r="A343" s="273"/>
      <c r="B343" s="64"/>
      <c r="C343" s="23"/>
      <c r="D343" s="23"/>
      <c r="E343" s="24"/>
      <c r="F343" s="25"/>
    </row>
    <row r="344" ht="21.75" customHeight="1">
      <c r="A344" s="273"/>
      <c r="B344" s="64"/>
      <c r="C344" s="23"/>
      <c r="D344" s="23"/>
      <c r="E344" s="24"/>
      <c r="F344" s="25"/>
    </row>
    <row r="345" ht="21.75" customHeight="1">
      <c r="A345" s="273"/>
      <c r="B345" s="64"/>
      <c r="C345" s="23"/>
      <c r="D345" s="23"/>
      <c r="E345" s="24"/>
      <c r="F345" s="25"/>
    </row>
    <row r="346" ht="21.75" customHeight="1">
      <c r="A346" s="273"/>
      <c r="B346" s="64"/>
      <c r="C346" s="23"/>
      <c r="D346" s="23"/>
      <c r="E346" s="24"/>
      <c r="F346" s="25"/>
    </row>
    <row r="347" ht="21.75" customHeight="1">
      <c r="A347" s="273"/>
      <c r="B347" s="64"/>
      <c r="C347" s="23"/>
      <c r="D347" s="23"/>
      <c r="E347" s="24"/>
      <c r="F347" s="25"/>
    </row>
    <row r="348" ht="21.75" customHeight="1">
      <c r="A348" s="273"/>
      <c r="B348" s="64"/>
      <c r="C348" s="23"/>
      <c r="D348" s="23"/>
      <c r="E348" s="24"/>
      <c r="F348" s="25"/>
    </row>
    <row r="349" ht="21.75" customHeight="1">
      <c r="A349" s="273"/>
      <c r="B349" s="64"/>
      <c r="C349" s="23"/>
      <c r="D349" s="23"/>
      <c r="E349" s="24"/>
      <c r="F349" s="25"/>
    </row>
    <row r="350" ht="21.75" customHeight="1">
      <c r="A350" s="273"/>
      <c r="B350" s="64"/>
      <c r="C350" s="23"/>
      <c r="D350" s="23"/>
      <c r="E350" s="24"/>
      <c r="F350" s="25"/>
    </row>
    <row r="351" ht="21.75" customHeight="1">
      <c r="A351" s="273"/>
      <c r="B351" s="64"/>
      <c r="C351" s="23"/>
      <c r="D351" s="23"/>
      <c r="E351" s="24"/>
      <c r="F351" s="25"/>
    </row>
    <row r="352" ht="21.75" customHeight="1">
      <c r="A352" s="273"/>
      <c r="B352" s="64"/>
      <c r="C352" s="23"/>
      <c r="D352" s="23"/>
      <c r="E352" s="24"/>
      <c r="F352" s="25"/>
    </row>
    <row r="353" ht="21.75" customHeight="1">
      <c r="A353" s="273"/>
      <c r="B353" s="64"/>
      <c r="C353" s="23"/>
      <c r="D353" s="23"/>
      <c r="E353" s="24"/>
      <c r="F353" s="25"/>
    </row>
    <row r="354" ht="21.75" customHeight="1">
      <c r="A354" s="273"/>
      <c r="B354" s="64"/>
      <c r="C354" s="23"/>
      <c r="D354" s="23"/>
      <c r="E354" s="24"/>
      <c r="F354" s="25"/>
    </row>
    <row r="355" ht="21.75" customHeight="1">
      <c r="A355" s="273"/>
      <c r="B355" s="64"/>
      <c r="C355" s="23"/>
      <c r="D355" s="23"/>
      <c r="E355" s="24"/>
      <c r="F355" s="25"/>
    </row>
    <row r="356" ht="21.75" customHeight="1">
      <c r="A356" s="273"/>
      <c r="B356" s="64"/>
      <c r="C356" s="23"/>
      <c r="D356" s="23"/>
      <c r="E356" s="24"/>
      <c r="F356" s="25"/>
    </row>
    <row r="357" ht="21.75" customHeight="1">
      <c r="A357" s="273"/>
      <c r="B357" s="64"/>
      <c r="C357" s="23"/>
      <c r="D357" s="23"/>
      <c r="E357" s="24"/>
      <c r="F357" s="25"/>
    </row>
    <row r="358" ht="21.75" customHeight="1">
      <c r="A358" s="273"/>
      <c r="B358" s="64"/>
      <c r="C358" s="23"/>
      <c r="D358" s="23"/>
      <c r="E358" s="24"/>
      <c r="F358" s="25"/>
    </row>
    <row r="359" ht="21.75" customHeight="1">
      <c r="A359" s="273"/>
      <c r="B359" s="64"/>
      <c r="C359" s="23"/>
      <c r="D359" s="23"/>
      <c r="E359" s="24"/>
      <c r="F359" s="25"/>
    </row>
    <row r="360" ht="21.75" customHeight="1">
      <c r="A360" s="273"/>
      <c r="B360" s="64"/>
      <c r="C360" s="23"/>
      <c r="D360" s="23"/>
      <c r="E360" s="24"/>
      <c r="F360" s="25"/>
    </row>
    <row r="361" ht="21.75" customHeight="1">
      <c r="A361" s="273"/>
      <c r="B361" s="64"/>
      <c r="C361" s="23"/>
      <c r="D361" s="23"/>
      <c r="E361" s="24"/>
      <c r="F361" s="25"/>
    </row>
    <row r="362" ht="21.75" customHeight="1">
      <c r="A362" s="273"/>
      <c r="B362" s="64"/>
      <c r="C362" s="23"/>
      <c r="D362" s="23"/>
      <c r="E362" s="24"/>
      <c r="F362" s="25"/>
    </row>
    <row r="363" ht="21.75" customHeight="1">
      <c r="A363" s="273"/>
      <c r="B363" s="64"/>
      <c r="C363" s="23"/>
      <c r="D363" s="23"/>
      <c r="E363" s="24"/>
      <c r="F363" s="25"/>
    </row>
    <row r="364" ht="21.75" customHeight="1">
      <c r="A364" s="273"/>
      <c r="B364" s="64"/>
      <c r="C364" s="23"/>
      <c r="D364" s="23"/>
      <c r="E364" s="24"/>
      <c r="F364" s="25"/>
    </row>
    <row r="365" ht="21.75" customHeight="1">
      <c r="A365" s="273"/>
      <c r="B365" s="64"/>
      <c r="C365" s="23"/>
      <c r="D365" s="23"/>
      <c r="E365" s="24"/>
      <c r="F365" s="25"/>
    </row>
    <row r="366" ht="21.75" customHeight="1">
      <c r="A366" s="273"/>
      <c r="B366" s="64"/>
      <c r="C366" s="23"/>
      <c r="D366" s="23"/>
      <c r="E366" s="24"/>
      <c r="F366" s="25"/>
    </row>
    <row r="367" ht="21.75" customHeight="1">
      <c r="A367" s="273"/>
      <c r="B367" s="64"/>
      <c r="C367" s="23"/>
      <c r="D367" s="23"/>
      <c r="E367" s="24"/>
      <c r="F367" s="25"/>
    </row>
    <row r="368" ht="21.75" customHeight="1">
      <c r="A368" s="273"/>
      <c r="B368" s="64"/>
      <c r="C368" s="23"/>
      <c r="D368" s="23"/>
      <c r="E368" s="24"/>
      <c r="F368" s="25"/>
    </row>
    <row r="369" ht="21.75" customHeight="1">
      <c r="A369" s="273"/>
      <c r="B369" s="64"/>
      <c r="C369" s="23"/>
      <c r="D369" s="23"/>
      <c r="E369" s="24"/>
      <c r="F369" s="25"/>
    </row>
    <row r="370" ht="21.75" customHeight="1">
      <c r="A370" s="273"/>
      <c r="B370" s="64"/>
      <c r="C370" s="23"/>
      <c r="D370" s="23"/>
      <c r="E370" s="24"/>
      <c r="F370" s="25"/>
    </row>
    <row r="371" ht="21.75" customHeight="1">
      <c r="A371" s="273"/>
      <c r="B371" s="64"/>
      <c r="C371" s="23"/>
      <c r="D371" s="23"/>
      <c r="E371" s="24"/>
      <c r="F371" s="25"/>
    </row>
    <row r="372" ht="21.75" customHeight="1">
      <c r="A372" s="273"/>
      <c r="B372" s="64"/>
      <c r="C372" s="23"/>
      <c r="D372" s="23"/>
      <c r="E372" s="24"/>
      <c r="F372" s="25"/>
    </row>
    <row r="373" ht="21.75" customHeight="1">
      <c r="A373" s="273"/>
      <c r="B373" s="64"/>
      <c r="C373" s="23"/>
      <c r="D373" s="23"/>
      <c r="E373" s="24"/>
      <c r="F373" s="25"/>
    </row>
    <row r="374" ht="21.75" customHeight="1">
      <c r="A374" s="273"/>
      <c r="B374" s="64"/>
      <c r="C374" s="23"/>
      <c r="D374" s="23"/>
      <c r="E374" s="24"/>
      <c r="F374" s="25"/>
    </row>
    <row r="375" ht="21.75" customHeight="1">
      <c r="A375" s="273"/>
      <c r="B375" s="64"/>
      <c r="C375" s="23"/>
      <c r="D375" s="23"/>
      <c r="E375" s="24"/>
      <c r="F375" s="25"/>
    </row>
    <row r="376" ht="21.75" customHeight="1">
      <c r="A376" s="273"/>
      <c r="B376" s="64"/>
      <c r="C376" s="23"/>
      <c r="D376" s="23"/>
      <c r="E376" s="24"/>
      <c r="F376" s="25"/>
    </row>
    <row r="377" ht="21.75" customHeight="1">
      <c r="A377" s="273"/>
      <c r="B377" s="64"/>
      <c r="C377" s="23"/>
      <c r="D377" s="23"/>
      <c r="E377" s="24"/>
      <c r="F377" s="25"/>
    </row>
    <row r="378" ht="21.75" customHeight="1">
      <c r="A378" s="273"/>
      <c r="B378" s="64"/>
      <c r="C378" s="23"/>
      <c r="D378" s="23"/>
      <c r="E378" s="24"/>
      <c r="F378" s="25"/>
    </row>
    <row r="379" ht="21.75" customHeight="1">
      <c r="A379" s="273"/>
      <c r="B379" s="64"/>
      <c r="C379" s="23"/>
      <c r="D379" s="23"/>
      <c r="E379" s="24"/>
      <c r="F379" s="25"/>
    </row>
    <row r="380" ht="21.75" customHeight="1">
      <c r="A380" s="273"/>
      <c r="B380" s="64"/>
      <c r="C380" s="23"/>
      <c r="D380" s="23"/>
      <c r="E380" s="24"/>
      <c r="F380" s="25"/>
    </row>
    <row r="381" ht="21.75" customHeight="1">
      <c r="A381" s="273"/>
      <c r="B381" s="64"/>
      <c r="C381" s="23"/>
      <c r="D381" s="23"/>
      <c r="E381" s="24"/>
      <c r="F381" s="25"/>
    </row>
    <row r="382" ht="21.75" customHeight="1">
      <c r="A382" s="273"/>
      <c r="B382" s="64"/>
      <c r="C382" s="23"/>
      <c r="D382" s="23"/>
      <c r="E382" s="24"/>
      <c r="F382" s="25"/>
    </row>
    <row r="383" ht="21.75" customHeight="1">
      <c r="A383" s="273"/>
      <c r="B383" s="64"/>
      <c r="C383" s="23"/>
      <c r="D383" s="23"/>
      <c r="E383" s="24"/>
      <c r="F383" s="25"/>
    </row>
    <row r="384" ht="21.75" customHeight="1">
      <c r="A384" s="273"/>
      <c r="B384" s="64"/>
      <c r="C384" s="23"/>
      <c r="D384" s="23"/>
      <c r="E384" s="24"/>
      <c r="F384" s="25"/>
    </row>
    <row r="385" ht="21.75" customHeight="1">
      <c r="A385" s="273"/>
      <c r="B385" s="64"/>
      <c r="C385" s="23"/>
      <c r="D385" s="23"/>
      <c r="E385" s="24"/>
      <c r="F385" s="25"/>
    </row>
    <row r="386" ht="21.75" customHeight="1">
      <c r="A386" s="273"/>
      <c r="B386" s="64"/>
      <c r="C386" s="23"/>
      <c r="D386" s="23"/>
      <c r="E386" s="24"/>
      <c r="F386" s="25"/>
    </row>
    <row r="387" ht="21.75" customHeight="1">
      <c r="A387" s="273"/>
      <c r="B387" s="64"/>
      <c r="C387" s="23"/>
      <c r="D387" s="23"/>
      <c r="E387" s="24"/>
      <c r="F387" s="25"/>
    </row>
    <row r="388" ht="21.75" customHeight="1">
      <c r="A388" s="273"/>
      <c r="B388" s="64"/>
      <c r="C388" s="23"/>
      <c r="D388" s="23"/>
      <c r="E388" s="24"/>
      <c r="F388" s="25"/>
    </row>
    <row r="389" ht="21.75" customHeight="1">
      <c r="A389" s="273"/>
      <c r="B389" s="64"/>
      <c r="C389" s="23"/>
      <c r="D389" s="23"/>
      <c r="E389" s="24"/>
      <c r="F389" s="25"/>
    </row>
    <row r="390" ht="21.75" customHeight="1">
      <c r="A390" s="273"/>
      <c r="B390" s="64"/>
      <c r="C390" s="23"/>
      <c r="D390" s="23"/>
      <c r="E390" s="24"/>
      <c r="F390" s="25"/>
    </row>
    <row r="391" ht="21.75" customHeight="1">
      <c r="A391" s="273"/>
      <c r="B391" s="64"/>
      <c r="C391" s="23"/>
      <c r="D391" s="23"/>
      <c r="E391" s="24"/>
      <c r="F391" s="25"/>
    </row>
    <row r="392" ht="21.75" customHeight="1">
      <c r="A392" s="273"/>
      <c r="B392" s="64"/>
      <c r="C392" s="23"/>
      <c r="D392" s="23"/>
      <c r="E392" s="24"/>
      <c r="F392" s="25"/>
    </row>
    <row r="393" ht="21.75" customHeight="1">
      <c r="A393" s="273"/>
      <c r="B393" s="64"/>
      <c r="C393" s="23"/>
      <c r="D393" s="23"/>
      <c r="E393" s="24"/>
      <c r="F393" s="25"/>
    </row>
    <row r="394" ht="21.75" customHeight="1">
      <c r="A394" s="273"/>
      <c r="B394" s="64"/>
      <c r="C394" s="23"/>
      <c r="D394" s="23"/>
      <c r="E394" s="24"/>
      <c r="F394" s="25"/>
    </row>
    <row r="395" ht="21.75" customHeight="1">
      <c r="A395" s="273"/>
      <c r="B395" s="64"/>
      <c r="C395" s="23"/>
      <c r="D395" s="23"/>
      <c r="E395" s="24"/>
      <c r="F395" s="25"/>
    </row>
    <row r="396" ht="21.75" customHeight="1">
      <c r="A396" s="273"/>
      <c r="B396" s="64"/>
      <c r="C396" s="23"/>
      <c r="D396" s="23"/>
      <c r="E396" s="24"/>
      <c r="F396" s="25"/>
    </row>
    <row r="397" ht="21.75" customHeight="1">
      <c r="A397" s="273"/>
      <c r="B397" s="64"/>
      <c r="C397" s="23"/>
      <c r="D397" s="23"/>
      <c r="E397" s="24"/>
      <c r="F397" s="25"/>
    </row>
    <row r="398" ht="21.75" customHeight="1">
      <c r="A398" s="273"/>
      <c r="B398" s="64"/>
      <c r="C398" s="23"/>
      <c r="D398" s="23"/>
      <c r="E398" s="24"/>
      <c r="F398" s="25"/>
    </row>
    <row r="399" ht="21.75" customHeight="1">
      <c r="A399" s="273"/>
      <c r="B399" s="64"/>
      <c r="C399" s="23"/>
      <c r="D399" s="23"/>
      <c r="E399" s="24"/>
      <c r="F399" s="25"/>
    </row>
    <row r="400" ht="21.75" customHeight="1">
      <c r="A400" s="273"/>
      <c r="B400" s="64"/>
      <c r="C400" s="23"/>
      <c r="D400" s="23"/>
      <c r="E400" s="24"/>
      <c r="F400" s="25"/>
    </row>
    <row r="401" ht="21.75" customHeight="1">
      <c r="A401" s="273"/>
      <c r="B401" s="64"/>
      <c r="C401" s="23"/>
      <c r="D401" s="23"/>
      <c r="E401" s="24"/>
      <c r="F401" s="25"/>
    </row>
    <row r="402" ht="21.75" customHeight="1">
      <c r="A402" s="273"/>
      <c r="B402" s="64"/>
      <c r="C402" s="23"/>
      <c r="D402" s="23"/>
      <c r="E402" s="24"/>
      <c r="F402" s="25"/>
    </row>
    <row r="403" ht="21.75" customHeight="1">
      <c r="A403" s="273"/>
      <c r="B403" s="64"/>
      <c r="C403" s="23"/>
      <c r="D403" s="23"/>
      <c r="E403" s="24"/>
      <c r="F403" s="25"/>
    </row>
    <row r="404" ht="21.75" customHeight="1">
      <c r="A404" s="273"/>
      <c r="B404" s="64"/>
      <c r="C404" s="23"/>
      <c r="D404" s="23"/>
      <c r="E404" s="24"/>
      <c r="F404" s="25"/>
    </row>
    <row r="405" ht="21.75" customHeight="1">
      <c r="A405" s="273"/>
      <c r="B405" s="64"/>
      <c r="C405" s="23"/>
      <c r="D405" s="23"/>
      <c r="E405" s="24"/>
      <c r="F405" s="25"/>
    </row>
    <row r="406" ht="21.75" customHeight="1">
      <c r="A406" s="273"/>
      <c r="B406" s="64"/>
      <c r="C406" s="23"/>
      <c r="D406" s="23"/>
      <c r="E406" s="24"/>
      <c r="F406" s="25"/>
    </row>
    <row r="407" ht="21.75" customHeight="1">
      <c r="A407" s="273"/>
      <c r="B407" s="64"/>
      <c r="C407" s="23"/>
      <c r="D407" s="23"/>
      <c r="E407" s="24"/>
      <c r="F407" s="25"/>
    </row>
    <row r="408" ht="21.75" customHeight="1">
      <c r="A408" s="273"/>
      <c r="B408" s="64"/>
      <c r="C408" s="23"/>
      <c r="D408" s="23"/>
      <c r="E408" s="24"/>
      <c r="F408" s="25"/>
    </row>
    <row r="409" ht="21.75" customHeight="1">
      <c r="A409" s="273"/>
      <c r="B409" s="64"/>
      <c r="C409" s="23"/>
      <c r="D409" s="23"/>
      <c r="E409" s="24"/>
      <c r="F409" s="25"/>
    </row>
    <row r="410" ht="21.75" customHeight="1">
      <c r="A410" s="273"/>
      <c r="B410" s="64"/>
      <c r="C410" s="23"/>
      <c r="D410" s="23"/>
      <c r="E410" s="24"/>
      <c r="F410" s="25"/>
    </row>
    <row r="411" ht="21.75" customHeight="1">
      <c r="A411" s="273"/>
      <c r="B411" s="64"/>
      <c r="C411" s="23"/>
      <c r="D411" s="23"/>
      <c r="E411" s="24"/>
      <c r="F411" s="25"/>
    </row>
    <row r="412" ht="21.75" customHeight="1">
      <c r="A412" s="273"/>
      <c r="B412" s="64"/>
      <c r="C412" s="23"/>
      <c r="D412" s="23"/>
      <c r="E412" s="24"/>
      <c r="F412" s="25"/>
    </row>
    <row r="413" ht="21.75" customHeight="1">
      <c r="A413" s="273"/>
      <c r="B413" s="64"/>
      <c r="C413" s="23"/>
      <c r="D413" s="23"/>
      <c r="E413" s="24"/>
      <c r="F413" s="25"/>
    </row>
    <row r="414" ht="21.75" customHeight="1">
      <c r="A414" s="273"/>
      <c r="B414" s="64"/>
      <c r="C414" s="23"/>
      <c r="D414" s="23"/>
      <c r="E414" s="24"/>
      <c r="F414" s="25"/>
    </row>
    <row r="415" ht="21.75" customHeight="1">
      <c r="A415" s="273"/>
      <c r="B415" s="64"/>
      <c r="C415" s="23"/>
      <c r="D415" s="23"/>
      <c r="E415" s="24"/>
      <c r="F415" s="25"/>
    </row>
    <row r="416" ht="21.75" customHeight="1">
      <c r="A416" s="273"/>
      <c r="B416" s="64"/>
      <c r="C416" s="23"/>
      <c r="D416" s="23"/>
      <c r="E416" s="24"/>
      <c r="F416" s="25"/>
    </row>
    <row r="417" ht="21.75" customHeight="1">
      <c r="A417" s="273"/>
      <c r="B417" s="64"/>
      <c r="C417" s="23"/>
      <c r="D417" s="23"/>
      <c r="E417" s="24"/>
      <c r="F417" s="25"/>
    </row>
    <row r="418" ht="21.75" customHeight="1">
      <c r="A418" s="273"/>
      <c r="B418" s="64"/>
      <c r="C418" s="23"/>
      <c r="D418" s="23"/>
      <c r="E418" s="24"/>
      <c r="F418" s="25"/>
    </row>
    <row r="419" ht="21.75" customHeight="1">
      <c r="A419" s="273"/>
      <c r="B419" s="64"/>
      <c r="C419" s="23"/>
      <c r="D419" s="23"/>
      <c r="E419" s="24"/>
      <c r="F419" s="25"/>
    </row>
    <row r="420" ht="21.75" customHeight="1">
      <c r="A420" s="273"/>
      <c r="B420" s="64"/>
      <c r="C420" s="23"/>
      <c r="D420" s="23"/>
      <c r="E420" s="24"/>
      <c r="F420" s="25"/>
    </row>
    <row r="421" ht="21.75" customHeight="1">
      <c r="A421" s="273"/>
      <c r="B421" s="64"/>
      <c r="C421" s="23"/>
      <c r="D421" s="23"/>
      <c r="E421" s="24"/>
      <c r="F421" s="25"/>
    </row>
    <row r="422" ht="21.75" customHeight="1">
      <c r="A422" s="273"/>
      <c r="B422" s="64"/>
      <c r="C422" s="23"/>
      <c r="D422" s="23"/>
      <c r="E422" s="24"/>
      <c r="F422" s="25"/>
    </row>
    <row r="423" ht="21.75" customHeight="1">
      <c r="A423" s="273"/>
      <c r="B423" s="64"/>
      <c r="C423" s="23"/>
      <c r="D423" s="23"/>
      <c r="E423" s="24"/>
      <c r="F423" s="25"/>
    </row>
    <row r="424" ht="21.75" customHeight="1">
      <c r="A424" s="273"/>
      <c r="B424" s="64"/>
      <c r="C424" s="23"/>
      <c r="D424" s="23"/>
      <c r="E424" s="24"/>
      <c r="F424" s="25"/>
    </row>
    <row r="425" ht="21.75" customHeight="1">
      <c r="A425" s="273"/>
      <c r="B425" s="64"/>
      <c r="C425" s="23"/>
      <c r="D425" s="23"/>
      <c r="E425" s="24"/>
      <c r="F425" s="25"/>
    </row>
    <row r="426" ht="21.75" customHeight="1">
      <c r="A426" s="273"/>
      <c r="B426" s="64"/>
      <c r="C426" s="23"/>
      <c r="D426" s="23"/>
      <c r="E426" s="24"/>
      <c r="F426" s="25"/>
    </row>
    <row r="427" ht="21.75" customHeight="1">
      <c r="A427" s="273"/>
      <c r="B427" s="64"/>
      <c r="C427" s="23"/>
      <c r="D427" s="23"/>
      <c r="E427" s="24"/>
      <c r="F427" s="25"/>
    </row>
    <row r="428" ht="21.75" customHeight="1">
      <c r="A428" s="273"/>
      <c r="B428" s="64"/>
      <c r="C428" s="23"/>
      <c r="D428" s="23"/>
      <c r="E428" s="24"/>
      <c r="F428" s="25"/>
    </row>
    <row r="429" ht="21.75" customHeight="1">
      <c r="A429" s="273"/>
      <c r="B429" s="64"/>
      <c r="C429" s="23"/>
      <c r="D429" s="23"/>
      <c r="E429" s="24"/>
      <c r="F429" s="25"/>
    </row>
    <row r="430" ht="21.75" customHeight="1">
      <c r="A430" s="273"/>
      <c r="B430" s="64"/>
      <c r="C430" s="23"/>
      <c r="D430" s="23"/>
      <c r="E430" s="24"/>
      <c r="F430" s="25"/>
    </row>
    <row r="431" ht="21.75" customHeight="1">
      <c r="A431" s="273"/>
      <c r="B431" s="64"/>
      <c r="C431" s="23"/>
      <c r="D431" s="23"/>
      <c r="E431" s="24"/>
      <c r="F431" s="25"/>
    </row>
    <row r="432" ht="21.75" customHeight="1">
      <c r="A432" s="273"/>
      <c r="B432" s="64"/>
      <c r="C432" s="23"/>
      <c r="D432" s="23"/>
      <c r="E432" s="24"/>
      <c r="F432" s="25"/>
    </row>
    <row r="433" ht="21.75" customHeight="1">
      <c r="A433" s="273"/>
      <c r="B433" s="64"/>
      <c r="C433" s="23"/>
      <c r="D433" s="23"/>
      <c r="E433" s="24"/>
      <c r="F433" s="25"/>
    </row>
    <row r="434" ht="21.75" customHeight="1">
      <c r="A434" s="273"/>
      <c r="B434" s="64"/>
      <c r="C434" s="23"/>
      <c r="D434" s="23"/>
      <c r="E434" s="24"/>
      <c r="F434" s="25"/>
    </row>
    <row r="435" ht="21.75" customHeight="1">
      <c r="A435" s="273"/>
      <c r="B435" s="64"/>
      <c r="C435" s="23"/>
      <c r="D435" s="23"/>
      <c r="E435" s="24"/>
      <c r="F435" s="25"/>
    </row>
    <row r="436" ht="21.75" customHeight="1">
      <c r="A436" s="273"/>
      <c r="B436" s="64"/>
      <c r="C436" s="23"/>
      <c r="D436" s="23"/>
      <c r="E436" s="24"/>
      <c r="F436" s="25"/>
    </row>
    <row r="437" ht="21.75" customHeight="1">
      <c r="A437" s="273"/>
      <c r="B437" s="64"/>
      <c r="C437" s="23"/>
      <c r="D437" s="23"/>
      <c r="E437" s="24"/>
      <c r="F437" s="25"/>
    </row>
    <row r="438" ht="21.75" customHeight="1">
      <c r="A438" s="273"/>
      <c r="B438" s="64"/>
      <c r="C438" s="23"/>
      <c r="D438" s="23"/>
      <c r="E438" s="24"/>
      <c r="F438" s="25"/>
    </row>
    <row r="439" ht="21.75" customHeight="1">
      <c r="A439" s="273"/>
      <c r="B439" s="64"/>
      <c r="C439" s="23"/>
      <c r="D439" s="23"/>
      <c r="E439" s="24"/>
      <c r="F439" s="25"/>
    </row>
    <row r="440" ht="21.75" customHeight="1">
      <c r="A440" s="273"/>
      <c r="B440" s="64"/>
      <c r="C440" s="23"/>
      <c r="D440" s="23"/>
      <c r="E440" s="24"/>
      <c r="F440" s="25"/>
    </row>
    <row r="441" ht="21.75" customHeight="1">
      <c r="A441" s="273"/>
      <c r="B441" s="64"/>
      <c r="C441" s="23"/>
      <c r="D441" s="23"/>
      <c r="E441" s="24"/>
      <c r="F441" s="25"/>
    </row>
    <row r="442" ht="21.75" customHeight="1">
      <c r="A442" s="273"/>
      <c r="B442" s="64"/>
      <c r="C442" s="23"/>
      <c r="D442" s="23"/>
      <c r="E442" s="24"/>
      <c r="F442" s="25"/>
    </row>
    <row r="443" ht="21.75" customHeight="1">
      <c r="A443" s="273"/>
      <c r="B443" s="64"/>
      <c r="C443" s="23"/>
      <c r="D443" s="23"/>
      <c r="E443" s="24"/>
      <c r="F443" s="25"/>
    </row>
    <row r="444" ht="21.75" customHeight="1">
      <c r="A444" s="273"/>
      <c r="B444" s="64"/>
      <c r="C444" s="23"/>
      <c r="D444" s="23"/>
      <c r="E444" s="24"/>
      <c r="F444" s="25"/>
    </row>
    <row r="445" ht="21.75" customHeight="1">
      <c r="A445" s="273"/>
      <c r="B445" s="64"/>
      <c r="C445" s="23"/>
      <c r="D445" s="23"/>
      <c r="E445" s="24"/>
      <c r="F445" s="25"/>
    </row>
    <row r="446" ht="21.75" customHeight="1">
      <c r="A446" s="273"/>
      <c r="B446" s="64"/>
      <c r="C446" s="23"/>
      <c r="D446" s="23"/>
      <c r="E446" s="24"/>
      <c r="F446" s="25"/>
    </row>
    <row r="447" ht="21.75" customHeight="1">
      <c r="A447" s="273"/>
      <c r="B447" s="64"/>
      <c r="C447" s="23"/>
      <c r="D447" s="23"/>
      <c r="E447" s="24"/>
      <c r="F447" s="25"/>
    </row>
    <row r="448" ht="21.75" customHeight="1">
      <c r="A448" s="273"/>
      <c r="B448" s="64"/>
      <c r="C448" s="23"/>
      <c r="D448" s="23"/>
      <c r="E448" s="24"/>
      <c r="F448" s="25"/>
    </row>
    <row r="449" ht="21.75" customHeight="1">
      <c r="A449" s="273"/>
      <c r="B449" s="64"/>
      <c r="C449" s="23"/>
      <c r="D449" s="23"/>
      <c r="E449" s="24"/>
      <c r="F449" s="25"/>
    </row>
    <row r="450" ht="21.75" customHeight="1">
      <c r="A450" s="273"/>
      <c r="B450" s="64"/>
      <c r="C450" s="23"/>
      <c r="D450" s="23"/>
      <c r="E450" s="24"/>
      <c r="F450" s="25"/>
    </row>
    <row r="451" ht="21.75" customHeight="1">
      <c r="A451" s="273"/>
      <c r="B451" s="64"/>
      <c r="C451" s="23"/>
      <c r="D451" s="23"/>
      <c r="E451" s="24"/>
      <c r="F451" s="25"/>
    </row>
    <row r="452" ht="21.75" customHeight="1">
      <c r="A452" s="273"/>
      <c r="B452" s="64"/>
      <c r="C452" s="23"/>
      <c r="D452" s="23"/>
      <c r="E452" s="24"/>
      <c r="F452" s="25"/>
    </row>
    <row r="453" ht="21.75" customHeight="1">
      <c r="A453" s="273"/>
      <c r="B453" s="64"/>
      <c r="C453" s="23"/>
      <c r="D453" s="23"/>
      <c r="E453" s="24"/>
      <c r="F453" s="25"/>
    </row>
    <row r="454" ht="21.75" customHeight="1">
      <c r="A454" s="273"/>
      <c r="B454" s="64"/>
      <c r="C454" s="23"/>
      <c r="D454" s="23"/>
      <c r="E454" s="24"/>
      <c r="F454" s="25"/>
    </row>
    <row r="455" ht="21.75" customHeight="1">
      <c r="A455" s="273"/>
      <c r="B455" s="64"/>
      <c r="C455" s="23"/>
      <c r="D455" s="23"/>
      <c r="E455" s="24"/>
      <c r="F455" s="25"/>
    </row>
    <row r="456" ht="21.75" customHeight="1">
      <c r="A456" s="273"/>
      <c r="B456" s="64"/>
      <c r="C456" s="23"/>
      <c r="D456" s="23"/>
      <c r="E456" s="24"/>
      <c r="F456" s="25"/>
    </row>
    <row r="457" ht="21.75" customHeight="1">
      <c r="A457" s="273"/>
      <c r="B457" s="64"/>
      <c r="C457" s="23"/>
      <c r="D457" s="23"/>
      <c r="E457" s="24"/>
      <c r="F457" s="25"/>
    </row>
    <row r="458" ht="21.75" customHeight="1">
      <c r="A458" s="273"/>
      <c r="B458" s="64"/>
      <c r="C458" s="23"/>
      <c r="D458" s="23"/>
      <c r="E458" s="24"/>
      <c r="F458" s="25"/>
    </row>
    <row r="459" ht="21.75" customHeight="1">
      <c r="A459" s="273"/>
      <c r="B459" s="64"/>
      <c r="C459" s="23"/>
      <c r="D459" s="23"/>
      <c r="E459" s="24"/>
      <c r="F459" s="25"/>
    </row>
    <row r="460" ht="21.75" customHeight="1">
      <c r="A460" s="273"/>
      <c r="B460" s="64"/>
      <c r="C460" s="23"/>
      <c r="D460" s="23"/>
      <c r="E460" s="24"/>
      <c r="F460" s="25"/>
    </row>
    <row r="461" ht="21.75" customHeight="1">
      <c r="A461" s="273"/>
      <c r="B461" s="64"/>
      <c r="C461" s="23"/>
      <c r="D461" s="23"/>
      <c r="E461" s="24"/>
      <c r="F461" s="25"/>
    </row>
    <row r="462" ht="21.75" customHeight="1">
      <c r="A462" s="273"/>
      <c r="B462" s="64"/>
      <c r="C462" s="23"/>
      <c r="D462" s="23"/>
      <c r="E462" s="24"/>
      <c r="F462" s="25"/>
    </row>
    <row r="463" ht="21.75" customHeight="1">
      <c r="A463" s="273"/>
      <c r="B463" s="64"/>
      <c r="C463" s="23"/>
      <c r="D463" s="23"/>
      <c r="E463" s="24"/>
      <c r="F463" s="25"/>
    </row>
    <row r="464" ht="21.75" customHeight="1">
      <c r="A464" s="273"/>
      <c r="B464" s="64"/>
      <c r="C464" s="23"/>
      <c r="D464" s="23"/>
      <c r="E464" s="24"/>
      <c r="F464" s="25"/>
    </row>
    <row r="465" ht="21.75" customHeight="1">
      <c r="A465" s="273"/>
      <c r="B465" s="64"/>
      <c r="C465" s="23"/>
      <c r="D465" s="23"/>
      <c r="E465" s="24"/>
      <c r="F465" s="25"/>
    </row>
    <row r="466" ht="21.75" customHeight="1">
      <c r="A466" s="273"/>
      <c r="B466" s="64"/>
      <c r="C466" s="23"/>
      <c r="D466" s="23"/>
      <c r="E466" s="24"/>
      <c r="F466" s="25"/>
    </row>
    <row r="467" ht="21.75" customHeight="1">
      <c r="A467" s="273"/>
      <c r="B467" s="64"/>
      <c r="C467" s="23"/>
      <c r="D467" s="23"/>
      <c r="E467" s="24"/>
      <c r="F467" s="25"/>
    </row>
    <row r="468" ht="21.75" customHeight="1">
      <c r="A468" s="273"/>
      <c r="B468" s="64"/>
      <c r="C468" s="23"/>
      <c r="D468" s="23"/>
      <c r="E468" s="24"/>
      <c r="F468" s="25"/>
    </row>
    <row r="469" ht="21.75" customHeight="1">
      <c r="A469" s="273"/>
      <c r="B469" s="64"/>
      <c r="C469" s="23"/>
      <c r="D469" s="23"/>
      <c r="E469" s="24"/>
      <c r="F469" s="25"/>
    </row>
    <row r="470" ht="21.75" customHeight="1">
      <c r="A470" s="273"/>
      <c r="B470" s="64"/>
      <c r="C470" s="23"/>
      <c r="D470" s="23"/>
      <c r="E470" s="24"/>
      <c r="F470" s="25"/>
    </row>
    <row r="471" ht="21.75" customHeight="1">
      <c r="A471" s="273"/>
      <c r="B471" s="64"/>
      <c r="C471" s="23"/>
      <c r="D471" s="23"/>
      <c r="E471" s="24"/>
      <c r="F471" s="25"/>
    </row>
    <row r="472" ht="21.75" customHeight="1">
      <c r="A472" s="273"/>
      <c r="B472" s="64"/>
      <c r="C472" s="23"/>
      <c r="D472" s="23"/>
      <c r="E472" s="24"/>
      <c r="F472" s="25"/>
    </row>
    <row r="473" ht="21.75" customHeight="1">
      <c r="A473" s="273"/>
      <c r="B473" s="64"/>
      <c r="C473" s="23"/>
      <c r="D473" s="23"/>
      <c r="E473" s="24"/>
      <c r="F473" s="25"/>
    </row>
    <row r="474" ht="21.75" customHeight="1">
      <c r="A474" s="273"/>
      <c r="B474" s="64"/>
      <c r="C474" s="23"/>
      <c r="D474" s="23"/>
      <c r="E474" s="24"/>
      <c r="F474" s="25"/>
    </row>
    <row r="475" ht="21.75" customHeight="1">
      <c r="A475" s="273"/>
      <c r="B475" s="64"/>
      <c r="C475" s="23"/>
      <c r="D475" s="23"/>
      <c r="E475" s="24"/>
      <c r="F475" s="25"/>
    </row>
    <row r="476" ht="21.75" customHeight="1">
      <c r="A476" s="273"/>
      <c r="B476" s="64"/>
      <c r="C476" s="23"/>
      <c r="D476" s="23"/>
      <c r="E476" s="24"/>
      <c r="F476" s="25"/>
    </row>
    <row r="477" ht="21.75" customHeight="1">
      <c r="A477" s="273"/>
      <c r="B477" s="64"/>
      <c r="C477" s="23"/>
      <c r="D477" s="23"/>
      <c r="E477" s="24"/>
      <c r="F477" s="25"/>
    </row>
    <row r="478" ht="21.75" customHeight="1">
      <c r="A478" s="273"/>
      <c r="B478" s="64"/>
      <c r="C478" s="23"/>
      <c r="D478" s="23"/>
      <c r="E478" s="24"/>
      <c r="F478" s="25"/>
    </row>
    <row r="479" ht="21.75" customHeight="1">
      <c r="A479" s="273"/>
      <c r="B479" s="64"/>
      <c r="C479" s="23"/>
      <c r="D479" s="23"/>
      <c r="E479" s="24"/>
      <c r="F479" s="25"/>
    </row>
    <row r="480" ht="21.75" customHeight="1">
      <c r="A480" s="273"/>
      <c r="B480" s="64"/>
      <c r="C480" s="23"/>
      <c r="D480" s="23"/>
      <c r="E480" s="24"/>
      <c r="F480" s="25"/>
    </row>
    <row r="481" ht="21.75" customHeight="1">
      <c r="A481" s="273"/>
      <c r="B481" s="64"/>
      <c r="C481" s="23"/>
      <c r="D481" s="23"/>
      <c r="E481" s="24"/>
      <c r="F481" s="25"/>
    </row>
    <row r="482" ht="21.75" customHeight="1">
      <c r="A482" s="273"/>
      <c r="B482" s="64"/>
      <c r="C482" s="23"/>
      <c r="D482" s="23"/>
      <c r="E482" s="24"/>
      <c r="F482" s="25"/>
    </row>
    <row r="483" ht="21.75" customHeight="1">
      <c r="A483" s="273"/>
      <c r="B483" s="64"/>
      <c r="C483" s="23"/>
      <c r="D483" s="23"/>
      <c r="E483" s="24"/>
      <c r="F483" s="25"/>
    </row>
    <row r="484" ht="21.75" customHeight="1">
      <c r="A484" s="273"/>
      <c r="B484" s="64"/>
      <c r="C484" s="23"/>
      <c r="D484" s="23"/>
      <c r="E484" s="24"/>
      <c r="F484" s="25"/>
    </row>
    <row r="485" ht="21.75" customHeight="1">
      <c r="A485" s="273"/>
      <c r="B485" s="64"/>
      <c r="C485" s="23"/>
      <c r="D485" s="23"/>
      <c r="E485" s="24"/>
      <c r="F485" s="25"/>
    </row>
    <row r="486" ht="21.75" customHeight="1">
      <c r="A486" s="273"/>
      <c r="B486" s="64"/>
      <c r="C486" s="23"/>
      <c r="D486" s="23"/>
      <c r="E486" s="24"/>
      <c r="F486" s="25"/>
    </row>
    <row r="487" ht="21.75" customHeight="1">
      <c r="A487" s="273"/>
      <c r="B487" s="64"/>
      <c r="C487" s="23"/>
      <c r="D487" s="23"/>
      <c r="E487" s="24"/>
      <c r="F487" s="25"/>
    </row>
    <row r="488" ht="21.75" customHeight="1">
      <c r="A488" s="273"/>
      <c r="B488" s="64"/>
      <c r="C488" s="23"/>
      <c r="D488" s="23"/>
      <c r="E488" s="24"/>
      <c r="F488" s="25"/>
    </row>
    <row r="489" ht="21.75" customHeight="1">
      <c r="A489" s="273"/>
      <c r="B489" s="64"/>
      <c r="C489" s="23"/>
      <c r="D489" s="23"/>
      <c r="E489" s="24"/>
      <c r="F489" s="25"/>
    </row>
    <row r="490" ht="21.75" customHeight="1">
      <c r="A490" s="273"/>
      <c r="B490" s="64"/>
      <c r="C490" s="23"/>
      <c r="D490" s="23"/>
      <c r="E490" s="24"/>
      <c r="F490" s="25"/>
    </row>
    <row r="491" ht="21.75" customHeight="1">
      <c r="A491" s="273"/>
      <c r="B491" s="64"/>
      <c r="C491" s="23"/>
      <c r="D491" s="23"/>
      <c r="E491" s="24"/>
      <c r="F491" s="25"/>
    </row>
    <row r="492" ht="21.75" customHeight="1">
      <c r="A492" s="273"/>
      <c r="B492" s="64"/>
      <c r="C492" s="23"/>
      <c r="D492" s="23"/>
      <c r="E492" s="24"/>
      <c r="F492" s="25"/>
    </row>
    <row r="493" ht="21.75" customHeight="1">
      <c r="A493" s="273"/>
      <c r="B493" s="64"/>
      <c r="C493" s="23"/>
      <c r="D493" s="23"/>
      <c r="E493" s="24"/>
      <c r="F493" s="25"/>
    </row>
    <row r="494" ht="21.75" customHeight="1">
      <c r="A494" s="273"/>
      <c r="B494" s="64"/>
      <c r="C494" s="23"/>
      <c r="D494" s="23"/>
      <c r="E494" s="24"/>
      <c r="F494" s="25"/>
    </row>
    <row r="495" ht="21.75" customHeight="1">
      <c r="A495" s="273"/>
      <c r="B495" s="64"/>
      <c r="C495" s="23"/>
      <c r="D495" s="23"/>
      <c r="E495" s="24"/>
      <c r="F495" s="25"/>
    </row>
    <row r="496" ht="21.75" customHeight="1">
      <c r="A496" s="273"/>
      <c r="B496" s="64"/>
      <c r="C496" s="23"/>
      <c r="D496" s="23"/>
      <c r="E496" s="24"/>
      <c r="F496" s="25"/>
    </row>
    <row r="497" ht="21.75" customHeight="1">
      <c r="A497" s="273"/>
      <c r="B497" s="64"/>
      <c r="C497" s="23"/>
      <c r="D497" s="23"/>
      <c r="E497" s="24"/>
      <c r="F497" s="25"/>
    </row>
    <row r="498" ht="21.75" customHeight="1">
      <c r="A498" s="273"/>
      <c r="B498" s="64"/>
      <c r="C498" s="23"/>
      <c r="D498" s="23"/>
      <c r="E498" s="24"/>
      <c r="F498" s="25"/>
    </row>
    <row r="499" ht="21.75" customHeight="1">
      <c r="A499" s="273"/>
      <c r="B499" s="64"/>
      <c r="C499" s="23"/>
      <c r="D499" s="23"/>
      <c r="E499" s="24"/>
      <c r="F499" s="25"/>
    </row>
    <row r="500" ht="21.75" customHeight="1">
      <c r="A500" s="273"/>
      <c r="B500" s="64"/>
      <c r="C500" s="23"/>
      <c r="D500" s="23"/>
      <c r="E500" s="24"/>
      <c r="F500" s="25"/>
    </row>
    <row r="501" ht="21.75" customHeight="1">
      <c r="A501" s="273"/>
      <c r="B501" s="64"/>
      <c r="C501" s="23"/>
      <c r="D501" s="23"/>
      <c r="E501" s="24"/>
      <c r="F501" s="25"/>
    </row>
    <row r="502" ht="21.75" customHeight="1">
      <c r="A502" s="273"/>
      <c r="B502" s="64"/>
      <c r="C502" s="23"/>
      <c r="D502" s="23"/>
      <c r="E502" s="24"/>
      <c r="F502" s="25"/>
    </row>
    <row r="503" ht="21.75" customHeight="1">
      <c r="A503" s="273"/>
      <c r="B503" s="64"/>
      <c r="C503" s="23"/>
      <c r="D503" s="23"/>
      <c r="E503" s="24"/>
      <c r="F503" s="25"/>
    </row>
    <row r="504" ht="21.75" customHeight="1">
      <c r="A504" s="273"/>
      <c r="B504" s="64"/>
      <c r="C504" s="23"/>
      <c r="D504" s="23"/>
      <c r="E504" s="24"/>
      <c r="F504" s="25"/>
    </row>
    <row r="505" ht="21.75" customHeight="1">
      <c r="A505" s="273"/>
      <c r="B505" s="64"/>
      <c r="C505" s="23"/>
      <c r="D505" s="23"/>
      <c r="E505" s="24"/>
      <c r="F505" s="25"/>
    </row>
    <row r="506" ht="21.75" customHeight="1">
      <c r="A506" s="273"/>
      <c r="B506" s="64"/>
      <c r="C506" s="23"/>
      <c r="D506" s="23"/>
      <c r="E506" s="24"/>
      <c r="F506" s="25"/>
    </row>
    <row r="507" ht="21.75" customHeight="1">
      <c r="A507" s="273"/>
      <c r="B507" s="64"/>
      <c r="C507" s="23"/>
      <c r="D507" s="23"/>
      <c r="E507" s="24"/>
      <c r="F507" s="25"/>
    </row>
    <row r="508" ht="21.75" customHeight="1">
      <c r="A508" s="273"/>
      <c r="B508" s="64"/>
      <c r="C508" s="23"/>
      <c r="D508" s="23"/>
      <c r="E508" s="24"/>
      <c r="F508" s="25"/>
    </row>
    <row r="509" ht="21.75" customHeight="1">
      <c r="A509" s="273"/>
      <c r="B509" s="64"/>
      <c r="C509" s="23"/>
      <c r="D509" s="23"/>
      <c r="E509" s="24"/>
      <c r="F509" s="25"/>
    </row>
    <row r="510" ht="21.75" customHeight="1">
      <c r="A510" s="273"/>
      <c r="B510" s="64"/>
      <c r="C510" s="23"/>
      <c r="D510" s="23"/>
      <c r="E510" s="24"/>
      <c r="F510" s="25"/>
    </row>
    <row r="511" ht="21.75" customHeight="1">
      <c r="A511" s="273"/>
      <c r="B511" s="64"/>
      <c r="C511" s="23"/>
      <c r="D511" s="23"/>
      <c r="E511" s="24"/>
      <c r="F511" s="25"/>
    </row>
    <row r="512" ht="21.75" customHeight="1">
      <c r="A512" s="273"/>
      <c r="B512" s="64"/>
      <c r="C512" s="23"/>
      <c r="D512" s="23"/>
      <c r="E512" s="24"/>
      <c r="F512" s="25"/>
    </row>
    <row r="513" ht="21.75" customHeight="1">
      <c r="A513" s="273"/>
      <c r="B513" s="64"/>
      <c r="C513" s="23"/>
      <c r="D513" s="23"/>
      <c r="E513" s="24"/>
      <c r="F513" s="25"/>
    </row>
    <row r="514" ht="21.75" customHeight="1">
      <c r="A514" s="273"/>
      <c r="B514" s="64"/>
      <c r="C514" s="23"/>
      <c r="D514" s="23"/>
      <c r="E514" s="24"/>
      <c r="F514" s="25"/>
    </row>
    <row r="515" ht="21.75" customHeight="1">
      <c r="A515" s="273"/>
      <c r="B515" s="64"/>
      <c r="C515" s="23"/>
      <c r="D515" s="23"/>
      <c r="E515" s="24"/>
      <c r="F515" s="25"/>
    </row>
    <row r="516" ht="21.75" customHeight="1">
      <c r="A516" s="273"/>
      <c r="B516" s="64"/>
      <c r="C516" s="23"/>
      <c r="D516" s="23"/>
      <c r="E516" s="24"/>
      <c r="F516" s="25"/>
    </row>
    <row r="517" ht="21.75" customHeight="1">
      <c r="A517" s="273"/>
      <c r="B517" s="64"/>
      <c r="C517" s="23"/>
      <c r="D517" s="23"/>
      <c r="E517" s="24"/>
      <c r="F517" s="25"/>
    </row>
    <row r="518" ht="21.75" customHeight="1">
      <c r="A518" s="273"/>
      <c r="B518" s="64"/>
      <c r="C518" s="23"/>
      <c r="D518" s="23"/>
      <c r="E518" s="24"/>
      <c r="F518" s="25"/>
    </row>
    <row r="519" ht="21.75" customHeight="1">
      <c r="A519" s="273"/>
      <c r="B519" s="64"/>
      <c r="C519" s="23"/>
      <c r="D519" s="23"/>
      <c r="E519" s="24"/>
      <c r="F519" s="25"/>
    </row>
    <row r="520" ht="21.75" customHeight="1">
      <c r="A520" s="273"/>
      <c r="B520" s="64"/>
      <c r="C520" s="23"/>
      <c r="D520" s="23"/>
      <c r="E520" s="24"/>
      <c r="F520" s="25"/>
    </row>
    <row r="521" ht="21.75" customHeight="1">
      <c r="A521" s="273"/>
      <c r="B521" s="64"/>
      <c r="C521" s="23"/>
      <c r="D521" s="23"/>
      <c r="E521" s="24"/>
      <c r="F521" s="25"/>
    </row>
    <row r="522" ht="21.75" customHeight="1">
      <c r="A522" s="273"/>
      <c r="B522" s="64"/>
      <c r="C522" s="23"/>
      <c r="D522" s="23"/>
      <c r="E522" s="24"/>
      <c r="F522" s="25"/>
    </row>
    <row r="523" ht="21.75" customHeight="1">
      <c r="A523" s="273"/>
      <c r="B523" s="64"/>
      <c r="C523" s="23"/>
      <c r="D523" s="23"/>
      <c r="E523" s="24"/>
      <c r="F523" s="25"/>
    </row>
    <row r="524" ht="21.75" customHeight="1">
      <c r="A524" s="273"/>
      <c r="B524" s="64"/>
      <c r="C524" s="23"/>
      <c r="D524" s="23"/>
      <c r="E524" s="24"/>
      <c r="F524" s="25"/>
    </row>
    <row r="525" ht="21.75" customHeight="1">
      <c r="A525" s="273"/>
      <c r="B525" s="64"/>
      <c r="C525" s="23"/>
      <c r="D525" s="23"/>
      <c r="E525" s="24"/>
      <c r="F525" s="25"/>
    </row>
    <row r="526" ht="21.75" customHeight="1">
      <c r="A526" s="273"/>
      <c r="B526" s="64"/>
      <c r="C526" s="23"/>
      <c r="D526" s="23"/>
      <c r="E526" s="24"/>
      <c r="F526" s="25"/>
    </row>
    <row r="527" ht="21.75" customHeight="1">
      <c r="A527" s="273"/>
      <c r="B527" s="64"/>
      <c r="C527" s="23"/>
      <c r="D527" s="23"/>
      <c r="E527" s="24"/>
      <c r="F527" s="25"/>
    </row>
    <row r="528" ht="21.75" customHeight="1">
      <c r="A528" s="273"/>
      <c r="B528" s="64"/>
      <c r="C528" s="23"/>
      <c r="D528" s="23"/>
      <c r="E528" s="24"/>
      <c r="F528" s="25"/>
    </row>
    <row r="529" ht="21.75" customHeight="1">
      <c r="A529" s="273"/>
      <c r="B529" s="64"/>
      <c r="C529" s="23"/>
      <c r="D529" s="23"/>
      <c r="E529" s="24"/>
      <c r="F529" s="25"/>
    </row>
    <row r="530" ht="21.75" customHeight="1">
      <c r="A530" s="273"/>
      <c r="B530" s="64"/>
      <c r="C530" s="23"/>
      <c r="D530" s="23"/>
      <c r="E530" s="24"/>
      <c r="F530" s="25"/>
    </row>
    <row r="531" ht="21.75" customHeight="1">
      <c r="A531" s="273"/>
      <c r="B531" s="64"/>
      <c r="C531" s="23"/>
      <c r="D531" s="23"/>
      <c r="E531" s="24"/>
      <c r="F531" s="25"/>
    </row>
    <row r="532" ht="21.75" customHeight="1">
      <c r="A532" s="273"/>
      <c r="B532" s="64"/>
      <c r="C532" s="23"/>
      <c r="D532" s="23"/>
      <c r="E532" s="24"/>
      <c r="F532" s="25"/>
    </row>
    <row r="533" ht="21.75" customHeight="1">
      <c r="A533" s="273"/>
      <c r="B533" s="64"/>
      <c r="C533" s="23"/>
      <c r="D533" s="23"/>
      <c r="E533" s="24"/>
      <c r="F533" s="25"/>
    </row>
    <row r="534" ht="21.75" customHeight="1">
      <c r="A534" s="273"/>
      <c r="B534" s="64"/>
      <c r="C534" s="23"/>
      <c r="D534" s="23"/>
      <c r="E534" s="24"/>
      <c r="F534" s="25"/>
    </row>
    <row r="535" ht="21.75" customHeight="1">
      <c r="A535" s="273"/>
      <c r="B535" s="64"/>
      <c r="C535" s="23"/>
      <c r="D535" s="23"/>
      <c r="E535" s="24"/>
      <c r="F535" s="25"/>
    </row>
    <row r="536" ht="21.75" customHeight="1">
      <c r="A536" s="273"/>
      <c r="B536" s="64"/>
      <c r="C536" s="23"/>
      <c r="D536" s="23"/>
      <c r="E536" s="24"/>
      <c r="F536" s="25"/>
    </row>
    <row r="537" ht="21.75" customHeight="1">
      <c r="A537" s="273"/>
      <c r="B537" s="64"/>
      <c r="C537" s="23"/>
      <c r="D537" s="23"/>
      <c r="E537" s="24"/>
      <c r="F537" s="25"/>
    </row>
    <row r="538" ht="21.75" customHeight="1">
      <c r="A538" s="273"/>
      <c r="B538" s="64"/>
      <c r="C538" s="23"/>
      <c r="D538" s="23"/>
      <c r="E538" s="24"/>
      <c r="F538" s="25"/>
    </row>
    <row r="539" ht="21.75" customHeight="1">
      <c r="A539" s="273"/>
      <c r="B539" s="64"/>
      <c r="C539" s="23"/>
      <c r="D539" s="23"/>
      <c r="E539" s="24"/>
      <c r="F539" s="25"/>
    </row>
    <row r="540" ht="21.75" customHeight="1">
      <c r="A540" s="273"/>
      <c r="B540" s="64"/>
      <c r="C540" s="23"/>
      <c r="D540" s="23"/>
      <c r="E540" s="24"/>
      <c r="F540" s="25"/>
    </row>
    <row r="541" ht="21.75" customHeight="1">
      <c r="A541" s="273"/>
      <c r="B541" s="64"/>
      <c r="C541" s="23"/>
      <c r="D541" s="23"/>
      <c r="E541" s="24"/>
      <c r="F541" s="25"/>
    </row>
    <row r="542" ht="21.75" customHeight="1">
      <c r="A542" s="273"/>
      <c r="B542" s="64"/>
      <c r="C542" s="23"/>
      <c r="D542" s="23"/>
      <c r="E542" s="24"/>
      <c r="F542" s="25"/>
    </row>
    <row r="543" ht="21.75" customHeight="1">
      <c r="A543" s="273"/>
      <c r="B543" s="64"/>
      <c r="C543" s="23"/>
      <c r="D543" s="23"/>
      <c r="E543" s="24"/>
      <c r="F543" s="25"/>
    </row>
    <row r="544" ht="21.75" customHeight="1">
      <c r="A544" s="273"/>
      <c r="B544" s="64"/>
      <c r="C544" s="23"/>
      <c r="D544" s="23"/>
      <c r="E544" s="24"/>
      <c r="F544" s="25"/>
    </row>
    <row r="545" ht="21.75" customHeight="1">
      <c r="A545" s="273"/>
      <c r="B545" s="64"/>
      <c r="C545" s="23"/>
      <c r="D545" s="23"/>
      <c r="E545" s="24"/>
      <c r="F545" s="25"/>
    </row>
    <row r="546" ht="21.75" customHeight="1">
      <c r="A546" s="273"/>
      <c r="B546" s="64"/>
      <c r="C546" s="23"/>
      <c r="D546" s="23"/>
      <c r="E546" s="24"/>
      <c r="F546" s="25"/>
    </row>
    <row r="547" ht="21.75" customHeight="1">
      <c r="A547" s="273"/>
      <c r="B547" s="64"/>
      <c r="C547" s="23"/>
      <c r="D547" s="23"/>
      <c r="E547" s="24"/>
      <c r="F547" s="25"/>
    </row>
    <row r="548" ht="21.75" customHeight="1">
      <c r="A548" s="273"/>
      <c r="B548" s="64"/>
      <c r="C548" s="23"/>
      <c r="D548" s="23"/>
      <c r="E548" s="24"/>
      <c r="F548" s="25"/>
    </row>
    <row r="549" ht="21.75" customHeight="1">
      <c r="A549" s="273"/>
      <c r="B549" s="64"/>
      <c r="C549" s="23"/>
      <c r="D549" s="23"/>
      <c r="E549" s="24"/>
      <c r="F549" s="25"/>
    </row>
    <row r="550" ht="21.75" customHeight="1">
      <c r="A550" s="273"/>
      <c r="B550" s="64"/>
      <c r="C550" s="23"/>
      <c r="D550" s="23"/>
      <c r="E550" s="24"/>
      <c r="F550" s="25"/>
    </row>
    <row r="551" ht="21.75" customHeight="1">
      <c r="A551" s="273"/>
      <c r="B551" s="64"/>
      <c r="C551" s="23"/>
      <c r="D551" s="23"/>
      <c r="E551" s="24"/>
      <c r="F551" s="25"/>
    </row>
    <row r="552" ht="21.75" customHeight="1">
      <c r="A552" s="273"/>
      <c r="B552" s="64"/>
      <c r="C552" s="23"/>
      <c r="D552" s="23"/>
      <c r="E552" s="24"/>
      <c r="F552" s="25"/>
    </row>
    <row r="553" ht="21.75" customHeight="1">
      <c r="A553" s="273"/>
      <c r="B553" s="64"/>
      <c r="C553" s="23"/>
      <c r="D553" s="23"/>
      <c r="E553" s="24"/>
      <c r="F553" s="25"/>
    </row>
    <row r="554" ht="21.75" customHeight="1">
      <c r="A554" s="273"/>
      <c r="B554" s="64"/>
      <c r="C554" s="23"/>
      <c r="D554" s="23"/>
      <c r="E554" s="24"/>
      <c r="F554" s="25"/>
    </row>
    <row r="555" ht="21.75" customHeight="1">
      <c r="A555" s="273"/>
      <c r="B555" s="64"/>
      <c r="C555" s="23"/>
      <c r="D555" s="23"/>
      <c r="E555" s="24"/>
      <c r="F555" s="25"/>
    </row>
    <row r="556" ht="21.75" customHeight="1">
      <c r="A556" s="273"/>
      <c r="B556" s="64"/>
      <c r="C556" s="23"/>
      <c r="D556" s="23"/>
      <c r="E556" s="24"/>
      <c r="F556" s="25"/>
    </row>
    <row r="557" ht="21.75" customHeight="1">
      <c r="A557" s="273"/>
      <c r="B557" s="64"/>
      <c r="C557" s="23"/>
      <c r="D557" s="23"/>
      <c r="E557" s="24"/>
      <c r="F557" s="25"/>
    </row>
    <row r="558" ht="21.75" customHeight="1">
      <c r="A558" s="273"/>
      <c r="B558" s="64"/>
      <c r="C558" s="23"/>
      <c r="D558" s="23"/>
      <c r="E558" s="24"/>
      <c r="F558" s="25"/>
    </row>
    <row r="559" ht="21.75" customHeight="1">
      <c r="A559" s="273"/>
      <c r="B559" s="64"/>
      <c r="C559" s="23"/>
      <c r="D559" s="23"/>
      <c r="E559" s="24"/>
      <c r="F559" s="25"/>
    </row>
    <row r="560" ht="21.75" customHeight="1">
      <c r="A560" s="273"/>
      <c r="B560" s="64"/>
      <c r="C560" s="23"/>
      <c r="D560" s="23"/>
      <c r="E560" s="24"/>
      <c r="F560" s="25"/>
    </row>
    <row r="561" ht="21.75" customHeight="1">
      <c r="A561" s="273"/>
      <c r="B561" s="64"/>
      <c r="C561" s="23"/>
      <c r="D561" s="23"/>
      <c r="E561" s="24"/>
      <c r="F561" s="25"/>
    </row>
    <row r="562" ht="21.75" customHeight="1">
      <c r="A562" s="273"/>
      <c r="B562" s="64"/>
      <c r="C562" s="23"/>
      <c r="D562" s="23"/>
      <c r="E562" s="24"/>
      <c r="F562" s="25"/>
    </row>
    <row r="563" ht="21.75" customHeight="1">
      <c r="A563" s="273"/>
      <c r="B563" s="64"/>
      <c r="C563" s="23"/>
      <c r="D563" s="23"/>
      <c r="E563" s="24"/>
      <c r="F563" s="25"/>
    </row>
    <row r="564" ht="21.75" customHeight="1">
      <c r="A564" s="273"/>
      <c r="B564" s="64"/>
      <c r="C564" s="23"/>
      <c r="D564" s="23"/>
      <c r="E564" s="24"/>
      <c r="F564" s="25"/>
    </row>
    <row r="565" ht="21.75" customHeight="1">
      <c r="A565" s="273"/>
      <c r="B565" s="64"/>
      <c r="C565" s="23"/>
      <c r="D565" s="23"/>
      <c r="E565" s="24"/>
      <c r="F565" s="25"/>
    </row>
    <row r="566" ht="21.75" customHeight="1">
      <c r="A566" s="273"/>
      <c r="B566" s="64"/>
      <c r="C566" s="23"/>
      <c r="D566" s="23"/>
      <c r="E566" s="24"/>
      <c r="F566" s="25"/>
    </row>
    <row r="567" ht="21.75" customHeight="1">
      <c r="A567" s="273"/>
      <c r="B567" s="64"/>
      <c r="C567" s="23"/>
      <c r="D567" s="23"/>
      <c r="E567" s="24"/>
      <c r="F567" s="25"/>
    </row>
    <row r="568" ht="21.75" customHeight="1">
      <c r="A568" s="273"/>
      <c r="B568" s="64"/>
      <c r="C568" s="23"/>
      <c r="D568" s="23"/>
      <c r="E568" s="24"/>
      <c r="F568" s="25"/>
    </row>
    <row r="569" ht="21.75" customHeight="1">
      <c r="A569" s="273"/>
      <c r="B569" s="64"/>
      <c r="C569" s="23"/>
      <c r="D569" s="23"/>
      <c r="E569" s="24"/>
      <c r="F569" s="25"/>
    </row>
    <row r="570" ht="21.75" customHeight="1">
      <c r="A570" s="273"/>
      <c r="B570" s="64"/>
      <c r="C570" s="23"/>
      <c r="D570" s="23"/>
      <c r="E570" s="24"/>
      <c r="F570" s="25"/>
    </row>
    <row r="571" ht="21.75" customHeight="1">
      <c r="A571" s="273"/>
      <c r="B571" s="64"/>
      <c r="C571" s="23"/>
      <c r="D571" s="23"/>
      <c r="E571" s="24"/>
      <c r="F571" s="25"/>
    </row>
    <row r="572" ht="21.75" customHeight="1">
      <c r="A572" s="273"/>
      <c r="B572" s="64"/>
      <c r="C572" s="23"/>
      <c r="D572" s="23"/>
      <c r="E572" s="24"/>
      <c r="F572" s="25"/>
    </row>
    <row r="573" ht="21.75" customHeight="1">
      <c r="A573" s="273"/>
      <c r="B573" s="64"/>
      <c r="C573" s="23"/>
      <c r="D573" s="23"/>
      <c r="E573" s="24"/>
      <c r="F573" s="25"/>
    </row>
    <row r="574" ht="21.75" customHeight="1">
      <c r="A574" s="273"/>
      <c r="B574" s="64"/>
      <c r="C574" s="23"/>
      <c r="D574" s="23"/>
      <c r="E574" s="24"/>
      <c r="F574" s="25"/>
    </row>
    <row r="575" ht="21.75" customHeight="1">
      <c r="A575" s="273"/>
      <c r="B575" s="64"/>
      <c r="C575" s="23"/>
      <c r="D575" s="23"/>
      <c r="E575" s="24"/>
      <c r="F575" s="25"/>
    </row>
    <row r="576" ht="21.75" customHeight="1">
      <c r="A576" s="273"/>
      <c r="B576" s="64"/>
      <c r="C576" s="23"/>
      <c r="D576" s="23"/>
      <c r="E576" s="24"/>
      <c r="F576" s="25"/>
    </row>
    <row r="577" ht="21.75" customHeight="1">
      <c r="A577" s="273"/>
      <c r="B577" s="64"/>
      <c r="C577" s="23"/>
      <c r="D577" s="23"/>
      <c r="E577" s="24"/>
      <c r="F577" s="25"/>
    </row>
    <row r="578" ht="21.75" customHeight="1">
      <c r="A578" s="273"/>
      <c r="B578" s="64"/>
      <c r="C578" s="23"/>
      <c r="D578" s="23"/>
      <c r="E578" s="24"/>
      <c r="F578" s="25"/>
    </row>
    <row r="579" ht="21.75" customHeight="1">
      <c r="A579" s="273"/>
      <c r="B579" s="64"/>
      <c r="C579" s="23"/>
      <c r="D579" s="23"/>
      <c r="E579" s="24"/>
      <c r="F579" s="25"/>
    </row>
    <row r="580" ht="21.75" customHeight="1">
      <c r="A580" s="273"/>
      <c r="B580" s="64"/>
      <c r="C580" s="23"/>
      <c r="D580" s="23"/>
      <c r="E580" s="24"/>
      <c r="F580" s="25"/>
    </row>
    <row r="581" ht="21.75" customHeight="1">
      <c r="A581" s="273"/>
      <c r="B581" s="64"/>
      <c r="C581" s="23"/>
      <c r="D581" s="23"/>
      <c r="E581" s="24"/>
      <c r="F581" s="25"/>
    </row>
    <row r="582" ht="21.75" customHeight="1">
      <c r="A582" s="273"/>
      <c r="B582" s="64"/>
      <c r="C582" s="23"/>
      <c r="D582" s="23"/>
      <c r="E582" s="24"/>
      <c r="F582" s="25"/>
    </row>
    <row r="583" ht="21.75" customHeight="1">
      <c r="A583" s="273"/>
      <c r="B583" s="64"/>
      <c r="C583" s="23"/>
      <c r="D583" s="23"/>
      <c r="E583" s="24"/>
      <c r="F583" s="25"/>
    </row>
    <row r="584" ht="21.75" customHeight="1">
      <c r="A584" s="273"/>
      <c r="B584" s="64"/>
      <c r="C584" s="23"/>
      <c r="D584" s="23"/>
      <c r="E584" s="24"/>
      <c r="F584" s="25"/>
    </row>
    <row r="585" ht="21.75" customHeight="1">
      <c r="A585" s="273"/>
      <c r="B585" s="64"/>
      <c r="C585" s="23"/>
      <c r="D585" s="23"/>
      <c r="E585" s="24"/>
      <c r="F585" s="25"/>
    </row>
    <row r="586" ht="21.75" customHeight="1">
      <c r="A586" s="273"/>
      <c r="B586" s="64"/>
      <c r="C586" s="23"/>
      <c r="D586" s="23"/>
      <c r="E586" s="24"/>
      <c r="F586" s="25"/>
    </row>
    <row r="587" ht="21.75" customHeight="1">
      <c r="A587" s="273"/>
      <c r="B587" s="64"/>
      <c r="C587" s="23"/>
      <c r="D587" s="23"/>
      <c r="E587" s="24"/>
      <c r="F587" s="25"/>
    </row>
    <row r="588" ht="21.75" customHeight="1">
      <c r="A588" s="273"/>
      <c r="B588" s="64"/>
      <c r="C588" s="23"/>
      <c r="D588" s="23"/>
      <c r="E588" s="24"/>
      <c r="F588" s="25"/>
    </row>
    <row r="589" ht="21.75" customHeight="1">
      <c r="A589" s="273"/>
      <c r="B589" s="64"/>
      <c r="C589" s="23"/>
      <c r="D589" s="23"/>
      <c r="E589" s="24"/>
      <c r="F589" s="25"/>
    </row>
    <row r="590" ht="21.75" customHeight="1">
      <c r="A590" s="273"/>
      <c r="B590" s="64"/>
      <c r="C590" s="23"/>
      <c r="D590" s="23"/>
      <c r="E590" s="24"/>
      <c r="F590" s="25"/>
    </row>
    <row r="591" ht="21.75" customHeight="1">
      <c r="A591" s="273"/>
      <c r="B591" s="64"/>
      <c r="C591" s="23"/>
      <c r="D591" s="23"/>
      <c r="E591" s="24"/>
      <c r="F591" s="25"/>
    </row>
    <row r="592" ht="21.75" customHeight="1">
      <c r="A592" s="273"/>
      <c r="B592" s="64"/>
      <c r="C592" s="23"/>
      <c r="D592" s="23"/>
      <c r="E592" s="24"/>
      <c r="F592" s="25"/>
    </row>
    <row r="593" ht="21.75" customHeight="1">
      <c r="A593" s="273"/>
      <c r="B593" s="64"/>
      <c r="C593" s="23"/>
      <c r="D593" s="23"/>
      <c r="E593" s="24"/>
      <c r="F593" s="25"/>
    </row>
    <row r="594" ht="21.75" customHeight="1">
      <c r="A594" s="273"/>
      <c r="B594" s="64"/>
      <c r="C594" s="23"/>
      <c r="D594" s="23"/>
      <c r="E594" s="24"/>
      <c r="F594" s="25"/>
    </row>
    <row r="595" ht="21.75" customHeight="1">
      <c r="A595" s="273"/>
      <c r="B595" s="64"/>
      <c r="C595" s="23"/>
      <c r="D595" s="23"/>
      <c r="E595" s="24"/>
      <c r="F595" s="25"/>
    </row>
    <row r="596" ht="21.75" customHeight="1">
      <c r="A596" s="273"/>
      <c r="B596" s="64"/>
      <c r="C596" s="23"/>
      <c r="D596" s="23"/>
      <c r="E596" s="24"/>
      <c r="F596" s="25"/>
    </row>
    <row r="597" ht="21.75" customHeight="1">
      <c r="A597" s="273"/>
      <c r="B597" s="64"/>
      <c r="C597" s="23"/>
      <c r="D597" s="23"/>
      <c r="E597" s="24"/>
      <c r="F597" s="25"/>
    </row>
    <row r="598" ht="21.75" customHeight="1">
      <c r="A598" s="273"/>
      <c r="B598" s="64"/>
      <c r="C598" s="23"/>
      <c r="D598" s="23"/>
      <c r="E598" s="24"/>
      <c r="F598" s="25"/>
    </row>
    <row r="599" ht="21.75" customHeight="1">
      <c r="A599" s="273"/>
      <c r="B599" s="64"/>
      <c r="C599" s="23"/>
      <c r="D599" s="23"/>
      <c r="E599" s="24"/>
      <c r="F599" s="25"/>
    </row>
    <row r="600" ht="21.75" customHeight="1">
      <c r="A600" s="273"/>
      <c r="B600" s="64"/>
      <c r="C600" s="23"/>
      <c r="D600" s="23"/>
      <c r="E600" s="24"/>
      <c r="F600" s="25"/>
    </row>
    <row r="601" ht="21.75" customHeight="1">
      <c r="A601" s="273"/>
      <c r="B601" s="64"/>
      <c r="C601" s="23"/>
      <c r="D601" s="23"/>
      <c r="E601" s="24"/>
      <c r="F601" s="25"/>
    </row>
    <row r="602" ht="21.75" customHeight="1">
      <c r="A602" s="273"/>
      <c r="B602" s="64"/>
      <c r="C602" s="23"/>
      <c r="D602" s="23"/>
      <c r="E602" s="24"/>
      <c r="F602" s="25"/>
    </row>
    <row r="603" ht="21.75" customHeight="1">
      <c r="A603" s="273"/>
      <c r="B603" s="64"/>
      <c r="C603" s="23"/>
      <c r="D603" s="23"/>
      <c r="E603" s="24"/>
      <c r="F603" s="25"/>
    </row>
    <row r="604" ht="21.75" customHeight="1">
      <c r="A604" s="273"/>
      <c r="B604" s="64"/>
      <c r="C604" s="23"/>
      <c r="D604" s="23"/>
      <c r="E604" s="24"/>
      <c r="F604" s="25"/>
    </row>
    <row r="605" ht="21.75" customHeight="1">
      <c r="A605" s="273"/>
      <c r="B605" s="64"/>
      <c r="C605" s="23"/>
      <c r="D605" s="23"/>
      <c r="E605" s="24"/>
      <c r="F605" s="25"/>
    </row>
    <row r="606" ht="21.75" customHeight="1">
      <c r="A606" s="273"/>
      <c r="B606" s="64"/>
      <c r="C606" s="23"/>
      <c r="D606" s="23"/>
      <c r="E606" s="24"/>
      <c r="F606" s="25"/>
    </row>
    <row r="607" ht="21.75" customHeight="1">
      <c r="A607" s="273"/>
      <c r="B607" s="64"/>
      <c r="C607" s="23"/>
      <c r="D607" s="23"/>
      <c r="E607" s="24"/>
      <c r="F607" s="25"/>
    </row>
    <row r="608" ht="21.75" customHeight="1">
      <c r="A608" s="273"/>
      <c r="B608" s="64"/>
      <c r="C608" s="23"/>
      <c r="D608" s="23"/>
      <c r="E608" s="24"/>
      <c r="F608" s="25"/>
    </row>
    <row r="609" ht="21.75" customHeight="1">
      <c r="A609" s="273"/>
      <c r="B609" s="64"/>
      <c r="C609" s="23"/>
      <c r="D609" s="23"/>
      <c r="E609" s="24"/>
      <c r="F609" s="25"/>
    </row>
    <row r="610" ht="21.75" customHeight="1">
      <c r="A610" s="273"/>
      <c r="B610" s="64"/>
      <c r="C610" s="23"/>
      <c r="D610" s="23"/>
      <c r="E610" s="24"/>
      <c r="F610" s="25"/>
    </row>
    <row r="611" ht="21.75" customHeight="1">
      <c r="A611" s="273"/>
      <c r="B611" s="64"/>
      <c r="C611" s="23"/>
      <c r="D611" s="23"/>
      <c r="E611" s="24"/>
      <c r="F611" s="25"/>
    </row>
    <row r="612" ht="21.75" customHeight="1">
      <c r="A612" s="273"/>
      <c r="B612" s="64"/>
      <c r="C612" s="23"/>
      <c r="D612" s="23"/>
      <c r="E612" s="24"/>
      <c r="F612" s="25"/>
    </row>
    <row r="613" ht="21.75" customHeight="1">
      <c r="A613" s="273"/>
      <c r="B613" s="64"/>
      <c r="C613" s="23"/>
      <c r="D613" s="23"/>
      <c r="E613" s="24"/>
      <c r="F613" s="25"/>
    </row>
    <row r="614" ht="21.75" customHeight="1">
      <c r="A614" s="273"/>
      <c r="B614" s="64"/>
      <c r="C614" s="23"/>
      <c r="D614" s="23"/>
      <c r="E614" s="24"/>
      <c r="F614" s="25"/>
    </row>
    <row r="615" ht="21.75" customHeight="1">
      <c r="A615" s="273"/>
      <c r="B615" s="64"/>
      <c r="C615" s="23"/>
      <c r="D615" s="23"/>
      <c r="E615" s="24"/>
      <c r="F615" s="25"/>
    </row>
    <row r="616" ht="21.75" customHeight="1">
      <c r="A616" s="273"/>
      <c r="B616" s="64"/>
      <c r="C616" s="23"/>
      <c r="D616" s="23"/>
      <c r="E616" s="24"/>
      <c r="F616" s="25"/>
    </row>
    <row r="617" ht="21.75" customHeight="1">
      <c r="A617" s="273"/>
      <c r="B617" s="64"/>
      <c r="C617" s="23"/>
      <c r="D617" s="23"/>
      <c r="E617" s="24"/>
      <c r="F617" s="25"/>
    </row>
    <row r="618" ht="21.75" customHeight="1">
      <c r="A618" s="273"/>
      <c r="B618" s="64"/>
      <c r="C618" s="23"/>
      <c r="D618" s="23"/>
      <c r="E618" s="24"/>
      <c r="F618" s="25"/>
    </row>
    <row r="619" ht="21.75" customHeight="1">
      <c r="A619" s="273"/>
      <c r="B619" s="64"/>
      <c r="C619" s="23"/>
      <c r="D619" s="23"/>
      <c r="E619" s="24"/>
      <c r="F619" s="25"/>
    </row>
    <row r="620" ht="21.75" customHeight="1">
      <c r="A620" s="273"/>
      <c r="B620" s="64"/>
      <c r="C620" s="23"/>
      <c r="D620" s="23"/>
      <c r="E620" s="24"/>
      <c r="F620" s="25"/>
    </row>
    <row r="621" ht="21.75" customHeight="1">
      <c r="A621" s="273"/>
      <c r="B621" s="64"/>
      <c r="C621" s="23"/>
      <c r="D621" s="23"/>
      <c r="E621" s="24"/>
      <c r="F621" s="25"/>
    </row>
    <row r="622" ht="21.75" customHeight="1">
      <c r="A622" s="273"/>
      <c r="B622" s="64"/>
      <c r="C622" s="23"/>
      <c r="D622" s="23"/>
      <c r="E622" s="24"/>
      <c r="F622" s="25"/>
    </row>
    <row r="623" ht="21.75" customHeight="1">
      <c r="A623" s="273"/>
      <c r="B623" s="64"/>
      <c r="C623" s="23"/>
      <c r="D623" s="23"/>
      <c r="E623" s="24"/>
      <c r="F623" s="25"/>
    </row>
    <row r="624" ht="21.75" customHeight="1">
      <c r="A624" s="273"/>
      <c r="B624" s="64"/>
      <c r="C624" s="23"/>
      <c r="D624" s="23"/>
      <c r="E624" s="24"/>
      <c r="F624" s="25"/>
    </row>
    <row r="625" ht="21.75" customHeight="1">
      <c r="A625" s="273"/>
      <c r="B625" s="64"/>
      <c r="C625" s="23"/>
      <c r="D625" s="23"/>
      <c r="E625" s="24"/>
      <c r="F625" s="25"/>
    </row>
    <row r="626" ht="21.75" customHeight="1">
      <c r="A626" s="273"/>
      <c r="B626" s="64"/>
      <c r="C626" s="23"/>
      <c r="D626" s="23"/>
      <c r="E626" s="24"/>
      <c r="F626" s="25"/>
    </row>
    <row r="627" ht="21.75" customHeight="1">
      <c r="A627" s="273"/>
      <c r="B627" s="64"/>
      <c r="C627" s="23"/>
      <c r="D627" s="23"/>
      <c r="E627" s="24"/>
      <c r="F627" s="25"/>
    </row>
    <row r="628" ht="21.75" customHeight="1">
      <c r="A628" s="273"/>
      <c r="B628" s="64"/>
      <c r="C628" s="23"/>
      <c r="D628" s="23"/>
      <c r="E628" s="24"/>
      <c r="F628" s="25"/>
    </row>
    <row r="629" ht="21.75" customHeight="1">
      <c r="A629" s="273"/>
      <c r="B629" s="64"/>
      <c r="C629" s="23"/>
      <c r="D629" s="23"/>
      <c r="E629" s="24"/>
      <c r="F629" s="25"/>
    </row>
    <row r="630" ht="21.75" customHeight="1">
      <c r="A630" s="273"/>
      <c r="B630" s="64"/>
      <c r="C630" s="23"/>
      <c r="D630" s="23"/>
      <c r="E630" s="24"/>
      <c r="F630" s="25"/>
    </row>
    <row r="631" ht="21.75" customHeight="1">
      <c r="A631" s="273"/>
      <c r="B631" s="64"/>
      <c r="C631" s="23"/>
      <c r="D631" s="23"/>
      <c r="E631" s="24"/>
      <c r="F631" s="25"/>
    </row>
    <row r="632" ht="21.75" customHeight="1">
      <c r="A632" s="273"/>
      <c r="B632" s="64"/>
      <c r="C632" s="23"/>
      <c r="D632" s="23"/>
      <c r="E632" s="24"/>
      <c r="F632" s="25"/>
    </row>
    <row r="633" ht="21.75" customHeight="1">
      <c r="A633" s="273"/>
      <c r="B633" s="64"/>
      <c r="C633" s="23"/>
      <c r="D633" s="23"/>
      <c r="E633" s="24"/>
      <c r="F633" s="25"/>
    </row>
    <row r="634" ht="21.75" customHeight="1">
      <c r="A634" s="273"/>
      <c r="B634" s="64"/>
      <c r="C634" s="23"/>
      <c r="D634" s="23"/>
      <c r="E634" s="24"/>
      <c r="F634" s="25"/>
    </row>
    <row r="635" ht="21.75" customHeight="1">
      <c r="A635" s="273"/>
      <c r="B635" s="64"/>
      <c r="C635" s="23"/>
      <c r="D635" s="23"/>
      <c r="E635" s="24"/>
      <c r="F635" s="25"/>
    </row>
    <row r="636" ht="21.75" customHeight="1">
      <c r="A636" s="273"/>
      <c r="B636" s="64"/>
      <c r="C636" s="23"/>
      <c r="D636" s="23"/>
      <c r="E636" s="24"/>
      <c r="F636" s="25"/>
    </row>
    <row r="637" ht="21.75" customHeight="1">
      <c r="A637" s="273"/>
      <c r="B637" s="64"/>
      <c r="C637" s="23"/>
      <c r="D637" s="23"/>
      <c r="E637" s="24"/>
      <c r="F637" s="25"/>
    </row>
    <row r="638" ht="21.75" customHeight="1">
      <c r="A638" s="273"/>
      <c r="B638" s="64"/>
      <c r="C638" s="23"/>
      <c r="D638" s="23"/>
      <c r="E638" s="24"/>
      <c r="F638" s="25"/>
    </row>
    <row r="639" ht="21.75" customHeight="1">
      <c r="A639" s="273"/>
      <c r="B639" s="64"/>
      <c r="C639" s="23"/>
      <c r="D639" s="23"/>
      <c r="E639" s="24"/>
      <c r="F639" s="25"/>
    </row>
    <row r="640" ht="21.75" customHeight="1">
      <c r="A640" s="273"/>
      <c r="B640" s="64"/>
      <c r="C640" s="23"/>
      <c r="D640" s="23"/>
      <c r="E640" s="24"/>
      <c r="F640" s="25"/>
    </row>
    <row r="641" ht="21.75" customHeight="1">
      <c r="A641" s="273"/>
      <c r="B641" s="64"/>
      <c r="C641" s="23"/>
      <c r="D641" s="23"/>
      <c r="E641" s="24"/>
      <c r="F641" s="25"/>
    </row>
    <row r="642" ht="21.75" customHeight="1">
      <c r="A642" s="273"/>
      <c r="B642" s="64"/>
      <c r="C642" s="23"/>
      <c r="D642" s="23"/>
      <c r="E642" s="24"/>
      <c r="F642" s="25"/>
    </row>
    <row r="643" ht="21.75" customHeight="1">
      <c r="A643" s="273"/>
      <c r="B643" s="64"/>
      <c r="C643" s="23"/>
      <c r="D643" s="23"/>
      <c r="E643" s="24"/>
      <c r="F643" s="25"/>
    </row>
    <row r="644" ht="21.75" customHeight="1">
      <c r="A644" s="273"/>
      <c r="B644" s="64"/>
      <c r="C644" s="23"/>
      <c r="D644" s="23"/>
      <c r="E644" s="24"/>
      <c r="F644" s="25"/>
    </row>
    <row r="645" ht="21.75" customHeight="1">
      <c r="A645" s="273"/>
      <c r="B645" s="64"/>
      <c r="C645" s="23"/>
      <c r="D645" s="23"/>
      <c r="E645" s="24"/>
      <c r="F645" s="25"/>
    </row>
    <row r="646" ht="21.75" customHeight="1">
      <c r="A646" s="273"/>
      <c r="B646" s="64"/>
      <c r="C646" s="23"/>
      <c r="D646" s="23"/>
      <c r="E646" s="24"/>
      <c r="F646" s="25"/>
    </row>
    <row r="647" ht="21.75" customHeight="1">
      <c r="A647" s="273"/>
      <c r="B647" s="64"/>
      <c r="C647" s="23"/>
      <c r="D647" s="23"/>
      <c r="E647" s="24"/>
      <c r="F647" s="25"/>
    </row>
    <row r="648" ht="21.75" customHeight="1">
      <c r="A648" s="273"/>
      <c r="B648" s="64"/>
      <c r="C648" s="23"/>
      <c r="D648" s="23"/>
      <c r="E648" s="24"/>
      <c r="F648" s="25"/>
    </row>
    <row r="649" ht="21.75" customHeight="1">
      <c r="A649" s="273"/>
      <c r="B649" s="64"/>
      <c r="C649" s="23"/>
      <c r="D649" s="23"/>
      <c r="E649" s="24"/>
      <c r="F649" s="25"/>
    </row>
    <row r="650" ht="21.75" customHeight="1">
      <c r="A650" s="273"/>
      <c r="B650" s="64"/>
      <c r="C650" s="23"/>
      <c r="D650" s="23"/>
      <c r="E650" s="24"/>
      <c r="F650" s="25"/>
    </row>
    <row r="651" ht="21.75" customHeight="1">
      <c r="A651" s="273"/>
      <c r="B651" s="64"/>
      <c r="C651" s="23"/>
      <c r="D651" s="23"/>
      <c r="E651" s="24"/>
      <c r="F651" s="25"/>
    </row>
    <row r="652" ht="21.75" customHeight="1">
      <c r="A652" s="273"/>
      <c r="B652" s="64"/>
      <c r="C652" s="23"/>
      <c r="D652" s="23"/>
      <c r="E652" s="24"/>
      <c r="F652" s="25"/>
    </row>
    <row r="653" ht="21.75" customHeight="1">
      <c r="A653" s="273"/>
      <c r="B653" s="64"/>
      <c r="C653" s="23"/>
      <c r="D653" s="23"/>
      <c r="E653" s="24"/>
      <c r="F653" s="25"/>
    </row>
    <row r="654" ht="21.75" customHeight="1">
      <c r="A654" s="273"/>
      <c r="B654" s="64"/>
      <c r="C654" s="23"/>
      <c r="D654" s="23"/>
      <c r="E654" s="24"/>
      <c r="F654" s="25"/>
    </row>
    <row r="655" ht="21.75" customHeight="1">
      <c r="A655" s="273"/>
      <c r="B655" s="64"/>
      <c r="C655" s="23"/>
      <c r="D655" s="23"/>
      <c r="E655" s="24"/>
      <c r="F655" s="25"/>
    </row>
    <row r="656" ht="21.75" customHeight="1">
      <c r="A656" s="273"/>
      <c r="B656" s="64"/>
      <c r="C656" s="23"/>
      <c r="D656" s="23"/>
      <c r="E656" s="24"/>
      <c r="F656" s="25"/>
    </row>
    <row r="657" ht="21.75" customHeight="1">
      <c r="A657" s="273"/>
      <c r="B657" s="64"/>
      <c r="C657" s="23"/>
      <c r="D657" s="23"/>
      <c r="E657" s="24"/>
      <c r="F657" s="25"/>
    </row>
    <row r="658" ht="21.75" customHeight="1">
      <c r="A658" s="273"/>
      <c r="B658" s="64"/>
      <c r="C658" s="23"/>
      <c r="D658" s="23"/>
      <c r="E658" s="24"/>
      <c r="F658" s="25"/>
    </row>
    <row r="659" ht="21.75" customHeight="1">
      <c r="A659" s="273"/>
      <c r="B659" s="64"/>
      <c r="C659" s="23"/>
      <c r="D659" s="23"/>
      <c r="E659" s="24"/>
      <c r="F659" s="25"/>
    </row>
    <row r="660" ht="21.75" customHeight="1">
      <c r="A660" s="273"/>
      <c r="B660" s="64"/>
      <c r="C660" s="23"/>
      <c r="D660" s="23"/>
      <c r="E660" s="24"/>
      <c r="F660" s="25"/>
    </row>
    <row r="661" ht="21.75" customHeight="1">
      <c r="A661" s="273"/>
      <c r="B661" s="64"/>
      <c r="C661" s="23"/>
      <c r="D661" s="23"/>
      <c r="E661" s="24"/>
      <c r="F661" s="25"/>
    </row>
    <row r="662" ht="21.75" customHeight="1">
      <c r="A662" s="273"/>
      <c r="B662" s="64"/>
      <c r="C662" s="23"/>
      <c r="D662" s="23"/>
      <c r="E662" s="24"/>
      <c r="F662" s="25"/>
    </row>
    <row r="663" ht="21.75" customHeight="1">
      <c r="A663" s="273"/>
      <c r="B663" s="64"/>
      <c r="C663" s="23"/>
      <c r="D663" s="23"/>
      <c r="E663" s="24"/>
      <c r="F663" s="25"/>
    </row>
    <row r="664" ht="21.75" customHeight="1">
      <c r="A664" s="273"/>
      <c r="B664" s="64"/>
      <c r="C664" s="23"/>
      <c r="D664" s="23"/>
      <c r="E664" s="24"/>
      <c r="F664" s="25"/>
    </row>
    <row r="665" ht="21.75" customHeight="1">
      <c r="A665" s="273"/>
      <c r="B665" s="64"/>
      <c r="C665" s="23"/>
      <c r="D665" s="23"/>
      <c r="E665" s="24"/>
      <c r="F665" s="25"/>
    </row>
    <row r="666" ht="21.75" customHeight="1">
      <c r="A666" s="273"/>
      <c r="B666" s="64"/>
      <c r="C666" s="23"/>
      <c r="D666" s="23"/>
      <c r="E666" s="24"/>
      <c r="F666" s="25"/>
    </row>
    <row r="667" ht="21.75" customHeight="1">
      <c r="A667" s="273"/>
      <c r="B667" s="64"/>
      <c r="C667" s="23"/>
      <c r="D667" s="23"/>
      <c r="E667" s="24"/>
      <c r="F667" s="25"/>
    </row>
    <row r="668" ht="21.75" customHeight="1">
      <c r="A668" s="273"/>
      <c r="B668" s="64"/>
      <c r="C668" s="23"/>
      <c r="D668" s="23"/>
      <c r="E668" s="24"/>
      <c r="F668" s="25"/>
    </row>
    <row r="669" ht="21.75" customHeight="1">
      <c r="A669" s="273"/>
      <c r="B669" s="64"/>
      <c r="C669" s="23"/>
      <c r="D669" s="23"/>
      <c r="E669" s="24"/>
      <c r="F669" s="25"/>
    </row>
    <row r="670" ht="21.75" customHeight="1">
      <c r="A670" s="273"/>
      <c r="B670" s="64"/>
      <c r="C670" s="23"/>
      <c r="D670" s="23"/>
      <c r="E670" s="24"/>
      <c r="F670" s="25"/>
    </row>
    <row r="671" ht="21.75" customHeight="1">
      <c r="A671" s="273"/>
      <c r="B671" s="64"/>
      <c r="C671" s="23"/>
      <c r="D671" s="23"/>
      <c r="E671" s="24"/>
      <c r="F671" s="25"/>
    </row>
    <row r="672" ht="21.75" customHeight="1">
      <c r="A672" s="273"/>
      <c r="B672" s="64"/>
      <c r="C672" s="23"/>
      <c r="D672" s="23"/>
      <c r="E672" s="24"/>
      <c r="F672" s="25"/>
    </row>
    <row r="673" ht="21.75" customHeight="1">
      <c r="A673" s="273"/>
      <c r="B673" s="64"/>
      <c r="C673" s="23"/>
      <c r="D673" s="23"/>
      <c r="E673" s="24"/>
      <c r="F673" s="25"/>
    </row>
    <row r="674" ht="21.75" customHeight="1">
      <c r="A674" s="273"/>
      <c r="B674" s="64"/>
      <c r="C674" s="23"/>
      <c r="D674" s="23"/>
      <c r="E674" s="24"/>
      <c r="F674" s="25"/>
    </row>
    <row r="675" ht="21.75" customHeight="1">
      <c r="A675" s="273"/>
      <c r="B675" s="64"/>
      <c r="C675" s="23"/>
      <c r="D675" s="23"/>
      <c r="E675" s="24"/>
      <c r="F675" s="25"/>
    </row>
    <row r="676" ht="21.75" customHeight="1">
      <c r="A676" s="273"/>
      <c r="B676" s="64"/>
      <c r="C676" s="23"/>
      <c r="D676" s="23"/>
      <c r="E676" s="24"/>
      <c r="F676" s="25"/>
    </row>
    <row r="677" ht="21.75" customHeight="1">
      <c r="A677" s="273"/>
      <c r="B677" s="64"/>
      <c r="C677" s="23"/>
      <c r="D677" s="23"/>
      <c r="E677" s="24"/>
      <c r="F677" s="25"/>
    </row>
    <row r="678" ht="21.75" customHeight="1">
      <c r="A678" s="273"/>
      <c r="B678" s="64"/>
      <c r="C678" s="23"/>
      <c r="D678" s="23"/>
      <c r="E678" s="24"/>
      <c r="F678" s="25"/>
    </row>
    <row r="679" ht="21.75" customHeight="1">
      <c r="A679" s="273"/>
      <c r="B679" s="64"/>
      <c r="C679" s="23"/>
      <c r="D679" s="23"/>
      <c r="E679" s="24"/>
      <c r="F679" s="25"/>
    </row>
    <row r="680" ht="21.75" customHeight="1">
      <c r="A680" s="273"/>
      <c r="B680" s="64"/>
      <c r="C680" s="23"/>
      <c r="D680" s="23"/>
      <c r="E680" s="24"/>
      <c r="F680" s="25"/>
    </row>
    <row r="681" ht="21.75" customHeight="1">
      <c r="A681" s="273"/>
      <c r="B681" s="64"/>
      <c r="C681" s="23"/>
      <c r="D681" s="23"/>
      <c r="E681" s="24"/>
      <c r="F681" s="25"/>
    </row>
    <row r="682" ht="21.75" customHeight="1">
      <c r="A682" s="273"/>
      <c r="B682" s="64"/>
      <c r="C682" s="23"/>
      <c r="D682" s="23"/>
      <c r="E682" s="24"/>
      <c r="F682" s="25"/>
    </row>
    <row r="683" ht="21.75" customHeight="1">
      <c r="A683" s="273"/>
      <c r="B683" s="64"/>
      <c r="C683" s="23"/>
      <c r="D683" s="23"/>
      <c r="E683" s="24"/>
      <c r="F683" s="25"/>
    </row>
    <row r="684" ht="21.75" customHeight="1">
      <c r="A684" s="273"/>
      <c r="B684" s="64"/>
      <c r="C684" s="23"/>
      <c r="D684" s="23"/>
      <c r="E684" s="24"/>
      <c r="F684" s="25"/>
    </row>
    <row r="685" ht="21.75" customHeight="1">
      <c r="A685" s="273"/>
      <c r="B685" s="64"/>
      <c r="C685" s="23"/>
      <c r="D685" s="23"/>
      <c r="E685" s="24"/>
      <c r="F685" s="25"/>
    </row>
    <row r="686" ht="21.75" customHeight="1">
      <c r="A686" s="273"/>
      <c r="B686" s="64"/>
      <c r="C686" s="23"/>
      <c r="D686" s="23"/>
      <c r="E686" s="24"/>
      <c r="F686" s="25"/>
    </row>
    <row r="687" ht="21.75" customHeight="1">
      <c r="A687" s="273"/>
      <c r="B687" s="64"/>
      <c r="C687" s="23"/>
      <c r="D687" s="23"/>
      <c r="E687" s="24"/>
      <c r="F687" s="25"/>
    </row>
    <row r="688" ht="21.75" customHeight="1">
      <c r="A688" s="273"/>
      <c r="B688" s="64"/>
      <c r="C688" s="23"/>
      <c r="D688" s="23"/>
      <c r="E688" s="24"/>
      <c r="F688" s="25"/>
    </row>
    <row r="689" ht="21.75" customHeight="1">
      <c r="A689" s="273"/>
      <c r="B689" s="64"/>
      <c r="C689" s="23"/>
      <c r="D689" s="23"/>
      <c r="E689" s="24"/>
      <c r="F689" s="25"/>
    </row>
    <row r="690" ht="21.75" customHeight="1">
      <c r="A690" s="273"/>
      <c r="B690" s="64"/>
      <c r="C690" s="23"/>
      <c r="D690" s="23"/>
      <c r="E690" s="24"/>
      <c r="F690" s="25"/>
    </row>
    <row r="691" ht="21.75" customHeight="1">
      <c r="A691" s="273"/>
      <c r="B691" s="64"/>
      <c r="C691" s="23"/>
      <c r="D691" s="23"/>
      <c r="E691" s="24"/>
      <c r="F691" s="25"/>
    </row>
    <row r="692" ht="21.75" customHeight="1">
      <c r="A692" s="273"/>
      <c r="B692" s="64"/>
      <c r="C692" s="23"/>
      <c r="D692" s="23"/>
      <c r="E692" s="24"/>
      <c r="F692" s="25"/>
    </row>
    <row r="693" ht="21.75" customHeight="1">
      <c r="A693" s="273"/>
      <c r="B693" s="64"/>
      <c r="C693" s="23"/>
      <c r="D693" s="23"/>
      <c r="E693" s="24"/>
      <c r="F693" s="25"/>
    </row>
    <row r="694" ht="21.75" customHeight="1">
      <c r="A694" s="273"/>
      <c r="B694" s="64"/>
      <c r="C694" s="23"/>
      <c r="D694" s="23"/>
      <c r="E694" s="24"/>
      <c r="F694" s="25"/>
    </row>
    <row r="695" ht="21.75" customHeight="1">
      <c r="A695" s="273"/>
      <c r="B695" s="64"/>
      <c r="C695" s="23"/>
      <c r="D695" s="23"/>
      <c r="E695" s="24"/>
      <c r="F695" s="25"/>
    </row>
    <row r="696" ht="21.75" customHeight="1">
      <c r="A696" s="273"/>
      <c r="B696" s="64"/>
      <c r="C696" s="23"/>
      <c r="D696" s="23"/>
      <c r="E696" s="24"/>
      <c r="F696" s="25"/>
    </row>
    <row r="697" ht="21.75" customHeight="1">
      <c r="A697" s="273"/>
      <c r="B697" s="64"/>
      <c r="C697" s="23"/>
      <c r="D697" s="23"/>
      <c r="E697" s="24"/>
      <c r="F697" s="25"/>
    </row>
    <row r="698" ht="21.75" customHeight="1">
      <c r="A698" s="273"/>
      <c r="B698" s="64"/>
      <c r="C698" s="23"/>
      <c r="D698" s="23"/>
      <c r="E698" s="24"/>
      <c r="F698" s="25"/>
    </row>
    <row r="699" ht="21.75" customHeight="1">
      <c r="A699" s="273"/>
      <c r="B699" s="64"/>
      <c r="C699" s="23"/>
      <c r="D699" s="23"/>
      <c r="E699" s="24"/>
      <c r="F699" s="25"/>
    </row>
    <row r="700" ht="21.75" customHeight="1">
      <c r="A700" s="273"/>
      <c r="B700" s="64"/>
      <c r="C700" s="23"/>
      <c r="D700" s="23"/>
      <c r="E700" s="24"/>
      <c r="F700" s="25"/>
    </row>
    <row r="701" ht="21.75" customHeight="1">
      <c r="A701" s="273"/>
      <c r="B701" s="64"/>
      <c r="C701" s="23"/>
      <c r="D701" s="23"/>
      <c r="E701" s="24"/>
      <c r="F701" s="25"/>
    </row>
    <row r="702" ht="21.75" customHeight="1">
      <c r="A702" s="273"/>
      <c r="B702" s="64"/>
      <c r="C702" s="23"/>
      <c r="D702" s="23"/>
      <c r="E702" s="24"/>
      <c r="F702" s="25"/>
    </row>
    <row r="703" ht="21.75" customHeight="1">
      <c r="A703" s="273"/>
      <c r="B703" s="64"/>
      <c r="C703" s="23"/>
      <c r="D703" s="23"/>
      <c r="E703" s="24"/>
      <c r="F703" s="25"/>
    </row>
    <row r="704" ht="21.75" customHeight="1">
      <c r="A704" s="273"/>
      <c r="B704" s="64"/>
      <c r="C704" s="23"/>
      <c r="D704" s="23"/>
      <c r="E704" s="24"/>
      <c r="F704" s="25"/>
    </row>
    <row r="705" ht="21.75" customHeight="1">
      <c r="A705" s="273"/>
      <c r="B705" s="64"/>
      <c r="C705" s="23"/>
      <c r="D705" s="23"/>
      <c r="E705" s="24"/>
      <c r="F705" s="25"/>
    </row>
    <row r="706" ht="21.75" customHeight="1">
      <c r="A706" s="273"/>
      <c r="B706" s="64"/>
      <c r="C706" s="23"/>
      <c r="D706" s="23"/>
      <c r="E706" s="24"/>
      <c r="F706" s="25"/>
    </row>
    <row r="707" ht="21.75" customHeight="1">
      <c r="A707" s="273"/>
      <c r="B707" s="64"/>
      <c r="C707" s="23"/>
      <c r="D707" s="23"/>
      <c r="E707" s="24"/>
      <c r="F707" s="25"/>
    </row>
    <row r="708" ht="21.75" customHeight="1">
      <c r="A708" s="273"/>
      <c r="B708" s="64"/>
      <c r="C708" s="23"/>
      <c r="D708" s="23"/>
      <c r="E708" s="24"/>
      <c r="F708" s="25"/>
    </row>
    <row r="709" ht="21.75" customHeight="1">
      <c r="A709" s="273"/>
      <c r="B709" s="64"/>
      <c r="C709" s="23"/>
      <c r="D709" s="23"/>
      <c r="E709" s="24"/>
      <c r="F709" s="25"/>
    </row>
    <row r="710" ht="21.75" customHeight="1">
      <c r="A710" s="273"/>
      <c r="B710" s="64"/>
      <c r="C710" s="23"/>
      <c r="D710" s="23"/>
      <c r="E710" s="24"/>
      <c r="F710" s="25"/>
    </row>
    <row r="711" ht="21.75" customHeight="1">
      <c r="A711" s="273"/>
      <c r="B711" s="64"/>
      <c r="C711" s="23"/>
      <c r="D711" s="23"/>
      <c r="E711" s="24"/>
      <c r="F711" s="25"/>
    </row>
    <row r="712" ht="21.75" customHeight="1">
      <c r="A712" s="273"/>
      <c r="B712" s="64"/>
      <c r="C712" s="23"/>
      <c r="D712" s="23"/>
      <c r="E712" s="24"/>
      <c r="F712" s="25"/>
    </row>
    <row r="713" ht="21.75" customHeight="1">
      <c r="A713" s="273"/>
      <c r="B713" s="64"/>
      <c r="C713" s="23"/>
      <c r="D713" s="23"/>
      <c r="E713" s="24"/>
      <c r="F713" s="25"/>
    </row>
    <row r="714" ht="21.75" customHeight="1">
      <c r="A714" s="273"/>
      <c r="B714" s="64"/>
      <c r="C714" s="23"/>
      <c r="D714" s="23"/>
      <c r="E714" s="24"/>
      <c r="F714" s="25"/>
    </row>
    <row r="715" ht="21.75" customHeight="1">
      <c r="A715" s="273"/>
      <c r="B715" s="64"/>
      <c r="C715" s="23"/>
      <c r="D715" s="23"/>
      <c r="E715" s="24"/>
      <c r="F715" s="25"/>
    </row>
    <row r="716" ht="21.75" customHeight="1">
      <c r="A716" s="273"/>
      <c r="B716" s="64"/>
      <c r="C716" s="23"/>
      <c r="D716" s="23"/>
      <c r="E716" s="24"/>
      <c r="F716" s="25"/>
    </row>
    <row r="717" ht="21.75" customHeight="1">
      <c r="A717" s="273"/>
      <c r="B717" s="64"/>
      <c r="C717" s="23"/>
      <c r="D717" s="23"/>
      <c r="E717" s="24"/>
      <c r="F717" s="25"/>
    </row>
    <row r="718" ht="21.75" customHeight="1">
      <c r="A718" s="273"/>
      <c r="B718" s="64"/>
      <c r="C718" s="23"/>
      <c r="D718" s="23"/>
      <c r="E718" s="24"/>
      <c r="F718" s="25"/>
    </row>
    <row r="719" ht="21.75" customHeight="1">
      <c r="A719" s="273"/>
      <c r="B719" s="64"/>
      <c r="C719" s="23"/>
      <c r="D719" s="23"/>
      <c r="E719" s="24"/>
      <c r="F719" s="25"/>
    </row>
    <row r="720" ht="21.75" customHeight="1">
      <c r="A720" s="273"/>
      <c r="B720" s="64"/>
      <c r="C720" s="23"/>
      <c r="D720" s="23"/>
      <c r="E720" s="24"/>
      <c r="F720" s="25"/>
    </row>
    <row r="721" ht="21.75" customHeight="1">
      <c r="A721" s="273"/>
      <c r="B721" s="64"/>
      <c r="C721" s="23"/>
      <c r="D721" s="23"/>
      <c r="E721" s="24"/>
      <c r="F721" s="25"/>
    </row>
    <row r="722" ht="21.75" customHeight="1">
      <c r="A722" s="273"/>
      <c r="B722" s="64"/>
      <c r="C722" s="23"/>
      <c r="D722" s="23"/>
      <c r="E722" s="24"/>
      <c r="F722" s="25"/>
    </row>
    <row r="723" ht="21.75" customHeight="1">
      <c r="A723" s="273"/>
      <c r="B723" s="64"/>
      <c r="C723" s="23"/>
      <c r="D723" s="23"/>
      <c r="E723" s="24"/>
      <c r="F723" s="25"/>
    </row>
    <row r="724" ht="21.75" customHeight="1">
      <c r="A724" s="273"/>
      <c r="B724" s="64"/>
      <c r="C724" s="23"/>
      <c r="D724" s="23"/>
      <c r="E724" s="24"/>
      <c r="F724" s="25"/>
    </row>
    <row r="725" ht="21.75" customHeight="1">
      <c r="A725" s="273"/>
      <c r="B725" s="64"/>
      <c r="C725" s="23"/>
      <c r="D725" s="23"/>
      <c r="E725" s="24"/>
      <c r="F725" s="25"/>
    </row>
    <row r="726" ht="21.75" customHeight="1">
      <c r="A726" s="273"/>
      <c r="B726" s="64"/>
      <c r="C726" s="23"/>
      <c r="D726" s="23"/>
      <c r="E726" s="24"/>
      <c r="F726" s="25"/>
    </row>
    <row r="727" ht="21.75" customHeight="1">
      <c r="A727" s="273"/>
      <c r="B727" s="64"/>
      <c r="C727" s="23"/>
      <c r="D727" s="23"/>
      <c r="E727" s="24"/>
      <c r="F727" s="25"/>
    </row>
    <row r="728" ht="21.75" customHeight="1">
      <c r="A728" s="273"/>
      <c r="B728" s="64"/>
      <c r="C728" s="23"/>
      <c r="D728" s="23"/>
      <c r="E728" s="24"/>
      <c r="F728" s="25"/>
    </row>
    <row r="729" ht="21.75" customHeight="1">
      <c r="A729" s="273"/>
      <c r="B729" s="64"/>
      <c r="C729" s="23"/>
      <c r="D729" s="23"/>
      <c r="E729" s="24"/>
      <c r="F729" s="25"/>
    </row>
    <row r="730" ht="21.75" customHeight="1">
      <c r="A730" s="273"/>
      <c r="B730" s="64"/>
      <c r="C730" s="23"/>
      <c r="D730" s="23"/>
      <c r="E730" s="24"/>
      <c r="F730" s="25"/>
    </row>
    <row r="731" ht="21.75" customHeight="1">
      <c r="A731" s="273"/>
      <c r="B731" s="64"/>
      <c r="C731" s="23"/>
      <c r="D731" s="23"/>
      <c r="E731" s="24"/>
      <c r="F731" s="25"/>
    </row>
    <row r="732" ht="21.75" customHeight="1">
      <c r="A732" s="273"/>
      <c r="B732" s="64"/>
      <c r="C732" s="23"/>
      <c r="D732" s="23"/>
      <c r="E732" s="24"/>
      <c r="F732" s="25"/>
    </row>
    <row r="733" ht="21.75" customHeight="1">
      <c r="A733" s="273"/>
      <c r="B733" s="64"/>
      <c r="C733" s="23"/>
      <c r="D733" s="23"/>
      <c r="E733" s="24"/>
      <c r="F733" s="25"/>
    </row>
    <row r="734" ht="21.75" customHeight="1">
      <c r="A734" s="273"/>
      <c r="B734" s="64"/>
      <c r="C734" s="23"/>
      <c r="D734" s="23"/>
      <c r="E734" s="24"/>
      <c r="F734" s="25"/>
    </row>
    <row r="735" ht="21.75" customHeight="1">
      <c r="A735" s="273"/>
      <c r="B735" s="64"/>
      <c r="C735" s="23"/>
      <c r="D735" s="23"/>
      <c r="E735" s="24"/>
      <c r="F735" s="25"/>
    </row>
    <row r="736" ht="21.75" customHeight="1">
      <c r="A736" s="273"/>
      <c r="B736" s="64"/>
      <c r="C736" s="23"/>
      <c r="D736" s="23"/>
      <c r="E736" s="24"/>
      <c r="F736" s="25"/>
    </row>
    <row r="737" ht="21.75" customHeight="1">
      <c r="A737" s="273"/>
      <c r="B737" s="64"/>
      <c r="C737" s="23"/>
      <c r="D737" s="23"/>
      <c r="E737" s="24"/>
      <c r="F737" s="25"/>
    </row>
    <row r="738" ht="21.75" customHeight="1">
      <c r="A738" s="273"/>
      <c r="B738" s="64"/>
      <c r="C738" s="23"/>
      <c r="D738" s="23"/>
      <c r="E738" s="24"/>
      <c r="F738" s="25"/>
    </row>
    <row r="739" ht="21.75" customHeight="1">
      <c r="A739" s="273"/>
      <c r="B739" s="64"/>
      <c r="C739" s="23"/>
      <c r="D739" s="23"/>
      <c r="E739" s="24"/>
      <c r="F739" s="25"/>
    </row>
    <row r="740" ht="21.75" customHeight="1">
      <c r="A740" s="273"/>
      <c r="B740" s="64"/>
      <c r="C740" s="23"/>
      <c r="D740" s="23"/>
      <c r="E740" s="24"/>
      <c r="F740" s="25"/>
    </row>
    <row r="741" ht="21.75" customHeight="1">
      <c r="A741" s="273"/>
      <c r="B741" s="64"/>
      <c r="C741" s="23"/>
      <c r="D741" s="23"/>
      <c r="E741" s="24"/>
      <c r="F741" s="25"/>
    </row>
    <row r="742" ht="21.75" customHeight="1">
      <c r="A742" s="273"/>
      <c r="B742" s="64"/>
      <c r="C742" s="23"/>
      <c r="D742" s="23"/>
      <c r="E742" s="24"/>
      <c r="F742" s="25"/>
    </row>
    <row r="743" ht="21.75" customHeight="1">
      <c r="A743" s="273"/>
      <c r="B743" s="64"/>
      <c r="C743" s="23"/>
      <c r="D743" s="23"/>
      <c r="E743" s="24"/>
      <c r="F743" s="25"/>
    </row>
    <row r="744" ht="21.75" customHeight="1">
      <c r="A744" s="273"/>
      <c r="B744" s="64"/>
      <c r="C744" s="23"/>
      <c r="D744" s="23"/>
      <c r="E744" s="24"/>
      <c r="F744" s="25"/>
    </row>
    <row r="745" ht="21.75" customHeight="1">
      <c r="A745" s="273"/>
      <c r="B745" s="64"/>
      <c r="C745" s="23"/>
      <c r="D745" s="23"/>
      <c r="E745" s="24"/>
      <c r="F745" s="25"/>
    </row>
    <row r="746" ht="21.75" customHeight="1">
      <c r="A746" s="273"/>
      <c r="B746" s="64"/>
      <c r="C746" s="23"/>
      <c r="D746" s="23"/>
      <c r="E746" s="24"/>
      <c r="F746" s="25"/>
    </row>
    <row r="747" ht="21.75" customHeight="1">
      <c r="A747" s="273"/>
      <c r="B747" s="64"/>
      <c r="C747" s="23"/>
      <c r="D747" s="23"/>
      <c r="E747" s="24"/>
      <c r="F747" s="25"/>
    </row>
    <row r="748" ht="21.75" customHeight="1">
      <c r="A748" s="273"/>
      <c r="B748" s="64"/>
      <c r="C748" s="23"/>
      <c r="D748" s="23"/>
      <c r="E748" s="24"/>
      <c r="F748" s="25"/>
    </row>
    <row r="749" ht="21.75" customHeight="1">
      <c r="A749" s="273"/>
      <c r="B749" s="64"/>
      <c r="C749" s="23"/>
      <c r="D749" s="23"/>
      <c r="E749" s="24"/>
      <c r="F749" s="25"/>
    </row>
    <row r="750" ht="21.75" customHeight="1">
      <c r="A750" s="273"/>
      <c r="B750" s="64"/>
      <c r="C750" s="23"/>
      <c r="D750" s="23"/>
      <c r="E750" s="24"/>
      <c r="F750" s="25"/>
    </row>
    <row r="751" ht="21.75" customHeight="1">
      <c r="A751" s="273"/>
      <c r="B751" s="64"/>
      <c r="C751" s="23"/>
      <c r="D751" s="23"/>
      <c r="E751" s="24"/>
      <c r="F751" s="25"/>
    </row>
    <row r="752" ht="21.75" customHeight="1">
      <c r="A752" s="273"/>
      <c r="B752" s="64"/>
      <c r="C752" s="23"/>
      <c r="D752" s="23"/>
      <c r="E752" s="24"/>
      <c r="F752" s="25"/>
    </row>
    <row r="753" ht="21.75" customHeight="1">
      <c r="A753" s="273"/>
      <c r="B753" s="64"/>
      <c r="C753" s="23"/>
      <c r="D753" s="23"/>
      <c r="E753" s="24"/>
      <c r="F753" s="25"/>
    </row>
    <row r="754" ht="21.75" customHeight="1">
      <c r="A754" s="273"/>
      <c r="B754" s="64"/>
      <c r="C754" s="23"/>
      <c r="D754" s="23"/>
      <c r="E754" s="24"/>
      <c r="F754" s="25"/>
    </row>
    <row r="755" ht="21.75" customHeight="1">
      <c r="A755" s="273"/>
      <c r="B755" s="64"/>
      <c r="C755" s="23"/>
      <c r="D755" s="23"/>
      <c r="E755" s="24"/>
      <c r="F755" s="25"/>
    </row>
    <row r="756" ht="21.75" customHeight="1">
      <c r="A756" s="273"/>
      <c r="B756" s="64"/>
      <c r="C756" s="23"/>
      <c r="D756" s="23"/>
      <c r="E756" s="24"/>
      <c r="F756" s="25"/>
    </row>
    <row r="757" ht="21.75" customHeight="1">
      <c r="A757" s="273"/>
      <c r="B757" s="64"/>
      <c r="C757" s="23"/>
      <c r="D757" s="23"/>
      <c r="E757" s="24"/>
      <c r="F757" s="25"/>
    </row>
    <row r="758" ht="21.75" customHeight="1">
      <c r="A758" s="273"/>
      <c r="B758" s="64"/>
      <c r="C758" s="23"/>
      <c r="D758" s="23"/>
      <c r="E758" s="24"/>
      <c r="F758" s="25"/>
    </row>
    <row r="759" ht="21.75" customHeight="1">
      <c r="A759" s="273"/>
      <c r="B759" s="64"/>
      <c r="C759" s="23"/>
      <c r="D759" s="23"/>
      <c r="E759" s="24"/>
      <c r="F759" s="25"/>
    </row>
    <row r="760" ht="21.75" customHeight="1">
      <c r="A760" s="273"/>
      <c r="B760" s="64"/>
      <c r="C760" s="23"/>
      <c r="D760" s="23"/>
      <c r="E760" s="24"/>
      <c r="F760" s="25"/>
    </row>
    <row r="761" ht="21.75" customHeight="1">
      <c r="A761" s="273"/>
      <c r="B761" s="64"/>
      <c r="C761" s="23"/>
      <c r="D761" s="23"/>
      <c r="E761" s="24"/>
      <c r="F761" s="25"/>
    </row>
    <row r="762" ht="21.75" customHeight="1">
      <c r="A762" s="273"/>
      <c r="B762" s="64"/>
      <c r="C762" s="23"/>
      <c r="D762" s="23"/>
      <c r="E762" s="24"/>
      <c r="F762" s="25"/>
    </row>
    <row r="763" ht="21.75" customHeight="1">
      <c r="A763" s="273"/>
      <c r="B763" s="64"/>
      <c r="C763" s="23"/>
      <c r="D763" s="23"/>
      <c r="E763" s="24"/>
      <c r="F763" s="25"/>
    </row>
    <row r="764" ht="21.75" customHeight="1">
      <c r="A764" s="273"/>
      <c r="B764" s="64"/>
      <c r="C764" s="23"/>
      <c r="D764" s="23"/>
      <c r="E764" s="24"/>
      <c r="F764" s="25"/>
    </row>
    <row r="765" ht="21.75" customHeight="1">
      <c r="A765" s="273"/>
      <c r="B765" s="64"/>
      <c r="C765" s="23"/>
      <c r="D765" s="23"/>
      <c r="E765" s="24"/>
      <c r="F765" s="25"/>
    </row>
    <row r="766" ht="21.75" customHeight="1">
      <c r="A766" s="273"/>
      <c r="B766" s="64"/>
      <c r="C766" s="23"/>
      <c r="D766" s="23"/>
      <c r="E766" s="24"/>
      <c r="F766" s="25"/>
    </row>
    <row r="767" ht="21.75" customHeight="1">
      <c r="A767" s="273"/>
      <c r="B767" s="64"/>
      <c r="C767" s="23"/>
      <c r="D767" s="23"/>
      <c r="E767" s="24"/>
      <c r="F767" s="25"/>
    </row>
    <row r="768" ht="21.75" customHeight="1">
      <c r="A768" s="273"/>
      <c r="B768" s="64"/>
      <c r="C768" s="23"/>
      <c r="D768" s="23"/>
      <c r="E768" s="24"/>
      <c r="F768" s="25"/>
    </row>
    <row r="769" ht="21.75" customHeight="1">
      <c r="A769" s="273"/>
      <c r="B769" s="64"/>
      <c r="C769" s="23"/>
      <c r="D769" s="23"/>
      <c r="E769" s="24"/>
      <c r="F769" s="25"/>
    </row>
    <row r="770" ht="21.75" customHeight="1">
      <c r="A770" s="273"/>
      <c r="B770" s="64"/>
      <c r="C770" s="23"/>
      <c r="D770" s="23"/>
      <c r="E770" s="24"/>
      <c r="F770" s="25"/>
    </row>
    <row r="771" ht="21.75" customHeight="1">
      <c r="A771" s="273"/>
      <c r="B771" s="64"/>
      <c r="C771" s="23"/>
      <c r="D771" s="23"/>
      <c r="E771" s="24"/>
      <c r="F771" s="25"/>
    </row>
    <row r="772" ht="21.75" customHeight="1">
      <c r="A772" s="273"/>
      <c r="B772" s="64"/>
      <c r="C772" s="23"/>
      <c r="D772" s="23"/>
      <c r="E772" s="24"/>
      <c r="F772" s="25"/>
    </row>
    <row r="773" ht="21.75" customHeight="1">
      <c r="A773" s="273"/>
      <c r="B773" s="64"/>
      <c r="C773" s="23"/>
      <c r="D773" s="23"/>
      <c r="E773" s="24"/>
      <c r="F773" s="25"/>
    </row>
    <row r="774" ht="21.75" customHeight="1">
      <c r="A774" s="273"/>
      <c r="B774" s="64"/>
      <c r="C774" s="23"/>
      <c r="D774" s="23"/>
      <c r="E774" s="24"/>
      <c r="F774" s="25"/>
    </row>
    <row r="775" ht="21.75" customHeight="1">
      <c r="A775" s="273"/>
      <c r="B775" s="64"/>
      <c r="C775" s="23"/>
      <c r="D775" s="23"/>
      <c r="E775" s="24"/>
      <c r="F775" s="25"/>
    </row>
    <row r="776" ht="21.75" customHeight="1">
      <c r="A776" s="273"/>
      <c r="B776" s="64"/>
      <c r="C776" s="23"/>
      <c r="D776" s="23"/>
      <c r="E776" s="24"/>
      <c r="F776" s="25"/>
    </row>
    <row r="777" ht="21.75" customHeight="1">
      <c r="A777" s="273"/>
      <c r="B777" s="64"/>
      <c r="C777" s="23"/>
      <c r="D777" s="23"/>
      <c r="E777" s="24"/>
      <c r="F777" s="25"/>
    </row>
    <row r="778" ht="21.75" customHeight="1">
      <c r="A778" s="273"/>
      <c r="B778" s="64"/>
      <c r="C778" s="23"/>
      <c r="D778" s="23"/>
      <c r="E778" s="24"/>
      <c r="F778" s="25"/>
    </row>
    <row r="779" ht="21.75" customHeight="1">
      <c r="A779" s="273"/>
      <c r="B779" s="64"/>
      <c r="C779" s="23"/>
      <c r="D779" s="23"/>
      <c r="E779" s="24"/>
      <c r="F779" s="25"/>
    </row>
    <row r="780" ht="21.75" customHeight="1">
      <c r="A780" s="273"/>
      <c r="B780" s="64"/>
      <c r="C780" s="23"/>
      <c r="D780" s="23"/>
      <c r="E780" s="24"/>
      <c r="F780" s="25"/>
    </row>
    <row r="781" ht="21.75" customHeight="1">
      <c r="A781" s="273"/>
      <c r="B781" s="64"/>
      <c r="C781" s="23"/>
      <c r="D781" s="23"/>
      <c r="E781" s="24"/>
      <c r="F781" s="25"/>
    </row>
    <row r="782" ht="21.75" customHeight="1">
      <c r="A782" s="273"/>
      <c r="B782" s="64"/>
      <c r="C782" s="23"/>
      <c r="D782" s="23"/>
      <c r="E782" s="24"/>
      <c r="F782" s="25"/>
    </row>
    <row r="783" ht="21.75" customHeight="1">
      <c r="A783" s="273"/>
      <c r="B783" s="64"/>
      <c r="C783" s="23"/>
      <c r="D783" s="23"/>
      <c r="E783" s="24"/>
      <c r="F783" s="25"/>
    </row>
    <row r="784" ht="21.75" customHeight="1">
      <c r="A784" s="273"/>
      <c r="B784" s="64"/>
      <c r="C784" s="23"/>
      <c r="D784" s="23"/>
      <c r="E784" s="24"/>
      <c r="F784" s="25"/>
    </row>
    <row r="785" ht="21.75" customHeight="1">
      <c r="A785" s="273"/>
      <c r="B785" s="64"/>
      <c r="C785" s="23"/>
      <c r="D785" s="23"/>
      <c r="E785" s="24"/>
      <c r="F785" s="25"/>
    </row>
    <row r="786" ht="21.75" customHeight="1">
      <c r="A786" s="273"/>
      <c r="B786" s="64"/>
      <c r="C786" s="23"/>
      <c r="D786" s="23"/>
      <c r="E786" s="24"/>
      <c r="F786" s="25"/>
    </row>
    <row r="787" ht="21.75" customHeight="1">
      <c r="A787" s="273"/>
      <c r="B787" s="64"/>
      <c r="C787" s="23"/>
      <c r="D787" s="23"/>
      <c r="E787" s="24"/>
      <c r="F787" s="25"/>
    </row>
    <row r="788" ht="21.75" customHeight="1">
      <c r="A788" s="273"/>
      <c r="B788" s="64"/>
      <c r="C788" s="23"/>
      <c r="D788" s="23"/>
      <c r="E788" s="24"/>
      <c r="F788" s="25"/>
    </row>
    <row r="789" ht="21.75" customHeight="1">
      <c r="A789" s="273"/>
      <c r="B789" s="64"/>
      <c r="C789" s="23"/>
      <c r="D789" s="23"/>
      <c r="E789" s="24"/>
      <c r="F789" s="25"/>
    </row>
    <row r="790" ht="21.75" customHeight="1">
      <c r="A790" s="273"/>
      <c r="B790" s="64"/>
      <c r="C790" s="23"/>
      <c r="D790" s="23"/>
      <c r="E790" s="24"/>
      <c r="F790" s="25"/>
    </row>
    <row r="791" ht="21.75" customHeight="1">
      <c r="A791" s="273"/>
      <c r="B791" s="64"/>
      <c r="C791" s="23"/>
      <c r="D791" s="23"/>
      <c r="E791" s="24"/>
      <c r="F791" s="25"/>
    </row>
    <row r="792" ht="21.75" customHeight="1">
      <c r="A792" s="273"/>
      <c r="B792" s="64"/>
      <c r="C792" s="23"/>
      <c r="D792" s="23"/>
      <c r="E792" s="24"/>
      <c r="F792" s="25"/>
    </row>
    <row r="793" ht="21.75" customHeight="1">
      <c r="A793" s="273"/>
      <c r="B793" s="64"/>
      <c r="C793" s="23"/>
      <c r="D793" s="23"/>
      <c r="E793" s="24"/>
      <c r="F793" s="25"/>
    </row>
    <row r="794" ht="21.75" customHeight="1">
      <c r="A794" s="273"/>
      <c r="B794" s="64"/>
      <c r="C794" s="23"/>
      <c r="D794" s="23"/>
      <c r="E794" s="24"/>
      <c r="F794" s="25"/>
    </row>
    <row r="795" ht="21.75" customHeight="1">
      <c r="A795" s="273"/>
      <c r="B795" s="64"/>
      <c r="C795" s="23"/>
      <c r="D795" s="23"/>
      <c r="E795" s="24"/>
      <c r="F795" s="25"/>
    </row>
    <row r="796" ht="21.75" customHeight="1">
      <c r="A796" s="273"/>
      <c r="B796" s="64"/>
      <c r="C796" s="23"/>
      <c r="D796" s="23"/>
      <c r="E796" s="24"/>
      <c r="F796" s="25"/>
    </row>
    <row r="797" ht="21.75" customHeight="1">
      <c r="A797" s="273"/>
      <c r="B797" s="64"/>
      <c r="C797" s="23"/>
      <c r="D797" s="23"/>
      <c r="E797" s="24"/>
      <c r="F797" s="25"/>
    </row>
    <row r="798" ht="21.75" customHeight="1">
      <c r="A798" s="273"/>
      <c r="B798" s="64"/>
      <c r="C798" s="23"/>
      <c r="D798" s="23"/>
      <c r="E798" s="24"/>
      <c r="F798" s="25"/>
    </row>
    <row r="799" ht="21.75" customHeight="1">
      <c r="A799" s="273"/>
      <c r="B799" s="64"/>
      <c r="C799" s="23"/>
      <c r="D799" s="23"/>
      <c r="E799" s="24"/>
      <c r="F799" s="25"/>
    </row>
    <row r="800" ht="21.75" customHeight="1">
      <c r="A800" s="273"/>
      <c r="B800" s="64"/>
      <c r="C800" s="23"/>
      <c r="D800" s="23"/>
      <c r="E800" s="24"/>
      <c r="F800" s="25"/>
    </row>
    <row r="801" ht="21.75" customHeight="1">
      <c r="A801" s="273"/>
      <c r="B801" s="64"/>
      <c r="C801" s="23"/>
      <c r="D801" s="23"/>
      <c r="E801" s="24"/>
      <c r="F801" s="25"/>
    </row>
    <row r="802" ht="21.75" customHeight="1">
      <c r="A802" s="273"/>
      <c r="B802" s="64"/>
      <c r="C802" s="23"/>
      <c r="D802" s="23"/>
      <c r="E802" s="24"/>
      <c r="F802" s="25"/>
    </row>
    <row r="803" ht="21.75" customHeight="1">
      <c r="A803" s="273"/>
      <c r="B803" s="64"/>
      <c r="C803" s="23"/>
      <c r="D803" s="23"/>
      <c r="E803" s="24"/>
      <c r="F803" s="25"/>
    </row>
    <row r="804" ht="21.75" customHeight="1">
      <c r="A804" s="273"/>
      <c r="B804" s="64"/>
      <c r="C804" s="23"/>
      <c r="D804" s="23"/>
      <c r="E804" s="24"/>
      <c r="F804" s="25"/>
    </row>
    <row r="805" ht="21.75" customHeight="1">
      <c r="A805" s="273"/>
      <c r="B805" s="64"/>
      <c r="C805" s="23"/>
      <c r="D805" s="23"/>
      <c r="E805" s="24"/>
      <c r="F805" s="25"/>
    </row>
    <row r="806" ht="21.75" customHeight="1">
      <c r="A806" s="273"/>
      <c r="B806" s="64"/>
      <c r="C806" s="23"/>
      <c r="D806" s="23"/>
      <c r="E806" s="24"/>
      <c r="F806" s="25"/>
    </row>
    <row r="807" ht="21.75" customHeight="1">
      <c r="A807" s="273"/>
      <c r="B807" s="64"/>
      <c r="C807" s="23"/>
      <c r="D807" s="23"/>
      <c r="E807" s="24"/>
      <c r="F807" s="25"/>
    </row>
    <row r="808" ht="21.75" customHeight="1">
      <c r="A808" s="273"/>
      <c r="B808" s="64"/>
      <c r="C808" s="23"/>
      <c r="D808" s="23"/>
      <c r="E808" s="24"/>
      <c r="F808" s="25"/>
    </row>
    <row r="809" ht="21.75" customHeight="1">
      <c r="A809" s="273"/>
      <c r="B809" s="64"/>
      <c r="C809" s="23"/>
      <c r="D809" s="23"/>
      <c r="E809" s="24"/>
      <c r="F809" s="25"/>
    </row>
    <row r="810" ht="21.75" customHeight="1">
      <c r="A810" s="273"/>
      <c r="B810" s="64"/>
      <c r="C810" s="23"/>
      <c r="D810" s="23"/>
      <c r="E810" s="24"/>
      <c r="F810" s="25"/>
    </row>
    <row r="811" ht="21.75" customHeight="1">
      <c r="A811" s="273"/>
      <c r="B811" s="64"/>
      <c r="C811" s="23"/>
      <c r="D811" s="23"/>
      <c r="E811" s="24"/>
      <c r="F811" s="25"/>
    </row>
    <row r="812" ht="21.75" customHeight="1">
      <c r="A812" s="273"/>
      <c r="B812" s="64"/>
      <c r="C812" s="23"/>
      <c r="D812" s="23"/>
      <c r="E812" s="24"/>
      <c r="F812" s="25"/>
    </row>
    <row r="813" ht="21.75" customHeight="1">
      <c r="A813" s="273"/>
      <c r="B813" s="64"/>
      <c r="C813" s="23"/>
      <c r="D813" s="23"/>
      <c r="E813" s="24"/>
      <c r="F813" s="25"/>
    </row>
    <row r="814" ht="21.75" customHeight="1">
      <c r="A814" s="273"/>
      <c r="B814" s="64"/>
      <c r="C814" s="23"/>
      <c r="D814" s="23"/>
      <c r="E814" s="24"/>
      <c r="F814" s="25"/>
    </row>
    <row r="815" ht="21.75" customHeight="1">
      <c r="A815" s="273"/>
      <c r="B815" s="64"/>
      <c r="C815" s="23"/>
      <c r="D815" s="23"/>
      <c r="E815" s="24"/>
      <c r="F815" s="25"/>
    </row>
    <row r="816" ht="21.75" customHeight="1">
      <c r="A816" s="273"/>
      <c r="B816" s="64"/>
      <c r="C816" s="23"/>
      <c r="D816" s="23"/>
      <c r="E816" s="24"/>
      <c r="F816" s="25"/>
    </row>
    <row r="817" ht="21.75" customHeight="1">
      <c r="A817" s="273"/>
      <c r="B817" s="64"/>
      <c r="C817" s="23"/>
      <c r="D817" s="23"/>
      <c r="E817" s="24"/>
      <c r="F817" s="25"/>
    </row>
    <row r="818" ht="21.75" customHeight="1">
      <c r="A818" s="273"/>
      <c r="B818" s="64"/>
      <c r="C818" s="23"/>
      <c r="D818" s="23"/>
      <c r="E818" s="24"/>
      <c r="F818" s="25"/>
    </row>
    <row r="819" ht="21.75" customHeight="1">
      <c r="A819" s="273"/>
      <c r="B819" s="64"/>
      <c r="C819" s="23"/>
      <c r="D819" s="23"/>
      <c r="E819" s="24"/>
      <c r="F819" s="25"/>
    </row>
    <row r="820" ht="21.75" customHeight="1">
      <c r="A820" s="273"/>
      <c r="B820" s="64"/>
      <c r="C820" s="23"/>
      <c r="D820" s="23"/>
      <c r="E820" s="24"/>
      <c r="F820" s="25"/>
    </row>
    <row r="821" ht="21.75" customHeight="1">
      <c r="A821" s="273"/>
      <c r="B821" s="64"/>
      <c r="C821" s="23"/>
      <c r="D821" s="23"/>
      <c r="E821" s="24"/>
      <c r="F821" s="25"/>
    </row>
    <row r="822" ht="21.75" customHeight="1">
      <c r="A822" s="273"/>
      <c r="B822" s="64"/>
      <c r="C822" s="23"/>
      <c r="D822" s="23"/>
      <c r="E822" s="24"/>
      <c r="F822" s="25"/>
    </row>
    <row r="823" ht="21.75" customHeight="1">
      <c r="A823" s="273"/>
      <c r="B823" s="64"/>
      <c r="C823" s="23"/>
      <c r="D823" s="23"/>
      <c r="E823" s="24"/>
      <c r="F823" s="25"/>
    </row>
    <row r="824" ht="21.75" customHeight="1">
      <c r="A824" s="273"/>
      <c r="B824" s="64"/>
      <c r="C824" s="23"/>
      <c r="D824" s="23"/>
      <c r="E824" s="24"/>
      <c r="F824" s="25"/>
    </row>
    <row r="825" ht="21.75" customHeight="1">
      <c r="A825" s="273"/>
      <c r="B825" s="64"/>
      <c r="C825" s="23"/>
      <c r="D825" s="23"/>
      <c r="E825" s="24"/>
      <c r="F825" s="25"/>
    </row>
    <row r="826" ht="21.75" customHeight="1">
      <c r="A826" s="273"/>
      <c r="B826" s="64"/>
      <c r="C826" s="23"/>
      <c r="D826" s="23"/>
      <c r="E826" s="24"/>
      <c r="F826" s="25"/>
    </row>
  </sheetData>
  <conditionalFormatting sqref="E18">
    <cfRule type="containsText" dxfId="3" priority="1" operator="containsText" text="In Review">
      <formula>NOT(ISERROR(SEARCH(("In Review"),(E18))))</formula>
    </cfRule>
  </conditionalFormatting>
  <conditionalFormatting sqref="E18">
    <cfRule type="containsText" dxfId="4" priority="2" operator="containsText" text="On Hold">
      <formula>NOT(ISERROR(SEARCH(("On Hold"),(E18))))</formula>
    </cfRule>
  </conditionalFormatting>
  <conditionalFormatting sqref="E1 E4:E16 E18:E36 E38:E56 E58:E76 E78:E826">
    <cfRule type="containsText" dxfId="0" priority="3" operator="containsText" text="Working On it">
      <formula>NOT(ISERROR(SEARCH(("Working On it"),(E1))))</formula>
    </cfRule>
  </conditionalFormatting>
  <conditionalFormatting sqref="E1 E4:E16 E18:E36 E38:E56 E58:E76 E78:E826">
    <cfRule type="containsText" dxfId="1" priority="4" operator="containsText" text="Not Started">
      <formula>NOT(ISERROR(SEARCH(("Not Started"),(E1))))</formula>
    </cfRule>
  </conditionalFormatting>
  <conditionalFormatting sqref="E1 E4:E16 E18:E36 E38:E56 E58:E76 E78:E826">
    <cfRule type="containsText" dxfId="2" priority="5" operator="containsText" text="Done">
      <formula>NOT(ISERROR(SEARCH(("Done"),(E1))))</formula>
    </cfRule>
  </conditionalFormatting>
  <dataValidations>
    <dataValidation type="list" allowBlank="1" showErrorMessage="1" sqref="F4:F16 F18:F36 F38:F56 F58:F76 F78:F826">
      <formula1>Data_Validation!$D$2:$D$14</formula1>
    </dataValidation>
    <dataValidation type="list" allowBlank="1" showErrorMessage="1" sqref="E4:E16 E18:E36 E38:E56 E58:E76 E78:E826">
      <formula1>Data_Validation!$B$2:$B$15</formula1>
    </dataValidation>
  </dataValidations>
  <hyperlinks>
    <hyperlink r:id="rId1" location=":~:text=the%20arithmetic%20logic%20unit%20or,cpu%20works%20under%20the%20hood." ref="C9"/>
    <hyperlink r:id="rId2" ref="C11"/>
    <hyperlink r:id="rId3" ref="D19"/>
    <hyperlink r:id="rId4" ref="D20"/>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3.38"/>
    <col customWidth="1" min="2" max="2" width="15.75"/>
    <col customWidth="1" min="3" max="3" width="13.75"/>
    <col customWidth="1" min="4" max="4" width="24.63"/>
    <col customWidth="1" min="5" max="5" width="22.88"/>
    <col customWidth="1" min="6" max="6" width="11.75"/>
    <col customWidth="1" min="7" max="7" width="19.5"/>
    <col customWidth="1" min="8" max="8" width="7.75"/>
    <col customWidth="1" min="14" max="14" width="28.38"/>
    <col customWidth="1" min="20" max="20" width="30.13"/>
    <col customWidth="1" min="23" max="23" width="11.63"/>
    <col customWidth="1" min="24" max="24" width="14.13"/>
  </cols>
  <sheetData>
    <row r="1">
      <c r="A1" s="274" t="s">
        <v>1310</v>
      </c>
      <c r="B1" s="274" t="s">
        <v>1351</v>
      </c>
      <c r="C1" s="274" t="s">
        <v>1352</v>
      </c>
      <c r="D1" s="275" t="s">
        <v>1353</v>
      </c>
      <c r="E1" s="275" t="s">
        <v>1354</v>
      </c>
      <c r="F1" s="275" t="s">
        <v>1355</v>
      </c>
      <c r="G1" s="276" t="s">
        <v>1356</v>
      </c>
      <c r="H1" s="277"/>
      <c r="I1" s="277"/>
      <c r="J1" s="277"/>
      <c r="K1" s="277"/>
      <c r="L1" s="277"/>
      <c r="M1" s="277" t="str">
        <f>IFERROR(__xludf.DUMMYFUNCTION("QUERY(Content_Creation!A:AE,
""Select E,C,H 
Where C is not NULL"")"),"Channel / Status  ")</f>
        <v>Channel / Status  </v>
      </c>
      <c r="N1" s="277" t="str">
        <f>IFERROR(__xludf.DUMMYFUNCTION("""COMPUTED_VALUE"""),"Tasks / Subtasks  ")</f>
        <v>Tasks / Subtasks  </v>
      </c>
      <c r="O1" s="277" t="str">
        <f>IFERROR(__xludf.DUMMYFUNCTION("""COMPUTED_VALUE"""),"  ")</f>
        <v>  </v>
      </c>
      <c r="P1" s="277"/>
      <c r="Q1" s="277"/>
      <c r="R1" s="277"/>
      <c r="S1" s="277" t="str">
        <f>IFERROR(__xludf.DUMMYFUNCTION("QUERY( Content_Creation!A:AE, ""Select E,C,H where C is not Null"", 1)"),"Channel / Status")</f>
        <v>Channel / Status</v>
      </c>
      <c r="T1" s="277" t="str">
        <f>IFERROR(__xludf.DUMMYFUNCTION("""COMPUTED_VALUE"""),"Tasks / Subtasks")</f>
        <v>Tasks / Subtasks</v>
      </c>
      <c r="U1" s="277" t="str">
        <f>IFERROR(__xludf.DUMMYFUNCTION("""COMPUTED_VALUE"""),"")</f>
        <v/>
      </c>
      <c r="V1" s="277"/>
      <c r="W1" s="277"/>
      <c r="X1" s="277" t="str">
        <f>IFERROR(__xludf.DUMMYFUNCTION("QUERY(
  {Content_Creation!$B$3:$B$1017, Content_Creation!$C$3:$D$1017, Content_Creation!$H$3:$H$1017, Content_Creation!$E$3:$F$1017; 
   Project_Management!$B$2:$B$795, Project_Management!$C$2:$D$795, Project_Management!$H$2:$H$795, Project_Management!$E"&amp;"$2:$F$795},
  ""SELECT Col1, Col5, Col4, Col6, Col3
WHERE Col1 IS NOT NULL AND Col1 &lt;&gt; ''
AND Col2 IS NULL
and not Col1 matches '"" &amp; JOIN(""|"", FILTER(Data_Validation!$E$16:$E$30, Data_Validation!$E$16:$E$30&lt;&gt;"""")) &amp; ""-'
ORDER BY Col4"",
  0
)"),"PM-MVP-03.09")</f>
        <v>PM-MVP-03.09</v>
      </c>
      <c r="Y1" s="278" t="str">
        <f>IFERROR(__xludf.DUMMYFUNCTION("""COMPUTED_VALUE"""),"Not Started")</f>
        <v>Not Started</v>
      </c>
      <c r="Z1" s="279"/>
      <c r="AA1" s="277"/>
      <c r="AB1" s="277" t="str">
        <f>IFERROR(__xludf.DUMMYFUNCTION("""COMPUTED_VALUE"""),"Subtask 4")</f>
        <v>Subtask 4</v>
      </c>
      <c r="AC1" s="277"/>
      <c r="AD1" s="277"/>
      <c r="AE1" s="277"/>
      <c r="AF1" s="277"/>
      <c r="AG1" s="277"/>
      <c r="AH1" s="277"/>
      <c r="AI1" s="277"/>
      <c r="AJ1" s="277"/>
      <c r="AK1" s="277"/>
      <c r="AL1" s="277"/>
    </row>
    <row r="2">
      <c r="A2" s="280" t="s">
        <v>220</v>
      </c>
      <c r="B2" s="280" t="s">
        <v>21</v>
      </c>
      <c r="C2" s="281" t="s">
        <v>79</v>
      </c>
      <c r="D2" s="282" t="s">
        <v>48</v>
      </c>
      <c r="E2" s="283" t="s">
        <v>1357</v>
      </c>
      <c r="F2" s="275" t="s">
        <v>963</v>
      </c>
      <c r="G2" s="164">
        <v>85.0</v>
      </c>
      <c r="H2" s="277"/>
      <c r="I2" s="277"/>
      <c r="J2" s="165"/>
      <c r="K2" s="165"/>
      <c r="L2" s="165"/>
      <c r="M2" s="165" t="str">
        <f>IFERROR(__xludf.DUMMYFUNCTION("""COMPUTED_VALUE"""),"Shorts")</f>
        <v>Shorts</v>
      </c>
      <c r="N2" s="165" t="str">
        <f>IFERROR(__xludf.DUMMYFUNCTION("""COMPUTED_VALUE"""),"3 Ways to improve Airflow")</f>
        <v>3 Ways to improve Airflow</v>
      </c>
      <c r="O2" s="284">
        <f>IFERROR(__xludf.DUMMYFUNCTION("""COMPUTED_VALUE"""),45232.0)</f>
        <v>45232</v>
      </c>
      <c r="P2" s="165"/>
      <c r="Q2" s="165"/>
      <c r="R2" s="165"/>
      <c r="S2" s="165" t="str">
        <f>IFERROR(__xludf.DUMMYFUNCTION("""COMPUTED_VALUE"""),"Shorts")</f>
        <v>Shorts</v>
      </c>
      <c r="T2" s="165" t="str">
        <f>IFERROR(__xludf.DUMMYFUNCTION("""COMPUTED_VALUE"""),"3 Ways to improve Airflow")</f>
        <v>3 Ways to improve Airflow</v>
      </c>
      <c r="U2" s="284">
        <f>IFERROR(__xludf.DUMMYFUNCTION("""COMPUTED_VALUE"""),45232.0)</f>
        <v>45232</v>
      </c>
      <c r="V2" s="165"/>
      <c r="W2" s="165"/>
      <c r="X2" s="165" t="str">
        <f>IFERROR(__xludf.DUMMYFUNCTION("""COMPUTED_VALUE"""),"CC-PTS-09.1")</f>
        <v>CC-PTS-09.1</v>
      </c>
      <c r="Y2" s="285" t="str">
        <f>IFERROR(__xludf.DUMMYFUNCTION("""COMPUTED_VALUE"""),"Done")</f>
        <v>Done</v>
      </c>
      <c r="Z2" s="284">
        <f>IFERROR(__xludf.DUMMYFUNCTION("""COMPUTED_VALUE"""),45136.0)</f>
        <v>45136</v>
      </c>
      <c r="AA2" s="165" t="str">
        <f>IFERROR(__xludf.DUMMYFUNCTION("""COMPUTED_VALUE"""),"Nasser")</f>
        <v>Nasser</v>
      </c>
      <c r="AB2" s="165" t="str">
        <f>IFERROR(__xludf.DUMMYFUNCTION("""COMPUTED_VALUE"""),"Script")</f>
        <v>Script</v>
      </c>
      <c r="AC2" s="165"/>
      <c r="AD2" s="165"/>
      <c r="AE2" s="165"/>
      <c r="AF2" s="165"/>
      <c r="AG2" s="165"/>
      <c r="AH2" s="165"/>
      <c r="AI2" s="165"/>
      <c r="AJ2" s="165"/>
      <c r="AK2" s="165"/>
      <c r="AL2" s="165"/>
    </row>
    <row r="3">
      <c r="A3" s="280" t="s">
        <v>26</v>
      </c>
      <c r="B3" s="280" t="s">
        <v>62</v>
      </c>
      <c r="C3" s="286" t="s">
        <v>23</v>
      </c>
      <c r="D3" s="282" t="s">
        <v>22</v>
      </c>
      <c r="E3" s="287" t="s">
        <v>1358</v>
      </c>
      <c r="F3" s="275" t="s">
        <v>1051</v>
      </c>
      <c r="G3" s="164">
        <v>125.0</v>
      </c>
      <c r="H3" s="277"/>
      <c r="I3" s="277"/>
      <c r="J3" s="165"/>
      <c r="K3" s="165"/>
      <c r="L3" s="165"/>
      <c r="M3" s="165" t="str">
        <f>IFERROR(__xludf.DUMMYFUNCTION("""COMPUTED_VALUE"""),"Insta")</f>
        <v>Insta</v>
      </c>
      <c r="N3" s="165" t="str">
        <f>IFERROR(__xludf.DUMMYFUNCTION("""COMPUTED_VALUE"""),"06102304-Build Photo")</f>
        <v>06102304-Build Photo</v>
      </c>
      <c r="O3" s="284">
        <f>IFERROR(__xludf.DUMMYFUNCTION("""COMPUTED_VALUE"""),45233.0)</f>
        <v>45233</v>
      </c>
      <c r="P3" s="165"/>
      <c r="Q3" s="165"/>
      <c r="R3" s="165"/>
      <c r="S3" s="165" t="str">
        <f>IFERROR(__xludf.DUMMYFUNCTION("""COMPUTED_VALUE"""),"Insta")</f>
        <v>Insta</v>
      </c>
      <c r="T3" s="165" t="str">
        <f>IFERROR(__xludf.DUMMYFUNCTION("""COMPUTED_VALUE"""),"06102304-Build Photo")</f>
        <v>06102304-Build Photo</v>
      </c>
      <c r="U3" s="284">
        <f>IFERROR(__xludf.DUMMYFUNCTION("""COMPUTED_VALUE"""),45233.0)</f>
        <v>45233</v>
      </c>
      <c r="V3" s="165"/>
      <c r="W3" s="165"/>
      <c r="X3" s="165" t="str">
        <f>IFERROR(__xludf.DUMMYFUNCTION("""COMPUTED_VALUE"""),"CC-PTS-07.1")</f>
        <v>CC-PTS-07.1</v>
      </c>
      <c r="Y3" s="285" t="str">
        <f>IFERROR(__xludf.DUMMYFUNCTION("""COMPUTED_VALUE"""),"Done")</f>
        <v>Done</v>
      </c>
      <c r="Z3" s="284">
        <f>IFERROR(__xludf.DUMMYFUNCTION("""COMPUTED_VALUE"""),45139.0)</f>
        <v>45139</v>
      </c>
      <c r="AA3" s="165" t="str">
        <f>IFERROR(__xludf.DUMMYFUNCTION("""COMPUTED_VALUE"""),"Nasser")</f>
        <v>Nasser</v>
      </c>
      <c r="AB3" s="165" t="str">
        <f>IFERROR(__xludf.DUMMYFUNCTION("""COMPUTED_VALUE"""),"Script")</f>
        <v>Script</v>
      </c>
      <c r="AC3" s="165"/>
      <c r="AD3" s="165"/>
      <c r="AE3" s="165"/>
      <c r="AF3" s="165"/>
      <c r="AG3" s="165"/>
      <c r="AH3" s="165"/>
      <c r="AI3" s="165"/>
      <c r="AJ3" s="165"/>
      <c r="AK3" s="165"/>
      <c r="AL3" s="165"/>
    </row>
    <row r="4">
      <c r="A4" s="280" t="s">
        <v>179</v>
      </c>
      <c r="B4" s="280" t="s">
        <v>97</v>
      </c>
      <c r="C4" s="288" t="s">
        <v>63</v>
      </c>
      <c r="D4" s="282" t="s">
        <v>747</v>
      </c>
      <c r="E4" s="287"/>
      <c r="F4" s="275" t="s">
        <v>1359</v>
      </c>
      <c r="G4" s="289">
        <v>82.5</v>
      </c>
      <c r="H4" s="277"/>
      <c r="I4" s="277"/>
      <c r="J4" s="165"/>
      <c r="K4" s="165"/>
      <c r="L4" s="165"/>
      <c r="M4" s="165" t="str">
        <f>IFERROR(__xludf.DUMMYFUNCTION("""COMPUTED_VALUE"""),"YT Video")</f>
        <v>YT Video</v>
      </c>
      <c r="N4" s="165" t="str">
        <f>IFERROR(__xludf.DUMMYFUNCTION("""COMPUTED_VALUE"""),"Know Your ABC - Blender")</f>
        <v>Know Your ABC - Blender</v>
      </c>
      <c r="O4" s="284">
        <f>IFERROR(__xludf.DUMMYFUNCTION("""COMPUTED_VALUE"""),45233.0)</f>
        <v>45233</v>
      </c>
      <c r="P4" s="165"/>
      <c r="Q4" s="165"/>
      <c r="R4" s="165"/>
      <c r="S4" s="165" t="str">
        <f>IFERROR(__xludf.DUMMYFUNCTION("""COMPUTED_VALUE"""),"YT Video")</f>
        <v>YT Video</v>
      </c>
      <c r="T4" s="165" t="str">
        <f>IFERROR(__xludf.DUMMYFUNCTION("""COMPUTED_VALUE"""),"Know Your ABC - Blender")</f>
        <v>Know Your ABC - Blender</v>
      </c>
      <c r="U4" s="284">
        <f>IFERROR(__xludf.DUMMYFUNCTION("""COMPUTED_VALUE"""),45233.0)</f>
        <v>45233</v>
      </c>
      <c r="V4" s="165"/>
      <c r="W4" s="165"/>
      <c r="X4" s="165" t="str">
        <f>IFERROR(__xludf.DUMMYFUNCTION("""COMPUTED_VALUE"""),"PM-PTS-03.01")</f>
        <v>PM-PTS-03.01</v>
      </c>
      <c r="Y4" s="285" t="str">
        <f>IFERROR(__xludf.DUMMYFUNCTION("""COMPUTED_VALUE"""),"Done")</f>
        <v>Done</v>
      </c>
      <c r="Z4" s="284">
        <f>IFERROR(__xludf.DUMMYFUNCTION("""COMPUTED_VALUE"""),45162.0)</f>
        <v>45162</v>
      </c>
      <c r="AA4" s="165" t="str">
        <f>IFERROR(__xludf.DUMMYFUNCTION("""COMPUTED_VALUE"""),"Talha")</f>
        <v>Talha</v>
      </c>
      <c r="AB4" s="165" t="str">
        <f>IFERROR(__xludf.DUMMYFUNCTION("""COMPUTED_VALUE"""),"About Us")</f>
        <v>About Us</v>
      </c>
      <c r="AC4" s="165"/>
      <c r="AD4" s="165"/>
      <c r="AE4" s="165"/>
      <c r="AF4" s="165"/>
      <c r="AG4" s="165"/>
      <c r="AH4" s="165"/>
      <c r="AI4" s="165"/>
      <c r="AJ4" s="165"/>
      <c r="AK4" s="165"/>
      <c r="AL4" s="165"/>
    </row>
    <row r="5">
      <c r="A5" s="280" t="s">
        <v>388</v>
      </c>
      <c r="B5" s="280" t="s">
        <v>78</v>
      </c>
      <c r="C5" s="290" t="s">
        <v>89</v>
      </c>
      <c r="D5" s="282" t="s">
        <v>27</v>
      </c>
      <c r="E5" s="287" t="s">
        <v>1360</v>
      </c>
      <c r="F5" s="275" t="s">
        <v>1228</v>
      </c>
      <c r="G5" s="289">
        <v>72.5</v>
      </c>
      <c r="H5" s="277"/>
      <c r="I5" s="277"/>
      <c r="J5" s="165"/>
      <c r="K5" s="165"/>
      <c r="L5" s="165"/>
      <c r="M5" s="165" t="str">
        <f>IFERROR(__xludf.DUMMYFUNCTION("""COMPUTED_VALUE"""),"Blog")</f>
        <v>Blog</v>
      </c>
      <c r="N5" s="165" t="str">
        <f>IFERROR(__xludf.DUMMYFUNCTION("""COMPUTED_VALUE"""),"L40s GPU Server")</f>
        <v>L40s GPU Server</v>
      </c>
      <c r="O5" s="284">
        <f>IFERROR(__xludf.DUMMYFUNCTION("""COMPUTED_VALUE"""),45229.0)</f>
        <v>45229</v>
      </c>
      <c r="P5" s="165"/>
      <c r="Q5" s="165"/>
      <c r="R5" s="165"/>
      <c r="S5" s="165" t="str">
        <f>IFERROR(__xludf.DUMMYFUNCTION("""COMPUTED_VALUE"""),"Blog")</f>
        <v>Blog</v>
      </c>
      <c r="T5" s="165" t="str">
        <f>IFERROR(__xludf.DUMMYFUNCTION("""COMPUTED_VALUE"""),"L40s GPU Server")</f>
        <v>L40s GPU Server</v>
      </c>
      <c r="U5" s="284">
        <f>IFERROR(__xludf.DUMMYFUNCTION("""COMPUTED_VALUE"""),45229.0)</f>
        <v>45229</v>
      </c>
      <c r="V5" s="165"/>
      <c r="W5" s="165"/>
      <c r="X5" s="165" t="str">
        <f>IFERROR(__xludf.DUMMYFUNCTION("""COMPUTED_VALUE"""),"PM-PTS-03.02")</f>
        <v>PM-PTS-03.02</v>
      </c>
      <c r="Y5" s="285" t="str">
        <f>IFERROR(__xludf.DUMMYFUNCTION("""COMPUTED_VALUE"""),"Done")</f>
        <v>Done</v>
      </c>
      <c r="Z5" s="284">
        <f>IFERROR(__xludf.DUMMYFUNCTION("""COMPUTED_VALUE"""),45162.0)</f>
        <v>45162</v>
      </c>
      <c r="AA5" s="165" t="str">
        <f>IFERROR(__xludf.DUMMYFUNCTION("""COMPUTED_VALUE"""),"Talha")</f>
        <v>Talha</v>
      </c>
      <c r="AB5" s="165" t="str">
        <f>IFERROR(__xludf.DUMMYFUNCTION("""COMPUTED_VALUE"""),"Why Us")</f>
        <v>Why Us</v>
      </c>
      <c r="AC5" s="165"/>
      <c r="AD5" s="165"/>
      <c r="AE5" s="165"/>
      <c r="AF5" s="165"/>
      <c r="AG5" s="165"/>
      <c r="AH5" s="165"/>
      <c r="AI5" s="165"/>
      <c r="AJ5" s="165"/>
      <c r="AK5" s="165"/>
      <c r="AL5" s="165"/>
    </row>
    <row r="6">
      <c r="A6" s="280" t="s">
        <v>307</v>
      </c>
      <c r="B6" s="280" t="s">
        <v>102</v>
      </c>
      <c r="C6" s="291"/>
      <c r="D6" s="282" t="s">
        <v>131</v>
      </c>
      <c r="E6" s="283" t="s">
        <v>1361</v>
      </c>
      <c r="F6" s="275" t="s">
        <v>984</v>
      </c>
      <c r="G6" s="164">
        <v>115.0</v>
      </c>
      <c r="H6" s="277"/>
      <c r="I6" s="277"/>
      <c r="J6" s="165"/>
      <c r="K6" s="165"/>
      <c r="L6" s="165"/>
      <c r="M6" s="165" t="str">
        <f>IFERROR(__xludf.DUMMYFUNCTION("""COMPUTED_VALUE"""),"Shorts")</f>
        <v>Shorts</v>
      </c>
      <c r="N6" s="165" t="str">
        <f>IFERROR(__xludf.DUMMYFUNCTION("""COMPUTED_VALUE"""),"Blender Downedit")</f>
        <v>Blender Downedit</v>
      </c>
      <c r="O6" s="284">
        <f>IFERROR(__xludf.DUMMYFUNCTION("""COMPUTED_VALUE"""),45236.0)</f>
        <v>45236</v>
      </c>
      <c r="P6" s="165"/>
      <c r="Q6" s="165"/>
      <c r="R6" s="165"/>
      <c r="S6" s="165" t="str">
        <f>IFERROR(__xludf.DUMMYFUNCTION("""COMPUTED_VALUE"""),"Shorts")</f>
        <v>Shorts</v>
      </c>
      <c r="T6" s="165" t="str">
        <f>IFERROR(__xludf.DUMMYFUNCTION("""COMPUTED_VALUE"""),"Blender Downedit")</f>
        <v>Blender Downedit</v>
      </c>
      <c r="U6" s="284">
        <f>IFERROR(__xludf.DUMMYFUNCTION("""COMPUTED_VALUE"""),45236.0)</f>
        <v>45236</v>
      </c>
      <c r="V6" s="165"/>
      <c r="W6" s="165"/>
      <c r="X6" s="165" t="str">
        <f>IFERROR(__xludf.DUMMYFUNCTION("""COMPUTED_VALUE"""),"PM-PTS-03.03")</f>
        <v>PM-PTS-03.03</v>
      </c>
      <c r="Y6" s="285" t="str">
        <f>IFERROR(__xludf.DUMMYFUNCTION("""COMPUTED_VALUE"""),"Done")</f>
        <v>Done</v>
      </c>
      <c r="Z6" s="284">
        <f>IFERROR(__xludf.DUMMYFUNCTION("""COMPUTED_VALUE"""),45162.0)</f>
        <v>45162</v>
      </c>
      <c r="AA6" s="165" t="str">
        <f>IFERROR(__xludf.DUMMYFUNCTION("""COMPUTED_VALUE"""),"Talha")</f>
        <v>Talha</v>
      </c>
      <c r="AB6" s="165" t="str">
        <f>IFERROR(__xludf.DUMMYFUNCTION("""COMPUTED_VALUE"""),"Clients")</f>
        <v>Clients</v>
      </c>
      <c r="AC6" s="165"/>
      <c r="AD6" s="165"/>
      <c r="AE6" s="165"/>
      <c r="AF6" s="165"/>
      <c r="AG6" s="165"/>
      <c r="AH6" s="165"/>
      <c r="AI6" s="165"/>
      <c r="AJ6" s="165"/>
      <c r="AK6" s="165"/>
      <c r="AL6" s="165"/>
    </row>
    <row r="7">
      <c r="A7" s="280" t="s">
        <v>1362</v>
      </c>
      <c r="B7" s="280" t="s">
        <v>252</v>
      </c>
      <c r="C7" s="291"/>
      <c r="D7" s="282" t="s">
        <v>41</v>
      </c>
      <c r="E7" s="287" t="s">
        <v>1363</v>
      </c>
      <c r="F7" s="275" t="s">
        <v>1006</v>
      </c>
      <c r="G7" s="164">
        <v>115.0</v>
      </c>
      <c r="H7" s="277"/>
      <c r="I7" s="277"/>
      <c r="J7" s="165"/>
      <c r="K7" s="165"/>
      <c r="L7" s="165"/>
      <c r="M7" s="165" t="str">
        <f>IFERROR(__xludf.DUMMYFUNCTION("""COMPUTED_VALUE"""),"Linkedin")</f>
        <v>Linkedin</v>
      </c>
      <c r="N7" s="165" t="str">
        <f>IFERROR(__xludf.DUMMYFUNCTION("""COMPUTED_VALUE"""),"PC Landscape")</f>
        <v>PC Landscape</v>
      </c>
      <c r="O7" s="284">
        <f>IFERROR(__xludf.DUMMYFUNCTION("""COMPUTED_VALUE"""),45235.0)</f>
        <v>45235</v>
      </c>
      <c r="P7" s="165"/>
      <c r="Q7" s="165"/>
      <c r="R7" s="165"/>
      <c r="S7" s="165" t="str">
        <f>IFERROR(__xludf.DUMMYFUNCTION("""COMPUTED_VALUE"""),"Linkedin")</f>
        <v>Linkedin</v>
      </c>
      <c r="T7" s="165" t="str">
        <f>IFERROR(__xludf.DUMMYFUNCTION("""COMPUTED_VALUE"""),"PC Landscape")</f>
        <v>PC Landscape</v>
      </c>
      <c r="U7" s="284">
        <f>IFERROR(__xludf.DUMMYFUNCTION("""COMPUTED_VALUE"""),45235.0)</f>
        <v>45235</v>
      </c>
      <c r="V7" s="165"/>
      <c r="W7" s="165"/>
      <c r="X7" s="165" t="str">
        <f>IFERROR(__xludf.DUMMYFUNCTION("""COMPUTED_VALUE"""),"PM-PTS-03.04")</f>
        <v>PM-PTS-03.04</v>
      </c>
      <c r="Y7" s="285" t="str">
        <f>IFERROR(__xludf.DUMMYFUNCTION("""COMPUTED_VALUE"""),"Done")</f>
        <v>Done</v>
      </c>
      <c r="Z7" s="284">
        <f>IFERROR(__xludf.DUMMYFUNCTION("""COMPUTED_VALUE"""),45162.0)</f>
        <v>45162</v>
      </c>
      <c r="AA7" s="165" t="str">
        <f>IFERROR(__xludf.DUMMYFUNCTION("""COMPUTED_VALUE"""),"Talha")</f>
        <v>Talha</v>
      </c>
      <c r="AB7" s="165" t="str">
        <f>IFERROR(__xludf.DUMMYFUNCTION("""COMPUTED_VALUE"""),"Contact")</f>
        <v>Contact</v>
      </c>
      <c r="AC7" s="165"/>
      <c r="AD7" s="165"/>
      <c r="AE7" s="165"/>
      <c r="AF7" s="165"/>
      <c r="AG7" s="165"/>
      <c r="AH7" s="165"/>
      <c r="AI7" s="165"/>
      <c r="AJ7" s="165"/>
      <c r="AK7" s="165"/>
      <c r="AL7" s="165"/>
    </row>
    <row r="8">
      <c r="A8" s="291"/>
      <c r="B8" s="280" t="s">
        <v>51</v>
      </c>
      <c r="C8" s="291"/>
      <c r="D8" s="282" t="s">
        <v>236</v>
      </c>
      <c r="E8" s="287"/>
      <c r="F8" s="277"/>
      <c r="G8" s="165"/>
      <c r="H8" s="277"/>
      <c r="I8" s="277"/>
      <c r="J8" s="165"/>
      <c r="K8" s="165"/>
      <c r="L8" s="165"/>
      <c r="M8" s="165" t="str">
        <f>IFERROR(__xludf.DUMMYFUNCTION("""COMPUTED_VALUE"""),"Tweet")</f>
        <v>Tweet</v>
      </c>
      <c r="N8" s="165" t="str">
        <f>IFERROR(__xludf.DUMMYFUNCTION("""COMPUTED_VALUE"""),"180TB SSds")</f>
        <v>180TB SSds</v>
      </c>
      <c r="O8" s="284">
        <f>IFERROR(__xludf.DUMMYFUNCTION("""COMPUTED_VALUE"""),45236.0)</f>
        <v>45236</v>
      </c>
      <c r="P8" s="165"/>
      <c r="Q8" s="165"/>
      <c r="R8" s="165"/>
      <c r="S8" s="165" t="str">
        <f>IFERROR(__xludf.DUMMYFUNCTION("""COMPUTED_VALUE"""),"Tweet")</f>
        <v>Tweet</v>
      </c>
      <c r="T8" s="165" t="str">
        <f>IFERROR(__xludf.DUMMYFUNCTION("""COMPUTED_VALUE"""),"180TB SSds")</f>
        <v>180TB SSds</v>
      </c>
      <c r="U8" s="284">
        <f>IFERROR(__xludf.DUMMYFUNCTION("""COMPUTED_VALUE"""),45236.0)</f>
        <v>45236</v>
      </c>
      <c r="V8" s="165"/>
      <c r="W8" s="165"/>
      <c r="X8" s="165" t="str">
        <f>IFERROR(__xludf.DUMMYFUNCTION("""COMPUTED_VALUE"""),"CC-PTS-07.2")</f>
        <v>CC-PTS-07.2</v>
      </c>
      <c r="Y8" s="285" t="str">
        <f>IFERROR(__xludf.DUMMYFUNCTION("""COMPUTED_VALUE"""),"Done")</f>
        <v>Done</v>
      </c>
      <c r="Z8" s="284">
        <f>IFERROR(__xludf.DUMMYFUNCTION("""COMPUTED_VALUE"""),45163.0)</f>
        <v>45163</v>
      </c>
      <c r="AA8" s="165" t="str">
        <f>IFERROR(__xludf.DUMMYFUNCTION("""COMPUTED_VALUE"""),"Nasser")</f>
        <v>Nasser</v>
      </c>
      <c r="AB8" s="165" t="str">
        <f>IFERROR(__xludf.DUMMYFUNCTION("""COMPUTED_VALUE"""),"Voiceover")</f>
        <v>Voiceover</v>
      </c>
      <c r="AC8" s="165"/>
      <c r="AD8" s="165"/>
      <c r="AE8" s="165"/>
      <c r="AF8" s="165"/>
      <c r="AG8" s="165"/>
      <c r="AH8" s="165"/>
      <c r="AI8" s="165"/>
      <c r="AJ8" s="165"/>
      <c r="AK8" s="165"/>
      <c r="AL8" s="165"/>
    </row>
    <row r="9">
      <c r="A9" s="291"/>
      <c r="B9" s="280" t="s">
        <v>1364</v>
      </c>
      <c r="C9" s="291"/>
      <c r="D9" s="282" t="s">
        <v>34</v>
      </c>
      <c r="E9" s="283" t="s">
        <v>1365</v>
      </c>
      <c r="F9" s="277"/>
      <c r="G9" s="165"/>
      <c r="H9" s="277"/>
      <c r="I9" s="277"/>
      <c r="J9" s="165"/>
      <c r="K9" s="165"/>
      <c r="L9" s="165"/>
      <c r="M9" s="165" t="str">
        <f>IFERROR(__xludf.DUMMYFUNCTION("""COMPUTED_VALUE"""),"Shorts")</f>
        <v>Shorts</v>
      </c>
      <c r="N9" s="165" t="str">
        <f>IFERROR(__xludf.DUMMYFUNCTION("""COMPUTED_VALUE"""),"Ada Lovelace Power Efficiency")</f>
        <v>Ada Lovelace Power Efficiency</v>
      </c>
      <c r="O9" s="284">
        <f>IFERROR(__xludf.DUMMYFUNCTION("""COMPUTED_VALUE"""),45238.0)</f>
        <v>45238</v>
      </c>
      <c r="P9" s="165"/>
      <c r="Q9" s="165"/>
      <c r="R9" s="165"/>
      <c r="S9" s="165" t="str">
        <f>IFERROR(__xludf.DUMMYFUNCTION("""COMPUTED_VALUE"""),"Shorts")</f>
        <v>Shorts</v>
      </c>
      <c r="T9" s="165" t="str">
        <f>IFERROR(__xludf.DUMMYFUNCTION("""COMPUTED_VALUE"""),"Ada Lovelace Power Efficiency")</f>
        <v>Ada Lovelace Power Efficiency</v>
      </c>
      <c r="U9" s="284">
        <f>IFERROR(__xludf.DUMMYFUNCTION("""COMPUTED_VALUE"""),45238.0)</f>
        <v>45238</v>
      </c>
      <c r="V9" s="165"/>
      <c r="W9" s="165"/>
      <c r="X9" s="165" t="str">
        <f>IFERROR(__xludf.DUMMYFUNCTION("""COMPUTED_VALUE"""),"PM-PTS-01.05")</f>
        <v>PM-PTS-01.05</v>
      </c>
      <c r="Y9" s="285" t="str">
        <f>IFERROR(__xludf.DUMMYFUNCTION("""COMPUTED_VALUE"""),"Done")</f>
        <v>Done</v>
      </c>
      <c r="Z9" s="284">
        <f>IFERROR(__xludf.DUMMYFUNCTION("""COMPUTED_VALUE"""),45163.0)</f>
        <v>45163</v>
      </c>
      <c r="AA9" s="165" t="str">
        <f>IFERROR(__xludf.DUMMYFUNCTION("""COMPUTED_VALUE"""),"Nasser")</f>
        <v>Nasser</v>
      </c>
      <c r="AB9" s="165" t="str">
        <f>IFERROR(__xludf.DUMMYFUNCTION("""COMPUTED_VALUE"""),"Videos ")</f>
        <v>Videos </v>
      </c>
      <c r="AC9" s="165"/>
      <c r="AD9" s="165"/>
      <c r="AE9" s="165"/>
      <c r="AF9" s="165"/>
      <c r="AG9" s="165"/>
      <c r="AH9" s="165"/>
      <c r="AI9" s="165"/>
      <c r="AJ9" s="165"/>
      <c r="AK9" s="165"/>
      <c r="AL9" s="165"/>
    </row>
    <row r="10">
      <c r="A10" s="165"/>
      <c r="B10" s="165"/>
      <c r="C10" s="165"/>
      <c r="D10" s="282" t="s">
        <v>71</v>
      </c>
      <c r="E10" s="287" t="s">
        <v>1366</v>
      </c>
      <c r="F10" s="277"/>
      <c r="G10" s="165"/>
      <c r="H10" s="277"/>
      <c r="I10" s="277"/>
      <c r="J10" s="165"/>
      <c r="K10" s="165"/>
      <c r="L10" s="165"/>
      <c r="M10" s="165" t="str">
        <f>IFERROR(__xludf.DUMMYFUNCTION("""COMPUTED_VALUE"""),"YT Video")</f>
        <v>YT Video</v>
      </c>
      <c r="N10" s="165" t="str">
        <f>IFERROR(__xludf.DUMMYFUNCTION("""COMPUTED_VALUE"""),"China Vlog 1")</f>
        <v>China Vlog 1</v>
      </c>
      <c r="O10" s="284">
        <f>IFERROR(__xludf.DUMMYFUNCTION("""COMPUTED_VALUE"""),45237.0)</f>
        <v>45237</v>
      </c>
      <c r="P10" s="165"/>
      <c r="Q10" s="165"/>
      <c r="R10" s="165"/>
      <c r="S10" s="165" t="str">
        <f>IFERROR(__xludf.DUMMYFUNCTION("""COMPUTED_VALUE"""),"YT Video")</f>
        <v>YT Video</v>
      </c>
      <c r="T10" s="165" t="str">
        <f>IFERROR(__xludf.DUMMYFUNCTION("""COMPUTED_VALUE"""),"China Vlog 1")</f>
        <v>China Vlog 1</v>
      </c>
      <c r="U10" s="284">
        <f>IFERROR(__xludf.DUMMYFUNCTION("""COMPUTED_VALUE"""),45237.0)</f>
        <v>45237</v>
      </c>
      <c r="V10" s="165"/>
      <c r="W10" s="165"/>
      <c r="X10" s="165" t="str">
        <f>IFERROR(__xludf.DUMMYFUNCTION("""COMPUTED_VALUE"""),"CC-NVI-12.01")</f>
        <v>CC-NVI-12.01</v>
      </c>
      <c r="Y10" s="285" t="str">
        <f>IFERROR(__xludf.DUMMYFUNCTION("""COMPUTED_VALUE"""),"Done")</f>
        <v>Done</v>
      </c>
      <c r="Z10" s="284">
        <f>IFERROR(__xludf.DUMMYFUNCTION("""COMPUTED_VALUE"""),45178.0)</f>
        <v>45178</v>
      </c>
      <c r="AA10" s="165" t="str">
        <f>IFERROR(__xludf.DUMMYFUNCTION("""COMPUTED_VALUE"""),"Nasser")</f>
        <v>Nasser</v>
      </c>
      <c r="AB10" s="165" t="str">
        <f>IFERROR(__xludf.DUMMYFUNCTION("""COMPUTED_VALUE"""),"Follow Up for Laptop")</f>
        <v>Follow Up for Laptop</v>
      </c>
      <c r="AC10" s="165"/>
      <c r="AD10" s="165"/>
      <c r="AE10" s="165"/>
      <c r="AF10" s="165"/>
      <c r="AG10" s="165"/>
      <c r="AH10" s="165"/>
      <c r="AI10" s="165"/>
      <c r="AJ10" s="165"/>
      <c r="AK10" s="165"/>
      <c r="AL10" s="165"/>
    </row>
    <row r="11">
      <c r="A11" s="165"/>
      <c r="B11" s="165"/>
      <c r="C11" s="165"/>
      <c r="D11" s="165"/>
      <c r="E11" s="292"/>
      <c r="F11" s="277"/>
      <c r="G11" s="165"/>
      <c r="H11" s="277"/>
      <c r="I11" s="277"/>
      <c r="J11" s="165"/>
      <c r="K11" s="165"/>
      <c r="L11" s="165"/>
      <c r="M11" s="165" t="str">
        <f>IFERROR(__xludf.DUMMYFUNCTION("""COMPUTED_VALUE"""),"Shorts")</f>
        <v>Shorts</v>
      </c>
      <c r="N11" s="165" t="str">
        <f>IFERROR(__xludf.DUMMYFUNCTION("""COMPUTED_VALUE"""),"China Vlog - DownEdit")</f>
        <v>China Vlog - DownEdit</v>
      </c>
      <c r="O11" s="284">
        <f>IFERROR(__xludf.DUMMYFUNCTION("""COMPUTED_VALUE"""),45238.0)</f>
        <v>45238</v>
      </c>
      <c r="P11" s="165"/>
      <c r="Q11" s="165"/>
      <c r="R11" s="165"/>
      <c r="S11" s="165" t="str">
        <f>IFERROR(__xludf.DUMMYFUNCTION("""COMPUTED_VALUE"""),"Shorts")</f>
        <v>Shorts</v>
      </c>
      <c r="T11" s="165" t="str">
        <f>IFERROR(__xludf.DUMMYFUNCTION("""COMPUTED_VALUE"""),"China Vlog - DownEdit")</f>
        <v>China Vlog - DownEdit</v>
      </c>
      <c r="U11" s="284">
        <f>IFERROR(__xludf.DUMMYFUNCTION("""COMPUTED_VALUE"""),45238.0)</f>
        <v>45238</v>
      </c>
      <c r="V11" s="165"/>
      <c r="W11" s="165"/>
      <c r="X11" s="165" t="str">
        <f>IFERROR(__xludf.DUMMYFUNCTION("""COMPUTED_VALUE"""),"CC-PTS-09.2")</f>
        <v>CC-PTS-09.2</v>
      </c>
      <c r="Y11" s="285" t="str">
        <f>IFERROR(__xludf.DUMMYFUNCTION("""COMPUTED_VALUE"""),"Done")</f>
        <v>Done</v>
      </c>
      <c r="Z11" s="284">
        <f>IFERROR(__xludf.DUMMYFUNCTION("""COMPUTED_VALUE"""),45182.0)</f>
        <v>45182</v>
      </c>
      <c r="AA11" s="165" t="str">
        <f>IFERROR(__xludf.DUMMYFUNCTION("""COMPUTED_VALUE"""),"Naveen")</f>
        <v>Naveen</v>
      </c>
      <c r="AB11" s="165" t="str">
        <f>IFERROR(__xludf.DUMMYFUNCTION("""COMPUTED_VALUE"""),"Images")</f>
        <v>Images</v>
      </c>
      <c r="AC11" s="165"/>
      <c r="AD11" s="165"/>
      <c r="AE11" s="165"/>
      <c r="AF11" s="165"/>
      <c r="AG11" s="165"/>
      <c r="AH11" s="165"/>
      <c r="AI11" s="165"/>
      <c r="AJ11" s="165"/>
      <c r="AK11" s="165"/>
      <c r="AL11" s="165"/>
    </row>
    <row r="12">
      <c r="A12" s="165"/>
      <c r="B12" s="165"/>
      <c r="C12" s="165"/>
      <c r="D12" s="165"/>
      <c r="E12" s="292"/>
      <c r="F12" s="277"/>
      <c r="G12" s="165"/>
      <c r="H12" s="277"/>
      <c r="I12" s="277"/>
      <c r="J12" s="165"/>
      <c r="K12" s="165"/>
      <c r="L12" s="165"/>
      <c r="M12" s="165" t="str">
        <f>IFERROR(__xludf.DUMMYFUNCTION("""COMPUTED_VALUE"""),"Shorts")</f>
        <v>Shorts</v>
      </c>
      <c r="N12" s="165" t="str">
        <f>IFERROR(__xludf.DUMMYFUNCTION("""COMPUTED_VALUE"""),"Client Reviews - Pt 3")</f>
        <v>Client Reviews - Pt 3</v>
      </c>
      <c r="O12" s="284">
        <f>IFERROR(__xludf.DUMMYFUNCTION("""COMPUTED_VALUE"""),45238.0)</f>
        <v>45238</v>
      </c>
      <c r="P12" s="165"/>
      <c r="Q12" s="165"/>
      <c r="R12" s="165"/>
      <c r="S12" s="165" t="str">
        <f>IFERROR(__xludf.DUMMYFUNCTION("""COMPUTED_VALUE"""),"Shorts")</f>
        <v>Shorts</v>
      </c>
      <c r="T12" s="165" t="str">
        <f>IFERROR(__xludf.DUMMYFUNCTION("""COMPUTED_VALUE"""),"Client Reviews - Pt 3")</f>
        <v>Client Reviews - Pt 3</v>
      </c>
      <c r="U12" s="284">
        <f>IFERROR(__xludf.DUMMYFUNCTION("""COMPUTED_VALUE"""),45238.0)</f>
        <v>45238</v>
      </c>
      <c r="V12" s="165"/>
      <c r="W12" s="165"/>
      <c r="X12" s="165" t="str">
        <f>IFERROR(__xludf.DUMMYFUNCTION("""COMPUTED_VALUE"""),"CC-PTS-07.3")</f>
        <v>CC-PTS-07.3</v>
      </c>
      <c r="Y12" s="285" t="str">
        <f>IFERROR(__xludf.DUMMYFUNCTION("""COMPUTED_VALUE"""),"Done")</f>
        <v>Done</v>
      </c>
      <c r="Z12" s="284">
        <f>IFERROR(__xludf.DUMMYFUNCTION("""COMPUTED_VALUE"""),45183.0)</f>
        <v>45183</v>
      </c>
      <c r="AA12" s="165" t="str">
        <f>IFERROR(__xludf.DUMMYFUNCTION("""COMPUTED_VALUE"""),"Tazeen")</f>
        <v>Tazeen</v>
      </c>
      <c r="AB12" s="165" t="str">
        <f>IFERROR(__xludf.DUMMYFUNCTION("""COMPUTED_VALUE"""),"Edit")</f>
        <v>Edit</v>
      </c>
      <c r="AC12" s="165"/>
      <c r="AD12" s="165"/>
      <c r="AE12" s="165"/>
      <c r="AF12" s="165"/>
      <c r="AG12" s="165"/>
      <c r="AH12" s="165"/>
      <c r="AI12" s="165"/>
      <c r="AJ12" s="165"/>
      <c r="AK12" s="165"/>
      <c r="AL12" s="165"/>
    </row>
    <row r="13">
      <c r="A13" s="165"/>
      <c r="B13" s="165"/>
      <c r="C13" s="165"/>
      <c r="D13" s="165"/>
      <c r="E13" s="292"/>
      <c r="F13" s="277"/>
      <c r="G13" s="165"/>
      <c r="H13" s="277"/>
      <c r="I13" s="277"/>
      <c r="J13" s="165"/>
      <c r="K13" s="165"/>
      <c r="L13" s="165"/>
      <c r="M13" s="165" t="str">
        <f>IFERROR(__xludf.DUMMYFUNCTION("""COMPUTED_VALUE"""),"Linkedin")</f>
        <v>Linkedin</v>
      </c>
      <c r="N13" s="165" t="str">
        <f>IFERROR(__xludf.DUMMYFUNCTION("""COMPUTED_VALUE"""),"Arm vs x86")</f>
        <v>Arm vs x86</v>
      </c>
      <c r="O13" s="284">
        <f>IFERROR(__xludf.DUMMYFUNCTION("""COMPUTED_VALUE"""),45238.0)</f>
        <v>45238</v>
      </c>
      <c r="P13" s="165"/>
      <c r="Q13" s="165"/>
      <c r="R13" s="165"/>
      <c r="S13" s="165" t="str">
        <f>IFERROR(__xludf.DUMMYFUNCTION("""COMPUTED_VALUE"""),"Linkedin")</f>
        <v>Linkedin</v>
      </c>
      <c r="T13" s="165" t="str">
        <f>IFERROR(__xludf.DUMMYFUNCTION("""COMPUTED_VALUE"""),"Arm vs x86")</f>
        <v>Arm vs x86</v>
      </c>
      <c r="U13" s="284">
        <f>IFERROR(__xludf.DUMMYFUNCTION("""COMPUTED_VALUE"""),45238.0)</f>
        <v>45238</v>
      </c>
      <c r="V13" s="165"/>
      <c r="W13" s="165"/>
      <c r="X13" s="165" t="str">
        <f>IFERROR(__xludf.DUMMYFUNCTION("""COMPUTED_VALUE"""),"CC-NVI-01.02")</f>
        <v>CC-NVI-01.02</v>
      </c>
      <c r="Y13" s="285" t="str">
        <f>IFERROR(__xludf.DUMMYFUNCTION("""COMPUTED_VALUE"""),"Done")</f>
        <v>Done</v>
      </c>
      <c r="Z13" s="284">
        <f>IFERROR(__xludf.DUMMYFUNCTION("""COMPUTED_VALUE"""),45188.0)</f>
        <v>45188</v>
      </c>
      <c r="AA13" s="165" t="str">
        <f>IFERROR(__xludf.DUMMYFUNCTION("""COMPUTED_VALUE"""),"Nasser")</f>
        <v>Nasser</v>
      </c>
      <c r="AB13" s="165" t="str">
        <f>IFERROR(__xludf.DUMMYFUNCTION("""COMPUTED_VALUE"""),"Script")</f>
        <v>Script</v>
      </c>
      <c r="AC13" s="165"/>
      <c r="AD13" s="165"/>
      <c r="AE13" s="165"/>
      <c r="AF13" s="165"/>
      <c r="AG13" s="165"/>
      <c r="AH13" s="165"/>
      <c r="AI13" s="165"/>
      <c r="AJ13" s="165"/>
      <c r="AK13" s="165"/>
      <c r="AL13" s="165"/>
    </row>
    <row r="14">
      <c r="A14" s="165"/>
      <c r="B14" s="165"/>
      <c r="C14" s="165"/>
      <c r="D14" s="165"/>
      <c r="E14" s="292"/>
      <c r="F14" s="277"/>
      <c r="G14" s="165"/>
      <c r="H14" s="277"/>
      <c r="I14" s="277"/>
      <c r="J14" s="165"/>
      <c r="K14" s="165"/>
      <c r="L14" s="165"/>
      <c r="M14" s="165" t="str">
        <f>IFERROR(__xludf.DUMMYFUNCTION("""COMPUTED_VALUE"""),"Insta")</f>
        <v>Insta</v>
      </c>
      <c r="N14" s="165" t="str">
        <f>IFERROR(__xludf.DUMMYFUNCTION("""COMPUTED_VALUE"""),"Build Photo 05102302 Suprim X")</f>
        <v>Build Photo 05102302 Suprim X</v>
      </c>
      <c r="O14" s="284">
        <f>IFERROR(__xludf.DUMMYFUNCTION("""COMPUTED_VALUE"""),45238.0)</f>
        <v>45238</v>
      </c>
      <c r="P14" s="165"/>
      <c r="Q14" s="165"/>
      <c r="R14" s="165"/>
      <c r="S14" s="165" t="str">
        <f>IFERROR(__xludf.DUMMYFUNCTION("""COMPUTED_VALUE"""),"Insta")</f>
        <v>Insta</v>
      </c>
      <c r="T14" s="165" t="str">
        <f>IFERROR(__xludf.DUMMYFUNCTION("""COMPUTED_VALUE"""),"Build Photo 05102302 Suprim X")</f>
        <v>Build Photo 05102302 Suprim X</v>
      </c>
      <c r="U14" s="284">
        <f>IFERROR(__xludf.DUMMYFUNCTION("""COMPUTED_VALUE"""),45238.0)</f>
        <v>45238</v>
      </c>
      <c r="V14" s="165"/>
      <c r="W14" s="165"/>
      <c r="X14" s="165" t="str">
        <f>IFERROR(__xludf.DUMMYFUNCTION("""COMPUTED_VALUE"""),"CC-NVI-01.03")</f>
        <v>CC-NVI-01.03</v>
      </c>
      <c r="Y14" s="285" t="str">
        <f>IFERROR(__xludf.DUMMYFUNCTION("""COMPUTED_VALUE"""),"Done")</f>
        <v>Done</v>
      </c>
      <c r="Z14" s="284">
        <f>IFERROR(__xludf.DUMMYFUNCTION("""COMPUTED_VALUE"""),45189.0)</f>
        <v>45189</v>
      </c>
      <c r="AA14" s="165" t="str">
        <f>IFERROR(__xludf.DUMMYFUNCTION("""COMPUTED_VALUE"""),"Naveen")</f>
        <v>Naveen</v>
      </c>
      <c r="AB14" s="165" t="str">
        <f>IFERROR(__xludf.DUMMYFUNCTION("""COMPUTED_VALUE"""),"Shoot")</f>
        <v>Shoot</v>
      </c>
      <c r="AC14" s="165"/>
      <c r="AD14" s="165"/>
      <c r="AE14" s="165"/>
      <c r="AF14" s="165"/>
      <c r="AG14" s="165"/>
      <c r="AH14" s="165"/>
      <c r="AI14" s="165"/>
      <c r="AJ14" s="165"/>
      <c r="AK14" s="165"/>
      <c r="AL14" s="165"/>
    </row>
    <row r="15">
      <c r="A15" s="293"/>
      <c r="B15" s="293"/>
      <c r="C15" s="293"/>
      <c r="D15" s="293"/>
      <c r="E15" s="294"/>
      <c r="F15" s="295"/>
      <c r="G15" s="293"/>
      <c r="H15" s="295"/>
      <c r="I15" s="296"/>
      <c r="J15" s="297"/>
      <c r="K15" s="293"/>
      <c r="L15" s="293"/>
      <c r="M15" s="293" t="str">
        <f>IFERROR(__xludf.DUMMYFUNCTION("""COMPUTED_VALUE"""),"Tweet")</f>
        <v>Tweet</v>
      </c>
      <c r="N15" s="293" t="str">
        <f>IFERROR(__xludf.DUMMYFUNCTION("""COMPUTED_VALUE"""),"GTA 6 Launch")</f>
        <v>GTA 6 Launch</v>
      </c>
      <c r="O15" s="298">
        <f>IFERROR(__xludf.DUMMYFUNCTION("""COMPUTED_VALUE"""),45238.0)</f>
        <v>45238</v>
      </c>
      <c r="P15" s="293"/>
      <c r="Q15" s="293"/>
      <c r="R15" s="293"/>
      <c r="S15" s="293" t="str">
        <f>IFERROR(__xludf.DUMMYFUNCTION("""COMPUTED_VALUE"""),"Tweet")</f>
        <v>Tweet</v>
      </c>
      <c r="T15" s="293" t="str">
        <f>IFERROR(__xludf.DUMMYFUNCTION("""COMPUTED_VALUE"""),"GTA 6 Launch")</f>
        <v>GTA 6 Launch</v>
      </c>
      <c r="U15" s="298">
        <f>IFERROR(__xludf.DUMMYFUNCTION("""COMPUTED_VALUE"""),45238.0)</f>
        <v>45238</v>
      </c>
      <c r="V15" s="293"/>
      <c r="W15" s="293"/>
      <c r="X15" s="293" t="str">
        <f>IFERROR(__xludf.DUMMYFUNCTION("""COMPUTED_VALUE"""),"PM-PTS-05.01")</f>
        <v>PM-PTS-05.01</v>
      </c>
      <c r="Y15" s="285" t="str">
        <f>IFERROR(__xludf.DUMMYFUNCTION("""COMPUTED_VALUE"""),"Done")</f>
        <v>Done</v>
      </c>
      <c r="Z15" s="284">
        <f>IFERROR(__xludf.DUMMYFUNCTION("""COMPUTED_VALUE"""),45190.0)</f>
        <v>45190</v>
      </c>
      <c r="AA15" s="165" t="str">
        <f>IFERROR(__xludf.DUMMYFUNCTION("""COMPUTED_VALUE"""),"Talha")</f>
        <v>Talha</v>
      </c>
      <c r="AB15" s="165" t="str">
        <f>IFERROR(__xludf.DUMMYFUNCTION("""COMPUTED_VALUE"""),"Clients Update")</f>
        <v>Clients Update</v>
      </c>
      <c r="AC15" s="165"/>
      <c r="AD15" s="165"/>
      <c r="AE15" s="165"/>
      <c r="AF15" s="165"/>
      <c r="AG15" s="165"/>
      <c r="AH15" s="165"/>
      <c r="AI15" s="165"/>
      <c r="AJ15" s="165"/>
      <c r="AK15" s="165"/>
      <c r="AL15" s="165"/>
    </row>
    <row r="16">
      <c r="A16" s="282" t="s">
        <v>21</v>
      </c>
      <c r="B16" s="282" t="s">
        <v>1367</v>
      </c>
      <c r="C16" s="165"/>
      <c r="D16" s="165"/>
      <c r="E16" s="287" t="s">
        <v>18</v>
      </c>
      <c r="F16" s="275" t="s">
        <v>1368</v>
      </c>
      <c r="G16" s="282" t="s">
        <v>1369</v>
      </c>
      <c r="H16" s="275" t="s">
        <v>1370</v>
      </c>
      <c r="I16" s="299" t="str">
        <f>IFERROR(__xludf.DUMMYFUNCTION("CONCATENATE(""CC-"", $F16, ""-"", IF(ISNUMBER(MAX(FILTER(INT(VALUE(Content_Creation!$T$1:$T$1125)), Content_Creation!$S$1:$S$1125=$F16))), MAX(FILTER(INT(VALUE(Content_Creation!$T$1:$T$1125)), Content_Creation!$S$1:$S$1125=$F16)) + 1, ""01""))"),"CC-MVP-116")</f>
        <v>CC-MVP-116</v>
      </c>
      <c r="J16" s="165"/>
      <c r="K16" s="275"/>
      <c r="L16" s="275"/>
      <c r="M16" s="165" t="str">
        <f>IFERROR(__xludf.DUMMYFUNCTION("""COMPUTED_VALUE"""),"Blog")</f>
        <v>Blog</v>
      </c>
      <c r="N16" s="165" t="str">
        <f>IFERROR(__xludf.DUMMYFUNCTION("""COMPUTED_VALUE"""),"TrueNAS Setup")</f>
        <v>TrueNAS Setup</v>
      </c>
      <c r="O16" s="284">
        <f>IFERROR(__xludf.DUMMYFUNCTION("""COMPUTED_VALUE"""),45239.0)</f>
        <v>45239</v>
      </c>
      <c r="P16" s="165"/>
      <c r="Q16" s="165"/>
      <c r="R16" s="165"/>
      <c r="S16" s="165" t="str">
        <f>IFERROR(__xludf.DUMMYFUNCTION("""COMPUTED_VALUE"""),"Blog")</f>
        <v>Blog</v>
      </c>
      <c r="T16" s="165" t="str">
        <f>IFERROR(__xludf.DUMMYFUNCTION("""COMPUTED_VALUE"""),"TrueNAS Setup")</f>
        <v>TrueNAS Setup</v>
      </c>
      <c r="U16" s="284">
        <f>IFERROR(__xludf.DUMMYFUNCTION("""COMPUTED_VALUE"""),45239.0)</f>
        <v>45239</v>
      </c>
      <c r="V16" s="165"/>
      <c r="W16" s="165"/>
      <c r="X16" s="165" t="str">
        <f>IFERROR(__xludf.DUMMYFUNCTION("""COMPUTED_VALUE"""),"PM-PTS-05.02")</f>
        <v>PM-PTS-05.02</v>
      </c>
      <c r="Y16" s="285" t="str">
        <f>IFERROR(__xludf.DUMMYFUNCTION("""COMPUTED_VALUE"""),"Done")</f>
        <v>Done</v>
      </c>
      <c r="Z16" s="284">
        <f>IFERROR(__xludf.DUMMYFUNCTION("""COMPUTED_VALUE"""),45190.0)</f>
        <v>45190</v>
      </c>
      <c r="AA16" s="165" t="str">
        <f>IFERROR(__xludf.DUMMYFUNCTION("""COMPUTED_VALUE"""),"Talha")</f>
        <v>Talha</v>
      </c>
      <c r="AB16" s="165" t="str">
        <f>IFERROR(__xludf.DUMMYFUNCTION("""COMPUTED_VALUE"""),"Testimonials")</f>
        <v>Testimonials</v>
      </c>
      <c r="AC16" s="165"/>
      <c r="AD16" s="165"/>
      <c r="AE16" s="165"/>
      <c r="AF16" s="165"/>
      <c r="AG16" s="165"/>
      <c r="AH16" s="165"/>
      <c r="AI16" s="165"/>
      <c r="AJ16" s="165"/>
      <c r="AK16" s="165"/>
      <c r="AL16" s="165"/>
    </row>
    <row r="17">
      <c r="A17" s="282" t="s">
        <v>62</v>
      </c>
      <c r="B17" s="282" t="s">
        <v>1367</v>
      </c>
      <c r="C17" s="165"/>
      <c r="D17" s="165"/>
      <c r="E17" s="287" t="s">
        <v>457</v>
      </c>
      <c r="F17" s="275" t="s">
        <v>1371</v>
      </c>
      <c r="G17" s="282" t="s">
        <v>1372</v>
      </c>
      <c r="H17" s="275" t="s">
        <v>1373</v>
      </c>
      <c r="I17" s="300" t="str">
        <f>IFERROR(__xludf.DUMMYFUNCTION("CONCATENATE(""CC-"", F17, ""-"", IF(ISNUMBER(MAX(FILTER(INT(VALUE(Content_Creation!$T$1:$T$1125)), Content_Creation!$S$1:$S$1125=F17))), MAX(FILTER(INT(VALUE(Content_Creation!$T$1:$T$1125)), Content_Creation!$S$1:$S$1125=F17)) + 1, ""01""))"),"CC-PTS-11")</f>
        <v>CC-PTS-11</v>
      </c>
      <c r="J17" s="282"/>
      <c r="K17" s="165"/>
      <c r="L17" s="165"/>
      <c r="M17" s="165" t="str">
        <f>IFERROR(__xludf.DUMMYFUNCTION("""COMPUTED_VALUE"""),"Shorts")</f>
        <v>Shorts</v>
      </c>
      <c r="N17" s="165" t="str">
        <f>IFERROR(__xludf.DUMMYFUNCTION("""COMPUTED_VALUE"""),"Ryzen + Radeon - All AMD")</f>
        <v>Ryzen + Radeon - All AMD</v>
      </c>
      <c r="O17" s="284">
        <f>IFERROR(__xludf.DUMMYFUNCTION("""COMPUTED_VALUE"""),45239.0)</f>
        <v>45239</v>
      </c>
      <c r="P17" s="165"/>
      <c r="Q17" s="165"/>
      <c r="R17" s="165"/>
      <c r="S17" s="165" t="str">
        <f>IFERROR(__xludf.DUMMYFUNCTION("""COMPUTED_VALUE"""),"Shorts")</f>
        <v>Shorts</v>
      </c>
      <c r="T17" s="165" t="str">
        <f>IFERROR(__xludf.DUMMYFUNCTION("""COMPUTED_VALUE"""),"Ryzen + Radeon - All AMD")</f>
        <v>Ryzen + Radeon - All AMD</v>
      </c>
      <c r="U17" s="284">
        <f>IFERROR(__xludf.DUMMYFUNCTION("""COMPUTED_VALUE"""),45239.0)</f>
        <v>45239</v>
      </c>
      <c r="V17" s="165"/>
      <c r="W17" s="165"/>
      <c r="X17" s="165" t="str">
        <f>IFERROR(__xludf.DUMMYFUNCTION("""COMPUTED_VALUE"""),"PM-PTS-01.03")</f>
        <v>PM-PTS-01.03</v>
      </c>
      <c r="Y17" s="285" t="str">
        <f>IFERROR(__xludf.DUMMYFUNCTION("""COMPUTED_VALUE"""),"Done")</f>
        <v>Done</v>
      </c>
      <c r="Z17" s="284">
        <f>IFERROR(__xludf.DUMMYFUNCTION("""COMPUTED_VALUE"""),45191.0)</f>
        <v>45191</v>
      </c>
      <c r="AA17" s="165" t="str">
        <f>IFERROR(__xludf.DUMMYFUNCTION("""COMPUTED_VALUE"""),"Naveen")</f>
        <v>Naveen</v>
      </c>
      <c r="AB17" s="165" t="str">
        <f>IFERROR(__xludf.DUMMYFUNCTION("""COMPUTED_VALUE"""),"Image Graphics")</f>
        <v>Image Graphics</v>
      </c>
      <c r="AC17" s="165"/>
      <c r="AD17" s="165"/>
      <c r="AE17" s="165"/>
      <c r="AF17" s="165"/>
      <c r="AG17" s="165"/>
      <c r="AH17" s="165"/>
      <c r="AI17" s="165"/>
      <c r="AJ17" s="165"/>
      <c r="AK17" s="165"/>
      <c r="AL17" s="165"/>
    </row>
    <row r="18">
      <c r="A18" s="282" t="s">
        <v>97</v>
      </c>
      <c r="B18" s="282" t="s">
        <v>1374</v>
      </c>
      <c r="C18" s="165"/>
      <c r="D18" s="165"/>
      <c r="E18" s="287" t="s">
        <v>644</v>
      </c>
      <c r="F18" s="275" t="s">
        <v>1375</v>
      </c>
      <c r="G18" s="165"/>
      <c r="H18" s="277"/>
      <c r="I18" s="300" t="str">
        <f>IFERROR(__xludf.DUMMYFUNCTION("CONCATENATE(""CC-"", F18, ""-"", IF(ISNUMBER(MAX(FILTER(INT(VALUE(Content_Creation!$T$1:$T$1125)), Content_Creation!$S$1:$S$1125=F18))), MAX(FILTER(INT(VALUE(Content_Creation!$T$1:$T$1125)), Content_Creation!$S$1:$S$1125=F18)) + 1, ""01""))"),"CC-CTH-22")</f>
        <v>CC-CTH-22</v>
      </c>
      <c r="J18" s="282"/>
      <c r="K18" s="165"/>
      <c r="L18" s="165"/>
      <c r="M18" s="165" t="str">
        <f>IFERROR(__xludf.DUMMYFUNCTION("""COMPUTED_VALUE"""),"Insta")</f>
        <v>Insta</v>
      </c>
      <c r="N18" s="165" t="str">
        <f>IFERROR(__xludf.DUMMYFUNCTION("""COMPUTED_VALUE"""),"Build Photo - H9 White + iGame")</f>
        <v>Build Photo - H9 White + iGame</v>
      </c>
      <c r="O18" s="284">
        <f>IFERROR(__xludf.DUMMYFUNCTION("""COMPUTED_VALUE"""),45239.0)</f>
        <v>45239</v>
      </c>
      <c r="P18" s="165"/>
      <c r="Q18" s="165"/>
      <c r="R18" s="165"/>
      <c r="S18" s="165" t="str">
        <f>IFERROR(__xludf.DUMMYFUNCTION("""COMPUTED_VALUE"""),"Insta")</f>
        <v>Insta</v>
      </c>
      <c r="T18" s="165" t="str">
        <f>IFERROR(__xludf.DUMMYFUNCTION("""COMPUTED_VALUE"""),"Build Photo - H9 White + iGame")</f>
        <v>Build Photo - H9 White + iGame</v>
      </c>
      <c r="U18" s="284">
        <f>IFERROR(__xludf.DUMMYFUNCTION("""COMPUTED_VALUE"""),45239.0)</f>
        <v>45239</v>
      </c>
      <c r="V18" s="165"/>
      <c r="W18" s="165"/>
      <c r="X18" s="165" t="str">
        <f>IFERROR(__xludf.DUMMYFUNCTION("""COMPUTED_VALUE"""),"CC-NVI-02.01")</f>
        <v>CC-NVI-02.01</v>
      </c>
      <c r="Y18" s="285" t="str">
        <f>IFERROR(__xludf.DUMMYFUNCTION("""COMPUTED_VALUE"""),"Done")</f>
        <v>Done</v>
      </c>
      <c r="Z18" s="284">
        <f>IFERROR(__xludf.DUMMYFUNCTION("""COMPUTED_VALUE"""),45192.0)</f>
        <v>45192</v>
      </c>
      <c r="AA18" s="165" t="str">
        <f>IFERROR(__xludf.DUMMYFUNCTION("""COMPUTED_VALUE"""),"Nasser")</f>
        <v>Nasser</v>
      </c>
      <c r="AB18" s="165" t="str">
        <f>IFERROR(__xludf.DUMMYFUNCTION("""COMPUTED_VALUE"""),"Script")</f>
        <v>Script</v>
      </c>
      <c r="AC18" s="165"/>
      <c r="AD18" s="165"/>
      <c r="AE18" s="165"/>
      <c r="AF18" s="165"/>
      <c r="AG18" s="165"/>
      <c r="AH18" s="165"/>
      <c r="AI18" s="165"/>
      <c r="AJ18" s="165"/>
      <c r="AK18" s="165"/>
      <c r="AL18" s="165"/>
    </row>
    <row r="19">
      <c r="A19" s="282" t="s">
        <v>78</v>
      </c>
      <c r="B19" s="282" t="s">
        <v>1374</v>
      </c>
      <c r="C19" s="165"/>
      <c r="D19" s="165"/>
      <c r="E19" s="287" t="s">
        <v>1376</v>
      </c>
      <c r="F19" s="275" t="s">
        <v>1377</v>
      </c>
      <c r="G19" s="165"/>
      <c r="H19" s="277"/>
      <c r="I19" s="300" t="str">
        <f>IFERROR(__xludf.DUMMYFUNCTION("CONCATENATE(""CC-"", F19, ""-"", IF(ISNUMBER(MAX(FILTER(INT(VALUE(Content_Creation!$T$1:$T$1125)), Content_Creation!$S$1:$S$1125=F19))), MAX(FILTER(INT(VALUE(Content_Creation!$T$1:$T$1125)), Content_Creation!$S$1:$S$1125=F19)) + 1, ""01""))"),"CC-ZDR-01")</f>
        <v>CC-ZDR-01</v>
      </c>
      <c r="J19" s="282"/>
      <c r="K19" s="165"/>
      <c r="L19" s="165"/>
      <c r="M19" s="165" t="str">
        <f>IFERROR(__xludf.DUMMYFUNCTION("""COMPUTED_VALUE"""),"Linkedin")</f>
        <v>Linkedin</v>
      </c>
      <c r="N19" s="165" t="str">
        <f>IFERROR(__xludf.DUMMYFUNCTION("""COMPUTED_VALUE"""),"Stock Trading Setup")</f>
        <v>Stock Trading Setup</v>
      </c>
      <c r="O19" s="284">
        <f>IFERROR(__xludf.DUMMYFUNCTION("""COMPUTED_VALUE"""),45240.0)</f>
        <v>45240</v>
      </c>
      <c r="P19" s="165"/>
      <c r="Q19" s="165"/>
      <c r="R19" s="165"/>
      <c r="S19" s="165" t="str">
        <f>IFERROR(__xludf.DUMMYFUNCTION("""COMPUTED_VALUE"""),"Linkedin")</f>
        <v>Linkedin</v>
      </c>
      <c r="T19" s="165" t="str">
        <f>IFERROR(__xludf.DUMMYFUNCTION("""COMPUTED_VALUE"""),"Stock Trading Setup")</f>
        <v>Stock Trading Setup</v>
      </c>
      <c r="U19" s="284">
        <f>IFERROR(__xludf.DUMMYFUNCTION("""COMPUTED_VALUE"""),45240.0)</f>
        <v>45240</v>
      </c>
      <c r="V19" s="165"/>
      <c r="W19" s="165"/>
      <c r="X19" s="165" t="str">
        <f>IFERROR(__xludf.DUMMYFUNCTION("""COMPUTED_VALUE"""),"CC-NVI-02.02")</f>
        <v>CC-NVI-02.02</v>
      </c>
      <c r="Y19" s="285" t="str">
        <f>IFERROR(__xludf.DUMMYFUNCTION("""COMPUTED_VALUE"""),"Done")</f>
        <v>Done</v>
      </c>
      <c r="Z19" s="284">
        <f>IFERROR(__xludf.DUMMYFUNCTION("""COMPUTED_VALUE"""),45192.0)</f>
        <v>45192</v>
      </c>
      <c r="AA19" s="165" t="str">
        <f>IFERROR(__xludf.DUMMYFUNCTION("""COMPUTED_VALUE"""),"Naveen")</f>
        <v>Naveen</v>
      </c>
      <c r="AB19" s="165" t="str">
        <f>IFERROR(__xludf.DUMMYFUNCTION("""COMPUTED_VALUE"""),"Shoot")</f>
        <v>Shoot</v>
      </c>
      <c r="AC19" s="165"/>
      <c r="AD19" s="165"/>
      <c r="AE19" s="165"/>
      <c r="AF19" s="165"/>
      <c r="AG19" s="165"/>
      <c r="AH19" s="165"/>
      <c r="AI19" s="165"/>
      <c r="AJ19" s="165"/>
      <c r="AK19" s="165"/>
      <c r="AL19" s="165"/>
    </row>
    <row r="20">
      <c r="A20" s="282" t="s">
        <v>102</v>
      </c>
      <c r="B20" s="282" t="s">
        <v>1374</v>
      </c>
      <c r="C20" s="165"/>
      <c r="D20" s="165"/>
      <c r="E20" s="287" t="s">
        <v>490</v>
      </c>
      <c r="F20" s="275" t="s">
        <v>1378</v>
      </c>
      <c r="G20" s="165"/>
      <c r="H20" s="277"/>
      <c r="I20" s="300" t="str">
        <f>IFERROR(__xludf.DUMMYFUNCTION("CONCATENATE(""CC-"", F20, ""-"", IF(ISNUMBER(MAX(FILTER(INT(VALUE(Content_Creation!$T$1:$T$1125)), Content_Creation!$S$1:$S$1125=F20))), MAX(FILTER(INT(VALUE(Content_Creation!$T$1:$T$1125)), Content_Creation!$S$1:$S$1125=F20)) + 1, ""01""))"),"CC-NVI-15")</f>
        <v>CC-NVI-15</v>
      </c>
      <c r="J20" s="282"/>
      <c r="K20" s="165"/>
      <c r="L20" s="165"/>
      <c r="M20" s="165" t="str">
        <f>IFERROR(__xludf.DUMMYFUNCTION("""COMPUTED_VALUE"""),"Shorts")</f>
        <v>Shorts</v>
      </c>
      <c r="N20" s="165" t="str">
        <f>IFERROR(__xludf.DUMMYFUNCTION("""COMPUTED_VALUE"""),"8K Gaming - RTX 4090")</f>
        <v>8K Gaming - RTX 4090</v>
      </c>
      <c r="O20" s="284">
        <f>IFERROR(__xludf.DUMMYFUNCTION("""COMPUTED_VALUE"""),45240.0)</f>
        <v>45240</v>
      </c>
      <c r="P20" s="165"/>
      <c r="Q20" s="165"/>
      <c r="R20" s="165"/>
      <c r="S20" s="165" t="str">
        <f>IFERROR(__xludf.DUMMYFUNCTION("""COMPUTED_VALUE"""),"Shorts")</f>
        <v>Shorts</v>
      </c>
      <c r="T20" s="165" t="str">
        <f>IFERROR(__xludf.DUMMYFUNCTION("""COMPUTED_VALUE"""),"8K Gaming - RTX 4090")</f>
        <v>8K Gaming - RTX 4090</v>
      </c>
      <c r="U20" s="284">
        <f>IFERROR(__xludf.DUMMYFUNCTION("""COMPUTED_VALUE"""),45240.0)</f>
        <v>45240</v>
      </c>
      <c r="V20" s="165"/>
      <c r="W20" s="165"/>
      <c r="X20" s="165" t="str">
        <f>IFERROR(__xludf.DUMMYFUNCTION("""COMPUTED_VALUE"""),"CC-NVI-04.01")</f>
        <v>CC-NVI-04.01</v>
      </c>
      <c r="Y20" s="285" t="str">
        <f>IFERROR(__xludf.DUMMYFUNCTION("""COMPUTED_VALUE"""),"Done")</f>
        <v>Done</v>
      </c>
      <c r="Z20" s="284">
        <f>IFERROR(__xludf.DUMMYFUNCTION("""COMPUTED_VALUE"""),45192.0)</f>
        <v>45192</v>
      </c>
      <c r="AA20" s="165" t="str">
        <f>IFERROR(__xludf.DUMMYFUNCTION("""COMPUTED_VALUE"""),"Nasser")</f>
        <v>Nasser</v>
      </c>
      <c r="AB20" s="165" t="str">
        <f>IFERROR(__xludf.DUMMYFUNCTION("""COMPUTED_VALUE"""),"Script")</f>
        <v>Script</v>
      </c>
      <c r="AC20" s="165"/>
      <c r="AD20" s="165"/>
      <c r="AE20" s="165"/>
      <c r="AF20" s="165"/>
      <c r="AG20" s="165"/>
      <c r="AH20" s="165"/>
      <c r="AI20" s="165"/>
      <c r="AJ20" s="165"/>
      <c r="AK20" s="165"/>
      <c r="AL20" s="165"/>
    </row>
    <row r="21">
      <c r="A21" s="282" t="s">
        <v>252</v>
      </c>
      <c r="B21" s="282" t="s">
        <v>1379</v>
      </c>
      <c r="C21" s="165"/>
      <c r="D21" s="165"/>
      <c r="E21" s="287" t="s">
        <v>1380</v>
      </c>
      <c r="F21" s="275" t="s">
        <v>1381</v>
      </c>
      <c r="G21" s="165"/>
      <c r="H21" s="277"/>
      <c r="I21" s="300" t="str">
        <f>IFERROR(__xludf.DUMMYFUNCTION("CONCATENATE(""CC-"", F21, ""-"", IF(ISNUMBER(MAX(FILTER(INT(VALUE(Content_Creation!$T$1:$T$1125)), Content_Creation!$S$1:$S$1125=F21))), MAX(FILTER(INT(VALUE(Content_Creation!$T$1:$T$1125)), Content_Creation!$S$1:$S$1125=F21)) + 1, ""01""))"),"CC-KOM-01")</f>
        <v>CC-KOM-01</v>
      </c>
      <c r="J21" s="282"/>
      <c r="K21" s="165"/>
      <c r="L21" s="165"/>
      <c r="M21" s="165" t="str">
        <f>IFERROR(__xludf.DUMMYFUNCTION("""COMPUTED_VALUE"""),"YT Video")</f>
        <v>YT Video</v>
      </c>
      <c r="N21" s="165" t="str">
        <f>IFERROR(__xludf.DUMMYFUNCTION("""COMPUTED_VALUE"""),"Nvidia L40s")</f>
        <v>Nvidia L40s</v>
      </c>
      <c r="O21" s="284">
        <f>IFERROR(__xludf.DUMMYFUNCTION("""COMPUTED_VALUE"""),45241.0)</f>
        <v>45241</v>
      </c>
      <c r="P21" s="165"/>
      <c r="Q21" s="165"/>
      <c r="R21" s="165"/>
      <c r="S21" s="165" t="str">
        <f>IFERROR(__xludf.DUMMYFUNCTION("""COMPUTED_VALUE"""),"YT Video")</f>
        <v>YT Video</v>
      </c>
      <c r="T21" s="165" t="str">
        <f>IFERROR(__xludf.DUMMYFUNCTION("""COMPUTED_VALUE"""),"Nvidia L40s")</f>
        <v>Nvidia L40s</v>
      </c>
      <c r="U21" s="284">
        <f>IFERROR(__xludf.DUMMYFUNCTION("""COMPUTED_VALUE"""),45241.0)</f>
        <v>45241</v>
      </c>
      <c r="V21" s="165"/>
      <c r="W21" s="165"/>
      <c r="X21" s="165" t="str">
        <f>IFERROR(__xludf.DUMMYFUNCTION("""COMPUTED_VALUE"""),"CC-MVP-24.01")</f>
        <v>CC-MVP-24.01</v>
      </c>
      <c r="Y21" s="285" t="str">
        <f>IFERROR(__xludf.DUMMYFUNCTION("""COMPUTED_VALUE"""),"Done")</f>
        <v>Done</v>
      </c>
      <c r="Z21" s="284">
        <f>IFERROR(__xludf.DUMMYFUNCTION("""COMPUTED_VALUE"""),45194.0)</f>
        <v>45194</v>
      </c>
      <c r="AA21" s="165" t="str">
        <f>IFERROR(__xludf.DUMMYFUNCTION("""COMPUTED_VALUE"""),"Nasser")</f>
        <v>Nasser</v>
      </c>
      <c r="AB21" s="165" t="str">
        <f>IFERROR(__xludf.DUMMYFUNCTION("""COMPUTED_VALUE"""),"Script")</f>
        <v>Script</v>
      </c>
      <c r="AC21" s="165"/>
      <c r="AD21" s="165"/>
      <c r="AE21" s="165"/>
      <c r="AF21" s="165"/>
      <c r="AG21" s="165"/>
      <c r="AH21" s="165"/>
      <c r="AI21" s="165"/>
      <c r="AJ21" s="165"/>
      <c r="AK21" s="165"/>
      <c r="AL21" s="165"/>
    </row>
    <row r="22">
      <c r="A22" s="282" t="s">
        <v>51</v>
      </c>
      <c r="B22" s="282" t="s">
        <v>1382</v>
      </c>
      <c r="C22" s="165"/>
      <c r="D22" s="165"/>
      <c r="E22" s="287" t="s">
        <v>743</v>
      </c>
      <c r="F22" s="275" t="s">
        <v>1383</v>
      </c>
      <c r="G22" s="165"/>
      <c r="H22" s="277"/>
      <c r="I22" s="300" t="str">
        <f>IFERROR(__xludf.DUMMYFUNCTION("CONCATENATE(""CC-"", F22, ""-"", IF(ISNUMBER(MAX(FILTER(INT(VALUE(Content_Creation!$T$1:$T$1125)), Content_Creation!$S$1:$S$1125=F22))), MAX(FILTER(INT(VALUE(Content_Creation!$T$1:$T$1125)), Content_Creation!$S$1:$S$1125=F22)) + 1, ""01""))"),"CC-MAC-13")</f>
        <v>CC-MAC-13</v>
      </c>
      <c r="J22" s="165"/>
      <c r="K22" s="165"/>
      <c r="L22" s="165"/>
      <c r="M22" s="165" t="str">
        <f>IFERROR(__xludf.DUMMYFUNCTION("""COMPUTED_VALUE"""),"Insta")</f>
        <v>Insta</v>
      </c>
      <c r="N22" s="165" t="str">
        <f>IFERROR(__xludf.DUMMYFUNCTION("""COMPUTED_VALUE"""),"Build Photo - L40s Server")</f>
        <v>Build Photo - L40s Server</v>
      </c>
      <c r="O22" s="284">
        <f>IFERROR(__xludf.DUMMYFUNCTION("""COMPUTED_VALUE"""),45241.0)</f>
        <v>45241</v>
      </c>
      <c r="P22" s="165"/>
      <c r="Q22" s="165"/>
      <c r="R22" s="165"/>
      <c r="S22" s="165" t="str">
        <f>IFERROR(__xludf.DUMMYFUNCTION("""COMPUTED_VALUE"""),"Insta")</f>
        <v>Insta</v>
      </c>
      <c r="T22" s="165" t="str">
        <f>IFERROR(__xludf.DUMMYFUNCTION("""COMPUTED_VALUE"""),"Build Photo - L40s Server")</f>
        <v>Build Photo - L40s Server</v>
      </c>
      <c r="U22" s="284">
        <f>IFERROR(__xludf.DUMMYFUNCTION("""COMPUTED_VALUE"""),45241.0)</f>
        <v>45241</v>
      </c>
      <c r="V22" s="165"/>
      <c r="W22" s="165"/>
      <c r="X22" s="165" t="str">
        <f>IFERROR(__xludf.DUMMYFUNCTION("""COMPUTED_VALUE"""),"CC-NVI-12.01")</f>
        <v>CC-NVI-12.01</v>
      </c>
      <c r="Y22" s="285" t="str">
        <f>IFERROR(__xludf.DUMMYFUNCTION("""COMPUTED_VALUE"""),"Done")</f>
        <v>Done</v>
      </c>
      <c r="Z22" s="284">
        <f>IFERROR(__xludf.DUMMYFUNCTION("""COMPUTED_VALUE"""),45194.0)</f>
        <v>45194</v>
      </c>
      <c r="AA22" s="165" t="str">
        <f>IFERROR(__xludf.DUMMYFUNCTION("""COMPUTED_VALUE"""),"Nasser")</f>
        <v>Nasser</v>
      </c>
      <c r="AB22" s="165" t="str">
        <f>IFERROR(__xludf.DUMMYFUNCTION("""COMPUTED_VALUE"""),"Script")</f>
        <v>Script</v>
      </c>
      <c r="AC22" s="165"/>
      <c r="AD22" s="165"/>
      <c r="AE22" s="165"/>
      <c r="AF22" s="165"/>
      <c r="AG22" s="165"/>
      <c r="AH22" s="165"/>
      <c r="AI22" s="165"/>
      <c r="AJ22" s="165"/>
      <c r="AK22" s="165"/>
      <c r="AL22" s="165"/>
    </row>
    <row r="23">
      <c r="A23" s="282" t="s">
        <v>1364</v>
      </c>
      <c r="B23" s="282" t="s">
        <v>1382</v>
      </c>
      <c r="C23" s="165"/>
      <c r="D23" s="165"/>
      <c r="E23" s="287" t="s">
        <v>1114</v>
      </c>
      <c r="F23" s="275" t="s">
        <v>1384</v>
      </c>
      <c r="G23" s="165"/>
      <c r="H23" s="277"/>
      <c r="I23" s="300" t="str">
        <f>IFERROR(__xludf.DUMMYFUNCTION("CONCATENATE(""CC-"", F23, ""-"", IF(ISNUMBER(MAX(FILTER(INT(VALUE(Content_Creation!$T$1:$T$1125)), Content_Creation!$S$1:$S$1125=F23))), MAX(FILTER(INT(VALUE(Content_Creation!$T$1:$T$1125)), Content_Creation!$S$1:$S$1125=F23)) + 1, ""01""))"),"CC-EMR-01")</f>
        <v>CC-EMR-01</v>
      </c>
      <c r="J23" s="165"/>
      <c r="K23" s="165"/>
      <c r="L23" s="165"/>
      <c r="M23" s="165" t="str">
        <f>IFERROR(__xludf.DUMMYFUNCTION("""COMPUTED_VALUE"""),"Tweet")</f>
        <v>Tweet</v>
      </c>
      <c r="N23" s="165" t="str">
        <f>IFERROR(__xludf.DUMMYFUNCTION("""COMPUTED_VALUE"""),"Idea Pending")</f>
        <v>Idea Pending</v>
      </c>
      <c r="O23" s="284">
        <f>IFERROR(__xludf.DUMMYFUNCTION("""COMPUTED_VALUE"""),45241.0)</f>
        <v>45241</v>
      </c>
      <c r="P23" s="165"/>
      <c r="Q23" s="165"/>
      <c r="R23" s="165"/>
      <c r="S23" s="165" t="str">
        <f>IFERROR(__xludf.DUMMYFUNCTION("""COMPUTED_VALUE"""),"Tweet")</f>
        <v>Tweet</v>
      </c>
      <c r="T23" s="165" t="str">
        <f>IFERROR(__xludf.DUMMYFUNCTION("""COMPUTED_VALUE"""),"Idea Pending")</f>
        <v>Idea Pending</v>
      </c>
      <c r="U23" s="284">
        <f>IFERROR(__xludf.DUMMYFUNCTION("""COMPUTED_VALUE"""),45241.0)</f>
        <v>45241</v>
      </c>
      <c r="V23" s="165"/>
      <c r="W23" s="165"/>
      <c r="X23" s="165" t="str">
        <f>IFERROR(__xludf.DUMMYFUNCTION("""COMPUTED_VALUE"""),"CC-NVI-12.02")</f>
        <v>CC-NVI-12.02</v>
      </c>
      <c r="Y23" s="285" t="str">
        <f>IFERROR(__xludf.DUMMYFUNCTION("""COMPUTED_VALUE"""),"Done")</f>
        <v>Done</v>
      </c>
      <c r="Z23" s="284">
        <f>IFERROR(__xludf.DUMMYFUNCTION("""COMPUTED_VALUE"""),45194.0)</f>
        <v>45194</v>
      </c>
      <c r="AA23" s="165" t="str">
        <f>IFERROR(__xludf.DUMMYFUNCTION("""COMPUTED_VALUE"""),"Nasser")</f>
        <v>Nasser</v>
      </c>
      <c r="AB23" s="165" t="str">
        <f>IFERROR(__xludf.DUMMYFUNCTION("""COMPUTED_VALUE"""),"Voiceover")</f>
        <v>Voiceover</v>
      </c>
      <c r="AC23" s="165"/>
      <c r="AD23" s="165"/>
      <c r="AE23" s="165"/>
      <c r="AF23" s="165"/>
      <c r="AG23" s="165"/>
      <c r="AH23" s="165"/>
      <c r="AI23" s="165"/>
      <c r="AJ23" s="165"/>
      <c r="AK23" s="165"/>
      <c r="AL23" s="165"/>
    </row>
    <row r="24">
      <c r="A24" s="282" t="s">
        <v>963</v>
      </c>
      <c r="B24" s="282" t="s">
        <v>1385</v>
      </c>
      <c r="C24" s="165"/>
      <c r="D24" s="165"/>
      <c r="E24" s="287" t="s">
        <v>1386</v>
      </c>
      <c r="F24" s="275" t="s">
        <v>1387</v>
      </c>
      <c r="G24" s="165"/>
      <c r="H24" s="277"/>
      <c r="I24" s="300" t="str">
        <f>IFERROR(__xludf.DUMMYFUNCTION("CONCATENATE(""CC-"", F24, ""-"", IF(ISNUMBER(MAX(FILTER(INT(VALUE(Content_Creation!$T$1:$T$1125)), Content_Creation!$S$1:$S$1125=F24))), MAX(FILTER(INT(VALUE(Content_Creation!$T$1:$T$1125)), Content_Creation!$S$1:$S$1125=F24)) + 1, ""01""))"),"CC-ART-01")</f>
        <v>CC-ART-01</v>
      </c>
      <c r="J24" s="165"/>
      <c r="K24" s="165"/>
      <c r="L24" s="165"/>
      <c r="M24" s="165" t="str">
        <f>IFERROR(__xludf.DUMMYFUNCTION("""COMPUTED_VALUE"""),"Story")</f>
        <v>Story</v>
      </c>
      <c r="N24" s="165" t="str">
        <f>IFERROR(__xludf.DUMMYFUNCTION("""COMPUTED_VALUE"""),"Diwali Post")</f>
        <v>Diwali Post</v>
      </c>
      <c r="O24" s="284">
        <f>IFERROR(__xludf.DUMMYFUNCTION("""COMPUTED_VALUE"""),45241.0)</f>
        <v>45241</v>
      </c>
      <c r="P24" s="165"/>
      <c r="Q24" s="165"/>
      <c r="R24" s="165"/>
      <c r="S24" s="165" t="str">
        <f>IFERROR(__xludf.DUMMYFUNCTION("""COMPUTED_VALUE"""),"Story")</f>
        <v>Story</v>
      </c>
      <c r="T24" s="165" t="str">
        <f>IFERROR(__xludf.DUMMYFUNCTION("""COMPUTED_VALUE"""),"Diwali Post")</f>
        <v>Diwali Post</v>
      </c>
      <c r="U24" s="284">
        <f>IFERROR(__xludf.DUMMYFUNCTION("""COMPUTED_VALUE"""),45241.0)</f>
        <v>45241</v>
      </c>
      <c r="V24" s="165"/>
      <c r="W24" s="165"/>
      <c r="X24" s="165" t="str">
        <f>IFERROR(__xludf.DUMMYFUNCTION("""COMPUTED_VALUE"""),"CC-NVI-12.03")</f>
        <v>CC-NVI-12.03</v>
      </c>
      <c r="Y24" s="285" t="str">
        <f>IFERROR(__xludf.DUMMYFUNCTION("""COMPUTED_VALUE"""),"Done")</f>
        <v>Done</v>
      </c>
      <c r="Z24" s="284">
        <f>IFERROR(__xludf.DUMMYFUNCTION("""COMPUTED_VALUE"""),45194.0)</f>
        <v>45194</v>
      </c>
      <c r="AA24" s="165" t="str">
        <f>IFERROR(__xludf.DUMMYFUNCTION("""COMPUTED_VALUE"""),"Nasser")</f>
        <v>Nasser</v>
      </c>
      <c r="AB24" s="165" t="str">
        <f>IFERROR(__xludf.DUMMYFUNCTION("""COMPUTED_VALUE"""),"Editor Notes")</f>
        <v>Editor Notes</v>
      </c>
      <c r="AC24" s="165"/>
      <c r="AD24" s="165"/>
      <c r="AE24" s="165"/>
      <c r="AF24" s="165"/>
      <c r="AG24" s="165"/>
      <c r="AH24" s="165"/>
      <c r="AI24" s="165"/>
      <c r="AJ24" s="165"/>
      <c r="AK24" s="165"/>
      <c r="AL24" s="165"/>
    </row>
    <row r="25">
      <c r="A25" s="282" t="s">
        <v>1051</v>
      </c>
      <c r="B25" s="282" t="s">
        <v>1388</v>
      </c>
      <c r="C25" s="165"/>
      <c r="D25" s="165"/>
      <c r="E25" s="287" t="s">
        <v>1389</v>
      </c>
      <c r="F25" s="275" t="s">
        <v>1390</v>
      </c>
      <c r="G25" s="165"/>
      <c r="H25" s="277"/>
      <c r="I25" s="300" t="str">
        <f>IFERROR(__xludf.DUMMYFUNCTION("CONCATENATE(""CC-"", F25, ""-"", IF(ISNUMBER(MAX(FILTER(INT(VALUE(Content_Creation!$T$1:$T$1125)), Content_Creation!$S$1:$S$1125=F25))), MAX(FILTER(INT(VALUE(Content_Creation!$T$1:$T$1125)), Content_Creation!$S$1:$S$1125=F25)) + 1, ""01""))"),"CC-BNV-01")</f>
        <v>CC-BNV-01</v>
      </c>
      <c r="J25" s="165"/>
      <c r="K25" s="165"/>
      <c r="L25" s="165"/>
      <c r="M25" s="165" t="str">
        <f>IFERROR(__xludf.DUMMYFUNCTION("""COMPUTED_VALUE"""),"Shorts")</f>
        <v>Shorts</v>
      </c>
      <c r="N25" s="165" t="str">
        <f>IFERROR(__xludf.DUMMYFUNCTION("""COMPUTED_VALUE"""),"12 Lakh GPU - Nvidia L40s")</f>
        <v>12 Lakh GPU - Nvidia L40s</v>
      </c>
      <c r="O25" s="284">
        <f>IFERROR(__xludf.DUMMYFUNCTION("""COMPUTED_VALUE"""),45242.0)</f>
        <v>45242</v>
      </c>
      <c r="P25" s="165"/>
      <c r="Q25" s="165"/>
      <c r="R25" s="165"/>
      <c r="S25" s="165" t="str">
        <f>IFERROR(__xludf.DUMMYFUNCTION("""COMPUTED_VALUE"""),"Shorts")</f>
        <v>Shorts</v>
      </c>
      <c r="T25" s="165" t="str">
        <f>IFERROR(__xludf.DUMMYFUNCTION("""COMPUTED_VALUE"""),"12 Lakh GPU - Nvidia L40s")</f>
        <v>12 Lakh GPU - Nvidia L40s</v>
      </c>
      <c r="U25" s="284">
        <f>IFERROR(__xludf.DUMMYFUNCTION("""COMPUTED_VALUE"""),45242.0)</f>
        <v>45242</v>
      </c>
      <c r="V25" s="165"/>
      <c r="W25" s="165"/>
      <c r="X25" s="165" t="str">
        <f>IFERROR(__xludf.DUMMYFUNCTION("""COMPUTED_VALUE"""),"CC-NVI-12.04")</f>
        <v>CC-NVI-12.04</v>
      </c>
      <c r="Y25" s="285" t="str">
        <f>IFERROR(__xludf.DUMMYFUNCTION("""COMPUTED_VALUE"""),"Done")</f>
        <v>Done</v>
      </c>
      <c r="Z25" s="284">
        <f>IFERROR(__xludf.DUMMYFUNCTION("""COMPUTED_VALUE"""),45194.0)</f>
        <v>45194</v>
      </c>
      <c r="AA25" s="165" t="str">
        <f>IFERROR(__xludf.DUMMYFUNCTION("""COMPUTED_VALUE"""),"Tazeen")</f>
        <v>Tazeen</v>
      </c>
      <c r="AB25" s="165" t="str">
        <f>IFERROR(__xludf.DUMMYFUNCTION("""COMPUTED_VALUE"""),"Edit")</f>
        <v>Edit</v>
      </c>
      <c r="AC25" s="165"/>
      <c r="AD25" s="165"/>
      <c r="AE25" s="165"/>
      <c r="AF25" s="165"/>
      <c r="AG25" s="165"/>
      <c r="AH25" s="165"/>
      <c r="AI25" s="165"/>
      <c r="AJ25" s="165"/>
      <c r="AK25" s="165"/>
      <c r="AL25" s="165"/>
    </row>
    <row r="26">
      <c r="A26" s="282" t="s">
        <v>1359</v>
      </c>
      <c r="B26" s="282" t="s">
        <v>1391</v>
      </c>
      <c r="C26" s="165"/>
      <c r="D26" s="165"/>
      <c r="E26" s="287" t="s">
        <v>1048</v>
      </c>
      <c r="F26" s="275" t="s">
        <v>1392</v>
      </c>
      <c r="G26" s="165"/>
      <c r="H26" s="277"/>
      <c r="I26" s="300" t="str">
        <f>IFERROR(__xludf.DUMMYFUNCTION("CONCATENATE(""CC-"", F26, ""-"", IF(ISNUMBER(MAX(FILTER(INT(VALUE(Content_Creation!$T$1:$T$1125)), Content_Creation!$S$1:$S$1125=F26))), MAX(FILTER(INT(VALUE(Content_Creation!$T$1:$T$1125)), Content_Creation!$S$1:$S$1125=F26)) + 1, ""01""))"),"CC-MYD-01")</f>
        <v>CC-MYD-01</v>
      </c>
      <c r="J26" s="165"/>
      <c r="K26" s="165"/>
      <c r="L26" s="165"/>
      <c r="M26" s="165" t="str">
        <f>IFERROR(__xludf.DUMMYFUNCTION("""COMPUTED_VALUE"""),"Blog")</f>
        <v>Blog</v>
      </c>
      <c r="N26" s="165" t="str">
        <f>IFERROR(__xludf.DUMMYFUNCTION("""COMPUTED_VALUE"""),"TrueNAS Setup Revamp")</f>
        <v>TrueNAS Setup Revamp</v>
      </c>
      <c r="O26" s="284">
        <f>IFERROR(__xludf.DUMMYFUNCTION("""COMPUTED_VALUE"""),45243.0)</f>
        <v>45243</v>
      </c>
      <c r="P26" s="165"/>
      <c r="Q26" s="165"/>
      <c r="R26" s="165"/>
      <c r="S26" s="165" t="str">
        <f>IFERROR(__xludf.DUMMYFUNCTION("""COMPUTED_VALUE"""),"Blog")</f>
        <v>Blog</v>
      </c>
      <c r="T26" s="165" t="str">
        <f>IFERROR(__xludf.DUMMYFUNCTION("""COMPUTED_VALUE"""),"TrueNAS Setup Revamp")</f>
        <v>TrueNAS Setup Revamp</v>
      </c>
      <c r="U26" s="284">
        <f>IFERROR(__xludf.DUMMYFUNCTION("""COMPUTED_VALUE"""),45243.0)</f>
        <v>45243</v>
      </c>
      <c r="V26" s="165"/>
      <c r="W26" s="165"/>
      <c r="X26" s="165" t="str">
        <f>IFERROR(__xludf.DUMMYFUNCTION("""COMPUTED_VALUE"""),"CC-NVI-02.05")</f>
        <v>CC-NVI-02.05</v>
      </c>
      <c r="Y26" s="285" t="str">
        <f>IFERROR(__xludf.DUMMYFUNCTION("""COMPUTED_VALUE"""),"Done")</f>
        <v>Done</v>
      </c>
      <c r="Z26" s="284">
        <f>IFERROR(__xludf.DUMMYFUNCTION("""COMPUTED_VALUE"""),45194.0)</f>
        <v>45194</v>
      </c>
      <c r="AA26" s="165" t="str">
        <f>IFERROR(__xludf.DUMMYFUNCTION("""COMPUTED_VALUE"""),"Nasser")</f>
        <v>Nasser</v>
      </c>
      <c r="AB26" s="165" t="str">
        <f>IFERROR(__xludf.DUMMYFUNCTION("""COMPUTED_VALUE"""),"Voiceover")</f>
        <v>Voiceover</v>
      </c>
      <c r="AC26" s="165"/>
      <c r="AD26" s="165"/>
      <c r="AE26" s="165"/>
      <c r="AF26" s="165"/>
      <c r="AG26" s="165"/>
      <c r="AH26" s="165"/>
      <c r="AI26" s="165"/>
      <c r="AJ26" s="165"/>
      <c r="AK26" s="165"/>
      <c r="AL26" s="165"/>
    </row>
    <row r="27">
      <c r="A27" s="282" t="s">
        <v>1228</v>
      </c>
      <c r="B27" s="282" t="s">
        <v>1393</v>
      </c>
      <c r="C27" s="165"/>
      <c r="D27" s="165"/>
      <c r="E27" s="287" t="s">
        <v>829</v>
      </c>
      <c r="F27" s="275" t="s">
        <v>1394</v>
      </c>
      <c r="G27" s="165"/>
      <c r="H27" s="277"/>
      <c r="I27" s="300" t="str">
        <f>IFERROR(__xludf.DUMMYFUNCTION("CONCATENATE(""CC-"", F27, ""-"", IF(ISNUMBER(MAX(FILTER(INT(VALUE(Content_Creation!$T$1:$T$1125)), Content_Creation!$S$1:$S$1125=F27))), MAX(FILTER(INT(VALUE(Content_Creation!$T$1:$T$1125)), Content_Creation!$S$1:$S$1125=F27)) + 1, ""01""))"),"CC-INN-31")</f>
        <v>CC-INN-31</v>
      </c>
      <c r="J27" s="165"/>
      <c r="K27" s="165"/>
      <c r="L27" s="165"/>
      <c r="M27" s="165" t="str">
        <f>IFERROR(__xludf.DUMMYFUNCTION("""COMPUTED_VALUE"""),"Linkedin")</f>
        <v>Linkedin</v>
      </c>
      <c r="N27" s="165" t="str">
        <f>IFERROR(__xludf.DUMMYFUNCTION("""COMPUTED_VALUE"""),"Custom PC for VFX Worflow")</f>
        <v>Custom PC for VFX Worflow</v>
      </c>
      <c r="O27" s="284">
        <f>IFERROR(__xludf.DUMMYFUNCTION("""COMPUTED_VALUE"""),45243.0)</f>
        <v>45243</v>
      </c>
      <c r="P27" s="165"/>
      <c r="Q27" s="165"/>
      <c r="R27" s="165"/>
      <c r="S27" s="165" t="str">
        <f>IFERROR(__xludf.DUMMYFUNCTION("""COMPUTED_VALUE"""),"Linkedin")</f>
        <v>Linkedin</v>
      </c>
      <c r="T27" s="165" t="str">
        <f>IFERROR(__xludf.DUMMYFUNCTION("""COMPUTED_VALUE"""),"Custom PC for VFX Worflow")</f>
        <v>Custom PC for VFX Worflow</v>
      </c>
      <c r="U27" s="284">
        <f>IFERROR(__xludf.DUMMYFUNCTION("""COMPUTED_VALUE"""),45243.0)</f>
        <v>45243</v>
      </c>
      <c r="V27" s="165"/>
      <c r="W27" s="165"/>
      <c r="X27" s="165" t="str">
        <f>IFERROR(__xludf.DUMMYFUNCTION("""COMPUTED_VALUE"""),"PM-PTS-05.03")</f>
        <v>PM-PTS-05.03</v>
      </c>
      <c r="Y27" s="285" t="str">
        <f>IFERROR(__xludf.DUMMYFUNCTION("""COMPUTED_VALUE"""),"Done")</f>
        <v>Done</v>
      </c>
      <c r="Z27" s="284">
        <f>IFERROR(__xludf.DUMMYFUNCTION("""COMPUTED_VALUE"""),45194.0)</f>
        <v>45194</v>
      </c>
      <c r="AA27" s="165" t="str">
        <f>IFERROR(__xludf.DUMMYFUNCTION("""COMPUTED_VALUE"""),"Talha")</f>
        <v>Talha</v>
      </c>
      <c r="AB27" s="165" t="str">
        <f>IFERROR(__xludf.DUMMYFUNCTION("""COMPUTED_VALUE"""),"SOP")</f>
        <v>SOP</v>
      </c>
      <c r="AC27" s="165"/>
      <c r="AD27" s="165"/>
      <c r="AE27" s="165"/>
      <c r="AF27" s="165"/>
      <c r="AG27" s="165"/>
      <c r="AH27" s="165"/>
      <c r="AI27" s="165"/>
      <c r="AJ27" s="165"/>
      <c r="AK27" s="165"/>
      <c r="AL27" s="165"/>
    </row>
    <row r="28">
      <c r="A28" s="282" t="s">
        <v>984</v>
      </c>
      <c r="B28" s="282" t="s">
        <v>1395</v>
      </c>
      <c r="C28" s="165"/>
      <c r="D28" s="165"/>
      <c r="E28" s="287" t="s">
        <v>1064</v>
      </c>
      <c r="F28" s="275" t="s">
        <v>1396</v>
      </c>
      <c r="G28" s="165"/>
      <c r="H28" s="277"/>
      <c r="I28" s="300" t="str">
        <f>IFERROR(__xludf.DUMMYFUNCTION("CONCATENATE(""CC-"", F28, ""-"", IF(ISNUMBER(MAX(FILTER(INT(VALUE(Content_Creation!$T$1:$T$1125)), Content_Creation!$S$1:$S$1125=F28))), MAX(FILTER(INT(VALUE(Content_Creation!$T$1:$T$1125)), Content_Creation!$S$1:$S$1125=F28)) + 1, ""01""))"),"CC-TNM-01")</f>
        <v>CC-TNM-01</v>
      </c>
      <c r="J28" s="165"/>
      <c r="K28" s="165"/>
      <c r="L28" s="165"/>
      <c r="M28" s="165" t="str">
        <f>IFERROR(__xludf.DUMMYFUNCTION("""COMPUTED_VALUE"""),"Shorts")</f>
        <v>Shorts</v>
      </c>
      <c r="N28" s="165" t="str">
        <f>IFERROR(__xludf.DUMMYFUNCTION("""COMPUTED_VALUE"""),"G613 Keyboard - Logi Offer")</f>
        <v>G613 Keyboard - Logi Offer</v>
      </c>
      <c r="O28" s="284">
        <f>IFERROR(__xludf.DUMMYFUNCTION("""COMPUTED_VALUE"""),45243.0)</f>
        <v>45243</v>
      </c>
      <c r="P28" s="165"/>
      <c r="Q28" s="165"/>
      <c r="R28" s="165"/>
      <c r="S28" s="165" t="str">
        <f>IFERROR(__xludf.DUMMYFUNCTION("""COMPUTED_VALUE"""),"Shorts")</f>
        <v>Shorts</v>
      </c>
      <c r="T28" s="165" t="str">
        <f>IFERROR(__xludf.DUMMYFUNCTION("""COMPUTED_VALUE"""),"G613 Keyboard - Logi Offer")</f>
        <v>G613 Keyboard - Logi Offer</v>
      </c>
      <c r="U28" s="284">
        <f>IFERROR(__xludf.DUMMYFUNCTION("""COMPUTED_VALUE"""),45243.0)</f>
        <v>45243</v>
      </c>
      <c r="V28" s="165"/>
      <c r="W28" s="165"/>
      <c r="X28" s="165" t="str">
        <f>IFERROR(__xludf.DUMMYFUNCTION("""COMPUTED_VALUE"""),"CC-NVI-01.05")</f>
        <v>CC-NVI-01.05</v>
      </c>
      <c r="Y28" s="285" t="str">
        <f>IFERROR(__xludf.DUMMYFUNCTION("""COMPUTED_VALUE"""),"Done")</f>
        <v>Done</v>
      </c>
      <c r="Z28" s="284">
        <f>IFERROR(__xludf.DUMMYFUNCTION("""COMPUTED_VALUE"""),45195.0)</f>
        <v>45195</v>
      </c>
      <c r="AA28" s="165" t="str">
        <f>IFERROR(__xludf.DUMMYFUNCTION("""COMPUTED_VALUE"""),"Naveen")</f>
        <v>Naveen</v>
      </c>
      <c r="AB28" s="165" t="str">
        <f>IFERROR(__xludf.DUMMYFUNCTION("""COMPUTED_VALUE"""),"Edit")</f>
        <v>Edit</v>
      </c>
      <c r="AC28" s="165"/>
      <c r="AD28" s="165"/>
      <c r="AE28" s="165"/>
      <c r="AF28" s="165"/>
      <c r="AG28" s="165"/>
      <c r="AH28" s="165"/>
      <c r="AI28" s="165"/>
      <c r="AJ28" s="165"/>
      <c r="AK28" s="165"/>
      <c r="AL28" s="165"/>
    </row>
    <row r="29">
      <c r="A29" s="282" t="s">
        <v>1006</v>
      </c>
      <c r="B29" s="282" t="s">
        <v>1397</v>
      </c>
      <c r="C29" s="165"/>
      <c r="D29" s="165"/>
      <c r="E29" s="292"/>
      <c r="F29" s="277"/>
      <c r="G29" s="165"/>
      <c r="H29" s="277"/>
      <c r="I29" s="301"/>
      <c r="J29" s="165"/>
      <c r="K29" s="165"/>
      <c r="L29" s="165"/>
      <c r="M29" s="165" t="str">
        <f>IFERROR(__xludf.DUMMYFUNCTION("""COMPUTED_VALUE"""),"YT Video")</f>
        <v>YT Video</v>
      </c>
      <c r="N29" s="165" t="str">
        <f>IFERROR(__xludf.DUMMYFUNCTION("""COMPUTED_VALUE"""),"AMD vs Intel - with GPUs")</f>
        <v>AMD vs Intel - with GPUs</v>
      </c>
      <c r="O29" s="284">
        <f>IFERROR(__xludf.DUMMYFUNCTION("""COMPUTED_VALUE"""),45244.0)</f>
        <v>45244</v>
      </c>
      <c r="P29" s="165"/>
      <c r="Q29" s="165"/>
      <c r="R29" s="165"/>
      <c r="S29" s="165" t="str">
        <f>IFERROR(__xludf.DUMMYFUNCTION("""COMPUTED_VALUE"""),"YT Video")</f>
        <v>YT Video</v>
      </c>
      <c r="T29" s="165" t="str">
        <f>IFERROR(__xludf.DUMMYFUNCTION("""COMPUTED_VALUE"""),"AMD vs Intel - with GPUs")</f>
        <v>AMD vs Intel - with GPUs</v>
      </c>
      <c r="U29" s="284">
        <f>IFERROR(__xludf.DUMMYFUNCTION("""COMPUTED_VALUE"""),45244.0)</f>
        <v>45244</v>
      </c>
      <c r="V29" s="165"/>
      <c r="W29" s="165"/>
      <c r="X29" s="165" t="str">
        <f>IFERROR(__xludf.DUMMYFUNCTION("""COMPUTED_VALUE"""),"CC-NVI-01.06")</f>
        <v>CC-NVI-01.06</v>
      </c>
      <c r="Y29" s="285" t="str">
        <f>IFERROR(__xludf.DUMMYFUNCTION("""COMPUTED_VALUE"""),"Done")</f>
        <v>Done</v>
      </c>
      <c r="Z29" s="284">
        <f>IFERROR(__xludf.DUMMYFUNCTION("""COMPUTED_VALUE"""),45195.0)</f>
        <v>45195</v>
      </c>
      <c r="AA29" s="165" t="str">
        <f>IFERROR(__xludf.DUMMYFUNCTION("""COMPUTED_VALUE"""),"Nasser")</f>
        <v>Nasser</v>
      </c>
      <c r="AB29" s="165" t="str">
        <f>IFERROR(__xludf.DUMMYFUNCTION("""COMPUTED_VALUE"""),"Ship")</f>
        <v>Ship</v>
      </c>
      <c r="AC29" s="165"/>
      <c r="AD29" s="165"/>
      <c r="AE29" s="165"/>
      <c r="AF29" s="165"/>
      <c r="AG29" s="165"/>
      <c r="AH29" s="165"/>
      <c r="AI29" s="165"/>
      <c r="AJ29" s="165"/>
      <c r="AK29" s="165"/>
      <c r="AL29" s="165"/>
    </row>
    <row r="30">
      <c r="A30" s="165"/>
      <c r="B30" s="165"/>
      <c r="C30" s="165"/>
      <c r="D30" s="165"/>
      <c r="E30" s="292"/>
      <c r="F30" s="277"/>
      <c r="G30" s="165"/>
      <c r="H30" s="277"/>
      <c r="I30" s="301"/>
      <c r="J30" s="165"/>
      <c r="K30" s="165"/>
      <c r="L30" s="165"/>
      <c r="M30" s="165" t="str">
        <f>IFERROR(__xludf.DUMMYFUNCTION("""COMPUTED_VALUE"""),"Insta")</f>
        <v>Insta</v>
      </c>
      <c r="N30" s="165" t="str">
        <f>IFERROR(__xludf.DUMMYFUNCTION("""COMPUTED_VALUE"""),"Build Photo - 2x 4090")</f>
        <v>Build Photo - 2x 4090</v>
      </c>
      <c r="O30" s="284">
        <f>IFERROR(__xludf.DUMMYFUNCTION("""COMPUTED_VALUE"""),45244.0)</f>
        <v>45244</v>
      </c>
      <c r="P30" s="165"/>
      <c r="Q30" s="165"/>
      <c r="R30" s="165"/>
      <c r="S30" s="165" t="str">
        <f>IFERROR(__xludf.DUMMYFUNCTION("""COMPUTED_VALUE"""),"Insta")</f>
        <v>Insta</v>
      </c>
      <c r="T30" s="165" t="str">
        <f>IFERROR(__xludf.DUMMYFUNCTION("""COMPUTED_VALUE"""),"Build Photo - 2x 4090")</f>
        <v>Build Photo - 2x 4090</v>
      </c>
      <c r="U30" s="284">
        <f>IFERROR(__xludf.DUMMYFUNCTION("""COMPUTED_VALUE"""),45244.0)</f>
        <v>45244</v>
      </c>
      <c r="V30" s="165"/>
      <c r="W30" s="165"/>
      <c r="X30" s="165" t="str">
        <f>IFERROR(__xludf.DUMMYFUNCTION("""COMPUTED_VALUE"""),"CC-NVI-01.07")</f>
        <v>CC-NVI-01.07</v>
      </c>
      <c r="Y30" s="285" t="str">
        <f>IFERROR(__xludf.DUMMYFUNCTION("""COMPUTED_VALUE"""),"Done")</f>
        <v>Done</v>
      </c>
      <c r="Z30" s="284">
        <f>IFERROR(__xludf.DUMMYFUNCTION("""COMPUTED_VALUE"""),45195.0)</f>
        <v>45195</v>
      </c>
      <c r="AA30" s="165" t="str">
        <f>IFERROR(__xludf.DUMMYFUNCTION("""COMPUTED_VALUE"""),"Naveen")</f>
        <v>Naveen</v>
      </c>
      <c r="AB30" s="165" t="str">
        <f>IFERROR(__xludf.DUMMYFUNCTION("""COMPUTED_VALUE"""),"Finalise")</f>
        <v>Finalise</v>
      </c>
      <c r="AC30" s="165"/>
      <c r="AD30" s="165"/>
      <c r="AE30" s="165"/>
      <c r="AF30" s="165"/>
      <c r="AG30" s="165"/>
      <c r="AH30" s="165"/>
      <c r="AI30" s="165"/>
      <c r="AJ30" s="165"/>
      <c r="AK30" s="165"/>
      <c r="AL30" s="165"/>
    </row>
    <row r="31">
      <c r="A31" s="165"/>
      <c r="B31" s="165"/>
      <c r="C31" s="165"/>
      <c r="D31" s="165"/>
      <c r="E31" s="292"/>
      <c r="F31" s="277"/>
      <c r="G31" s="165"/>
      <c r="H31" s="277"/>
      <c r="I31" s="277"/>
      <c r="J31" s="165"/>
      <c r="K31" s="165"/>
      <c r="L31" s="165"/>
      <c r="M31" s="165" t="str">
        <f>IFERROR(__xludf.DUMMYFUNCTION("""COMPUTED_VALUE"""),"Shorts")</f>
        <v>Shorts</v>
      </c>
      <c r="N31" s="165" t="str">
        <f>IFERROR(__xludf.DUMMYFUNCTION("""COMPUTED_VALUE"""),"G335 Headset - Logi Offer")</f>
        <v>G335 Headset - Logi Offer</v>
      </c>
      <c r="O31" s="284">
        <f>IFERROR(__xludf.DUMMYFUNCTION("""COMPUTED_VALUE"""),45244.0)</f>
        <v>45244</v>
      </c>
      <c r="P31" s="165"/>
      <c r="Q31" s="165"/>
      <c r="R31" s="165"/>
      <c r="S31" s="165" t="str">
        <f>IFERROR(__xludf.DUMMYFUNCTION("""COMPUTED_VALUE"""),"Shorts")</f>
        <v>Shorts</v>
      </c>
      <c r="T31" s="165" t="str">
        <f>IFERROR(__xludf.DUMMYFUNCTION("""COMPUTED_VALUE"""),"G335 Headset - Logi Offer")</f>
        <v>G335 Headset - Logi Offer</v>
      </c>
      <c r="U31" s="284">
        <f>IFERROR(__xludf.DUMMYFUNCTION("""COMPUTED_VALUE"""),45244.0)</f>
        <v>45244</v>
      </c>
      <c r="V31" s="165"/>
      <c r="W31" s="165"/>
      <c r="X31" s="165" t="str">
        <f>IFERROR(__xludf.DUMMYFUNCTION("""COMPUTED_VALUE"""),"CC-NVI-12.05")</f>
        <v>CC-NVI-12.05</v>
      </c>
      <c r="Y31" s="285" t="str">
        <f>IFERROR(__xludf.DUMMYFUNCTION("""COMPUTED_VALUE"""),"Done")</f>
        <v>Done</v>
      </c>
      <c r="Z31" s="284">
        <f>IFERROR(__xludf.DUMMYFUNCTION("""COMPUTED_VALUE"""),45195.0)</f>
        <v>45195</v>
      </c>
      <c r="AA31" s="165" t="str">
        <f>IFERROR(__xludf.DUMMYFUNCTION("""COMPUTED_VALUE"""),"Naveen")</f>
        <v>Naveen</v>
      </c>
      <c r="AB31" s="165" t="str">
        <f>IFERROR(__xludf.DUMMYFUNCTION("""COMPUTED_VALUE"""),"Thumbnail")</f>
        <v>Thumbnail</v>
      </c>
      <c r="AC31" s="165"/>
      <c r="AD31" s="165"/>
      <c r="AE31" s="165"/>
      <c r="AF31" s="165"/>
      <c r="AG31" s="165"/>
      <c r="AH31" s="165"/>
      <c r="AI31" s="165"/>
      <c r="AJ31" s="165"/>
      <c r="AK31" s="165"/>
      <c r="AL31" s="165"/>
    </row>
    <row r="32">
      <c r="A32" s="165"/>
      <c r="B32" s="165"/>
      <c r="C32" s="165"/>
      <c r="D32" s="165"/>
      <c r="E32" s="292"/>
      <c r="F32" s="277"/>
      <c r="G32" s="165"/>
      <c r="H32" s="277"/>
      <c r="I32" s="277"/>
      <c r="J32" s="165"/>
      <c r="K32" s="165"/>
      <c r="L32" s="165"/>
      <c r="M32" s="165" t="str">
        <f>IFERROR(__xludf.DUMMYFUNCTION("""COMPUTED_VALUE"""),"Tweet")</f>
        <v>Tweet</v>
      </c>
      <c r="N32" s="165" t="str">
        <f>IFERROR(__xludf.DUMMYFUNCTION("""COMPUTED_VALUE"""),"Idea Pending")</f>
        <v>Idea Pending</v>
      </c>
      <c r="O32" s="284">
        <f>IFERROR(__xludf.DUMMYFUNCTION("""COMPUTED_VALUE"""),45244.0)</f>
        <v>45244</v>
      </c>
      <c r="P32" s="165"/>
      <c r="Q32" s="165"/>
      <c r="R32" s="165"/>
      <c r="S32" s="165" t="str">
        <f>IFERROR(__xludf.DUMMYFUNCTION("""COMPUTED_VALUE"""),"Tweet")</f>
        <v>Tweet</v>
      </c>
      <c r="T32" s="165" t="str">
        <f>IFERROR(__xludf.DUMMYFUNCTION("""COMPUTED_VALUE"""),"Idea Pending")</f>
        <v>Idea Pending</v>
      </c>
      <c r="U32" s="284">
        <f>IFERROR(__xludf.DUMMYFUNCTION("""COMPUTED_VALUE"""),45244.0)</f>
        <v>45244</v>
      </c>
      <c r="V32" s="165"/>
      <c r="W32" s="165"/>
      <c r="X32" s="165" t="str">
        <f>IFERROR(__xludf.DUMMYFUNCTION("""COMPUTED_VALUE"""),"CC-NVI-12.06")</f>
        <v>CC-NVI-12.06</v>
      </c>
      <c r="Y32" s="285" t="str">
        <f>IFERROR(__xludf.DUMMYFUNCTION("""COMPUTED_VALUE"""),"Done")</f>
        <v>Done</v>
      </c>
      <c r="Z32" s="284">
        <f>IFERROR(__xludf.DUMMYFUNCTION("""COMPUTED_VALUE"""),45195.0)</f>
        <v>45195</v>
      </c>
      <c r="AA32" s="165" t="str">
        <f>IFERROR(__xludf.DUMMYFUNCTION("""COMPUTED_VALUE"""),"Tazeen")</f>
        <v>Tazeen</v>
      </c>
      <c r="AB32" s="165" t="str">
        <f>IFERROR(__xludf.DUMMYFUNCTION("""COMPUTED_VALUE"""),"Upload")</f>
        <v>Upload</v>
      </c>
      <c r="AC32" s="165"/>
      <c r="AD32" s="165"/>
      <c r="AE32" s="165"/>
      <c r="AF32" s="165"/>
      <c r="AG32" s="165"/>
      <c r="AH32" s="165"/>
      <c r="AI32" s="165"/>
      <c r="AJ32" s="165"/>
      <c r="AK32" s="165"/>
      <c r="AL32" s="165"/>
    </row>
    <row r="33">
      <c r="A33" s="165"/>
      <c r="B33" s="165"/>
      <c r="C33" s="165"/>
      <c r="D33" s="165"/>
      <c r="E33" s="292"/>
      <c r="F33" s="277"/>
      <c r="G33" s="165"/>
      <c r="H33" s="277"/>
      <c r="I33" s="277"/>
      <c r="J33" s="165"/>
      <c r="K33" s="165"/>
      <c r="L33" s="165"/>
      <c r="M33" s="165" t="str">
        <f>IFERROR(__xludf.DUMMYFUNCTION("""COMPUTED_VALUE"""),"Shorts")</f>
        <v>Shorts</v>
      </c>
      <c r="N33" s="165" t="str">
        <f>IFERROR(__xludf.DUMMYFUNCTION("""COMPUTED_VALUE"""),"G Pro TKL - Logi Offer")</f>
        <v>G Pro TKL - Logi Offer</v>
      </c>
      <c r="O33" s="284">
        <f>IFERROR(__xludf.DUMMYFUNCTION("""COMPUTED_VALUE"""),45245.0)</f>
        <v>45245</v>
      </c>
      <c r="P33" s="165"/>
      <c r="Q33" s="165"/>
      <c r="R33" s="165"/>
      <c r="S33" s="165" t="str">
        <f>IFERROR(__xludf.DUMMYFUNCTION("""COMPUTED_VALUE"""),"Shorts")</f>
        <v>Shorts</v>
      </c>
      <c r="T33" s="165" t="str">
        <f>IFERROR(__xludf.DUMMYFUNCTION("""COMPUTED_VALUE"""),"G Pro TKL - Logi Offer")</f>
        <v>G Pro TKL - Logi Offer</v>
      </c>
      <c r="U33" s="284">
        <f>IFERROR(__xludf.DUMMYFUNCTION("""COMPUTED_VALUE"""),45245.0)</f>
        <v>45245</v>
      </c>
      <c r="V33" s="165"/>
      <c r="W33" s="165"/>
      <c r="X33" s="165" t="str">
        <f>IFERROR(__xludf.DUMMYFUNCTION("""COMPUTED_VALUE"""),"CC-NVI-05.01")</f>
        <v>CC-NVI-05.01</v>
      </c>
      <c r="Y33" s="285" t="str">
        <f>IFERROR(__xludf.DUMMYFUNCTION("""COMPUTED_VALUE"""),"Done")</f>
        <v>Done</v>
      </c>
      <c r="Z33" s="284">
        <f>IFERROR(__xludf.DUMMYFUNCTION("""COMPUTED_VALUE"""),45195.0)</f>
        <v>45195</v>
      </c>
      <c r="AA33" s="165" t="str">
        <f>IFERROR(__xludf.DUMMYFUNCTION("""COMPUTED_VALUE"""),"Nasser")</f>
        <v>Nasser</v>
      </c>
      <c r="AB33" s="165" t="str">
        <f>IFERROR(__xludf.DUMMYFUNCTION("""COMPUTED_VALUE"""),"Script")</f>
        <v>Script</v>
      </c>
      <c r="AC33" s="165"/>
      <c r="AD33" s="165"/>
      <c r="AE33" s="165"/>
      <c r="AF33" s="165"/>
      <c r="AG33" s="165"/>
      <c r="AH33" s="165"/>
      <c r="AI33" s="165"/>
      <c r="AJ33" s="165"/>
      <c r="AK33" s="165"/>
      <c r="AL33" s="165"/>
    </row>
    <row r="34">
      <c r="A34" s="165"/>
      <c r="B34" s="165"/>
      <c r="C34" s="165"/>
      <c r="D34" s="165"/>
      <c r="E34" s="292"/>
      <c r="F34" s="277"/>
      <c r="G34" s="165"/>
      <c r="H34" s="277"/>
      <c r="I34" s="277"/>
      <c r="J34" s="165"/>
      <c r="K34" s="165"/>
      <c r="L34" s="165"/>
      <c r="M34" s="165" t="str">
        <f>IFERROR(__xludf.DUMMYFUNCTION("""COMPUTED_VALUE"""),"Insta")</f>
        <v>Insta</v>
      </c>
      <c r="N34" s="165" t="str">
        <f>IFERROR(__xludf.DUMMYFUNCTION("""COMPUTED_VALUE"""),"Build Photo - North + ProArt")</f>
        <v>Build Photo - North + ProArt</v>
      </c>
      <c r="O34" s="284">
        <f>IFERROR(__xludf.DUMMYFUNCTION("""COMPUTED_VALUE"""),45245.0)</f>
        <v>45245</v>
      </c>
      <c r="P34" s="165"/>
      <c r="Q34" s="165"/>
      <c r="R34" s="165"/>
      <c r="S34" s="165" t="str">
        <f>IFERROR(__xludf.DUMMYFUNCTION("""COMPUTED_VALUE"""),"Insta")</f>
        <v>Insta</v>
      </c>
      <c r="T34" s="165" t="str">
        <f>IFERROR(__xludf.DUMMYFUNCTION("""COMPUTED_VALUE"""),"Build Photo - North + ProArt")</f>
        <v>Build Photo - North + ProArt</v>
      </c>
      <c r="U34" s="284">
        <f>IFERROR(__xludf.DUMMYFUNCTION("""COMPUTED_VALUE"""),45245.0)</f>
        <v>45245</v>
      </c>
      <c r="V34" s="165"/>
      <c r="W34" s="165"/>
      <c r="X34" s="165" t="str">
        <f>IFERROR(__xludf.DUMMYFUNCTION("""COMPUTED_VALUE"""),"CC-NVI-05.02")</f>
        <v>CC-NVI-05.02</v>
      </c>
      <c r="Y34" s="285" t="str">
        <f>IFERROR(__xludf.DUMMYFUNCTION("""COMPUTED_VALUE"""),"Done")</f>
        <v>Done</v>
      </c>
      <c r="Z34" s="284">
        <f>IFERROR(__xludf.DUMMYFUNCTION("""COMPUTED_VALUE"""),45195.0)</f>
        <v>45195</v>
      </c>
      <c r="AA34" s="165" t="str">
        <f>IFERROR(__xludf.DUMMYFUNCTION("""COMPUTED_VALUE"""),"Naveen")</f>
        <v>Naveen</v>
      </c>
      <c r="AB34" s="165" t="str">
        <f>IFERROR(__xludf.DUMMYFUNCTION("""COMPUTED_VALUE"""),"Shoot")</f>
        <v>Shoot</v>
      </c>
      <c r="AC34" s="165"/>
      <c r="AD34" s="165"/>
      <c r="AE34" s="165"/>
      <c r="AF34" s="165"/>
      <c r="AG34" s="165"/>
      <c r="AH34" s="165"/>
      <c r="AI34" s="165"/>
      <c r="AJ34" s="165"/>
      <c r="AK34" s="165"/>
      <c r="AL34" s="165"/>
    </row>
    <row r="35">
      <c r="A35" s="165"/>
      <c r="B35" s="165"/>
      <c r="C35" s="165"/>
      <c r="D35" s="165"/>
      <c r="E35" s="292"/>
      <c r="F35" s="277"/>
      <c r="G35" s="165"/>
      <c r="H35" s="277"/>
      <c r="I35" s="277"/>
      <c r="J35" s="165"/>
      <c r="K35" s="165"/>
      <c r="L35" s="165"/>
      <c r="M35" s="165" t="str">
        <f>IFERROR(__xludf.DUMMYFUNCTION("""COMPUTED_VALUE"""),"Tweet")</f>
        <v>Tweet</v>
      </c>
      <c r="N35" s="165" t="str">
        <f>IFERROR(__xludf.DUMMYFUNCTION("""COMPUTED_VALUE"""),"Idea Pending")</f>
        <v>Idea Pending</v>
      </c>
      <c r="O35" s="284">
        <f>IFERROR(__xludf.DUMMYFUNCTION("""COMPUTED_VALUE"""),45245.0)</f>
        <v>45245</v>
      </c>
      <c r="P35" s="165"/>
      <c r="Q35" s="165"/>
      <c r="R35" s="165"/>
      <c r="S35" s="165" t="str">
        <f>IFERROR(__xludf.DUMMYFUNCTION("""COMPUTED_VALUE"""),"Tweet")</f>
        <v>Tweet</v>
      </c>
      <c r="T35" s="165" t="str">
        <f>IFERROR(__xludf.DUMMYFUNCTION("""COMPUTED_VALUE"""),"Idea Pending")</f>
        <v>Idea Pending</v>
      </c>
      <c r="U35" s="284">
        <f>IFERROR(__xludf.DUMMYFUNCTION("""COMPUTED_VALUE"""),45245.0)</f>
        <v>45245</v>
      </c>
      <c r="V35" s="165"/>
      <c r="W35" s="165"/>
      <c r="X35" s="165" t="str">
        <f>IFERROR(__xludf.DUMMYFUNCTION("""COMPUTED_VALUE"""),"CC-NVI-06.01")</f>
        <v>CC-NVI-06.01</v>
      </c>
      <c r="Y35" s="285" t="str">
        <f>IFERROR(__xludf.DUMMYFUNCTION("""COMPUTED_VALUE"""),"Done")</f>
        <v>Done</v>
      </c>
      <c r="Z35" s="284">
        <f>IFERROR(__xludf.DUMMYFUNCTION("""COMPUTED_VALUE"""),45195.0)</f>
        <v>45195</v>
      </c>
      <c r="AA35" s="165" t="str">
        <f>IFERROR(__xludf.DUMMYFUNCTION("""COMPUTED_VALUE"""),"Nasser")</f>
        <v>Nasser</v>
      </c>
      <c r="AB35" s="165" t="str">
        <f>IFERROR(__xludf.DUMMYFUNCTION("""COMPUTED_VALUE"""),"Script")</f>
        <v>Script</v>
      </c>
      <c r="AC35" s="165"/>
      <c r="AD35" s="165"/>
      <c r="AE35" s="165"/>
      <c r="AF35" s="165"/>
      <c r="AG35" s="165"/>
      <c r="AH35" s="165"/>
      <c r="AI35" s="165"/>
      <c r="AJ35" s="165"/>
      <c r="AK35" s="165"/>
      <c r="AL35" s="165"/>
    </row>
    <row r="36">
      <c r="A36" s="165"/>
      <c r="B36" s="165"/>
      <c r="C36" s="165"/>
      <c r="D36" s="165"/>
      <c r="E36" s="292"/>
      <c r="F36" s="277"/>
      <c r="G36" s="165"/>
      <c r="H36" s="277"/>
      <c r="I36" s="277"/>
      <c r="J36" s="165"/>
      <c r="K36" s="165"/>
      <c r="L36" s="165"/>
      <c r="M36" s="165" t="str">
        <f>IFERROR(__xludf.DUMMYFUNCTION("""COMPUTED_VALUE"""),"YT Video")</f>
        <v>YT Video</v>
      </c>
      <c r="N36" s="165" t="str">
        <f>IFERROR(__xludf.DUMMYFUNCTION("""COMPUTED_VALUE"""),"Client Reviews - MasterCut")</f>
        <v>Client Reviews - MasterCut</v>
      </c>
      <c r="O36" s="284">
        <f>IFERROR(__xludf.DUMMYFUNCTION("""COMPUTED_VALUE"""),45246.0)</f>
        <v>45246</v>
      </c>
      <c r="P36" s="165"/>
      <c r="Q36" s="165"/>
      <c r="R36" s="165"/>
      <c r="S36" s="165" t="str">
        <f>IFERROR(__xludf.DUMMYFUNCTION("""COMPUTED_VALUE"""),"YT Video")</f>
        <v>YT Video</v>
      </c>
      <c r="T36" s="165" t="str">
        <f>IFERROR(__xludf.DUMMYFUNCTION("""COMPUTED_VALUE"""),"Client Reviews - MasterCut")</f>
        <v>Client Reviews - MasterCut</v>
      </c>
      <c r="U36" s="284">
        <f>IFERROR(__xludf.DUMMYFUNCTION("""COMPUTED_VALUE"""),45246.0)</f>
        <v>45246</v>
      </c>
      <c r="V36" s="165"/>
      <c r="W36" s="165"/>
      <c r="X36" s="165" t="str">
        <f>IFERROR(__xludf.DUMMYFUNCTION("""COMPUTED_VALUE"""),"CC-NVI-06.02")</f>
        <v>CC-NVI-06.02</v>
      </c>
      <c r="Y36" s="285" t="str">
        <f>IFERROR(__xludf.DUMMYFUNCTION("""COMPUTED_VALUE"""),"Done")</f>
        <v>Done</v>
      </c>
      <c r="Z36" s="284">
        <f>IFERROR(__xludf.DUMMYFUNCTION("""COMPUTED_VALUE"""),45195.0)</f>
        <v>45195</v>
      </c>
      <c r="AA36" s="165" t="str">
        <f>IFERROR(__xludf.DUMMYFUNCTION("""COMPUTED_VALUE"""),"Naveen")</f>
        <v>Naveen</v>
      </c>
      <c r="AB36" s="165" t="str">
        <f>IFERROR(__xludf.DUMMYFUNCTION("""COMPUTED_VALUE"""),"Shoot")</f>
        <v>Shoot</v>
      </c>
      <c r="AC36" s="165"/>
      <c r="AD36" s="165"/>
      <c r="AE36" s="165"/>
      <c r="AF36" s="165"/>
      <c r="AG36" s="165"/>
      <c r="AH36" s="165"/>
      <c r="AI36" s="165"/>
      <c r="AJ36" s="165"/>
      <c r="AK36" s="165"/>
      <c r="AL36" s="165"/>
    </row>
    <row r="37">
      <c r="A37" s="165"/>
      <c r="B37" s="165"/>
      <c r="C37" s="165"/>
      <c r="D37" s="165"/>
      <c r="E37" s="292"/>
      <c r="F37" s="277"/>
      <c r="G37" s="165"/>
      <c r="H37" s="277"/>
      <c r="I37" s="277"/>
      <c r="J37" s="165"/>
      <c r="K37" s="165"/>
      <c r="L37" s="165"/>
      <c r="M37" s="165" t="str">
        <f>IFERROR(__xludf.DUMMYFUNCTION("""COMPUTED_VALUE"""),"Shorts")</f>
        <v>Shorts</v>
      </c>
      <c r="N37" s="165" t="str">
        <f>IFERROR(__xludf.DUMMYFUNCTION("""COMPUTED_VALUE"""),"Sneaker PC")</f>
        <v>Sneaker PC</v>
      </c>
      <c r="O37" s="284">
        <f>IFERROR(__xludf.DUMMYFUNCTION("""COMPUTED_VALUE"""),45246.0)</f>
        <v>45246</v>
      </c>
      <c r="P37" s="165"/>
      <c r="Q37" s="165"/>
      <c r="R37" s="165"/>
      <c r="S37" s="165" t="str">
        <f>IFERROR(__xludf.DUMMYFUNCTION("""COMPUTED_VALUE"""),"Shorts")</f>
        <v>Shorts</v>
      </c>
      <c r="T37" s="165" t="str">
        <f>IFERROR(__xludf.DUMMYFUNCTION("""COMPUTED_VALUE"""),"Sneaker PC")</f>
        <v>Sneaker PC</v>
      </c>
      <c r="U37" s="284">
        <f>IFERROR(__xludf.DUMMYFUNCTION("""COMPUTED_VALUE"""),45246.0)</f>
        <v>45246</v>
      </c>
      <c r="V37" s="165"/>
      <c r="W37" s="165"/>
      <c r="X37" s="165" t="str">
        <f>IFERROR(__xludf.DUMMYFUNCTION("""COMPUTED_VALUE"""),"PM-NVI-03.01")</f>
        <v>PM-NVI-03.01</v>
      </c>
      <c r="Y37" s="285" t="str">
        <f>IFERROR(__xludf.DUMMYFUNCTION("""COMPUTED_VALUE"""),"Done")</f>
        <v>Done</v>
      </c>
      <c r="Z37" s="284">
        <f>IFERROR(__xludf.DUMMYFUNCTION("""COMPUTED_VALUE"""),45195.0)</f>
        <v>45195</v>
      </c>
      <c r="AA37" s="165" t="str">
        <f>IFERROR(__xludf.DUMMYFUNCTION("""COMPUTED_VALUE"""),"Naveen")</f>
        <v>Naveen</v>
      </c>
      <c r="AB37" s="165" t="str">
        <f>IFERROR(__xludf.DUMMYFUNCTION("""COMPUTED_VALUE"""),"ASUS RTX 2050")</f>
        <v>ASUS RTX 2050</v>
      </c>
      <c r="AC37" s="165"/>
      <c r="AD37" s="165"/>
      <c r="AE37" s="165"/>
      <c r="AF37" s="165"/>
      <c r="AG37" s="165"/>
      <c r="AH37" s="165"/>
      <c r="AI37" s="165"/>
      <c r="AJ37" s="165"/>
      <c r="AK37" s="165"/>
      <c r="AL37" s="165"/>
    </row>
    <row r="38">
      <c r="A38" s="165"/>
      <c r="B38" s="165"/>
      <c r="C38" s="165"/>
      <c r="D38" s="165"/>
      <c r="E38" s="292"/>
      <c r="F38" s="277"/>
      <c r="G38" s="165"/>
      <c r="H38" s="277"/>
      <c r="I38" s="277"/>
      <c r="J38" s="165"/>
      <c r="K38" s="165"/>
      <c r="L38" s="165"/>
      <c r="M38" s="165" t="str">
        <f>IFERROR(__xludf.DUMMYFUNCTION("""COMPUTED_VALUE"""),"Linkedin")</f>
        <v>Linkedin</v>
      </c>
      <c r="N38" s="165" t="str">
        <f>IFERROR(__xludf.DUMMYFUNCTION("""COMPUTED_VALUE"""),"L40s GPU Server")</f>
        <v>L40s GPU Server</v>
      </c>
      <c r="O38" s="284">
        <f>IFERROR(__xludf.DUMMYFUNCTION("""COMPUTED_VALUE"""),45247.0)</f>
        <v>45247</v>
      </c>
      <c r="P38" s="165"/>
      <c r="Q38" s="165"/>
      <c r="R38" s="165"/>
      <c r="S38" s="165" t="str">
        <f>IFERROR(__xludf.DUMMYFUNCTION("""COMPUTED_VALUE"""),"Linkedin")</f>
        <v>Linkedin</v>
      </c>
      <c r="T38" s="165" t="str">
        <f>IFERROR(__xludf.DUMMYFUNCTION("""COMPUTED_VALUE"""),"L40s GPU Server")</f>
        <v>L40s GPU Server</v>
      </c>
      <c r="U38" s="284">
        <f>IFERROR(__xludf.DUMMYFUNCTION("""COMPUTED_VALUE"""),45247.0)</f>
        <v>45247</v>
      </c>
      <c r="V38" s="165"/>
      <c r="W38" s="165"/>
      <c r="X38" s="165" t="str">
        <f>IFERROR(__xludf.DUMMYFUNCTION("""COMPUTED_VALUE"""),"PM-NVI-03.02")</f>
        <v>PM-NVI-03.02</v>
      </c>
      <c r="Y38" s="285" t="str">
        <f>IFERROR(__xludf.DUMMYFUNCTION("""COMPUTED_VALUE"""),"Done")</f>
        <v>Done</v>
      </c>
      <c r="Z38" s="284">
        <f>IFERROR(__xludf.DUMMYFUNCTION("""COMPUTED_VALUE"""),45195.0)</f>
        <v>45195</v>
      </c>
      <c r="AA38" s="165" t="str">
        <f>IFERROR(__xludf.DUMMYFUNCTION("""COMPUTED_VALUE"""),"Naveen")</f>
        <v>Naveen</v>
      </c>
      <c r="AB38" s="165" t="str">
        <f>IFERROR(__xludf.DUMMYFUNCTION("""COMPUTED_VALUE"""),"MSI RTX 2060")</f>
        <v>MSI RTX 2060</v>
      </c>
      <c r="AC38" s="165"/>
      <c r="AD38" s="165"/>
      <c r="AE38" s="165"/>
      <c r="AF38" s="165"/>
      <c r="AG38" s="165"/>
      <c r="AH38" s="165"/>
      <c r="AI38" s="165"/>
      <c r="AJ38" s="165"/>
      <c r="AK38" s="165"/>
      <c r="AL38" s="165"/>
    </row>
    <row r="39">
      <c r="A39" s="165"/>
      <c r="B39" s="165"/>
      <c r="C39" s="165"/>
      <c r="D39" s="165"/>
      <c r="E39" s="292"/>
      <c r="F39" s="277"/>
      <c r="G39" s="165"/>
      <c r="H39" s="277"/>
      <c r="I39" s="277"/>
      <c r="J39" s="165"/>
      <c r="K39" s="165"/>
      <c r="L39" s="165"/>
      <c r="M39" s="165" t="str">
        <f>IFERROR(__xludf.DUMMYFUNCTION("""COMPUTED_VALUE"""),"Shorts")</f>
        <v>Shorts</v>
      </c>
      <c r="N39" s="165" t="str">
        <f>IFERROR(__xludf.DUMMYFUNCTION("""COMPUTED_VALUE"""),"Build a PC for Ansys")</f>
        <v>Build a PC for Ansys</v>
      </c>
      <c r="O39" s="284">
        <f>IFERROR(__xludf.DUMMYFUNCTION("""COMPUTED_VALUE"""),45247.0)</f>
        <v>45247</v>
      </c>
      <c r="P39" s="165"/>
      <c r="Q39" s="165"/>
      <c r="R39" s="165"/>
      <c r="S39" s="165" t="str">
        <f>IFERROR(__xludf.DUMMYFUNCTION("""COMPUTED_VALUE"""),"Shorts")</f>
        <v>Shorts</v>
      </c>
      <c r="T39" s="165" t="str">
        <f>IFERROR(__xludf.DUMMYFUNCTION("""COMPUTED_VALUE"""),"Build a PC for Ansys")</f>
        <v>Build a PC for Ansys</v>
      </c>
      <c r="U39" s="284">
        <f>IFERROR(__xludf.DUMMYFUNCTION("""COMPUTED_VALUE"""),45247.0)</f>
        <v>45247</v>
      </c>
      <c r="V39" s="165"/>
      <c r="W39" s="165"/>
      <c r="X39" s="165" t="str">
        <f>IFERROR(__xludf.DUMMYFUNCTION("""COMPUTED_VALUE"""),"PM-PTS-05.04")</f>
        <v>PM-PTS-05.04</v>
      </c>
      <c r="Y39" s="285" t="str">
        <f>IFERROR(__xludf.DUMMYFUNCTION("""COMPUTED_VALUE"""),"Done")</f>
        <v>Done</v>
      </c>
      <c r="Z39" s="284">
        <f>IFERROR(__xludf.DUMMYFUNCTION("""COMPUTED_VALUE"""),45195.0)</f>
        <v>45195</v>
      </c>
      <c r="AA39" s="165" t="str">
        <f>IFERROR(__xludf.DUMMYFUNCTION("""COMPUTED_VALUE"""),"Talha")</f>
        <v>Talha</v>
      </c>
      <c r="AB39" s="165" t="str">
        <f>IFERROR(__xludf.DUMMYFUNCTION("""COMPUTED_VALUE"""),"DevOps Ads")</f>
        <v>DevOps Ads</v>
      </c>
      <c r="AC39" s="165"/>
      <c r="AD39" s="165"/>
      <c r="AE39" s="165"/>
      <c r="AF39" s="165"/>
      <c r="AG39" s="165"/>
      <c r="AH39" s="165"/>
      <c r="AI39" s="165"/>
      <c r="AJ39" s="165"/>
      <c r="AK39" s="165"/>
      <c r="AL39" s="165"/>
    </row>
    <row r="40">
      <c r="A40" s="165"/>
      <c r="B40" s="165"/>
      <c r="C40" s="165"/>
      <c r="D40" s="165"/>
      <c r="E40" s="292"/>
      <c r="F40" s="277"/>
      <c r="G40" s="165"/>
      <c r="H40" s="277"/>
      <c r="I40" s="277"/>
      <c r="J40" s="165"/>
      <c r="K40" s="165"/>
      <c r="L40" s="165"/>
      <c r="M40" s="165" t="str">
        <f>IFERROR(__xludf.DUMMYFUNCTION("""COMPUTED_VALUE"""),"Tweet")</f>
        <v>Tweet</v>
      </c>
      <c r="N40" s="165" t="str">
        <f>IFERROR(__xludf.DUMMYFUNCTION("""COMPUTED_VALUE"""),"Idea Pending")</f>
        <v>Idea Pending</v>
      </c>
      <c r="O40" s="284">
        <f>IFERROR(__xludf.DUMMYFUNCTION("""COMPUTED_VALUE"""),45248.0)</f>
        <v>45248</v>
      </c>
      <c r="P40" s="165"/>
      <c r="Q40" s="165"/>
      <c r="R40" s="165"/>
      <c r="S40" s="165" t="str">
        <f>IFERROR(__xludf.DUMMYFUNCTION("""COMPUTED_VALUE"""),"Tweet")</f>
        <v>Tweet</v>
      </c>
      <c r="T40" s="165" t="str">
        <f>IFERROR(__xludf.DUMMYFUNCTION("""COMPUTED_VALUE"""),"Idea Pending")</f>
        <v>Idea Pending</v>
      </c>
      <c r="U40" s="284">
        <f>IFERROR(__xludf.DUMMYFUNCTION("""COMPUTED_VALUE"""),45248.0)</f>
        <v>45248</v>
      </c>
      <c r="V40" s="165"/>
      <c r="W40" s="165"/>
      <c r="X40" s="165" t="str">
        <f>IFERROR(__xludf.DUMMYFUNCTION("""COMPUTED_VALUE"""),"PM-PTS-03.05")</f>
        <v>PM-PTS-03.05</v>
      </c>
      <c r="Y40" s="285" t="str">
        <f>IFERROR(__xludf.DUMMYFUNCTION("""COMPUTED_VALUE"""),"Done")</f>
        <v>Done</v>
      </c>
      <c r="Z40" s="284">
        <f>IFERROR(__xludf.DUMMYFUNCTION("""COMPUTED_VALUE"""),45195.0)</f>
        <v>45195</v>
      </c>
      <c r="AA40" s="165" t="str">
        <f>IFERROR(__xludf.DUMMYFUNCTION("""COMPUTED_VALUE"""),"Naveen")</f>
        <v>Naveen</v>
      </c>
      <c r="AB40" s="165" t="str">
        <f>IFERROR(__xludf.DUMMYFUNCTION("""COMPUTED_VALUE"""),"PFP")</f>
        <v>PFP</v>
      </c>
      <c r="AC40" s="165"/>
      <c r="AD40" s="165"/>
      <c r="AE40" s="165"/>
      <c r="AF40" s="165"/>
      <c r="AG40" s="165"/>
      <c r="AH40" s="165"/>
      <c r="AI40" s="165"/>
      <c r="AJ40" s="165"/>
      <c r="AK40" s="165"/>
      <c r="AL40" s="165"/>
    </row>
    <row r="41">
      <c r="A41" s="165"/>
      <c r="B41" s="165"/>
      <c r="C41" s="165"/>
      <c r="D41" s="165"/>
      <c r="E41" s="292"/>
      <c r="F41" s="277"/>
      <c r="G41" s="165"/>
      <c r="H41" s="277"/>
      <c r="I41" s="277"/>
      <c r="J41" s="165"/>
      <c r="K41" s="165"/>
      <c r="L41" s="165"/>
      <c r="M41" s="165" t="str">
        <f>IFERROR(__xludf.DUMMYFUNCTION("""COMPUTED_VALUE"""),"Linkedin")</f>
        <v>Linkedin</v>
      </c>
      <c r="N41" s="165" t="str">
        <f>IFERROR(__xludf.DUMMYFUNCTION("""COMPUTED_VALUE"""),"Workstation for AR Dev.")</f>
        <v>Workstation for AR Dev.</v>
      </c>
      <c r="O41" s="284">
        <f>IFERROR(__xludf.DUMMYFUNCTION("""COMPUTED_VALUE"""),45248.0)</f>
        <v>45248</v>
      </c>
      <c r="P41" s="165"/>
      <c r="Q41" s="165"/>
      <c r="R41" s="165"/>
      <c r="S41" s="165" t="str">
        <f>IFERROR(__xludf.DUMMYFUNCTION("""COMPUTED_VALUE"""),"Linkedin")</f>
        <v>Linkedin</v>
      </c>
      <c r="T41" s="165" t="str">
        <f>IFERROR(__xludf.DUMMYFUNCTION("""COMPUTED_VALUE"""),"Workstation for AR Dev.")</f>
        <v>Workstation for AR Dev.</v>
      </c>
      <c r="U41" s="284">
        <f>IFERROR(__xludf.DUMMYFUNCTION("""COMPUTED_VALUE"""),45248.0)</f>
        <v>45248</v>
      </c>
      <c r="V41" s="165"/>
      <c r="W41" s="165"/>
      <c r="X41" s="165" t="str">
        <f>IFERROR(__xludf.DUMMYFUNCTION("""COMPUTED_VALUE"""),"CC-NVI-04.02")</f>
        <v>CC-NVI-04.02</v>
      </c>
      <c r="Y41" s="285" t="str">
        <f>IFERROR(__xludf.DUMMYFUNCTION("""COMPUTED_VALUE"""),"Done")</f>
        <v>Done</v>
      </c>
      <c r="Z41" s="284">
        <f>IFERROR(__xludf.DUMMYFUNCTION("""COMPUTED_VALUE"""),45197.0)</f>
        <v>45197</v>
      </c>
      <c r="AA41" s="165" t="str">
        <f>IFERROR(__xludf.DUMMYFUNCTION("""COMPUTED_VALUE"""),"Naveen")</f>
        <v>Naveen</v>
      </c>
      <c r="AB41" s="165" t="str">
        <f>IFERROR(__xludf.DUMMYFUNCTION("""COMPUTED_VALUE"""),"Shoot")</f>
        <v>Shoot</v>
      </c>
      <c r="AC41" s="165"/>
      <c r="AD41" s="165"/>
      <c r="AE41" s="165"/>
      <c r="AF41" s="165"/>
      <c r="AG41" s="165"/>
      <c r="AH41" s="165"/>
      <c r="AI41" s="165"/>
      <c r="AJ41" s="165"/>
      <c r="AK41" s="165"/>
      <c r="AL41" s="165"/>
    </row>
    <row r="42">
      <c r="A42" s="165"/>
      <c r="B42" s="165"/>
      <c r="C42" s="165"/>
      <c r="D42" s="165"/>
      <c r="E42" s="292"/>
      <c r="F42" s="277"/>
      <c r="G42" s="165"/>
      <c r="H42" s="277"/>
      <c r="I42" s="277"/>
      <c r="J42" s="165"/>
      <c r="K42" s="165"/>
      <c r="L42" s="165"/>
      <c r="M42" s="165" t="str">
        <f>IFERROR(__xludf.DUMMYFUNCTION("""COMPUTED_VALUE"""),"Insta")</f>
        <v>Insta</v>
      </c>
      <c r="N42" s="165" t="str">
        <f>IFERROR(__xludf.DUMMYFUNCTION("""COMPUTED_VALUE"""),"Build Photo - Enthoo Case")</f>
        <v>Build Photo - Enthoo Case</v>
      </c>
      <c r="O42" s="284">
        <f>IFERROR(__xludf.DUMMYFUNCTION("""COMPUTED_VALUE"""),45249.0)</f>
        <v>45249</v>
      </c>
      <c r="P42" s="165"/>
      <c r="Q42" s="165"/>
      <c r="R42" s="165"/>
      <c r="S42" s="165" t="str">
        <f>IFERROR(__xludf.DUMMYFUNCTION("""COMPUTED_VALUE"""),"Insta")</f>
        <v>Insta</v>
      </c>
      <c r="T42" s="165" t="str">
        <f>IFERROR(__xludf.DUMMYFUNCTION("""COMPUTED_VALUE"""),"Build Photo - Enthoo Case")</f>
        <v>Build Photo - Enthoo Case</v>
      </c>
      <c r="U42" s="284">
        <f>IFERROR(__xludf.DUMMYFUNCTION("""COMPUTED_VALUE"""),45249.0)</f>
        <v>45249</v>
      </c>
      <c r="V42" s="165"/>
      <c r="W42" s="165"/>
      <c r="X42" s="165" t="str">
        <f>IFERROR(__xludf.DUMMYFUNCTION("""COMPUTED_VALUE"""),"PM-PTS-01.02")</f>
        <v>PM-PTS-01.02</v>
      </c>
      <c r="Y42" s="285" t="str">
        <f>IFERROR(__xludf.DUMMYFUNCTION("""COMPUTED_VALUE"""),"Done")</f>
        <v>Done</v>
      </c>
      <c r="Z42" s="284">
        <f>IFERROR(__xludf.DUMMYFUNCTION("""COMPUTED_VALUE"""),45197.0)</f>
        <v>45197</v>
      </c>
      <c r="AA42" s="165" t="str">
        <f>IFERROR(__xludf.DUMMYFUNCTION("""COMPUTED_VALUE"""),"Naveen")</f>
        <v>Naveen</v>
      </c>
      <c r="AB42" s="165" t="str">
        <f>IFERROR(__xludf.DUMMYFUNCTION("""COMPUTED_VALUE"""),"Logo &amp; Branding")</f>
        <v>Logo &amp; Branding</v>
      </c>
      <c r="AC42" s="165"/>
      <c r="AD42" s="165"/>
      <c r="AE42" s="165"/>
      <c r="AF42" s="165"/>
      <c r="AG42" s="165"/>
      <c r="AH42" s="165"/>
      <c r="AI42" s="165"/>
      <c r="AJ42" s="165"/>
      <c r="AK42" s="165"/>
      <c r="AL42" s="165"/>
    </row>
    <row r="43">
      <c r="A43" s="165"/>
      <c r="B43" s="165"/>
      <c r="C43" s="165"/>
      <c r="D43" s="165"/>
      <c r="E43" s="292"/>
      <c r="F43" s="277"/>
      <c r="G43" s="165"/>
      <c r="H43" s="277"/>
      <c r="I43" s="277"/>
      <c r="J43" s="165"/>
      <c r="K43" s="165"/>
      <c r="L43" s="165"/>
      <c r="M43" s="165" t="str">
        <f>IFERROR(__xludf.DUMMYFUNCTION("""COMPUTED_VALUE"""),"Shorts")</f>
        <v>Shorts</v>
      </c>
      <c r="N43" s="165" t="str">
        <f>IFERROR(__xludf.DUMMYFUNCTION("""COMPUTED_VALUE"""),"How CPU works in 60 seconds")</f>
        <v>How CPU works in 60 seconds</v>
      </c>
      <c r="O43" s="284">
        <f>IFERROR(__xludf.DUMMYFUNCTION("""COMPUTED_VALUE"""),45250.0)</f>
        <v>45250</v>
      </c>
      <c r="P43" s="165"/>
      <c r="Q43" s="165"/>
      <c r="R43" s="165"/>
      <c r="S43" s="165" t="str">
        <f>IFERROR(__xludf.DUMMYFUNCTION("""COMPUTED_VALUE"""),"Shorts")</f>
        <v>Shorts</v>
      </c>
      <c r="T43" s="165" t="str">
        <f>IFERROR(__xludf.DUMMYFUNCTION("""COMPUTED_VALUE"""),"How CPU works in 60 seconds")</f>
        <v>How CPU works in 60 seconds</v>
      </c>
      <c r="U43" s="284">
        <f>IFERROR(__xludf.DUMMYFUNCTION("""COMPUTED_VALUE"""),45250.0)</f>
        <v>45250</v>
      </c>
      <c r="V43" s="165"/>
      <c r="W43" s="165"/>
      <c r="X43" s="165" t="str">
        <f>IFERROR(__xludf.DUMMYFUNCTION("""COMPUTED_VALUE"""),"CC-NVI-02.07")</f>
        <v>CC-NVI-02.07</v>
      </c>
      <c r="Y43" s="285" t="str">
        <f>IFERROR(__xludf.DUMMYFUNCTION("""COMPUTED_VALUE"""),"Done")</f>
        <v>Done</v>
      </c>
      <c r="Z43" s="284">
        <f>IFERROR(__xludf.DUMMYFUNCTION("""COMPUTED_VALUE"""),45198.0)</f>
        <v>45198</v>
      </c>
      <c r="AA43" s="165" t="str">
        <f>IFERROR(__xludf.DUMMYFUNCTION("""COMPUTED_VALUE"""),"Nasser")</f>
        <v>Nasser</v>
      </c>
      <c r="AB43" s="165" t="str">
        <f>IFERROR(__xludf.DUMMYFUNCTION("""COMPUTED_VALUE"""),"Edit")</f>
        <v>Edit</v>
      </c>
      <c r="AC43" s="165"/>
      <c r="AD43" s="165"/>
      <c r="AE43" s="165"/>
      <c r="AF43" s="165"/>
      <c r="AG43" s="165"/>
      <c r="AH43" s="165"/>
      <c r="AI43" s="165"/>
      <c r="AJ43" s="165"/>
      <c r="AK43" s="165"/>
      <c r="AL43" s="165"/>
    </row>
    <row r="44">
      <c r="A44" s="165"/>
      <c r="B44" s="165"/>
      <c r="C44" s="165"/>
      <c r="D44" s="165"/>
      <c r="E44" s="292"/>
      <c r="F44" s="277"/>
      <c r="G44" s="165"/>
      <c r="H44" s="277"/>
      <c r="I44" s="277"/>
      <c r="J44" s="165"/>
      <c r="K44" s="165"/>
      <c r="L44" s="165"/>
      <c r="M44" s="165" t="str">
        <f>IFERROR(__xludf.DUMMYFUNCTION("""COMPUTED_VALUE"""),"Linkedin")</f>
        <v>Linkedin</v>
      </c>
      <c r="N44" s="165" t="str">
        <f>IFERROR(__xludf.DUMMYFUNCTION("""COMPUTED_VALUE"""),"TrueNAS Setup")</f>
        <v>TrueNAS Setup</v>
      </c>
      <c r="O44" s="284">
        <f>IFERROR(__xludf.DUMMYFUNCTION("""COMPUTED_VALUE"""),45250.0)</f>
        <v>45250</v>
      </c>
      <c r="P44" s="165"/>
      <c r="Q44" s="165"/>
      <c r="R44" s="165"/>
      <c r="S44" s="165" t="str">
        <f>IFERROR(__xludf.DUMMYFUNCTION("""COMPUTED_VALUE"""),"Linkedin")</f>
        <v>Linkedin</v>
      </c>
      <c r="T44" s="165" t="str">
        <f>IFERROR(__xludf.DUMMYFUNCTION("""COMPUTED_VALUE"""),"TrueNAS Setup")</f>
        <v>TrueNAS Setup</v>
      </c>
      <c r="U44" s="284">
        <f>IFERROR(__xludf.DUMMYFUNCTION("""COMPUTED_VALUE"""),45250.0)</f>
        <v>45250</v>
      </c>
      <c r="V44" s="165"/>
      <c r="W44" s="165"/>
      <c r="X44" s="165" t="str">
        <f>IFERROR(__xludf.DUMMYFUNCTION("""COMPUTED_VALUE"""),"CC-NVI-08.02")</f>
        <v>CC-NVI-08.02</v>
      </c>
      <c r="Y44" s="285" t="str">
        <f>IFERROR(__xludf.DUMMYFUNCTION("""COMPUTED_VALUE"""),"Done")</f>
        <v>Done</v>
      </c>
      <c r="Z44" s="284">
        <f>IFERROR(__xludf.DUMMYFUNCTION("""COMPUTED_VALUE"""),45198.0)</f>
        <v>45198</v>
      </c>
      <c r="AA44" s="165" t="str">
        <f>IFERROR(__xludf.DUMMYFUNCTION("""COMPUTED_VALUE"""),"Naveen")</f>
        <v>Naveen</v>
      </c>
      <c r="AB44" s="165" t="str">
        <f>IFERROR(__xludf.DUMMYFUNCTION("""COMPUTED_VALUE"""),"Shoot")</f>
        <v>Shoot</v>
      </c>
      <c r="AC44" s="165"/>
      <c r="AD44" s="165"/>
      <c r="AE44" s="165"/>
      <c r="AF44" s="165"/>
      <c r="AG44" s="165"/>
      <c r="AH44" s="165"/>
      <c r="AI44" s="165"/>
      <c r="AJ44" s="165"/>
      <c r="AK44" s="165"/>
      <c r="AL44" s="165"/>
    </row>
    <row r="45">
      <c r="A45" s="165"/>
      <c r="B45" s="165"/>
      <c r="C45" s="165"/>
      <c r="D45" s="165"/>
      <c r="E45" s="292"/>
      <c r="F45" s="277"/>
      <c r="G45" s="165"/>
      <c r="H45" s="277"/>
      <c r="I45" s="277"/>
      <c r="J45" s="165"/>
      <c r="K45" s="165"/>
      <c r="L45" s="165"/>
      <c r="M45" s="165" t="str">
        <f>IFERROR(__xludf.DUMMYFUNCTION("""COMPUTED_VALUE"""),"YT Video")</f>
        <v>YT Video</v>
      </c>
      <c r="N45" s="165" t="str">
        <f>IFERROR(__xludf.DUMMYFUNCTION("""COMPUTED_VALUE"""),"Video Editing Category Review")</f>
        <v>Video Editing Category Review</v>
      </c>
      <c r="O45" s="284">
        <f>IFERROR(__xludf.DUMMYFUNCTION("""COMPUTED_VALUE"""),45251.0)</f>
        <v>45251</v>
      </c>
      <c r="P45" s="165"/>
      <c r="Q45" s="165"/>
      <c r="R45" s="165"/>
      <c r="S45" s="165" t="str">
        <f>IFERROR(__xludf.DUMMYFUNCTION("""COMPUTED_VALUE"""),"YT Video")</f>
        <v>YT Video</v>
      </c>
      <c r="T45" s="165" t="str">
        <f>IFERROR(__xludf.DUMMYFUNCTION("""COMPUTED_VALUE"""),"Video Editing Category Review")</f>
        <v>Video Editing Category Review</v>
      </c>
      <c r="U45" s="284">
        <f>IFERROR(__xludf.DUMMYFUNCTION("""COMPUTED_VALUE"""),45251.0)</f>
        <v>45251</v>
      </c>
      <c r="V45" s="165"/>
      <c r="W45" s="165"/>
      <c r="X45" s="165" t="str">
        <f>IFERROR(__xludf.DUMMYFUNCTION("""COMPUTED_VALUE"""),"CC-NVI-07.02")</f>
        <v>CC-NVI-07.02</v>
      </c>
      <c r="Y45" s="285" t="str">
        <f>IFERROR(__xludf.DUMMYFUNCTION("""COMPUTED_VALUE"""),"Done")</f>
        <v>Done</v>
      </c>
      <c r="Z45" s="284">
        <f>IFERROR(__xludf.DUMMYFUNCTION("""COMPUTED_VALUE"""),45198.0)</f>
        <v>45198</v>
      </c>
      <c r="AA45" s="165" t="str">
        <f>IFERROR(__xludf.DUMMYFUNCTION("""COMPUTED_VALUE"""),"Naveen")</f>
        <v>Naveen</v>
      </c>
      <c r="AB45" s="165" t="str">
        <f>IFERROR(__xludf.DUMMYFUNCTION("""COMPUTED_VALUE"""),"Shoot")</f>
        <v>Shoot</v>
      </c>
      <c r="AC45" s="165"/>
      <c r="AD45" s="165"/>
      <c r="AE45" s="165"/>
      <c r="AF45" s="165"/>
      <c r="AG45" s="165"/>
      <c r="AH45" s="165"/>
      <c r="AI45" s="165"/>
      <c r="AJ45" s="165"/>
      <c r="AK45" s="165"/>
      <c r="AL45" s="165"/>
    </row>
    <row r="46">
      <c r="A46" s="165"/>
      <c r="B46" s="165"/>
      <c r="C46" s="165"/>
      <c r="D46" s="165"/>
      <c r="E46" s="292"/>
      <c r="F46" s="277"/>
      <c r="G46" s="165"/>
      <c r="H46" s="277"/>
      <c r="I46" s="277"/>
      <c r="J46" s="165"/>
      <c r="K46" s="165"/>
      <c r="L46" s="165"/>
      <c r="M46" s="165" t="str">
        <f>IFERROR(__xludf.DUMMYFUNCTION("""COMPUTED_VALUE"""),"Tweet")</f>
        <v>Tweet</v>
      </c>
      <c r="N46" s="165" t="str">
        <f>IFERROR(__xludf.DUMMYFUNCTION("""COMPUTED_VALUE"""),"Idea Pending")</f>
        <v>Idea Pending</v>
      </c>
      <c r="O46" s="284">
        <f>IFERROR(__xludf.DUMMYFUNCTION("""COMPUTED_VALUE"""),45251.0)</f>
        <v>45251</v>
      </c>
      <c r="P46" s="165"/>
      <c r="Q46" s="165"/>
      <c r="R46" s="165"/>
      <c r="S46" s="165" t="str">
        <f>IFERROR(__xludf.DUMMYFUNCTION("""COMPUTED_VALUE"""),"Tweet")</f>
        <v>Tweet</v>
      </c>
      <c r="T46" s="165" t="str">
        <f>IFERROR(__xludf.DUMMYFUNCTION("""COMPUTED_VALUE"""),"Idea Pending")</f>
        <v>Idea Pending</v>
      </c>
      <c r="U46" s="284">
        <f>IFERROR(__xludf.DUMMYFUNCTION("""COMPUTED_VALUE"""),45251.0)</f>
        <v>45251</v>
      </c>
      <c r="V46" s="165"/>
      <c r="W46" s="165"/>
      <c r="X46" s="165" t="str">
        <f>IFERROR(__xludf.DUMMYFUNCTION("""COMPUTED_VALUE"""),"CC-NVI-10.02")</f>
        <v>CC-NVI-10.02</v>
      </c>
      <c r="Y46" s="285" t="str">
        <f>IFERROR(__xludf.DUMMYFUNCTION("""COMPUTED_VALUE"""),"Done")</f>
        <v>Done</v>
      </c>
      <c r="Z46" s="284">
        <f>IFERROR(__xludf.DUMMYFUNCTION("""COMPUTED_VALUE"""),45198.0)</f>
        <v>45198</v>
      </c>
      <c r="AA46" s="165" t="str">
        <f>IFERROR(__xludf.DUMMYFUNCTION("""COMPUTED_VALUE"""),"Naveen")</f>
        <v>Naveen</v>
      </c>
      <c r="AB46" s="165" t="str">
        <f>IFERROR(__xludf.DUMMYFUNCTION("""COMPUTED_VALUE"""),"Shoot")</f>
        <v>Shoot</v>
      </c>
      <c r="AC46" s="165"/>
      <c r="AD46" s="165"/>
      <c r="AE46" s="165"/>
      <c r="AF46" s="165"/>
      <c r="AG46" s="165"/>
      <c r="AH46" s="165"/>
      <c r="AI46" s="165"/>
      <c r="AJ46" s="165"/>
      <c r="AK46" s="165"/>
      <c r="AL46" s="165"/>
    </row>
    <row r="47">
      <c r="A47" s="165"/>
      <c r="B47" s="165"/>
      <c r="C47" s="165"/>
      <c r="D47" s="165"/>
      <c r="E47" s="292"/>
      <c r="F47" s="277"/>
      <c r="G47" s="165"/>
      <c r="H47" s="277"/>
      <c r="I47" s="277"/>
      <c r="J47" s="165"/>
      <c r="K47" s="165"/>
      <c r="L47" s="165"/>
      <c r="M47" s="165" t="str">
        <f>IFERROR(__xludf.DUMMYFUNCTION("""COMPUTED_VALUE"""),"YT Video")</f>
        <v>YT Video</v>
      </c>
      <c r="N47" s="165" t="str">
        <f>IFERROR(__xludf.DUMMYFUNCTION("""COMPUTED_VALUE"""),"Enthoo Case Review")</f>
        <v>Enthoo Case Review</v>
      </c>
      <c r="O47" s="284">
        <f>IFERROR(__xludf.DUMMYFUNCTION("""COMPUTED_VALUE"""),45252.0)</f>
        <v>45252</v>
      </c>
      <c r="P47" s="165"/>
      <c r="Q47" s="165"/>
      <c r="R47" s="165"/>
      <c r="S47" s="165" t="str">
        <f>IFERROR(__xludf.DUMMYFUNCTION("""COMPUTED_VALUE"""),"YT Video")</f>
        <v>YT Video</v>
      </c>
      <c r="T47" s="165" t="str">
        <f>IFERROR(__xludf.DUMMYFUNCTION("""COMPUTED_VALUE"""),"Enthoo Case Review")</f>
        <v>Enthoo Case Review</v>
      </c>
      <c r="U47" s="284">
        <f>IFERROR(__xludf.DUMMYFUNCTION("""COMPUTED_VALUE"""),45252.0)</f>
        <v>45252</v>
      </c>
      <c r="V47" s="165"/>
      <c r="W47" s="165"/>
      <c r="X47" s="165" t="str">
        <f>IFERROR(__xludf.DUMMYFUNCTION("""COMPUTED_VALUE"""),"CC-NVI-11.02")</f>
        <v>CC-NVI-11.02</v>
      </c>
      <c r="Y47" s="285" t="str">
        <f>IFERROR(__xludf.DUMMYFUNCTION("""COMPUTED_VALUE"""),"Done")</f>
        <v>Done</v>
      </c>
      <c r="Z47" s="284">
        <f>IFERROR(__xludf.DUMMYFUNCTION("""COMPUTED_VALUE"""),45198.0)</f>
        <v>45198</v>
      </c>
      <c r="AA47" s="165" t="str">
        <f>IFERROR(__xludf.DUMMYFUNCTION("""COMPUTED_VALUE"""),"Naveen")</f>
        <v>Naveen</v>
      </c>
      <c r="AB47" s="165" t="str">
        <f>IFERROR(__xludf.DUMMYFUNCTION("""COMPUTED_VALUE"""),"Shoot")</f>
        <v>Shoot</v>
      </c>
      <c r="AC47" s="165"/>
      <c r="AD47" s="165"/>
      <c r="AE47" s="165"/>
      <c r="AF47" s="165"/>
      <c r="AG47" s="165"/>
      <c r="AH47" s="165"/>
      <c r="AI47" s="165"/>
      <c r="AJ47" s="165"/>
      <c r="AK47" s="165"/>
      <c r="AL47" s="165"/>
    </row>
    <row r="48">
      <c r="A48" s="165"/>
      <c r="B48" s="165"/>
      <c r="C48" s="165"/>
      <c r="D48" s="165"/>
      <c r="E48" s="292"/>
      <c r="F48" s="277"/>
      <c r="G48" s="165"/>
      <c r="H48" s="277"/>
      <c r="I48" s="277"/>
      <c r="J48" s="165"/>
      <c r="K48" s="165"/>
      <c r="L48" s="165"/>
      <c r="M48" s="165" t="str">
        <f>IFERROR(__xludf.DUMMYFUNCTION("""COMPUTED_VALUE"""),"Shorts")</f>
        <v>Shorts</v>
      </c>
      <c r="N48" s="165" t="str">
        <f>IFERROR(__xludf.DUMMYFUNCTION("""COMPUTED_VALUE"""),"Enthoo Case")</f>
        <v>Enthoo Case</v>
      </c>
      <c r="O48" s="284">
        <f>IFERROR(__xludf.DUMMYFUNCTION("""COMPUTED_VALUE"""),45246.0)</f>
        <v>45246</v>
      </c>
      <c r="P48" s="165"/>
      <c r="Q48" s="165"/>
      <c r="R48" s="165"/>
      <c r="S48" s="165" t="str">
        <f>IFERROR(__xludf.DUMMYFUNCTION("""COMPUTED_VALUE"""),"Shorts")</f>
        <v>Shorts</v>
      </c>
      <c r="T48" s="165" t="str">
        <f>IFERROR(__xludf.DUMMYFUNCTION("""COMPUTED_VALUE"""),"Enthoo Case")</f>
        <v>Enthoo Case</v>
      </c>
      <c r="U48" s="284">
        <f>IFERROR(__xludf.DUMMYFUNCTION("""COMPUTED_VALUE"""),45246.0)</f>
        <v>45246</v>
      </c>
      <c r="V48" s="165"/>
      <c r="W48" s="165"/>
      <c r="X48" s="165" t="str">
        <f>IFERROR(__xludf.DUMMYFUNCTION("""COMPUTED_VALUE"""),"PM-MAC-01.01")</f>
        <v>PM-MAC-01.01</v>
      </c>
      <c r="Y48" s="285" t="str">
        <f>IFERROR(__xludf.DUMMYFUNCTION("""COMPUTED_VALUE"""),"Done")</f>
        <v>Done</v>
      </c>
      <c r="Z48" s="284">
        <f>IFERROR(__xludf.DUMMYFUNCTION("""COMPUTED_VALUE"""),45198.0)</f>
        <v>45198</v>
      </c>
      <c r="AA48" s="165" t="str">
        <f>IFERROR(__xludf.DUMMYFUNCTION("""COMPUTED_VALUE"""),"Nasser")</f>
        <v>Nasser</v>
      </c>
      <c r="AB48" s="165" t="str">
        <f>IFERROR(__xludf.DUMMYFUNCTION("""COMPUTED_VALUE"""),"Meeting")</f>
        <v>Meeting</v>
      </c>
      <c r="AC48" s="165"/>
      <c r="AD48" s="165"/>
      <c r="AE48" s="165"/>
      <c r="AF48" s="165"/>
      <c r="AG48" s="165"/>
      <c r="AH48" s="165"/>
      <c r="AI48" s="165"/>
      <c r="AJ48" s="165"/>
      <c r="AK48" s="165"/>
      <c r="AL48" s="165"/>
    </row>
    <row r="49">
      <c r="A49" s="165"/>
      <c r="B49" s="165"/>
      <c r="C49" s="165"/>
      <c r="D49" s="165"/>
      <c r="E49" s="292"/>
      <c r="F49" s="277"/>
      <c r="G49" s="165"/>
      <c r="H49" s="277"/>
      <c r="I49" s="277"/>
      <c r="J49" s="165"/>
      <c r="K49" s="165"/>
      <c r="L49" s="165"/>
      <c r="M49" s="165" t="str">
        <f>IFERROR(__xludf.DUMMYFUNCTION("""COMPUTED_VALUE"""),"YT Video")</f>
        <v>YT Video</v>
      </c>
      <c r="N49" s="165" t="str">
        <f>IFERROR(__xludf.DUMMYFUNCTION("""COMPUTED_VALUE"""),"TrueNAS Setup")</f>
        <v>TrueNAS Setup</v>
      </c>
      <c r="O49" s="284">
        <f>IFERROR(__xludf.DUMMYFUNCTION("""COMPUTED_VALUE"""),45252.0)</f>
        <v>45252</v>
      </c>
      <c r="P49" s="165"/>
      <c r="Q49" s="165"/>
      <c r="R49" s="165"/>
      <c r="S49" s="165" t="str">
        <f>IFERROR(__xludf.DUMMYFUNCTION("""COMPUTED_VALUE"""),"YT Video")</f>
        <v>YT Video</v>
      </c>
      <c r="T49" s="165" t="str">
        <f>IFERROR(__xludf.DUMMYFUNCTION("""COMPUTED_VALUE"""),"TrueNAS Setup")</f>
        <v>TrueNAS Setup</v>
      </c>
      <c r="U49" s="284">
        <f>IFERROR(__xludf.DUMMYFUNCTION("""COMPUTED_VALUE"""),45252.0)</f>
        <v>45252</v>
      </c>
      <c r="V49" s="165"/>
      <c r="W49" s="165"/>
      <c r="X49" s="165" t="str">
        <f>IFERROR(__xludf.DUMMYFUNCTION("""COMPUTED_VALUE"""),"CC-MVP-67.01")</f>
        <v>CC-MVP-67.01</v>
      </c>
      <c r="Y49" s="285" t="str">
        <f>IFERROR(__xludf.DUMMYFUNCTION("""COMPUTED_VALUE"""),"Done")</f>
        <v>Done</v>
      </c>
      <c r="Z49" s="284">
        <f>IFERROR(__xludf.DUMMYFUNCTION("""COMPUTED_VALUE"""),45200.0)</f>
        <v>45200</v>
      </c>
      <c r="AA49" s="165" t="str">
        <f>IFERROR(__xludf.DUMMYFUNCTION("""COMPUTED_VALUE"""),"Tazeen")</f>
        <v>Tazeen</v>
      </c>
      <c r="AB49" s="165" t="str">
        <f>IFERROR(__xludf.DUMMYFUNCTION("""COMPUTED_VALUE"""),"Script")</f>
        <v>Script</v>
      </c>
      <c r="AC49" s="165"/>
      <c r="AD49" s="165"/>
      <c r="AE49" s="165"/>
      <c r="AF49" s="165"/>
      <c r="AG49" s="165"/>
      <c r="AH49" s="165"/>
      <c r="AI49" s="165"/>
      <c r="AJ49" s="165"/>
      <c r="AK49" s="165"/>
      <c r="AL49" s="165"/>
    </row>
    <row r="50">
      <c r="A50" s="165"/>
      <c r="B50" s="165"/>
      <c r="C50" s="165"/>
      <c r="D50" s="165"/>
      <c r="E50" s="292"/>
      <c r="F50" s="277"/>
      <c r="G50" s="165"/>
      <c r="H50" s="277"/>
      <c r="I50" s="277"/>
      <c r="J50" s="165"/>
      <c r="K50" s="165"/>
      <c r="L50" s="165"/>
      <c r="M50" s="165" t="str">
        <f>IFERROR(__xludf.DUMMYFUNCTION("""COMPUTED_VALUE"""),"YT Video")</f>
        <v>YT Video</v>
      </c>
      <c r="N50" s="165" t="str">
        <f>IFERROR(__xludf.DUMMYFUNCTION("""COMPUTED_VALUE"""),"Logi Persona Reviews")</f>
        <v>Logi Persona Reviews</v>
      </c>
      <c r="O50" s="284">
        <f>IFERROR(__xludf.DUMMYFUNCTION("""COMPUTED_VALUE"""),45255.0)</f>
        <v>45255</v>
      </c>
      <c r="P50" s="165"/>
      <c r="Q50" s="165"/>
      <c r="R50" s="165"/>
      <c r="S50" s="165" t="str">
        <f>IFERROR(__xludf.DUMMYFUNCTION("""COMPUTED_VALUE"""),"YT Video")</f>
        <v>YT Video</v>
      </c>
      <c r="T50" s="165" t="str">
        <f>IFERROR(__xludf.DUMMYFUNCTION("""COMPUTED_VALUE"""),"Logi Persona Reviews")</f>
        <v>Logi Persona Reviews</v>
      </c>
      <c r="U50" s="284">
        <f>IFERROR(__xludf.DUMMYFUNCTION("""COMPUTED_VALUE"""),45255.0)</f>
        <v>45255</v>
      </c>
      <c r="V50" s="165"/>
      <c r="W50" s="165"/>
      <c r="X50" s="165" t="str">
        <f>IFERROR(__xludf.DUMMYFUNCTION("""COMPUTED_VALUE"""),"CC-MVP-24.02")</f>
        <v>CC-MVP-24.02</v>
      </c>
      <c r="Y50" s="285" t="str">
        <f>IFERROR(__xludf.DUMMYFUNCTION("""COMPUTED_VALUE"""),"Done")</f>
        <v>Done</v>
      </c>
      <c r="Z50" s="284">
        <f>IFERROR(__xludf.DUMMYFUNCTION("""COMPUTED_VALUE"""),45200.0)</f>
        <v>45200</v>
      </c>
      <c r="AA50" s="165" t="str">
        <f>IFERROR(__xludf.DUMMYFUNCTION("""COMPUTED_VALUE"""),"Naveen")</f>
        <v>Naveen</v>
      </c>
      <c r="AB50" s="165" t="str">
        <f>IFERROR(__xludf.DUMMYFUNCTION("""COMPUTED_VALUE"""),"Shoot")</f>
        <v>Shoot</v>
      </c>
      <c r="AC50" s="165"/>
      <c r="AD50" s="165"/>
      <c r="AE50" s="165"/>
      <c r="AF50" s="165"/>
      <c r="AG50" s="165"/>
      <c r="AH50" s="165"/>
      <c r="AI50" s="165"/>
      <c r="AJ50" s="165"/>
      <c r="AK50" s="165"/>
      <c r="AL50" s="165"/>
    </row>
    <row r="51">
      <c r="A51" s="165"/>
      <c r="B51" s="165"/>
      <c r="C51" s="165"/>
      <c r="D51" s="165"/>
      <c r="E51" s="292"/>
      <c r="F51" s="277"/>
      <c r="G51" s="165"/>
      <c r="H51" s="277"/>
      <c r="I51" s="277"/>
      <c r="J51" s="165"/>
      <c r="K51" s="165"/>
      <c r="L51" s="165"/>
      <c r="M51" s="165" t="str">
        <f>IFERROR(__xludf.DUMMYFUNCTION("""COMPUTED_VALUE"""),"Shorts")</f>
        <v>Shorts</v>
      </c>
      <c r="N51" s="165" t="str">
        <f>IFERROR(__xludf.DUMMYFUNCTION("""COMPUTED_VALUE"""),"Editing Category Downedit")</f>
        <v>Editing Category Downedit</v>
      </c>
      <c r="O51" s="284">
        <f>IFERROR(__xludf.DUMMYFUNCTION("""COMPUTED_VALUE"""),45252.0)</f>
        <v>45252</v>
      </c>
      <c r="P51" s="165"/>
      <c r="Q51" s="165"/>
      <c r="R51" s="165"/>
      <c r="S51" s="165" t="str">
        <f>IFERROR(__xludf.DUMMYFUNCTION("""COMPUTED_VALUE"""),"Shorts")</f>
        <v>Shorts</v>
      </c>
      <c r="T51" s="165" t="str">
        <f>IFERROR(__xludf.DUMMYFUNCTION("""COMPUTED_VALUE"""),"Editing Category Downedit")</f>
        <v>Editing Category Downedit</v>
      </c>
      <c r="U51" s="284">
        <f>IFERROR(__xludf.DUMMYFUNCTION("""COMPUTED_VALUE"""),45252.0)</f>
        <v>45252</v>
      </c>
      <c r="V51" s="165"/>
      <c r="W51" s="165"/>
      <c r="X51" s="165" t="str">
        <f>IFERROR(__xludf.DUMMYFUNCTION("""COMPUTED_VALUE"""),"CC-NVI-05.04")</f>
        <v>CC-NVI-05.04</v>
      </c>
      <c r="Y51" s="285" t="str">
        <f>IFERROR(__xludf.DUMMYFUNCTION("""COMPUTED_VALUE"""),"Done")</f>
        <v>Done</v>
      </c>
      <c r="Z51" s="284">
        <f>IFERROR(__xludf.DUMMYFUNCTION("""COMPUTED_VALUE"""),45201.0)</f>
        <v>45201</v>
      </c>
      <c r="AA51" s="165" t="str">
        <f>IFERROR(__xludf.DUMMYFUNCTION("""COMPUTED_VALUE"""),"Nasser")</f>
        <v>Nasser</v>
      </c>
      <c r="AB51" s="165" t="str">
        <f>IFERROR(__xludf.DUMMYFUNCTION("""COMPUTED_VALUE"""),"Project Files")</f>
        <v>Project Files</v>
      </c>
      <c r="AC51" s="165"/>
      <c r="AD51" s="165"/>
      <c r="AE51" s="165"/>
      <c r="AF51" s="165"/>
      <c r="AG51" s="165"/>
      <c r="AH51" s="165"/>
      <c r="AI51" s="165"/>
      <c r="AJ51" s="165"/>
      <c r="AK51" s="165"/>
      <c r="AL51" s="165"/>
    </row>
    <row r="52">
      <c r="A52" s="165"/>
      <c r="B52" s="165"/>
      <c r="C52" s="165"/>
      <c r="D52" s="165"/>
      <c r="E52" s="292"/>
      <c r="F52" s="277"/>
      <c r="G52" s="165"/>
      <c r="H52" s="277"/>
      <c r="I52" s="277"/>
      <c r="J52" s="165"/>
      <c r="K52" s="165"/>
      <c r="L52" s="165"/>
      <c r="M52" s="165" t="str">
        <f>IFERROR(__xludf.DUMMYFUNCTION("""COMPUTED_VALUE"""),"Shorts")</f>
        <v>Shorts</v>
      </c>
      <c r="N52" s="165" t="str">
        <f>IFERROR(__xludf.DUMMYFUNCTION("""COMPUTED_VALUE"""),"Startup Mistakes")</f>
        <v>Startup Mistakes</v>
      </c>
      <c r="O52" s="284">
        <f>IFERROR(__xludf.DUMMYFUNCTION("""COMPUTED_VALUE"""),45216.0)</f>
        <v>45216</v>
      </c>
      <c r="P52" s="165"/>
      <c r="Q52" s="165"/>
      <c r="R52" s="165"/>
      <c r="S52" s="165" t="str">
        <f>IFERROR(__xludf.DUMMYFUNCTION("""COMPUTED_VALUE"""),"Shorts")</f>
        <v>Shorts</v>
      </c>
      <c r="T52" s="165" t="str">
        <f>IFERROR(__xludf.DUMMYFUNCTION("""COMPUTED_VALUE"""),"Startup Mistakes")</f>
        <v>Startup Mistakes</v>
      </c>
      <c r="U52" s="284">
        <f>IFERROR(__xludf.DUMMYFUNCTION("""COMPUTED_VALUE"""),45216.0)</f>
        <v>45216</v>
      </c>
      <c r="V52" s="165"/>
      <c r="W52" s="165"/>
      <c r="X52" s="165" t="str">
        <f>IFERROR(__xludf.DUMMYFUNCTION("""COMPUTED_VALUE"""),"CC-NVI-06.04")</f>
        <v>CC-NVI-06.04</v>
      </c>
      <c r="Y52" s="285" t="str">
        <f>IFERROR(__xludf.DUMMYFUNCTION("""COMPUTED_VALUE"""),"Done")</f>
        <v>Done</v>
      </c>
      <c r="Z52" s="284">
        <f>IFERROR(__xludf.DUMMYFUNCTION("""COMPUTED_VALUE"""),45201.0)</f>
        <v>45201</v>
      </c>
      <c r="AA52" s="165" t="str">
        <f>IFERROR(__xludf.DUMMYFUNCTION("""COMPUTED_VALUE"""),"Nasser")</f>
        <v>Nasser</v>
      </c>
      <c r="AB52" s="165" t="str">
        <f>IFERROR(__xludf.DUMMYFUNCTION("""COMPUTED_VALUE"""),"Project Files")</f>
        <v>Project Files</v>
      </c>
      <c r="AC52" s="165"/>
      <c r="AD52" s="165"/>
      <c r="AE52" s="165"/>
      <c r="AF52" s="165"/>
      <c r="AG52" s="165"/>
      <c r="AH52" s="165"/>
      <c r="AI52" s="165"/>
      <c r="AJ52" s="165"/>
      <c r="AK52" s="165"/>
      <c r="AL52" s="165"/>
    </row>
    <row r="53">
      <c r="A53" s="165"/>
      <c r="B53" s="165"/>
      <c r="C53" s="165"/>
      <c r="D53" s="165"/>
      <c r="E53" s="292"/>
      <c r="F53" s="277"/>
      <c r="G53" s="165"/>
      <c r="H53" s="277"/>
      <c r="I53" s="277"/>
      <c r="J53" s="165"/>
      <c r="K53" s="165"/>
      <c r="L53" s="165"/>
      <c r="M53" s="165" t="str">
        <f>IFERROR(__xludf.DUMMYFUNCTION("""COMPUTED_VALUE"""),"Blog")</f>
        <v>Blog</v>
      </c>
      <c r="N53" s="165" t="str">
        <f>IFERROR(__xludf.DUMMYFUNCTION("""COMPUTED_VALUE"""),"What is Sales Funnel")</f>
        <v>What is Sales Funnel</v>
      </c>
      <c r="O53" s="284">
        <f>IFERROR(__xludf.DUMMYFUNCTION("""COMPUTED_VALUE"""),45216.0)</f>
        <v>45216</v>
      </c>
      <c r="P53" s="165"/>
      <c r="Q53" s="165"/>
      <c r="R53" s="165"/>
      <c r="S53" s="165" t="str">
        <f>IFERROR(__xludf.DUMMYFUNCTION("""COMPUTED_VALUE"""),"Blog")</f>
        <v>Blog</v>
      </c>
      <c r="T53" s="165" t="str">
        <f>IFERROR(__xludf.DUMMYFUNCTION("""COMPUTED_VALUE"""),"What is Sales Funnel")</f>
        <v>What is Sales Funnel</v>
      </c>
      <c r="U53" s="284">
        <f>IFERROR(__xludf.DUMMYFUNCTION("""COMPUTED_VALUE"""),45216.0)</f>
        <v>45216</v>
      </c>
      <c r="V53" s="165"/>
      <c r="W53" s="165"/>
      <c r="X53" s="165" t="str">
        <f>IFERROR(__xludf.DUMMYFUNCTION("""COMPUTED_VALUE"""),"PM-NVI-03.04")</f>
        <v>PM-NVI-03.04</v>
      </c>
      <c r="Y53" s="285" t="str">
        <f>IFERROR(__xludf.DUMMYFUNCTION("""COMPUTED_VALUE"""),"Done")</f>
        <v>Done</v>
      </c>
      <c r="Z53" s="284">
        <f>IFERROR(__xludf.DUMMYFUNCTION("""COMPUTED_VALUE"""),45202.0)</f>
        <v>45202</v>
      </c>
      <c r="AA53" s="165" t="str">
        <f>IFERROR(__xludf.DUMMYFUNCTION("""COMPUTED_VALUE"""),"Naveen")</f>
        <v>Naveen</v>
      </c>
      <c r="AB53" s="165" t="str">
        <f>IFERROR(__xludf.DUMMYFUNCTION("""COMPUTED_VALUE"""),"HP RTX 2050")</f>
        <v>HP RTX 2050</v>
      </c>
      <c r="AC53" s="165"/>
      <c r="AD53" s="165"/>
      <c r="AE53" s="165"/>
      <c r="AF53" s="165"/>
      <c r="AG53" s="165"/>
      <c r="AH53" s="165"/>
      <c r="AI53" s="165"/>
      <c r="AJ53" s="165"/>
      <c r="AK53" s="165"/>
      <c r="AL53" s="165"/>
    </row>
    <row r="54">
      <c r="A54" s="165"/>
      <c r="B54" s="165"/>
      <c r="C54" s="165"/>
      <c r="D54" s="165"/>
      <c r="E54" s="292"/>
      <c r="F54" s="277"/>
      <c r="G54" s="165"/>
      <c r="H54" s="277"/>
      <c r="I54" s="277"/>
      <c r="J54" s="165"/>
      <c r="K54" s="165"/>
      <c r="L54" s="165"/>
      <c r="M54" s="165" t="str">
        <f>IFERROR(__xludf.DUMMYFUNCTION("""COMPUTED_VALUE"""),"Shorts")</f>
        <v>Shorts</v>
      </c>
      <c r="N54" s="165" t="str">
        <f>IFERROR(__xludf.DUMMYFUNCTION("""COMPUTED_VALUE"""),"Before vs After")</f>
        <v>Before vs After</v>
      </c>
      <c r="O54" s="284">
        <f>IFERROR(__xludf.DUMMYFUNCTION("""COMPUTED_VALUE"""),45240.0)</f>
        <v>45240</v>
      </c>
      <c r="P54" s="165"/>
      <c r="Q54" s="165"/>
      <c r="R54" s="165"/>
      <c r="S54" s="165" t="str">
        <f>IFERROR(__xludf.DUMMYFUNCTION("""COMPUTED_VALUE"""),"Shorts")</f>
        <v>Shorts</v>
      </c>
      <c r="T54" s="165" t="str">
        <f>IFERROR(__xludf.DUMMYFUNCTION("""COMPUTED_VALUE"""),"Before vs After")</f>
        <v>Before vs After</v>
      </c>
      <c r="U54" s="284">
        <f>IFERROR(__xludf.DUMMYFUNCTION("""COMPUTED_VALUE"""),45240.0)</f>
        <v>45240</v>
      </c>
      <c r="V54" s="165"/>
      <c r="W54" s="165"/>
      <c r="X54" s="165" t="str">
        <f>IFERROR(__xludf.DUMMYFUNCTION("""COMPUTED_VALUE"""),"PM-NVI-03.05")</f>
        <v>PM-NVI-03.05</v>
      </c>
      <c r="Y54" s="285" t="str">
        <f>IFERROR(__xludf.DUMMYFUNCTION("""COMPUTED_VALUE"""),"Done")</f>
        <v>Done</v>
      </c>
      <c r="Z54" s="284">
        <f>IFERROR(__xludf.DUMMYFUNCTION("""COMPUTED_VALUE"""),45204.0)</f>
        <v>45204</v>
      </c>
      <c r="AA54" s="165" t="str">
        <f>IFERROR(__xludf.DUMMYFUNCTION("""COMPUTED_VALUE"""),"Naveen")</f>
        <v>Naveen</v>
      </c>
      <c r="AB54" s="165" t="str">
        <f>IFERROR(__xludf.DUMMYFUNCTION("""COMPUTED_VALUE"""),"2050 DLSS Benchmarks")</f>
        <v>2050 DLSS Benchmarks</v>
      </c>
      <c r="AC54" s="165"/>
      <c r="AD54" s="165"/>
      <c r="AE54" s="165"/>
      <c r="AF54" s="165"/>
      <c r="AG54" s="165"/>
      <c r="AH54" s="165"/>
      <c r="AI54" s="165"/>
      <c r="AJ54" s="165"/>
      <c r="AK54" s="165"/>
      <c r="AL54" s="165"/>
    </row>
    <row r="55">
      <c r="A55" s="165"/>
      <c r="B55" s="165"/>
      <c r="C55" s="165"/>
      <c r="D55" s="165"/>
      <c r="E55" s="292"/>
      <c r="F55" s="277"/>
      <c r="G55" s="165"/>
      <c r="H55" s="277"/>
      <c r="I55" s="277"/>
      <c r="J55" s="165"/>
      <c r="K55" s="165"/>
      <c r="L55" s="165"/>
      <c r="M55" s="165" t="str">
        <f>IFERROR(__xludf.DUMMYFUNCTION("""COMPUTED_VALUE"""),"Shorts")</f>
        <v>Shorts</v>
      </c>
      <c r="N55" s="165" t="str">
        <f>IFERROR(__xludf.DUMMYFUNCTION("""COMPUTED_VALUE"""),"Asus F15 | RTX 2050")</f>
        <v>Asus F15 | RTX 2050</v>
      </c>
      <c r="O55" s="284">
        <f>IFERROR(__xludf.DUMMYFUNCTION("""COMPUTED_VALUE"""),45178.0)</f>
        <v>45178</v>
      </c>
      <c r="P55" s="165"/>
      <c r="Q55" s="165"/>
      <c r="R55" s="165"/>
      <c r="S55" s="165" t="str">
        <f>IFERROR(__xludf.DUMMYFUNCTION("""COMPUTED_VALUE"""),"Shorts")</f>
        <v>Shorts</v>
      </c>
      <c r="T55" s="165" t="str">
        <f>IFERROR(__xludf.DUMMYFUNCTION("""COMPUTED_VALUE"""),"Asus F15 | RTX 2050")</f>
        <v>Asus F15 | RTX 2050</v>
      </c>
      <c r="U55" s="284">
        <f>IFERROR(__xludf.DUMMYFUNCTION("""COMPUTED_VALUE"""),45178.0)</f>
        <v>45178</v>
      </c>
      <c r="V55" s="165"/>
      <c r="W55" s="165"/>
      <c r="X55" s="165" t="str">
        <f>IFERROR(__xludf.DUMMYFUNCTION("""COMPUTED_VALUE"""),"PM-NVI-03.06")</f>
        <v>PM-NVI-03.06</v>
      </c>
      <c r="Y55" s="285" t="str">
        <f>IFERROR(__xludf.DUMMYFUNCTION("""COMPUTED_VALUE"""),"Done")</f>
        <v>Done</v>
      </c>
      <c r="Z55" s="284">
        <f>IFERROR(__xludf.DUMMYFUNCTION("""COMPUTED_VALUE"""),45204.0)</f>
        <v>45204</v>
      </c>
      <c r="AA55" s="165" t="str">
        <f>IFERROR(__xludf.DUMMYFUNCTION("""COMPUTED_VALUE"""),"Naveen")</f>
        <v>Naveen</v>
      </c>
      <c r="AB55" s="165" t="str">
        <f>IFERROR(__xludf.DUMMYFUNCTION("""COMPUTED_VALUE"""),"4080 RTX Benchmarks")</f>
        <v>4080 RTX Benchmarks</v>
      </c>
      <c r="AC55" s="165"/>
      <c r="AD55" s="165"/>
      <c r="AE55" s="165"/>
      <c r="AF55" s="165"/>
      <c r="AG55" s="165"/>
      <c r="AH55" s="165"/>
      <c r="AI55" s="165"/>
      <c r="AJ55" s="165"/>
      <c r="AK55" s="165"/>
      <c r="AL55" s="165"/>
    </row>
    <row r="56">
      <c r="A56" s="165"/>
      <c r="B56" s="165"/>
      <c r="C56" s="165"/>
      <c r="D56" s="165"/>
      <c r="E56" s="292"/>
      <c r="F56" s="277"/>
      <c r="G56" s="165"/>
      <c r="H56" s="277"/>
      <c r="I56" s="277"/>
      <c r="J56" s="165"/>
      <c r="K56" s="165"/>
      <c r="L56" s="165"/>
      <c r="M56" s="165" t="str">
        <f>IFERROR(__xludf.DUMMYFUNCTION("""COMPUTED_VALUE"""),"Shorts")</f>
        <v>Shorts</v>
      </c>
      <c r="N56" s="165" t="str">
        <f>IFERROR(__xludf.DUMMYFUNCTION("""COMPUTED_VALUE"""),"Cyberpunk - Phantom Liberty")</f>
        <v>Cyberpunk - Phantom Liberty</v>
      </c>
      <c r="O56" s="284">
        <f>IFERROR(__xludf.DUMMYFUNCTION("""COMPUTED_VALUE"""),45195.0)</f>
        <v>45195</v>
      </c>
      <c r="P56" s="165"/>
      <c r="Q56" s="165"/>
      <c r="R56" s="165"/>
      <c r="S56" s="165" t="str">
        <f>IFERROR(__xludf.DUMMYFUNCTION("""COMPUTED_VALUE"""),"Shorts")</f>
        <v>Shorts</v>
      </c>
      <c r="T56" s="165" t="str">
        <f>IFERROR(__xludf.DUMMYFUNCTION("""COMPUTED_VALUE"""),"Cyberpunk - Phantom Liberty")</f>
        <v>Cyberpunk - Phantom Liberty</v>
      </c>
      <c r="U56" s="284">
        <f>IFERROR(__xludf.DUMMYFUNCTION("""COMPUTED_VALUE"""),45195.0)</f>
        <v>45195</v>
      </c>
      <c r="V56" s="165"/>
      <c r="W56" s="165"/>
      <c r="X56" s="165" t="str">
        <f>IFERROR(__xludf.DUMMYFUNCTION("""COMPUTED_VALUE"""),"CC-NVI-07.01")</f>
        <v>CC-NVI-07.01</v>
      </c>
      <c r="Y56" s="285" t="str">
        <f>IFERROR(__xludf.DUMMYFUNCTION("""COMPUTED_VALUE"""),"Done")</f>
        <v>Done</v>
      </c>
      <c r="Z56" s="284">
        <f>IFERROR(__xludf.DUMMYFUNCTION("""COMPUTED_VALUE"""),45206.0)</f>
        <v>45206</v>
      </c>
      <c r="AA56" s="165" t="str">
        <f>IFERROR(__xludf.DUMMYFUNCTION("""COMPUTED_VALUE"""),"Nasser")</f>
        <v>Nasser</v>
      </c>
      <c r="AB56" s="165" t="str">
        <f>IFERROR(__xludf.DUMMYFUNCTION("""COMPUTED_VALUE"""),"Script")</f>
        <v>Script</v>
      </c>
      <c r="AC56" s="165"/>
      <c r="AD56" s="165"/>
      <c r="AE56" s="165"/>
      <c r="AF56" s="165"/>
      <c r="AG56" s="165"/>
      <c r="AH56" s="165"/>
      <c r="AI56" s="165"/>
      <c r="AJ56" s="165"/>
      <c r="AK56" s="165"/>
      <c r="AL56" s="165"/>
    </row>
    <row r="57">
      <c r="A57" s="165"/>
      <c r="B57" s="165"/>
      <c r="C57" s="165"/>
      <c r="D57" s="165"/>
      <c r="E57" s="292"/>
      <c r="F57" s="277"/>
      <c r="G57" s="165"/>
      <c r="H57" s="277"/>
      <c r="I57" s="277"/>
      <c r="J57" s="165"/>
      <c r="K57" s="165"/>
      <c r="L57" s="165"/>
      <c r="M57" s="165" t="str">
        <f>IFERROR(__xludf.DUMMYFUNCTION("""COMPUTED_VALUE"""),"Shorts")</f>
        <v>Shorts</v>
      </c>
      <c r="N57" s="165" t="str">
        <f>IFERROR(__xludf.DUMMYFUNCTION("""COMPUTED_VALUE"""),"MSI Sword 15 | RTX 4060")</f>
        <v>MSI Sword 15 | RTX 4060</v>
      </c>
      <c r="O57" s="284">
        <f>IFERROR(__xludf.DUMMYFUNCTION("""COMPUTED_VALUE"""),45198.0)</f>
        <v>45198</v>
      </c>
      <c r="P57" s="165"/>
      <c r="Q57" s="165"/>
      <c r="R57" s="165"/>
      <c r="S57" s="165" t="str">
        <f>IFERROR(__xludf.DUMMYFUNCTION("""COMPUTED_VALUE"""),"Shorts")</f>
        <v>Shorts</v>
      </c>
      <c r="T57" s="165" t="str">
        <f>IFERROR(__xludf.DUMMYFUNCTION("""COMPUTED_VALUE"""),"MSI Sword 15 | RTX 4060")</f>
        <v>MSI Sword 15 | RTX 4060</v>
      </c>
      <c r="U57" s="284">
        <f>IFERROR(__xludf.DUMMYFUNCTION("""COMPUTED_VALUE"""),45198.0)</f>
        <v>45198</v>
      </c>
      <c r="V57" s="165"/>
      <c r="W57" s="165"/>
      <c r="X57" s="165" t="str">
        <f>IFERROR(__xludf.DUMMYFUNCTION("""COMPUTED_VALUE"""),"CC-NVI-05.06")</f>
        <v>CC-NVI-05.06</v>
      </c>
      <c r="Y57" s="285" t="str">
        <f>IFERROR(__xludf.DUMMYFUNCTION("""COMPUTED_VALUE"""),"Done")</f>
        <v>Done</v>
      </c>
      <c r="Z57" s="284">
        <f>IFERROR(__xludf.DUMMYFUNCTION("""COMPUTED_VALUE"""),45207.0)</f>
        <v>45207</v>
      </c>
      <c r="AA57" s="165" t="str">
        <f>IFERROR(__xludf.DUMMYFUNCTION("""COMPUTED_VALUE"""),"Naveen")</f>
        <v>Naveen</v>
      </c>
      <c r="AB57" s="165" t="str">
        <f>IFERROR(__xludf.DUMMYFUNCTION("""COMPUTED_VALUE"""),"Benchmarks")</f>
        <v>Benchmarks</v>
      </c>
      <c r="AC57" s="165"/>
      <c r="AD57" s="165"/>
      <c r="AE57" s="165"/>
      <c r="AF57" s="165"/>
      <c r="AG57" s="165"/>
      <c r="AH57" s="165"/>
      <c r="AI57" s="165"/>
      <c r="AJ57" s="165"/>
      <c r="AK57" s="165"/>
      <c r="AL57" s="165"/>
    </row>
    <row r="58">
      <c r="A58" s="165"/>
      <c r="B58" s="165"/>
      <c r="C58" s="165"/>
      <c r="D58" s="165"/>
      <c r="E58" s="292"/>
      <c r="F58" s="277"/>
      <c r="G58" s="165"/>
      <c r="H58" s="277"/>
      <c r="I58" s="277"/>
      <c r="J58" s="165"/>
      <c r="K58" s="165"/>
      <c r="L58" s="165"/>
      <c r="M58" s="165" t="str">
        <f>IFERROR(__xludf.DUMMYFUNCTION("""COMPUTED_VALUE"""),"Shorts")</f>
        <v>Shorts</v>
      </c>
      <c r="N58" s="165" t="str">
        <f>IFERROR(__xludf.DUMMYFUNCTION("""COMPUTED_VALUE"""),"Acer Predator")</f>
        <v>Acer Predator</v>
      </c>
      <c r="O58" s="284">
        <f>IFERROR(__xludf.DUMMYFUNCTION("""COMPUTED_VALUE"""),45229.0)</f>
        <v>45229</v>
      </c>
      <c r="P58" s="165"/>
      <c r="Q58" s="165"/>
      <c r="R58" s="165"/>
      <c r="S58" s="165" t="str">
        <f>IFERROR(__xludf.DUMMYFUNCTION("""COMPUTED_VALUE"""),"Shorts")</f>
        <v>Shorts</v>
      </c>
      <c r="T58" s="165" t="str">
        <f>IFERROR(__xludf.DUMMYFUNCTION("""COMPUTED_VALUE"""),"Acer Predator")</f>
        <v>Acer Predator</v>
      </c>
      <c r="U58" s="284">
        <f>IFERROR(__xludf.DUMMYFUNCTION("""COMPUTED_VALUE"""),45229.0)</f>
        <v>45229</v>
      </c>
      <c r="V58" s="165"/>
      <c r="W58" s="165"/>
      <c r="X58" s="165" t="str">
        <f>IFERROR(__xludf.DUMMYFUNCTION("""COMPUTED_VALUE"""),"CC-NVI-06.06")</f>
        <v>CC-NVI-06.06</v>
      </c>
      <c r="Y58" s="285" t="str">
        <f>IFERROR(__xludf.DUMMYFUNCTION("""COMPUTED_VALUE"""),"Done")</f>
        <v>Done</v>
      </c>
      <c r="Z58" s="284">
        <f>IFERROR(__xludf.DUMMYFUNCTION("""COMPUTED_VALUE"""),45207.0)</f>
        <v>45207</v>
      </c>
      <c r="AA58" s="165" t="str">
        <f>IFERROR(__xludf.DUMMYFUNCTION("""COMPUTED_VALUE"""),"Naveen")</f>
        <v>Naveen</v>
      </c>
      <c r="AB58" s="165" t="str">
        <f>IFERROR(__xludf.DUMMYFUNCTION("""COMPUTED_VALUE"""),"Benchmarks")</f>
        <v>Benchmarks</v>
      </c>
      <c r="AC58" s="165"/>
      <c r="AD58" s="165"/>
      <c r="AE58" s="165"/>
      <c r="AF58" s="165"/>
      <c r="AG58" s="165"/>
      <c r="AH58" s="165"/>
      <c r="AI58" s="165"/>
      <c r="AJ58" s="165"/>
      <c r="AK58" s="165"/>
      <c r="AL58" s="165"/>
    </row>
    <row r="59">
      <c r="A59" s="165"/>
      <c r="B59" s="165"/>
      <c r="C59" s="165"/>
      <c r="D59" s="165"/>
      <c r="E59" s="292"/>
      <c r="F59" s="277"/>
      <c r="G59" s="165"/>
      <c r="H59" s="277"/>
      <c r="I59" s="277"/>
      <c r="J59" s="165"/>
      <c r="K59" s="165"/>
      <c r="L59" s="165"/>
      <c r="M59" s="165" t="str">
        <f>IFERROR(__xludf.DUMMYFUNCTION("""COMPUTED_VALUE"""),"Shorts")</f>
        <v>Shorts</v>
      </c>
      <c r="N59" s="165" t="str">
        <f>IFERROR(__xludf.DUMMYFUNCTION("""COMPUTED_VALUE"""),"Acer Predator Neo")</f>
        <v>Acer Predator Neo</v>
      </c>
      <c r="O59" s="284">
        <f>IFERROR(__xludf.DUMMYFUNCTION("""COMPUTED_VALUE"""),45230.0)</f>
        <v>45230</v>
      </c>
      <c r="P59" s="165"/>
      <c r="Q59" s="165"/>
      <c r="R59" s="165"/>
      <c r="S59" s="165" t="str">
        <f>IFERROR(__xludf.DUMMYFUNCTION("""COMPUTED_VALUE"""),"Shorts")</f>
        <v>Shorts</v>
      </c>
      <c r="T59" s="165" t="str">
        <f>IFERROR(__xludf.DUMMYFUNCTION("""COMPUTED_VALUE"""),"Acer Predator Neo")</f>
        <v>Acer Predator Neo</v>
      </c>
      <c r="U59" s="284">
        <f>IFERROR(__xludf.DUMMYFUNCTION("""COMPUTED_VALUE"""),45230.0)</f>
        <v>45230</v>
      </c>
      <c r="V59" s="165"/>
      <c r="W59" s="165"/>
      <c r="X59" s="165" t="str">
        <f>IFERROR(__xludf.DUMMYFUNCTION("""COMPUTED_VALUE"""),"CC-NVI-08.01")</f>
        <v>CC-NVI-08.01</v>
      </c>
      <c r="Y59" s="285" t="str">
        <f>IFERROR(__xludf.DUMMYFUNCTION("""COMPUTED_VALUE"""),"Done")</f>
        <v>Done</v>
      </c>
      <c r="Z59" s="284">
        <f>IFERROR(__xludf.DUMMYFUNCTION("""COMPUTED_VALUE"""),45207.0)</f>
        <v>45207</v>
      </c>
      <c r="AA59" s="165" t="str">
        <f>IFERROR(__xludf.DUMMYFUNCTION("""COMPUTED_VALUE"""),"Freelancer")</f>
        <v>Freelancer</v>
      </c>
      <c r="AB59" s="165" t="str">
        <f>IFERROR(__xludf.DUMMYFUNCTION("""COMPUTED_VALUE"""),"Script")</f>
        <v>Script</v>
      </c>
      <c r="AC59" s="165"/>
      <c r="AD59" s="165"/>
      <c r="AE59" s="165"/>
      <c r="AF59" s="165"/>
      <c r="AG59" s="165"/>
      <c r="AH59" s="165"/>
      <c r="AI59" s="165"/>
      <c r="AJ59" s="165"/>
      <c r="AK59" s="165"/>
      <c r="AL59" s="165"/>
    </row>
    <row r="60">
      <c r="A60" s="165"/>
      <c r="B60" s="165"/>
      <c r="C60" s="165"/>
      <c r="D60" s="165"/>
      <c r="E60" s="292"/>
      <c r="F60" s="277"/>
      <c r="G60" s="165"/>
      <c r="H60" s="277"/>
      <c r="I60" s="277"/>
      <c r="J60" s="165"/>
      <c r="K60" s="165"/>
      <c r="L60" s="165"/>
      <c r="M60" s="165" t="str">
        <f>IFERROR(__xludf.DUMMYFUNCTION("""COMPUTED_VALUE"""),"Shorts")</f>
        <v>Shorts</v>
      </c>
      <c r="N60" s="165" t="str">
        <f>IFERROR(__xludf.DUMMYFUNCTION("""COMPUTED_VALUE"""),"HP Victus 15-FA1124TX")</f>
        <v>HP Victus 15-FA1124TX</v>
      </c>
      <c r="O60" s="284">
        <f>IFERROR(__xludf.DUMMYFUNCTION("""COMPUTED_VALUE"""),45230.0)</f>
        <v>45230</v>
      </c>
      <c r="P60" s="165"/>
      <c r="Q60" s="165"/>
      <c r="R60" s="165"/>
      <c r="S60" s="165" t="str">
        <f>IFERROR(__xludf.DUMMYFUNCTION("""COMPUTED_VALUE"""),"Shorts")</f>
        <v>Shorts</v>
      </c>
      <c r="T60" s="165" t="str">
        <f>IFERROR(__xludf.DUMMYFUNCTION("""COMPUTED_VALUE"""),"HP Victus 15-FA1124TX")</f>
        <v>HP Victus 15-FA1124TX</v>
      </c>
      <c r="U60" s="284">
        <f>IFERROR(__xludf.DUMMYFUNCTION("""COMPUTED_VALUE"""),45230.0)</f>
        <v>45230</v>
      </c>
      <c r="V60" s="165"/>
      <c r="W60" s="165"/>
      <c r="X60" s="165" t="str">
        <f>IFERROR(__xludf.DUMMYFUNCTION("""COMPUTED_VALUE"""),"CC-NVI-08.04")</f>
        <v>CC-NVI-08.04</v>
      </c>
      <c r="Y60" s="285" t="str">
        <f>IFERROR(__xludf.DUMMYFUNCTION("""COMPUTED_VALUE"""),"Done")</f>
        <v>Done</v>
      </c>
      <c r="Z60" s="284">
        <f>IFERROR(__xludf.DUMMYFUNCTION("""COMPUTED_VALUE"""),45207.0)</f>
        <v>45207</v>
      </c>
      <c r="AA60" s="165" t="str">
        <f>IFERROR(__xludf.DUMMYFUNCTION("""COMPUTED_VALUE"""),"Naveen")</f>
        <v>Naveen</v>
      </c>
      <c r="AB60" s="165" t="str">
        <f>IFERROR(__xludf.DUMMYFUNCTION("""COMPUTED_VALUE"""),"Project Files")</f>
        <v>Project Files</v>
      </c>
      <c r="AC60" s="165"/>
      <c r="AD60" s="165"/>
      <c r="AE60" s="165"/>
      <c r="AF60" s="165"/>
      <c r="AG60" s="165"/>
      <c r="AH60" s="165"/>
      <c r="AI60" s="165"/>
      <c r="AJ60" s="165"/>
      <c r="AK60" s="165"/>
      <c r="AL60" s="165"/>
    </row>
    <row r="61">
      <c r="A61" s="165"/>
      <c r="B61" s="165"/>
      <c r="C61" s="165"/>
      <c r="D61" s="165"/>
      <c r="E61" s="292"/>
      <c r="F61" s="277"/>
      <c r="G61" s="165"/>
      <c r="H61" s="277"/>
      <c r="I61" s="277"/>
      <c r="J61" s="165"/>
      <c r="K61" s="165"/>
      <c r="L61" s="165"/>
      <c r="M61" s="165" t="str">
        <f>IFERROR(__xludf.DUMMYFUNCTION("""COMPUTED_VALUE"""),"Shorts")</f>
        <v>Shorts</v>
      </c>
      <c r="N61" s="165" t="str">
        <f>IFERROR(__xludf.DUMMYFUNCTION("""COMPUTED_VALUE"""),"Lenovo Legion | RTX 4060")</f>
        <v>Lenovo Legion | RTX 4060</v>
      </c>
      <c r="O61" s="284">
        <f>IFERROR(__xludf.DUMMYFUNCTION("""COMPUTED_VALUE"""),45230.0)</f>
        <v>45230</v>
      </c>
      <c r="P61" s="165"/>
      <c r="Q61" s="165"/>
      <c r="R61" s="165"/>
      <c r="S61" s="165" t="str">
        <f>IFERROR(__xludf.DUMMYFUNCTION("""COMPUTED_VALUE"""),"Shorts")</f>
        <v>Shorts</v>
      </c>
      <c r="T61" s="165" t="str">
        <f>IFERROR(__xludf.DUMMYFUNCTION("""COMPUTED_VALUE"""),"Lenovo Legion | RTX 4060")</f>
        <v>Lenovo Legion | RTX 4060</v>
      </c>
      <c r="U61" s="284">
        <f>IFERROR(__xludf.DUMMYFUNCTION("""COMPUTED_VALUE"""),45230.0)</f>
        <v>45230</v>
      </c>
      <c r="V61" s="165"/>
      <c r="W61" s="165"/>
      <c r="X61" s="165" t="str">
        <f>IFERROR(__xludf.DUMMYFUNCTION("""COMPUTED_VALUE"""),"CC-NVI-07.04")</f>
        <v>CC-NVI-07.04</v>
      </c>
      <c r="Y61" s="285" t="str">
        <f>IFERROR(__xludf.DUMMYFUNCTION("""COMPUTED_VALUE"""),"Done")</f>
        <v>Done</v>
      </c>
      <c r="Z61" s="284">
        <f>IFERROR(__xludf.DUMMYFUNCTION("""COMPUTED_VALUE"""),45207.0)</f>
        <v>45207</v>
      </c>
      <c r="AA61" s="165" t="str">
        <f>IFERROR(__xludf.DUMMYFUNCTION("""COMPUTED_VALUE"""),"Naveen")</f>
        <v>Naveen</v>
      </c>
      <c r="AB61" s="165" t="str">
        <f>IFERROR(__xludf.DUMMYFUNCTION("""COMPUTED_VALUE"""),"Project Files")</f>
        <v>Project Files</v>
      </c>
      <c r="AC61" s="165"/>
      <c r="AD61" s="165"/>
      <c r="AE61" s="165"/>
      <c r="AF61" s="165"/>
      <c r="AG61" s="165"/>
      <c r="AH61" s="165"/>
      <c r="AI61" s="165"/>
      <c r="AJ61" s="165"/>
      <c r="AK61" s="165"/>
      <c r="AL61" s="165"/>
    </row>
    <row r="62">
      <c r="A62" s="165"/>
      <c r="B62" s="165"/>
      <c r="C62" s="165"/>
      <c r="D62" s="165"/>
      <c r="E62" s="292"/>
      <c r="F62" s="277"/>
      <c r="G62" s="165"/>
      <c r="H62" s="277"/>
      <c r="I62" s="277"/>
      <c r="J62" s="165"/>
      <c r="K62" s="165"/>
      <c r="L62" s="165"/>
      <c r="M62" s="165" t="str">
        <f>IFERROR(__xludf.DUMMYFUNCTION("""COMPUTED_VALUE"""),"Shorts")</f>
        <v>Shorts</v>
      </c>
      <c r="N62" s="165" t="str">
        <f>IFERROR(__xludf.DUMMYFUNCTION("""COMPUTED_VALUE"""),"Acer Nitro V")</f>
        <v>Acer Nitro V</v>
      </c>
      <c r="O62" s="284">
        <f>IFERROR(__xludf.DUMMYFUNCTION("""COMPUTED_VALUE"""),45229.0)</f>
        <v>45229</v>
      </c>
      <c r="P62" s="165"/>
      <c r="Q62" s="165"/>
      <c r="R62" s="165"/>
      <c r="S62" s="165" t="str">
        <f>IFERROR(__xludf.DUMMYFUNCTION("""COMPUTED_VALUE"""),"Shorts")</f>
        <v>Shorts</v>
      </c>
      <c r="T62" s="165" t="str">
        <f>IFERROR(__xludf.DUMMYFUNCTION("""COMPUTED_VALUE"""),"Acer Nitro V")</f>
        <v>Acer Nitro V</v>
      </c>
      <c r="U62" s="284">
        <f>IFERROR(__xludf.DUMMYFUNCTION("""COMPUTED_VALUE"""),45229.0)</f>
        <v>45229</v>
      </c>
      <c r="V62" s="165"/>
      <c r="W62" s="165"/>
      <c r="X62" s="165" t="str">
        <f>IFERROR(__xludf.DUMMYFUNCTION("""COMPUTED_VALUE"""),"CC-NVI-10.01")</f>
        <v>CC-NVI-10.01</v>
      </c>
      <c r="Y62" s="285" t="str">
        <f>IFERROR(__xludf.DUMMYFUNCTION("""COMPUTED_VALUE"""),"Done")</f>
        <v>Done</v>
      </c>
      <c r="Z62" s="284">
        <f>IFERROR(__xludf.DUMMYFUNCTION("""COMPUTED_VALUE"""),45207.0)</f>
        <v>45207</v>
      </c>
      <c r="AA62" s="165" t="str">
        <f>IFERROR(__xludf.DUMMYFUNCTION("""COMPUTED_VALUE"""),"Freelancer")</f>
        <v>Freelancer</v>
      </c>
      <c r="AB62" s="165" t="str">
        <f>IFERROR(__xludf.DUMMYFUNCTION("""COMPUTED_VALUE"""),"Script")</f>
        <v>Script</v>
      </c>
      <c r="AC62" s="165"/>
      <c r="AD62" s="165"/>
      <c r="AE62" s="165"/>
      <c r="AF62" s="165"/>
      <c r="AG62" s="165"/>
      <c r="AH62" s="165"/>
      <c r="AI62" s="165"/>
      <c r="AJ62" s="165"/>
      <c r="AK62" s="165"/>
      <c r="AL62" s="165"/>
    </row>
    <row r="63">
      <c r="A63" s="165"/>
      <c r="B63" s="165"/>
      <c r="C63" s="165"/>
      <c r="D63" s="165"/>
      <c r="E63" s="292"/>
      <c r="F63" s="277"/>
      <c r="G63" s="165"/>
      <c r="H63" s="277"/>
      <c r="I63" s="277"/>
      <c r="J63" s="165"/>
      <c r="K63" s="165"/>
      <c r="L63" s="165"/>
      <c r="M63" s="165" t="str">
        <f>IFERROR(__xludf.DUMMYFUNCTION("""COMPUTED_VALUE"""),"Shorts")</f>
        <v>Shorts</v>
      </c>
      <c r="N63" s="165" t="str">
        <f>IFERROR(__xludf.DUMMYFUNCTION("""COMPUTED_VALUE"""),"HP Victus 15-FA0555TX")</f>
        <v>HP Victus 15-FA0555TX</v>
      </c>
      <c r="O63" s="284">
        <f>IFERROR(__xludf.DUMMYFUNCTION("""COMPUTED_VALUE"""),45230.0)</f>
        <v>45230</v>
      </c>
      <c r="P63" s="165"/>
      <c r="Q63" s="165"/>
      <c r="R63" s="165"/>
      <c r="S63" s="165" t="str">
        <f>IFERROR(__xludf.DUMMYFUNCTION("""COMPUTED_VALUE"""),"Shorts")</f>
        <v>Shorts</v>
      </c>
      <c r="T63" s="165" t="str">
        <f>IFERROR(__xludf.DUMMYFUNCTION("""COMPUTED_VALUE"""),"HP Victus 15-FA0555TX")</f>
        <v>HP Victus 15-FA0555TX</v>
      </c>
      <c r="U63" s="284">
        <f>IFERROR(__xludf.DUMMYFUNCTION("""COMPUTED_VALUE"""),45230.0)</f>
        <v>45230</v>
      </c>
      <c r="V63" s="165"/>
      <c r="W63" s="165"/>
      <c r="X63" s="165" t="str">
        <f>IFERROR(__xludf.DUMMYFUNCTION("""COMPUTED_VALUE"""),"CC-NVI-10.04")</f>
        <v>CC-NVI-10.04</v>
      </c>
      <c r="Y63" s="285" t="str">
        <f>IFERROR(__xludf.DUMMYFUNCTION("""COMPUTED_VALUE"""),"Done")</f>
        <v>Done</v>
      </c>
      <c r="Z63" s="284">
        <f>IFERROR(__xludf.DUMMYFUNCTION("""COMPUTED_VALUE"""),45207.0)</f>
        <v>45207</v>
      </c>
      <c r="AA63" s="165" t="str">
        <f>IFERROR(__xludf.DUMMYFUNCTION("""COMPUTED_VALUE"""),"Naveen")</f>
        <v>Naveen</v>
      </c>
      <c r="AB63" s="165" t="str">
        <f>IFERROR(__xludf.DUMMYFUNCTION("""COMPUTED_VALUE"""),"Benchmarks")</f>
        <v>Benchmarks</v>
      </c>
      <c r="AC63" s="165"/>
      <c r="AD63" s="165"/>
      <c r="AE63" s="165"/>
      <c r="AF63" s="165"/>
      <c r="AG63" s="165"/>
      <c r="AH63" s="165"/>
      <c r="AI63" s="165"/>
      <c r="AJ63" s="165"/>
      <c r="AK63" s="165"/>
      <c r="AL63" s="165"/>
    </row>
    <row r="64">
      <c r="A64" s="165"/>
      <c r="B64" s="165"/>
      <c r="C64" s="165"/>
      <c r="D64" s="165"/>
      <c r="E64" s="292"/>
      <c r="F64" s="277"/>
      <c r="G64" s="165"/>
      <c r="H64" s="277"/>
      <c r="I64" s="277"/>
      <c r="J64" s="165"/>
      <c r="K64" s="165"/>
      <c r="L64" s="165"/>
      <c r="M64" s="165" t="str">
        <f>IFERROR(__xludf.DUMMYFUNCTION("""COMPUTED_VALUE"""),"Shorts")</f>
        <v>Shorts</v>
      </c>
      <c r="N64" s="165" t="str">
        <f>IFERROR(__xludf.DUMMYFUNCTION("""COMPUTED_VALUE"""),"HP Omen 16-XF0060AX")</f>
        <v>HP Omen 16-XF0060AX</v>
      </c>
      <c r="O64" s="284">
        <f>IFERROR(__xludf.DUMMYFUNCTION("""COMPUTED_VALUE"""),45231.0)</f>
        <v>45231</v>
      </c>
      <c r="P64" s="165"/>
      <c r="Q64" s="165"/>
      <c r="R64" s="165"/>
      <c r="S64" s="165" t="str">
        <f>IFERROR(__xludf.DUMMYFUNCTION("""COMPUTED_VALUE"""),"Shorts")</f>
        <v>Shorts</v>
      </c>
      <c r="T64" s="165" t="str">
        <f>IFERROR(__xludf.DUMMYFUNCTION("""COMPUTED_VALUE"""),"HP Omen 16-XF0060AX")</f>
        <v>HP Omen 16-XF0060AX</v>
      </c>
      <c r="U64" s="284">
        <f>IFERROR(__xludf.DUMMYFUNCTION("""COMPUTED_VALUE"""),45231.0)</f>
        <v>45231</v>
      </c>
      <c r="V64" s="165"/>
      <c r="W64" s="165"/>
      <c r="X64" s="165" t="str">
        <f>IFERROR(__xludf.DUMMYFUNCTION("""COMPUTED_VALUE"""),"CC-NVI-11.01")</f>
        <v>CC-NVI-11.01</v>
      </c>
      <c r="Y64" s="285" t="str">
        <f>IFERROR(__xludf.DUMMYFUNCTION("""COMPUTED_VALUE"""),"Done")</f>
        <v>Done</v>
      </c>
      <c r="Z64" s="284">
        <f>IFERROR(__xludf.DUMMYFUNCTION("""COMPUTED_VALUE"""),45207.0)</f>
        <v>45207</v>
      </c>
      <c r="AA64" s="165" t="str">
        <f>IFERROR(__xludf.DUMMYFUNCTION("""COMPUTED_VALUE"""),"Freelancer")</f>
        <v>Freelancer</v>
      </c>
      <c r="AB64" s="165" t="str">
        <f>IFERROR(__xludf.DUMMYFUNCTION("""COMPUTED_VALUE"""),"Script")</f>
        <v>Script</v>
      </c>
      <c r="AC64" s="165"/>
      <c r="AD64" s="165"/>
      <c r="AE64" s="165"/>
      <c r="AF64" s="165"/>
      <c r="AG64" s="165"/>
      <c r="AH64" s="165"/>
      <c r="AI64" s="165"/>
      <c r="AJ64" s="165"/>
      <c r="AK64" s="165"/>
      <c r="AL64" s="165"/>
    </row>
    <row r="65">
      <c r="A65" s="165"/>
      <c r="B65" s="165"/>
      <c r="C65" s="165"/>
      <c r="D65" s="165"/>
      <c r="E65" s="292"/>
      <c r="F65" s="277"/>
      <c r="G65" s="165"/>
      <c r="H65" s="277"/>
      <c r="I65" s="277"/>
      <c r="J65" s="165"/>
      <c r="K65" s="165"/>
      <c r="L65" s="165"/>
      <c r="M65" s="165" t="str">
        <f>IFERROR(__xludf.DUMMYFUNCTION("""COMPUTED_VALUE"""),"Shorts")</f>
        <v>Shorts</v>
      </c>
      <c r="N65" s="165" t="str">
        <f>IFERROR(__xludf.DUMMYFUNCTION("""COMPUTED_VALUE"""),"MSI Laptop 1")</f>
        <v>MSI Laptop 1</v>
      </c>
      <c r="O65" s="284">
        <f>IFERROR(__xludf.DUMMYFUNCTION("""COMPUTED_VALUE"""),45242.0)</f>
        <v>45242</v>
      </c>
      <c r="P65" s="165"/>
      <c r="Q65" s="165"/>
      <c r="R65" s="165"/>
      <c r="S65" s="165" t="str">
        <f>IFERROR(__xludf.DUMMYFUNCTION("""COMPUTED_VALUE"""),"Shorts")</f>
        <v>Shorts</v>
      </c>
      <c r="T65" s="165" t="str">
        <f>IFERROR(__xludf.DUMMYFUNCTION("""COMPUTED_VALUE"""),"MSI Laptop 1")</f>
        <v>MSI Laptop 1</v>
      </c>
      <c r="U65" s="284">
        <f>IFERROR(__xludf.DUMMYFUNCTION("""COMPUTED_VALUE"""),45242.0)</f>
        <v>45242</v>
      </c>
      <c r="V65" s="165"/>
      <c r="W65" s="165"/>
      <c r="X65" s="165" t="str">
        <f>IFERROR(__xludf.DUMMYFUNCTION("""COMPUTED_VALUE"""),"CC-NVI-04.05")</f>
        <v>CC-NVI-04.05</v>
      </c>
      <c r="Y65" s="285" t="str">
        <f>IFERROR(__xludf.DUMMYFUNCTION("""COMPUTED_VALUE"""),"Done")</f>
        <v>Done</v>
      </c>
      <c r="Z65" s="284">
        <f>IFERROR(__xludf.DUMMYFUNCTION("""COMPUTED_VALUE"""),45208.0)</f>
        <v>45208</v>
      </c>
      <c r="AA65" s="165" t="str">
        <f>IFERROR(__xludf.DUMMYFUNCTION("""COMPUTED_VALUE"""),"Naveen")</f>
        <v>Naveen</v>
      </c>
      <c r="AB65" s="165" t="str">
        <f>IFERROR(__xludf.DUMMYFUNCTION("""COMPUTED_VALUE"""),"Project Files")</f>
        <v>Project Files</v>
      </c>
      <c r="AC65" s="165"/>
      <c r="AD65" s="165"/>
      <c r="AE65" s="165"/>
      <c r="AF65" s="165"/>
      <c r="AG65" s="165"/>
      <c r="AH65" s="165"/>
      <c r="AI65" s="165"/>
      <c r="AJ65" s="165"/>
      <c r="AK65" s="165"/>
      <c r="AL65" s="165"/>
    </row>
    <row r="66">
      <c r="A66" s="165"/>
      <c r="B66" s="165"/>
      <c r="C66" s="165"/>
      <c r="D66" s="165"/>
      <c r="E66" s="292"/>
      <c r="F66" s="277"/>
      <c r="G66" s="165"/>
      <c r="H66" s="277"/>
      <c r="I66" s="277"/>
      <c r="J66" s="165"/>
      <c r="K66" s="165"/>
      <c r="L66" s="165"/>
      <c r="M66" s="165" t="str">
        <f>IFERROR(__xludf.DUMMYFUNCTION("""COMPUTED_VALUE"""),"Shorts")</f>
        <v>Shorts</v>
      </c>
      <c r="N66" s="165" t="str">
        <f>IFERROR(__xludf.DUMMYFUNCTION("""COMPUTED_VALUE"""),"MSI Laptop 2")</f>
        <v>MSI Laptop 2</v>
      </c>
      <c r="O66" s="284">
        <f>IFERROR(__xludf.DUMMYFUNCTION("""COMPUTED_VALUE"""),45242.0)</f>
        <v>45242</v>
      </c>
      <c r="P66" s="165"/>
      <c r="Q66" s="165"/>
      <c r="R66" s="165"/>
      <c r="S66" s="165" t="str">
        <f>IFERROR(__xludf.DUMMYFUNCTION("""COMPUTED_VALUE"""),"Shorts")</f>
        <v>Shorts</v>
      </c>
      <c r="T66" s="165" t="str">
        <f>IFERROR(__xludf.DUMMYFUNCTION("""COMPUTED_VALUE"""),"MSI Laptop 2")</f>
        <v>MSI Laptop 2</v>
      </c>
      <c r="U66" s="284">
        <f>IFERROR(__xludf.DUMMYFUNCTION("""COMPUTED_VALUE"""),45242.0)</f>
        <v>45242</v>
      </c>
      <c r="V66" s="165"/>
      <c r="W66" s="165"/>
      <c r="X66" s="165" t="str">
        <f>IFERROR(__xludf.DUMMYFUNCTION("""COMPUTED_VALUE"""),"CC-NVI-10.05")</f>
        <v>CC-NVI-10.05</v>
      </c>
      <c r="Y66" s="285" t="str">
        <f>IFERROR(__xludf.DUMMYFUNCTION("""COMPUTED_VALUE"""),"Done")</f>
        <v>Done</v>
      </c>
      <c r="Z66" s="284">
        <f>IFERROR(__xludf.DUMMYFUNCTION("""COMPUTED_VALUE"""),45208.0)</f>
        <v>45208</v>
      </c>
      <c r="AA66" s="165" t="str">
        <f>IFERROR(__xludf.DUMMYFUNCTION("""COMPUTED_VALUE"""),"Freelancer")</f>
        <v>Freelancer</v>
      </c>
      <c r="AB66" s="165" t="str">
        <f>IFERROR(__xludf.DUMMYFUNCTION("""COMPUTED_VALUE"""),"Edit")</f>
        <v>Edit</v>
      </c>
      <c r="AC66" s="165"/>
      <c r="AD66" s="165"/>
      <c r="AE66" s="165"/>
      <c r="AF66" s="165"/>
      <c r="AG66" s="165"/>
      <c r="AH66" s="165"/>
      <c r="AI66" s="165"/>
      <c r="AJ66" s="165"/>
      <c r="AK66" s="165"/>
      <c r="AL66" s="165"/>
    </row>
    <row r="67">
      <c r="A67" s="165"/>
      <c r="B67" s="165"/>
      <c r="C67" s="165"/>
      <c r="D67" s="165"/>
      <c r="E67" s="292"/>
      <c r="F67" s="277"/>
      <c r="G67" s="165"/>
      <c r="H67" s="277"/>
      <c r="I67" s="277"/>
      <c r="J67" s="165"/>
      <c r="K67" s="165"/>
      <c r="L67" s="165"/>
      <c r="M67" s="165" t="str">
        <f>IFERROR(__xludf.DUMMYFUNCTION("""COMPUTED_VALUE"""),"Shorts")</f>
        <v>Shorts</v>
      </c>
      <c r="N67" s="165" t="str">
        <f>IFERROR(__xludf.DUMMYFUNCTION("""COMPUTED_VALUE"""),"RTX 4090 Vulcan - Build Reel")</f>
        <v>RTX 4090 Vulcan - Build Reel</v>
      </c>
      <c r="O67" s="284">
        <f>IFERROR(__xludf.DUMMYFUNCTION("""COMPUTED_VALUE"""),45238.0)</f>
        <v>45238</v>
      </c>
      <c r="P67" s="165"/>
      <c r="Q67" s="165"/>
      <c r="R67" s="165"/>
      <c r="S67" s="165" t="str">
        <f>IFERROR(__xludf.DUMMYFUNCTION("""COMPUTED_VALUE"""),"Shorts")</f>
        <v>Shorts</v>
      </c>
      <c r="T67" s="165" t="str">
        <f>IFERROR(__xludf.DUMMYFUNCTION("""COMPUTED_VALUE"""),"RTX 4090 Vulcan - Build Reel")</f>
        <v>RTX 4090 Vulcan - Build Reel</v>
      </c>
      <c r="U67" s="284">
        <f>IFERROR(__xludf.DUMMYFUNCTION("""COMPUTED_VALUE"""),45238.0)</f>
        <v>45238</v>
      </c>
      <c r="V67" s="165"/>
      <c r="W67" s="165"/>
      <c r="X67" s="165" t="str">
        <f>IFERROR(__xludf.DUMMYFUNCTION("""COMPUTED_VALUE"""),"CC-NVI-11.04")</f>
        <v>CC-NVI-11.04</v>
      </c>
      <c r="Y67" s="285" t="str">
        <f>IFERROR(__xludf.DUMMYFUNCTION("""COMPUTED_VALUE"""),"Done")</f>
        <v>Done</v>
      </c>
      <c r="Z67" s="284">
        <f>IFERROR(__xludf.DUMMYFUNCTION("""COMPUTED_VALUE"""),45208.0)</f>
        <v>45208</v>
      </c>
      <c r="AA67" s="165" t="str">
        <f>IFERROR(__xludf.DUMMYFUNCTION("""COMPUTED_VALUE"""),"Naveen")</f>
        <v>Naveen</v>
      </c>
      <c r="AB67" s="165" t="str">
        <f>IFERROR(__xludf.DUMMYFUNCTION("""COMPUTED_VALUE"""),"Benchmarks")</f>
        <v>Benchmarks</v>
      </c>
      <c r="AC67" s="165"/>
      <c r="AD67" s="165"/>
      <c r="AE67" s="165"/>
      <c r="AF67" s="165"/>
      <c r="AG67" s="165"/>
      <c r="AH67" s="165"/>
      <c r="AI67" s="165"/>
      <c r="AJ67" s="165"/>
      <c r="AK67" s="165"/>
      <c r="AL67" s="165"/>
    </row>
    <row r="68">
      <c r="A68" s="165"/>
      <c r="B68" s="165"/>
      <c r="C68" s="165"/>
      <c r="D68" s="165"/>
      <c r="E68" s="292"/>
      <c r="F68" s="277"/>
      <c r="G68" s="165"/>
      <c r="H68" s="277"/>
      <c r="I68" s="277"/>
      <c r="J68" s="165"/>
      <c r="K68" s="165"/>
      <c r="L68" s="165"/>
      <c r="M68" s="165" t="str">
        <f>IFERROR(__xludf.DUMMYFUNCTION("""COMPUTED_VALUE"""),"Shorts")</f>
        <v>Shorts</v>
      </c>
      <c r="N68" s="165" t="str">
        <f>IFERROR(__xludf.DUMMYFUNCTION("""COMPUTED_VALUE"""),"STEM Studies")</f>
        <v>STEM Studies</v>
      </c>
      <c r="O68" s="284">
        <f>IFERROR(__xludf.DUMMYFUNCTION("""COMPUTED_VALUE"""),45239.0)</f>
        <v>45239</v>
      </c>
      <c r="P68" s="165"/>
      <c r="Q68" s="165"/>
      <c r="R68" s="165"/>
      <c r="S68" s="165" t="str">
        <f>IFERROR(__xludf.DUMMYFUNCTION("""COMPUTED_VALUE"""),"Shorts")</f>
        <v>Shorts</v>
      </c>
      <c r="T68" s="165" t="str">
        <f>IFERROR(__xludf.DUMMYFUNCTION("""COMPUTED_VALUE"""),"STEM Studies")</f>
        <v>STEM Studies</v>
      </c>
      <c r="U68" s="284">
        <f>IFERROR(__xludf.DUMMYFUNCTION("""COMPUTED_VALUE"""),45239.0)</f>
        <v>45239</v>
      </c>
      <c r="V68" s="165"/>
      <c r="W68" s="165"/>
      <c r="X68" s="165" t="str">
        <f>IFERROR(__xludf.DUMMYFUNCTION("""COMPUTED_VALUE"""),"CC-NVI-08.07")</f>
        <v>CC-NVI-08.07</v>
      </c>
      <c r="Y68" s="285" t="str">
        <f>IFERROR(__xludf.DUMMYFUNCTION("""COMPUTED_VALUE"""),"Done")</f>
        <v>Done</v>
      </c>
      <c r="Z68" s="284">
        <f>IFERROR(__xludf.DUMMYFUNCTION("""COMPUTED_VALUE"""),45209.0)</f>
        <v>45209</v>
      </c>
      <c r="AA68" s="165" t="str">
        <f>IFERROR(__xludf.DUMMYFUNCTION("""COMPUTED_VALUE"""),"Naveen")</f>
        <v>Naveen</v>
      </c>
      <c r="AB68" s="165" t="str">
        <f>IFERROR(__xludf.DUMMYFUNCTION("""COMPUTED_VALUE"""),"Benchmarks")</f>
        <v>Benchmarks</v>
      </c>
      <c r="AC68" s="165"/>
      <c r="AD68" s="165"/>
      <c r="AE68" s="165"/>
      <c r="AF68" s="165"/>
      <c r="AG68" s="165"/>
      <c r="AH68" s="165"/>
      <c r="AI68" s="165"/>
      <c r="AJ68" s="165"/>
      <c r="AK68" s="165"/>
      <c r="AL68" s="165"/>
    </row>
    <row r="69">
      <c r="A69" s="165"/>
      <c r="B69" s="165"/>
      <c r="C69" s="165"/>
      <c r="D69" s="165"/>
      <c r="E69" s="292"/>
      <c r="F69" s="277"/>
      <c r="G69" s="165"/>
      <c r="H69" s="277"/>
      <c r="I69" s="277"/>
      <c r="J69" s="165"/>
      <c r="K69" s="165"/>
      <c r="L69" s="165"/>
      <c r="M69" s="165" t="str">
        <f>IFERROR(__xludf.DUMMYFUNCTION("""COMPUTED_VALUE"""),"Shorts")</f>
        <v>Shorts</v>
      </c>
      <c r="N69" s="165" t="str">
        <f>IFERROR(__xludf.DUMMYFUNCTION("""COMPUTED_VALUE"""),"iGame Center Introduction")</f>
        <v>iGame Center Introduction</v>
      </c>
      <c r="O69" s="284">
        <f>IFERROR(__xludf.DUMMYFUNCTION("""COMPUTED_VALUE"""),45241.0)</f>
        <v>45241</v>
      </c>
      <c r="P69" s="165"/>
      <c r="Q69" s="165"/>
      <c r="R69" s="165"/>
      <c r="S69" s="165" t="str">
        <f>IFERROR(__xludf.DUMMYFUNCTION("""COMPUTED_VALUE"""),"Shorts")</f>
        <v>Shorts</v>
      </c>
      <c r="T69" s="165" t="str">
        <f>IFERROR(__xludf.DUMMYFUNCTION("""COMPUTED_VALUE"""),"iGame Center Introduction")</f>
        <v>iGame Center Introduction</v>
      </c>
      <c r="U69" s="284">
        <f>IFERROR(__xludf.DUMMYFUNCTION("""COMPUTED_VALUE"""),45241.0)</f>
        <v>45241</v>
      </c>
      <c r="V69" s="165"/>
      <c r="W69" s="165"/>
      <c r="X69" s="165" t="str">
        <f>IFERROR(__xludf.DUMMYFUNCTION("""COMPUTED_VALUE"""),"CC-NVI-07.06")</f>
        <v>CC-NVI-07.06</v>
      </c>
      <c r="Y69" s="285" t="str">
        <f>IFERROR(__xludf.DUMMYFUNCTION("""COMPUTED_VALUE"""),"Done")</f>
        <v>Done</v>
      </c>
      <c r="Z69" s="284">
        <f>IFERROR(__xludf.DUMMYFUNCTION("""COMPUTED_VALUE"""),45209.0)</f>
        <v>45209</v>
      </c>
      <c r="AA69" s="165" t="str">
        <f>IFERROR(__xludf.DUMMYFUNCTION("""COMPUTED_VALUE"""),"Nasser")</f>
        <v>Nasser</v>
      </c>
      <c r="AB69" s="165" t="str">
        <f>IFERROR(__xludf.DUMMYFUNCTION("""COMPUTED_VALUE"""),"Voice Over")</f>
        <v>Voice Over</v>
      </c>
      <c r="AC69" s="165"/>
      <c r="AD69" s="165"/>
      <c r="AE69" s="165"/>
      <c r="AF69" s="165"/>
      <c r="AG69" s="165"/>
      <c r="AH69" s="165"/>
      <c r="AI69" s="165"/>
      <c r="AJ69" s="165"/>
      <c r="AK69" s="165"/>
      <c r="AL69" s="165"/>
    </row>
    <row r="70">
      <c r="A70" s="165"/>
      <c r="B70" s="165"/>
      <c r="C70" s="165"/>
      <c r="D70" s="165"/>
      <c r="E70" s="292"/>
      <c r="F70" s="277"/>
      <c r="G70" s="165"/>
      <c r="H70" s="277"/>
      <c r="I70" s="277"/>
      <c r="J70" s="165"/>
      <c r="K70" s="165"/>
      <c r="L70" s="165"/>
      <c r="M70" s="165" t="str">
        <f>IFERROR(__xludf.DUMMYFUNCTION("""COMPUTED_VALUE"""),"Insta")</f>
        <v>Insta</v>
      </c>
      <c r="N70" s="165" t="str">
        <f>IFERROR(__xludf.DUMMYFUNCTION("""COMPUTED_VALUE"""),"Diwali Post")</f>
        <v>Diwali Post</v>
      </c>
      <c r="O70" s="284">
        <f>IFERROR(__xludf.DUMMYFUNCTION("""COMPUTED_VALUE"""),45242.0)</f>
        <v>45242</v>
      </c>
      <c r="P70" s="165"/>
      <c r="Q70" s="165"/>
      <c r="R70" s="165"/>
      <c r="S70" s="165" t="str">
        <f>IFERROR(__xludf.DUMMYFUNCTION("""COMPUTED_VALUE"""),"Insta")</f>
        <v>Insta</v>
      </c>
      <c r="T70" s="165" t="str">
        <f>IFERROR(__xludf.DUMMYFUNCTION("""COMPUTED_VALUE"""),"Diwali Post")</f>
        <v>Diwali Post</v>
      </c>
      <c r="U70" s="284">
        <f>IFERROR(__xludf.DUMMYFUNCTION("""COMPUTED_VALUE"""),45242.0)</f>
        <v>45242</v>
      </c>
      <c r="V70" s="165"/>
      <c r="W70" s="165"/>
      <c r="X70" s="165" t="str">
        <f>IFERROR(__xludf.DUMMYFUNCTION("""COMPUTED_VALUE"""),"CC-NVI-10.06")</f>
        <v>CC-NVI-10.06</v>
      </c>
      <c r="Y70" s="285" t="str">
        <f>IFERROR(__xludf.DUMMYFUNCTION("""COMPUTED_VALUE"""),"Done")</f>
        <v>Done</v>
      </c>
      <c r="Z70" s="284">
        <f>IFERROR(__xludf.DUMMYFUNCTION("""COMPUTED_VALUE"""),45209.0)</f>
        <v>45209</v>
      </c>
      <c r="AA70" s="165" t="str">
        <f>IFERROR(__xludf.DUMMYFUNCTION("""COMPUTED_VALUE"""),"Nasser")</f>
        <v>Nasser</v>
      </c>
      <c r="AB70" s="165" t="str">
        <f>IFERROR(__xludf.DUMMYFUNCTION("""COMPUTED_VALUE"""),"VoiceOver ")</f>
        <v>VoiceOver </v>
      </c>
      <c r="AC70" s="165"/>
      <c r="AD70" s="165"/>
      <c r="AE70" s="165"/>
      <c r="AF70" s="165"/>
      <c r="AG70" s="165"/>
      <c r="AH70" s="165"/>
      <c r="AI70" s="165"/>
      <c r="AJ70" s="165"/>
      <c r="AK70" s="165"/>
      <c r="AL70" s="165"/>
    </row>
    <row r="71">
      <c r="A71" s="165"/>
      <c r="B71" s="165"/>
      <c r="C71" s="165"/>
      <c r="D71" s="165"/>
      <c r="E71" s="292"/>
      <c r="F71" s="277"/>
      <c r="G71" s="165"/>
      <c r="H71" s="277"/>
      <c r="I71" s="277"/>
      <c r="J71" s="165"/>
      <c r="K71" s="165"/>
      <c r="L71" s="165"/>
      <c r="M71" s="165" t="str">
        <f>IFERROR(__xludf.DUMMYFUNCTION("""COMPUTED_VALUE"""),"Shorts")</f>
        <v>Shorts</v>
      </c>
      <c r="N71" s="165" t="str">
        <f>IFERROR(__xludf.DUMMYFUNCTION("""COMPUTED_VALUE"""),"POV: you bought your first GPU")</f>
        <v>POV: you bought your first GPU</v>
      </c>
      <c r="O71" s="284">
        <f>IFERROR(__xludf.DUMMYFUNCTION("""COMPUTED_VALUE"""),45243.0)</f>
        <v>45243</v>
      </c>
      <c r="P71" s="165"/>
      <c r="Q71" s="165"/>
      <c r="R71" s="165"/>
      <c r="S71" s="165" t="str">
        <f>IFERROR(__xludf.DUMMYFUNCTION("""COMPUTED_VALUE"""),"Shorts")</f>
        <v>Shorts</v>
      </c>
      <c r="T71" s="165" t="str">
        <f>IFERROR(__xludf.DUMMYFUNCTION("""COMPUTED_VALUE"""),"POV: you bought your first GPU")</f>
        <v>POV: you bought your first GPU</v>
      </c>
      <c r="U71" s="284">
        <f>IFERROR(__xludf.DUMMYFUNCTION("""COMPUTED_VALUE"""),45243.0)</f>
        <v>45243</v>
      </c>
      <c r="V71" s="165"/>
      <c r="W71" s="165"/>
      <c r="X71" s="165" t="str">
        <f>IFERROR(__xludf.DUMMYFUNCTION("""COMPUTED_VALUE"""),"PM-MAC-01.02")</f>
        <v>PM-MAC-01.02</v>
      </c>
      <c r="Y71" s="285" t="str">
        <f>IFERROR(__xludf.DUMMYFUNCTION("""COMPUTED_VALUE"""),"Done")</f>
        <v>Done</v>
      </c>
      <c r="Z71" s="284">
        <f>IFERROR(__xludf.DUMMYFUNCTION("""COMPUTED_VALUE"""),45211.0)</f>
        <v>45211</v>
      </c>
      <c r="AA71" s="165" t="str">
        <f>IFERROR(__xludf.DUMMYFUNCTION("""COMPUTED_VALUE"""),"Naveen")</f>
        <v>Naveen</v>
      </c>
      <c r="AB71" s="165" t="str">
        <f>IFERROR(__xludf.DUMMYFUNCTION("""COMPUTED_VALUE"""),"A4 Design Change")</f>
        <v>A4 Design Change</v>
      </c>
      <c r="AC71" s="165"/>
      <c r="AD71" s="165"/>
      <c r="AE71" s="165"/>
      <c r="AF71" s="165"/>
      <c r="AG71" s="165"/>
      <c r="AH71" s="165"/>
      <c r="AI71" s="165"/>
      <c r="AJ71" s="165"/>
      <c r="AK71" s="165"/>
      <c r="AL71" s="165"/>
    </row>
    <row r="72">
      <c r="A72" s="165"/>
      <c r="B72" s="165"/>
      <c r="C72" s="165"/>
      <c r="D72" s="165"/>
      <c r="E72" s="292"/>
      <c r="F72" s="277"/>
      <c r="G72" s="165"/>
      <c r="H72" s="277"/>
      <c r="I72" s="277"/>
      <c r="J72" s="165"/>
      <c r="K72" s="165"/>
      <c r="L72" s="165"/>
      <c r="M72" s="165" t="str">
        <f>IFERROR(__xludf.DUMMYFUNCTION("""COMPUTED_VALUE"""),"Shorts")</f>
        <v>Shorts</v>
      </c>
      <c r="N72" s="165" t="str">
        <f>IFERROR(__xludf.DUMMYFUNCTION("""COMPUTED_VALUE"""),"PC for Generative AI")</f>
        <v>PC for Generative AI</v>
      </c>
      <c r="O72" s="284">
        <f>IFERROR(__xludf.DUMMYFUNCTION("""COMPUTED_VALUE"""),45244.0)</f>
        <v>45244</v>
      </c>
      <c r="P72" s="165"/>
      <c r="Q72" s="165"/>
      <c r="R72" s="165"/>
      <c r="S72" s="165" t="str">
        <f>IFERROR(__xludf.DUMMYFUNCTION("""COMPUTED_VALUE"""),"Shorts")</f>
        <v>Shorts</v>
      </c>
      <c r="T72" s="165" t="str">
        <f>IFERROR(__xludf.DUMMYFUNCTION("""COMPUTED_VALUE"""),"PC for Generative AI")</f>
        <v>PC for Generative AI</v>
      </c>
      <c r="U72" s="284">
        <f>IFERROR(__xludf.DUMMYFUNCTION("""COMPUTED_VALUE"""),45244.0)</f>
        <v>45244</v>
      </c>
      <c r="V72" s="165"/>
      <c r="W72" s="165"/>
      <c r="X72" s="165" t="str">
        <f>IFERROR(__xludf.DUMMYFUNCTION("""COMPUTED_VALUE"""),"PM-MYD-01.01")</f>
        <v>PM-MYD-01.01</v>
      </c>
      <c r="Y72" s="285" t="str">
        <f>IFERROR(__xludf.DUMMYFUNCTION("""COMPUTED_VALUE"""),"Done")</f>
        <v>Done</v>
      </c>
      <c r="Z72" s="284">
        <f>IFERROR(__xludf.DUMMYFUNCTION("""COMPUTED_VALUE"""),45211.0)</f>
        <v>45211</v>
      </c>
      <c r="AA72" s="165" t="str">
        <f>IFERROR(__xludf.DUMMYFUNCTION("""COMPUTED_VALUE"""),"Nasser")</f>
        <v>Nasser</v>
      </c>
      <c r="AB72" s="165" t="str">
        <f>IFERROR(__xludf.DUMMYFUNCTION("""COMPUTED_VALUE"""),"Moodboard")</f>
        <v>Moodboard</v>
      </c>
      <c r="AC72" s="165"/>
      <c r="AD72" s="165"/>
      <c r="AE72" s="165"/>
      <c r="AF72" s="165"/>
      <c r="AG72" s="165"/>
      <c r="AH72" s="165"/>
      <c r="AI72" s="165"/>
      <c r="AJ72" s="165"/>
      <c r="AK72" s="165"/>
      <c r="AL72" s="165"/>
    </row>
    <row r="73">
      <c r="A73" s="165"/>
      <c r="B73" s="165"/>
      <c r="C73" s="165"/>
      <c r="D73" s="165"/>
      <c r="E73" s="292"/>
      <c r="F73" s="277"/>
      <c r="G73" s="165"/>
      <c r="H73" s="277"/>
      <c r="I73" s="277"/>
      <c r="J73" s="165"/>
      <c r="K73" s="165"/>
      <c r="L73" s="165"/>
      <c r="M73" s="165" t="str">
        <f>IFERROR(__xludf.DUMMYFUNCTION("""COMPUTED_VALUE"""),"Shorts")</f>
        <v>Shorts</v>
      </c>
      <c r="N73" s="165" t="str">
        <f>IFERROR(__xludf.DUMMYFUNCTION("""COMPUTED_VALUE"""),"Ada Lovelace - Power Efficiency")</f>
        <v>Ada Lovelace - Power Efficiency</v>
      </c>
      <c r="O73" s="284">
        <f>IFERROR(__xludf.DUMMYFUNCTION("""COMPUTED_VALUE"""),45245.0)</f>
        <v>45245</v>
      </c>
      <c r="P73" s="165"/>
      <c r="Q73" s="165"/>
      <c r="R73" s="165"/>
      <c r="S73" s="165" t="str">
        <f>IFERROR(__xludf.DUMMYFUNCTION("""COMPUTED_VALUE"""),"Shorts")</f>
        <v>Shorts</v>
      </c>
      <c r="T73" s="165" t="str">
        <f>IFERROR(__xludf.DUMMYFUNCTION("""COMPUTED_VALUE"""),"Ada Lovelace - Power Efficiency")</f>
        <v>Ada Lovelace - Power Efficiency</v>
      </c>
      <c r="U73" s="284">
        <f>IFERROR(__xludf.DUMMYFUNCTION("""COMPUTED_VALUE"""),45245.0)</f>
        <v>45245</v>
      </c>
      <c r="V73" s="165"/>
      <c r="W73" s="165"/>
      <c r="X73" s="165" t="str">
        <f>IFERROR(__xludf.DUMMYFUNCTION("""COMPUTED_VALUE"""),"CC-MAC-01.05")</f>
        <v>CC-MAC-01.05</v>
      </c>
      <c r="Y73" s="285" t="str">
        <f>IFERROR(__xludf.DUMMYFUNCTION("""COMPUTED_VALUE"""),"Done")</f>
        <v>Done</v>
      </c>
      <c r="Z73" s="284">
        <f>IFERROR(__xludf.DUMMYFUNCTION("""COMPUTED_VALUE"""),45212.0)</f>
        <v>45212</v>
      </c>
      <c r="AA73" s="165" t="str">
        <f>IFERROR(__xludf.DUMMYFUNCTION("""COMPUTED_VALUE"""),"Akhil")</f>
        <v>Akhil</v>
      </c>
      <c r="AB73" s="165" t="str">
        <f>IFERROR(__xludf.DUMMYFUNCTION("""COMPUTED_VALUE"""),"Edit")</f>
        <v>Edit</v>
      </c>
      <c r="AC73" s="165"/>
      <c r="AD73" s="165"/>
      <c r="AE73" s="165"/>
      <c r="AF73" s="165"/>
      <c r="AG73" s="165"/>
      <c r="AH73" s="165"/>
      <c r="AI73" s="165"/>
      <c r="AJ73" s="165"/>
      <c r="AK73" s="165"/>
      <c r="AL73" s="165"/>
    </row>
    <row r="74">
      <c r="A74" s="165"/>
      <c r="B74" s="165"/>
      <c r="C74" s="165"/>
      <c r="D74" s="165"/>
      <c r="E74" s="292"/>
      <c r="F74" s="277"/>
      <c r="G74" s="165"/>
      <c r="H74" s="277"/>
      <c r="I74" s="277"/>
      <c r="J74" s="165"/>
      <c r="K74" s="165"/>
      <c r="L74" s="165"/>
      <c r="M74" s="165" t="str">
        <f>IFERROR(__xludf.DUMMYFUNCTION("""COMPUTED_VALUE"""),"Shorts")</f>
        <v>Shorts</v>
      </c>
      <c r="N74" s="165" t="str">
        <f>IFERROR(__xludf.DUMMYFUNCTION("""COMPUTED_VALUE"""),"How to Upgrade your GPU")</f>
        <v>How to Upgrade your GPU</v>
      </c>
      <c r="O74" s="284">
        <f>IFERROR(__xludf.DUMMYFUNCTION("""COMPUTED_VALUE"""),45246.0)</f>
        <v>45246</v>
      </c>
      <c r="P74" s="165"/>
      <c r="Q74" s="165"/>
      <c r="R74" s="165"/>
      <c r="S74" s="165" t="str">
        <f>IFERROR(__xludf.DUMMYFUNCTION("""COMPUTED_VALUE"""),"Shorts")</f>
        <v>Shorts</v>
      </c>
      <c r="T74" s="165" t="str">
        <f>IFERROR(__xludf.DUMMYFUNCTION("""COMPUTED_VALUE"""),"How to Upgrade your GPU")</f>
        <v>How to Upgrade your GPU</v>
      </c>
      <c r="U74" s="284">
        <f>IFERROR(__xludf.DUMMYFUNCTION("""COMPUTED_VALUE"""),45246.0)</f>
        <v>45246</v>
      </c>
      <c r="V74" s="165"/>
      <c r="W74" s="165"/>
      <c r="X74" s="165" t="str">
        <f>IFERROR(__xludf.DUMMYFUNCTION("""COMPUTED_VALUE"""),"PM-PTS-05.06")</f>
        <v>PM-PTS-05.06</v>
      </c>
      <c r="Y74" s="285" t="str">
        <f>IFERROR(__xludf.DUMMYFUNCTION("""COMPUTED_VALUE"""),"Done")</f>
        <v>Done</v>
      </c>
      <c r="Z74" s="284">
        <f>IFERROR(__xludf.DUMMYFUNCTION("""COMPUTED_VALUE"""),45212.0)</f>
        <v>45212</v>
      </c>
      <c r="AA74" s="165" t="str">
        <f>IFERROR(__xludf.DUMMYFUNCTION("""COMPUTED_VALUE"""),"Naveen")</f>
        <v>Naveen</v>
      </c>
      <c r="AB74" s="165" t="str">
        <f>IFERROR(__xludf.DUMMYFUNCTION("""COMPUTED_VALUE"""),"Aretius Branding")</f>
        <v>Aretius Branding</v>
      </c>
      <c r="AC74" s="165"/>
      <c r="AD74" s="165"/>
      <c r="AE74" s="165"/>
      <c r="AF74" s="165"/>
      <c r="AG74" s="165"/>
      <c r="AH74" s="165"/>
      <c r="AI74" s="165"/>
      <c r="AJ74" s="165"/>
      <c r="AK74" s="165"/>
      <c r="AL74" s="165"/>
    </row>
    <row r="75">
      <c r="A75" s="165"/>
      <c r="B75" s="165"/>
      <c r="C75" s="165"/>
      <c r="D75" s="165"/>
      <c r="E75" s="292"/>
      <c r="F75" s="277"/>
      <c r="G75" s="165"/>
      <c r="H75" s="277"/>
      <c r="I75" s="277"/>
      <c r="J75" s="165"/>
      <c r="K75" s="165"/>
      <c r="L75" s="165"/>
      <c r="M75" s="165" t="str">
        <f>IFERROR(__xludf.DUMMYFUNCTION("""COMPUTED_VALUE"""),"Shorts")</f>
        <v>Shorts</v>
      </c>
      <c r="N75" s="165" t="str">
        <f>IFERROR(__xludf.DUMMYFUNCTION("""COMPUTED_VALUE"""),"Deep Learning Anti-Aliasing")</f>
        <v>Deep Learning Anti-Aliasing</v>
      </c>
      <c r="O75" s="284">
        <f>IFERROR(__xludf.DUMMYFUNCTION("""COMPUTED_VALUE"""),45247.0)</f>
        <v>45247</v>
      </c>
      <c r="P75" s="165"/>
      <c r="Q75" s="165"/>
      <c r="R75" s="165"/>
      <c r="S75" s="165" t="str">
        <f>IFERROR(__xludf.DUMMYFUNCTION("""COMPUTED_VALUE"""),"Shorts")</f>
        <v>Shorts</v>
      </c>
      <c r="T75" s="165" t="str">
        <f>IFERROR(__xludf.DUMMYFUNCTION("""COMPUTED_VALUE"""),"Deep Learning Anti-Aliasing")</f>
        <v>Deep Learning Anti-Aliasing</v>
      </c>
      <c r="U75" s="284">
        <f>IFERROR(__xludf.DUMMYFUNCTION("""COMPUTED_VALUE"""),45247.0)</f>
        <v>45247</v>
      </c>
      <c r="V75" s="165"/>
      <c r="W75" s="165"/>
      <c r="X75" s="165" t="str">
        <f>IFERROR(__xludf.DUMMYFUNCTION("""COMPUTED_VALUE"""),"CC-MAC-02.02")</f>
        <v>CC-MAC-02.02</v>
      </c>
      <c r="Y75" s="285" t="str">
        <f>IFERROR(__xludf.DUMMYFUNCTION("""COMPUTED_VALUE"""),"Done")</f>
        <v>Done</v>
      </c>
      <c r="Z75" s="284">
        <f>IFERROR(__xludf.DUMMYFUNCTION("""COMPUTED_VALUE"""),45213.0)</f>
        <v>45213</v>
      </c>
      <c r="AA75" s="165" t="str">
        <f>IFERROR(__xludf.DUMMYFUNCTION("""COMPUTED_VALUE"""),"Nasser")</f>
        <v>Nasser</v>
      </c>
      <c r="AB75" s="165" t="str">
        <f>IFERROR(__xludf.DUMMYFUNCTION("""COMPUTED_VALUE"""),"Shoot")</f>
        <v>Shoot</v>
      </c>
      <c r="AC75" s="165"/>
      <c r="AD75" s="165"/>
      <c r="AE75" s="165"/>
      <c r="AF75" s="165"/>
      <c r="AG75" s="165"/>
      <c r="AH75" s="165"/>
      <c r="AI75" s="165"/>
      <c r="AJ75" s="165"/>
      <c r="AK75" s="165"/>
      <c r="AL75" s="165"/>
    </row>
    <row r="76">
      <c r="A76" s="165"/>
      <c r="B76" s="165"/>
      <c r="C76" s="165"/>
      <c r="D76" s="165"/>
      <c r="E76" s="292"/>
      <c r="F76" s="277"/>
      <c r="G76" s="165"/>
      <c r="H76" s="277"/>
      <c r="I76" s="277"/>
      <c r="J76" s="165"/>
      <c r="K76" s="165"/>
      <c r="L76" s="165"/>
      <c r="M76" s="165" t="str">
        <f>IFERROR(__xludf.DUMMYFUNCTION("""COMPUTED_VALUE"""),"Shorts")</f>
        <v>Shorts</v>
      </c>
      <c r="N76" s="165" t="str">
        <f>IFERROR(__xludf.DUMMYFUNCTION("""COMPUTED_VALUE"""),"When can you upgrade your GPU")</f>
        <v>When can you upgrade your GPU</v>
      </c>
      <c r="O76" s="284">
        <f>IFERROR(__xludf.DUMMYFUNCTION("""COMPUTED_VALUE"""),45248.0)</f>
        <v>45248</v>
      </c>
      <c r="P76" s="165"/>
      <c r="Q76" s="165"/>
      <c r="R76" s="165"/>
      <c r="S76" s="165" t="str">
        <f>IFERROR(__xludf.DUMMYFUNCTION("""COMPUTED_VALUE"""),"Shorts")</f>
        <v>Shorts</v>
      </c>
      <c r="T76" s="165" t="str">
        <f>IFERROR(__xludf.DUMMYFUNCTION("""COMPUTED_VALUE"""),"When can you upgrade your GPU")</f>
        <v>When can you upgrade your GPU</v>
      </c>
      <c r="U76" s="284">
        <f>IFERROR(__xludf.DUMMYFUNCTION("""COMPUTED_VALUE"""),45248.0)</f>
        <v>45248</v>
      </c>
      <c r="V76" s="165"/>
      <c r="W76" s="165"/>
      <c r="X76" s="165" t="str">
        <f>IFERROR(__xludf.DUMMYFUNCTION("""COMPUTED_VALUE"""),"CC-MAC-03.02")</f>
        <v>CC-MAC-03.02</v>
      </c>
      <c r="Y76" s="285" t="str">
        <f>IFERROR(__xludf.DUMMYFUNCTION("""COMPUTED_VALUE"""),"Done")</f>
        <v>Done</v>
      </c>
      <c r="Z76" s="284">
        <f>IFERROR(__xludf.DUMMYFUNCTION("""COMPUTED_VALUE"""),45213.0)</f>
        <v>45213</v>
      </c>
      <c r="AA76" s="165" t="str">
        <f>IFERROR(__xludf.DUMMYFUNCTION("""COMPUTED_VALUE"""),"Nasser")</f>
        <v>Nasser</v>
      </c>
      <c r="AB76" s="165" t="str">
        <f>IFERROR(__xludf.DUMMYFUNCTION("""COMPUTED_VALUE"""),"Shoot")</f>
        <v>Shoot</v>
      </c>
      <c r="AC76" s="165"/>
      <c r="AD76" s="165"/>
      <c r="AE76" s="165"/>
      <c r="AF76" s="165"/>
      <c r="AG76" s="165"/>
      <c r="AH76" s="165"/>
      <c r="AI76" s="165"/>
      <c r="AJ76" s="165"/>
      <c r="AK76" s="165"/>
      <c r="AL76" s="165"/>
    </row>
    <row r="77">
      <c r="A77" s="165"/>
      <c r="B77" s="165"/>
      <c r="C77" s="165"/>
      <c r="D77" s="165"/>
      <c r="E77" s="292"/>
      <c r="F77" s="277"/>
      <c r="G77" s="165"/>
      <c r="H77" s="277"/>
      <c r="I77" s="277"/>
      <c r="J77" s="165"/>
      <c r="K77" s="165"/>
      <c r="L77" s="165"/>
      <c r="M77" s="165" t="str">
        <f>IFERROR(__xludf.DUMMYFUNCTION("""COMPUTED_VALUE"""),"Insta")</f>
        <v>Insta</v>
      </c>
      <c r="N77" s="165" t="str">
        <f>IFERROR(__xludf.DUMMYFUNCTION("""COMPUTED_VALUE"""),"Product Showcase")</f>
        <v>Product Showcase</v>
      </c>
      <c r="O77" s="284">
        <f>IFERROR(__xludf.DUMMYFUNCTION("""COMPUTED_VALUE"""),45249.0)</f>
        <v>45249</v>
      </c>
      <c r="P77" s="165"/>
      <c r="Q77" s="165"/>
      <c r="R77" s="165"/>
      <c r="S77" s="165" t="str">
        <f>IFERROR(__xludf.DUMMYFUNCTION("""COMPUTED_VALUE"""),"Insta")</f>
        <v>Insta</v>
      </c>
      <c r="T77" s="165" t="str">
        <f>IFERROR(__xludf.DUMMYFUNCTION("""COMPUTED_VALUE"""),"Product Showcase")</f>
        <v>Product Showcase</v>
      </c>
      <c r="U77" s="284">
        <f>IFERROR(__xludf.DUMMYFUNCTION("""COMPUTED_VALUE"""),45249.0)</f>
        <v>45249</v>
      </c>
      <c r="V77" s="165"/>
      <c r="W77" s="165"/>
      <c r="X77" s="165" t="str">
        <f>IFERROR(__xludf.DUMMYFUNCTION("""COMPUTED_VALUE"""),"CC-MAC-08.02")</f>
        <v>CC-MAC-08.02</v>
      </c>
      <c r="Y77" s="285" t="str">
        <f>IFERROR(__xludf.DUMMYFUNCTION("""COMPUTED_VALUE"""),"Done")</f>
        <v>Done</v>
      </c>
      <c r="Z77" s="284">
        <f>IFERROR(__xludf.DUMMYFUNCTION("""COMPUTED_VALUE"""),45213.0)</f>
        <v>45213</v>
      </c>
      <c r="AA77" s="165" t="str">
        <f>IFERROR(__xludf.DUMMYFUNCTION("""COMPUTED_VALUE"""),"Akhil")</f>
        <v>Akhil</v>
      </c>
      <c r="AB77" s="165" t="str">
        <f>IFERROR(__xludf.DUMMYFUNCTION("""COMPUTED_VALUE"""),"Shoot")</f>
        <v>Shoot</v>
      </c>
      <c r="AC77" s="165"/>
      <c r="AD77" s="165"/>
      <c r="AE77" s="165"/>
      <c r="AF77" s="165"/>
      <c r="AG77" s="165"/>
      <c r="AH77" s="165"/>
      <c r="AI77" s="165"/>
      <c r="AJ77" s="165"/>
      <c r="AK77" s="165"/>
      <c r="AL77" s="165"/>
    </row>
    <row r="78">
      <c r="A78" s="165"/>
      <c r="B78" s="165"/>
      <c r="C78" s="165"/>
      <c r="D78" s="165"/>
      <c r="E78" s="292"/>
      <c r="F78" s="277"/>
      <c r="G78" s="165"/>
      <c r="H78" s="277"/>
      <c r="I78" s="277"/>
      <c r="J78" s="165"/>
      <c r="K78" s="165"/>
      <c r="L78" s="165"/>
      <c r="M78" s="165" t="str">
        <f>IFERROR(__xludf.DUMMYFUNCTION("""COMPUTED_VALUE"""),"Shorts")</f>
        <v>Shorts</v>
      </c>
      <c r="N78" s="165" t="str">
        <f>IFERROR(__xludf.DUMMYFUNCTION("""COMPUTED_VALUE"""),"Coming Soon")</f>
        <v>Coming Soon</v>
      </c>
      <c r="O78" s="284">
        <f>IFERROR(__xludf.DUMMYFUNCTION("""COMPUTED_VALUE"""),45218.0)</f>
        <v>45218</v>
      </c>
      <c r="P78" s="165"/>
      <c r="Q78" s="165"/>
      <c r="R78" s="165"/>
      <c r="S78" s="165" t="str">
        <f>IFERROR(__xludf.DUMMYFUNCTION("""COMPUTED_VALUE"""),"Shorts")</f>
        <v>Shorts</v>
      </c>
      <c r="T78" s="165" t="str">
        <f>IFERROR(__xludf.DUMMYFUNCTION("""COMPUTED_VALUE"""),"Coming Soon")</f>
        <v>Coming Soon</v>
      </c>
      <c r="U78" s="284">
        <f>IFERROR(__xludf.DUMMYFUNCTION("""COMPUTED_VALUE"""),45218.0)</f>
        <v>45218</v>
      </c>
      <c r="V78" s="165"/>
      <c r="W78" s="165"/>
      <c r="X78" s="165" t="str">
        <f>IFERROR(__xludf.DUMMYFUNCTION("""COMPUTED_VALUE"""),"CC-MAC-09.02")</f>
        <v>CC-MAC-09.02</v>
      </c>
      <c r="Y78" s="285" t="str">
        <f>IFERROR(__xludf.DUMMYFUNCTION("""COMPUTED_VALUE"""),"Done")</f>
        <v>Done</v>
      </c>
      <c r="Z78" s="284">
        <f>IFERROR(__xludf.DUMMYFUNCTION("""COMPUTED_VALUE"""),45213.0)</f>
        <v>45213</v>
      </c>
      <c r="AA78" s="165" t="str">
        <f>IFERROR(__xludf.DUMMYFUNCTION("""COMPUTED_VALUE"""),"Akhil")</f>
        <v>Akhil</v>
      </c>
      <c r="AB78" s="165" t="str">
        <f>IFERROR(__xludf.DUMMYFUNCTION("""COMPUTED_VALUE"""),"Shoot")</f>
        <v>Shoot</v>
      </c>
      <c r="AC78" s="165"/>
      <c r="AD78" s="165"/>
      <c r="AE78" s="165"/>
      <c r="AF78" s="165"/>
      <c r="AG78" s="165"/>
      <c r="AH78" s="165"/>
      <c r="AI78" s="165"/>
      <c r="AJ78" s="165"/>
      <c r="AK78" s="165"/>
      <c r="AL78" s="165"/>
    </row>
    <row r="79">
      <c r="A79" s="165"/>
      <c r="B79" s="165"/>
      <c r="C79" s="165"/>
      <c r="D79" s="165"/>
      <c r="E79" s="292"/>
      <c r="F79" s="277"/>
      <c r="G79" s="165"/>
      <c r="H79" s="277"/>
      <c r="I79" s="277"/>
      <c r="J79" s="165"/>
      <c r="K79" s="165"/>
      <c r="L79" s="165"/>
      <c r="M79" s="165" t="str">
        <f>IFERROR(__xludf.DUMMYFUNCTION("""COMPUTED_VALUE"""),"Insta")</f>
        <v>Insta</v>
      </c>
      <c r="N79" s="165" t="str">
        <f>IFERROR(__xludf.DUMMYFUNCTION("""COMPUTED_VALUE"""),"Utopian Academy - Classes")</f>
        <v>Utopian Academy - Classes</v>
      </c>
      <c r="O79" s="284">
        <f>IFERROR(__xludf.DUMMYFUNCTION("""COMPUTED_VALUE"""),45218.0)</f>
        <v>45218</v>
      </c>
      <c r="P79" s="165"/>
      <c r="Q79" s="165"/>
      <c r="R79" s="165"/>
      <c r="S79" s="165" t="str">
        <f>IFERROR(__xludf.DUMMYFUNCTION("""COMPUTED_VALUE"""),"Insta")</f>
        <v>Insta</v>
      </c>
      <c r="T79" s="165" t="str">
        <f>IFERROR(__xludf.DUMMYFUNCTION("""COMPUTED_VALUE"""),"Utopian Academy - Classes")</f>
        <v>Utopian Academy - Classes</v>
      </c>
      <c r="U79" s="284">
        <f>IFERROR(__xludf.DUMMYFUNCTION("""COMPUTED_VALUE"""),45218.0)</f>
        <v>45218</v>
      </c>
      <c r="V79" s="165"/>
      <c r="W79" s="165"/>
      <c r="X79" s="165" t="str">
        <f>IFERROR(__xludf.DUMMYFUNCTION("""COMPUTED_VALUE"""),"CC-MAC-04.02")</f>
        <v>CC-MAC-04.02</v>
      </c>
      <c r="Y79" s="285" t="str">
        <f>IFERROR(__xludf.DUMMYFUNCTION("""COMPUTED_VALUE"""),"Done")</f>
        <v>Done</v>
      </c>
      <c r="Z79" s="284">
        <f>IFERROR(__xludf.DUMMYFUNCTION("""COMPUTED_VALUE"""),45213.0)</f>
        <v>45213</v>
      </c>
      <c r="AA79" s="165" t="str">
        <f>IFERROR(__xludf.DUMMYFUNCTION("""COMPUTED_VALUE"""),"Akhil")</f>
        <v>Akhil</v>
      </c>
      <c r="AB79" s="165" t="str">
        <f>IFERROR(__xludf.DUMMYFUNCTION("""COMPUTED_VALUE"""),"Shoot")</f>
        <v>Shoot</v>
      </c>
      <c r="AC79" s="165"/>
      <c r="AD79" s="165"/>
      <c r="AE79" s="165"/>
      <c r="AF79" s="165"/>
      <c r="AG79" s="165"/>
      <c r="AH79" s="165"/>
      <c r="AI79" s="165"/>
      <c r="AJ79" s="165"/>
      <c r="AK79" s="165"/>
      <c r="AL79" s="165"/>
    </row>
    <row r="80">
      <c r="A80" s="165"/>
      <c r="B80" s="165"/>
      <c r="C80" s="165"/>
      <c r="D80" s="165"/>
      <c r="E80" s="292"/>
      <c r="F80" s="277"/>
      <c r="G80" s="165"/>
      <c r="H80" s="277"/>
      <c r="I80" s="277"/>
      <c r="J80" s="165"/>
      <c r="K80" s="165"/>
      <c r="L80" s="165"/>
      <c r="M80" s="165" t="str">
        <f>IFERROR(__xludf.DUMMYFUNCTION("""COMPUTED_VALUE"""),"Insta")</f>
        <v>Insta</v>
      </c>
      <c r="N80" s="165" t="str">
        <f>IFERROR(__xludf.DUMMYFUNCTION("""COMPUTED_VALUE"""),"MaCaw School - Classes")</f>
        <v>MaCaw School - Classes</v>
      </c>
      <c r="O80" s="284">
        <f>IFERROR(__xludf.DUMMYFUNCTION("""COMPUTED_VALUE"""),45219.0)</f>
        <v>45219</v>
      </c>
      <c r="P80" s="165"/>
      <c r="Q80" s="165"/>
      <c r="R80" s="165"/>
      <c r="S80" s="165" t="str">
        <f>IFERROR(__xludf.DUMMYFUNCTION("""COMPUTED_VALUE"""),"Insta")</f>
        <v>Insta</v>
      </c>
      <c r="T80" s="165" t="str">
        <f>IFERROR(__xludf.DUMMYFUNCTION("""COMPUTED_VALUE"""),"MaCaw School - Classes")</f>
        <v>MaCaw School - Classes</v>
      </c>
      <c r="U80" s="284">
        <f>IFERROR(__xludf.DUMMYFUNCTION("""COMPUTED_VALUE"""),45219.0)</f>
        <v>45219</v>
      </c>
      <c r="V80" s="165"/>
      <c r="W80" s="165"/>
      <c r="X80" s="165" t="str">
        <f>IFERROR(__xludf.DUMMYFUNCTION("""COMPUTED_VALUE"""),"PM-MYD-01.02")</f>
        <v>PM-MYD-01.02</v>
      </c>
      <c r="Y80" s="285" t="str">
        <f>IFERROR(__xludf.DUMMYFUNCTION("""COMPUTED_VALUE"""),"Done")</f>
        <v>Done</v>
      </c>
      <c r="Z80" s="284">
        <f>IFERROR(__xludf.DUMMYFUNCTION("""COMPUTED_VALUE"""),45213.0)</f>
        <v>45213</v>
      </c>
      <c r="AA80" s="165" t="str">
        <f>IFERROR(__xludf.DUMMYFUNCTION("""COMPUTED_VALUE"""),"Nasser")</f>
        <v>Nasser</v>
      </c>
      <c r="AB80" s="165" t="str">
        <f>IFERROR(__xludf.DUMMYFUNCTION("""COMPUTED_VALUE"""),"Concepts")</f>
        <v>Concepts</v>
      </c>
      <c r="AC80" s="165"/>
      <c r="AD80" s="165"/>
      <c r="AE80" s="165"/>
      <c r="AF80" s="165"/>
      <c r="AG80" s="165"/>
      <c r="AH80" s="165"/>
      <c r="AI80" s="165"/>
      <c r="AJ80" s="165"/>
      <c r="AK80" s="165"/>
      <c r="AL80" s="165"/>
    </row>
    <row r="81">
      <c r="A81" s="165"/>
      <c r="B81" s="165"/>
      <c r="C81" s="165"/>
      <c r="D81" s="165"/>
      <c r="E81" s="292"/>
      <c r="F81" s="277"/>
      <c r="G81" s="165"/>
      <c r="H81" s="277"/>
      <c r="I81" s="277"/>
      <c r="J81" s="165"/>
      <c r="K81" s="165"/>
      <c r="L81" s="165"/>
      <c r="M81" s="165" t="str">
        <f>IFERROR(__xludf.DUMMYFUNCTION("""COMPUTED_VALUE"""),"Shorts")</f>
        <v>Shorts</v>
      </c>
      <c r="N81" s="165" t="str">
        <f>IFERROR(__xludf.DUMMYFUNCTION("""COMPUTED_VALUE"""),"Kuchipudi Teacher Intro")</f>
        <v>Kuchipudi Teacher Intro</v>
      </c>
      <c r="O81" s="284">
        <f>IFERROR(__xludf.DUMMYFUNCTION("""COMPUTED_VALUE"""),45226.0)</f>
        <v>45226</v>
      </c>
      <c r="P81" s="165"/>
      <c r="Q81" s="165"/>
      <c r="R81" s="165"/>
      <c r="S81" s="165" t="str">
        <f>IFERROR(__xludf.DUMMYFUNCTION("""COMPUTED_VALUE"""),"Shorts")</f>
        <v>Shorts</v>
      </c>
      <c r="T81" s="165" t="str">
        <f>IFERROR(__xludf.DUMMYFUNCTION("""COMPUTED_VALUE"""),"Kuchipudi Teacher Intro")</f>
        <v>Kuchipudi Teacher Intro</v>
      </c>
      <c r="U81" s="284">
        <f>IFERROR(__xludf.DUMMYFUNCTION("""COMPUTED_VALUE"""),45226.0)</f>
        <v>45226</v>
      </c>
      <c r="V81" s="165"/>
      <c r="W81" s="165"/>
      <c r="X81" s="165" t="str">
        <f>IFERROR(__xludf.DUMMYFUNCTION("""COMPUTED_VALUE"""),"PM-MAC-01.06")</f>
        <v>PM-MAC-01.06</v>
      </c>
      <c r="Y81" s="285" t="str">
        <f>IFERROR(__xludf.DUMMYFUNCTION("""COMPUTED_VALUE"""),"Done")</f>
        <v>Done</v>
      </c>
      <c r="Z81" s="284">
        <f>IFERROR(__xludf.DUMMYFUNCTION("""COMPUTED_VALUE"""),45214.0)</f>
        <v>45214</v>
      </c>
      <c r="AA81" s="165" t="str">
        <f>IFERROR(__xludf.DUMMYFUNCTION("""COMPUTED_VALUE"""),"Talha")</f>
        <v>Talha</v>
      </c>
      <c r="AB81" s="165" t="str">
        <f>IFERROR(__xludf.DUMMYFUNCTION("""COMPUTED_VALUE"""),"Wire-Frame")</f>
        <v>Wire-Frame</v>
      </c>
      <c r="AC81" s="165"/>
      <c r="AD81" s="165"/>
      <c r="AE81" s="165"/>
      <c r="AF81" s="165"/>
      <c r="AG81" s="165"/>
      <c r="AH81" s="165"/>
      <c r="AI81" s="165"/>
      <c r="AJ81" s="165"/>
      <c r="AK81" s="165"/>
      <c r="AL81" s="165"/>
    </row>
    <row r="82">
      <c r="A82" s="165"/>
      <c r="B82" s="165"/>
      <c r="C82" s="165"/>
      <c r="D82" s="165"/>
      <c r="E82" s="292"/>
      <c r="F82" s="277"/>
      <c r="G82" s="165"/>
      <c r="H82" s="277"/>
      <c r="I82" s="277"/>
      <c r="J82" s="165"/>
      <c r="K82" s="165"/>
      <c r="L82" s="165"/>
      <c r="M82" s="165" t="str">
        <f>IFERROR(__xludf.DUMMYFUNCTION("""COMPUTED_VALUE"""),"Insta")</f>
        <v>Insta</v>
      </c>
      <c r="N82" s="165" t="str">
        <f>IFERROR(__xludf.DUMMYFUNCTION("""COMPUTED_VALUE"""),"Kuchipudi Teacher Photos")</f>
        <v>Kuchipudi Teacher Photos</v>
      </c>
      <c r="O82" s="284">
        <f>IFERROR(__xludf.DUMMYFUNCTION("""COMPUTED_VALUE"""),45226.0)</f>
        <v>45226</v>
      </c>
      <c r="P82" s="165"/>
      <c r="Q82" s="165"/>
      <c r="R82" s="165"/>
      <c r="S82" s="165" t="str">
        <f>IFERROR(__xludf.DUMMYFUNCTION("""COMPUTED_VALUE"""),"Insta")</f>
        <v>Insta</v>
      </c>
      <c r="T82" s="165" t="str">
        <f>IFERROR(__xludf.DUMMYFUNCTION("""COMPUTED_VALUE"""),"Kuchipudi Teacher Photos")</f>
        <v>Kuchipudi Teacher Photos</v>
      </c>
      <c r="U82" s="284">
        <f>IFERROR(__xludf.DUMMYFUNCTION("""COMPUTED_VALUE"""),45226.0)</f>
        <v>45226</v>
      </c>
      <c r="V82" s="165"/>
      <c r="W82" s="165"/>
      <c r="X82" s="165" t="str">
        <f>IFERROR(__xludf.DUMMYFUNCTION("""COMPUTED_VALUE"""),"PM-MAC-01.07")</f>
        <v>PM-MAC-01.07</v>
      </c>
      <c r="Y82" s="285" t="str">
        <f>IFERROR(__xludf.DUMMYFUNCTION("""COMPUTED_VALUE"""),"Done")</f>
        <v>Done</v>
      </c>
      <c r="Z82" s="284">
        <f>IFERROR(__xludf.DUMMYFUNCTION("""COMPUTED_VALUE"""),45214.0)</f>
        <v>45214</v>
      </c>
      <c r="AA82" s="165" t="str">
        <f>IFERROR(__xludf.DUMMYFUNCTION("""COMPUTED_VALUE"""),"Akhil")</f>
        <v>Akhil</v>
      </c>
      <c r="AB82" s="165" t="str">
        <f>IFERROR(__xludf.DUMMYFUNCTION("""COMPUTED_VALUE"""),"IG Profile")</f>
        <v>IG Profile</v>
      </c>
      <c r="AC82" s="165"/>
      <c r="AD82" s="165"/>
      <c r="AE82" s="165"/>
      <c r="AF82" s="165"/>
      <c r="AG82" s="165"/>
      <c r="AH82" s="165"/>
      <c r="AI82" s="165"/>
      <c r="AJ82" s="165"/>
      <c r="AK82" s="165"/>
      <c r="AL82" s="165"/>
    </row>
    <row r="83">
      <c r="A83" s="165"/>
      <c r="B83" s="165"/>
      <c r="C83" s="165"/>
      <c r="D83" s="165"/>
      <c r="E83" s="292"/>
      <c r="F83" s="277"/>
      <c r="G83" s="165"/>
      <c r="H83" s="277"/>
      <c r="I83" s="277"/>
      <c r="J83" s="165"/>
      <c r="K83" s="165"/>
      <c r="L83" s="165"/>
      <c r="M83" s="165" t="str">
        <f>IFERROR(__xludf.DUMMYFUNCTION("""COMPUTED_VALUE"""),"Shorts")</f>
        <v>Shorts</v>
      </c>
      <c r="N83" s="165" t="str">
        <f>IFERROR(__xludf.DUMMYFUNCTION("""COMPUTED_VALUE"""),"Yoga Teacher Intro")</f>
        <v>Yoga Teacher Intro</v>
      </c>
      <c r="O83" s="284">
        <f>IFERROR(__xludf.DUMMYFUNCTION("""COMPUTED_VALUE"""),45227.0)</f>
        <v>45227</v>
      </c>
      <c r="P83" s="165"/>
      <c r="Q83" s="165"/>
      <c r="R83" s="165"/>
      <c r="S83" s="165" t="str">
        <f>IFERROR(__xludf.DUMMYFUNCTION("""COMPUTED_VALUE"""),"Shorts")</f>
        <v>Shorts</v>
      </c>
      <c r="T83" s="165" t="str">
        <f>IFERROR(__xludf.DUMMYFUNCTION("""COMPUTED_VALUE"""),"Yoga Teacher Intro")</f>
        <v>Yoga Teacher Intro</v>
      </c>
      <c r="U83" s="284">
        <f>IFERROR(__xludf.DUMMYFUNCTION("""COMPUTED_VALUE"""),45227.0)</f>
        <v>45227</v>
      </c>
      <c r="V83" s="165"/>
      <c r="W83" s="165"/>
      <c r="X83" s="165" t="str">
        <f>IFERROR(__xludf.DUMMYFUNCTION("""COMPUTED_VALUE"""),"CC-PTS-07.4")</f>
        <v>CC-PTS-07.4</v>
      </c>
      <c r="Y83" s="285" t="str">
        <f>IFERROR(__xludf.DUMMYFUNCTION("""COMPUTED_VALUE"""),"Done")</f>
        <v>Done</v>
      </c>
      <c r="Z83" s="284">
        <f>IFERROR(__xludf.DUMMYFUNCTION("""COMPUTED_VALUE"""),45215.0)</f>
        <v>45215</v>
      </c>
      <c r="AA83" s="165" t="str">
        <f>IFERROR(__xludf.DUMMYFUNCTION("""COMPUTED_VALUE"""),"Talha")</f>
        <v>Talha</v>
      </c>
      <c r="AB83" s="165" t="str">
        <f>IFERROR(__xludf.DUMMYFUNCTION("""COMPUTED_VALUE"""),"Finalise")</f>
        <v>Finalise</v>
      </c>
      <c r="AC83" s="165"/>
      <c r="AD83" s="165"/>
      <c r="AE83" s="165"/>
      <c r="AF83" s="165"/>
      <c r="AG83" s="165"/>
      <c r="AH83" s="165"/>
      <c r="AI83" s="165"/>
      <c r="AJ83" s="165"/>
      <c r="AK83" s="165"/>
      <c r="AL83" s="165"/>
    </row>
    <row r="84">
      <c r="A84" s="165"/>
      <c r="B84" s="165"/>
      <c r="C84" s="165"/>
      <c r="D84" s="165"/>
      <c r="E84" s="292"/>
      <c r="F84" s="277"/>
      <c r="G84" s="165"/>
      <c r="H84" s="277"/>
      <c r="I84" s="277"/>
      <c r="J84" s="165"/>
      <c r="K84" s="165"/>
      <c r="L84" s="165"/>
      <c r="M84" s="165" t="str">
        <f>IFERROR(__xludf.DUMMYFUNCTION("""COMPUTED_VALUE"""),"Insta")</f>
        <v>Insta</v>
      </c>
      <c r="N84" s="165" t="str">
        <f>IFERROR(__xludf.DUMMYFUNCTION("""COMPUTED_VALUE"""),"Yoga Teacher Photos")</f>
        <v>Yoga Teacher Photos</v>
      </c>
      <c r="O84" s="284">
        <f>IFERROR(__xludf.DUMMYFUNCTION("""COMPUTED_VALUE"""),45227.0)</f>
        <v>45227</v>
      </c>
      <c r="P84" s="165"/>
      <c r="Q84" s="165"/>
      <c r="R84" s="165"/>
      <c r="S84" s="165" t="str">
        <f>IFERROR(__xludf.DUMMYFUNCTION("""COMPUTED_VALUE"""),"Insta")</f>
        <v>Insta</v>
      </c>
      <c r="T84" s="165" t="str">
        <f>IFERROR(__xludf.DUMMYFUNCTION("""COMPUTED_VALUE"""),"Yoga Teacher Photos")</f>
        <v>Yoga Teacher Photos</v>
      </c>
      <c r="U84" s="284">
        <f>IFERROR(__xludf.DUMMYFUNCTION("""COMPUTED_VALUE"""),45227.0)</f>
        <v>45227</v>
      </c>
      <c r="V84" s="165"/>
      <c r="W84" s="165"/>
      <c r="X84" s="165" t="str">
        <f>IFERROR(__xludf.DUMMYFUNCTION("""COMPUTED_VALUE"""),"CC-PTS-09.3")</f>
        <v>CC-PTS-09.3</v>
      </c>
      <c r="Y84" s="285" t="str">
        <f>IFERROR(__xludf.DUMMYFUNCTION("""COMPUTED_VALUE"""),"Done")</f>
        <v>Done</v>
      </c>
      <c r="Z84" s="284">
        <f>IFERROR(__xludf.DUMMYFUNCTION("""COMPUTED_VALUE"""),45215.0)</f>
        <v>45215</v>
      </c>
      <c r="AA84" s="165" t="str">
        <f>IFERROR(__xludf.DUMMYFUNCTION("""COMPUTED_VALUE"""),"Naveen")</f>
        <v>Naveen</v>
      </c>
      <c r="AB84" s="165" t="str">
        <f>IFERROR(__xludf.DUMMYFUNCTION("""COMPUTED_VALUE"""),"Thumbanil")</f>
        <v>Thumbanil</v>
      </c>
      <c r="AC84" s="165"/>
      <c r="AD84" s="165"/>
      <c r="AE84" s="165"/>
      <c r="AF84" s="165"/>
      <c r="AG84" s="165"/>
      <c r="AH84" s="165"/>
      <c r="AI84" s="165"/>
      <c r="AJ84" s="165"/>
      <c r="AK84" s="165"/>
      <c r="AL84" s="165"/>
    </row>
    <row r="85">
      <c r="A85" s="165"/>
      <c r="B85" s="165"/>
      <c r="C85" s="165"/>
      <c r="D85" s="165"/>
      <c r="E85" s="292"/>
      <c r="F85" s="277"/>
      <c r="G85" s="165"/>
      <c r="H85" s="277"/>
      <c r="I85" s="277"/>
      <c r="J85" s="165"/>
      <c r="K85" s="165"/>
      <c r="L85" s="165"/>
      <c r="M85" s="165" t="str">
        <f>IFERROR(__xludf.DUMMYFUNCTION("""COMPUTED_VALUE"""),"Shorts")</f>
        <v>Shorts</v>
      </c>
      <c r="N85" s="165" t="str">
        <f>IFERROR(__xludf.DUMMYFUNCTION("""COMPUTED_VALUE"""),"Art &amp; Craft Teacher Intro")</f>
        <v>Art &amp; Craft Teacher Intro</v>
      </c>
      <c r="O85" s="284">
        <f>IFERROR(__xludf.DUMMYFUNCTION("""COMPUTED_VALUE"""),45228.0)</f>
        <v>45228</v>
      </c>
      <c r="P85" s="165"/>
      <c r="Q85" s="165"/>
      <c r="R85" s="165"/>
      <c r="S85" s="165" t="str">
        <f>IFERROR(__xludf.DUMMYFUNCTION("""COMPUTED_VALUE"""),"Shorts")</f>
        <v>Shorts</v>
      </c>
      <c r="T85" s="165" t="str">
        <f>IFERROR(__xludf.DUMMYFUNCTION("""COMPUTED_VALUE"""),"Art &amp; Craft Teacher Intro")</f>
        <v>Art &amp; Craft Teacher Intro</v>
      </c>
      <c r="U85" s="284">
        <f>IFERROR(__xludf.DUMMYFUNCTION("""COMPUTED_VALUE"""),45228.0)</f>
        <v>45228</v>
      </c>
      <c r="V85" s="165"/>
      <c r="W85" s="165"/>
      <c r="X85" s="165" t="str">
        <f>IFERROR(__xludf.DUMMYFUNCTION("""COMPUTED_VALUE"""),"CC-NVI-05.05")</f>
        <v>CC-NVI-05.05</v>
      </c>
      <c r="Y85" s="285" t="str">
        <f>IFERROR(__xludf.DUMMYFUNCTION("""COMPUTED_VALUE"""),"Done")</f>
        <v>Done</v>
      </c>
      <c r="Z85" s="284">
        <f>IFERROR(__xludf.DUMMYFUNCTION("""COMPUTED_VALUE"""),45215.0)</f>
        <v>45215</v>
      </c>
      <c r="AA85" s="165" t="str">
        <f>IFERROR(__xludf.DUMMYFUNCTION("""COMPUTED_VALUE"""),"Freelancer")</f>
        <v>Freelancer</v>
      </c>
      <c r="AB85" s="165" t="str">
        <f>IFERROR(__xludf.DUMMYFUNCTION("""COMPUTED_VALUE"""),"Edit")</f>
        <v>Edit</v>
      </c>
      <c r="AC85" s="165"/>
      <c r="AD85" s="165"/>
      <c r="AE85" s="165"/>
      <c r="AF85" s="165"/>
      <c r="AG85" s="165"/>
      <c r="AH85" s="165"/>
      <c r="AI85" s="165"/>
      <c r="AJ85" s="165"/>
      <c r="AK85" s="165"/>
      <c r="AL85" s="165"/>
    </row>
    <row r="86">
      <c r="A86" s="165"/>
      <c r="B86" s="165"/>
      <c r="C86" s="165"/>
      <c r="D86" s="165"/>
      <c r="E86" s="292"/>
      <c r="F86" s="277"/>
      <c r="G86" s="165"/>
      <c r="H86" s="277"/>
      <c r="I86" s="277"/>
      <c r="J86" s="165"/>
      <c r="K86" s="165"/>
      <c r="L86" s="165"/>
      <c r="M86" s="165" t="str">
        <f>IFERROR(__xludf.DUMMYFUNCTION("""COMPUTED_VALUE"""),"Insta")</f>
        <v>Insta</v>
      </c>
      <c r="N86" s="165" t="str">
        <f>IFERROR(__xludf.DUMMYFUNCTION("""COMPUTED_VALUE"""),"Art &amp; Craft Teacher Photos")</f>
        <v>Art &amp; Craft Teacher Photos</v>
      </c>
      <c r="O86" s="284">
        <f>IFERROR(__xludf.DUMMYFUNCTION("""COMPUTED_VALUE"""),45228.0)</f>
        <v>45228</v>
      </c>
      <c r="P86" s="165"/>
      <c r="Q86" s="165"/>
      <c r="R86" s="165"/>
      <c r="S86" s="165" t="str">
        <f>IFERROR(__xludf.DUMMYFUNCTION("""COMPUTED_VALUE"""),"Insta")</f>
        <v>Insta</v>
      </c>
      <c r="T86" s="165" t="str">
        <f>IFERROR(__xludf.DUMMYFUNCTION("""COMPUTED_VALUE"""),"Art &amp; Craft Teacher Photos")</f>
        <v>Art &amp; Craft Teacher Photos</v>
      </c>
      <c r="U86" s="284">
        <f>IFERROR(__xludf.DUMMYFUNCTION("""COMPUTED_VALUE"""),45228.0)</f>
        <v>45228</v>
      </c>
      <c r="V86" s="165"/>
      <c r="W86" s="165"/>
      <c r="X86" s="165" t="str">
        <f>IFERROR(__xludf.DUMMYFUNCTION("""COMPUTED_VALUE"""),"CC-NVI-06.05")</f>
        <v>CC-NVI-06.05</v>
      </c>
      <c r="Y86" s="285" t="str">
        <f>IFERROR(__xludf.DUMMYFUNCTION("""COMPUTED_VALUE"""),"Done")</f>
        <v>Done</v>
      </c>
      <c r="Z86" s="284">
        <f>IFERROR(__xludf.DUMMYFUNCTION("""COMPUTED_VALUE"""),45215.0)</f>
        <v>45215</v>
      </c>
      <c r="AA86" s="165" t="str">
        <f>IFERROR(__xludf.DUMMYFUNCTION("""COMPUTED_VALUE"""),"Freelancer")</f>
        <v>Freelancer</v>
      </c>
      <c r="AB86" s="165" t="str">
        <f>IFERROR(__xludf.DUMMYFUNCTION("""COMPUTED_VALUE"""),"Edit")</f>
        <v>Edit</v>
      </c>
      <c r="AC86" s="165"/>
      <c r="AD86" s="165"/>
      <c r="AE86" s="165"/>
      <c r="AF86" s="165"/>
      <c r="AG86" s="165"/>
      <c r="AH86" s="165"/>
      <c r="AI86" s="165"/>
      <c r="AJ86" s="165"/>
      <c r="AK86" s="165"/>
      <c r="AL86" s="165"/>
    </row>
    <row r="87">
      <c r="A87" s="165"/>
      <c r="B87" s="165"/>
      <c r="C87" s="165"/>
      <c r="D87" s="165"/>
      <c r="E87" s="292"/>
      <c r="F87" s="277"/>
      <c r="G87" s="165"/>
      <c r="H87" s="277"/>
      <c r="I87" s="277"/>
      <c r="J87" s="165"/>
      <c r="K87" s="165"/>
      <c r="L87" s="165"/>
      <c r="M87" s="165" t="str">
        <f>IFERROR(__xludf.DUMMYFUNCTION("""COMPUTED_VALUE"""),"Shorts")</f>
        <v>Shorts</v>
      </c>
      <c r="N87" s="165" t="str">
        <f>IFERROR(__xludf.DUMMYFUNCTION("""COMPUTED_VALUE"""),"Music Teachers Intro")</f>
        <v>Music Teachers Intro</v>
      </c>
      <c r="O87" s="284">
        <f>IFERROR(__xludf.DUMMYFUNCTION("""COMPUTED_VALUE"""),45231.0)</f>
        <v>45231</v>
      </c>
      <c r="P87" s="165"/>
      <c r="Q87" s="165"/>
      <c r="R87" s="165"/>
      <c r="S87" s="165" t="str">
        <f>IFERROR(__xludf.DUMMYFUNCTION("""COMPUTED_VALUE"""),"Shorts")</f>
        <v>Shorts</v>
      </c>
      <c r="T87" s="165" t="str">
        <f>IFERROR(__xludf.DUMMYFUNCTION("""COMPUTED_VALUE"""),"Music Teachers Intro")</f>
        <v>Music Teachers Intro</v>
      </c>
      <c r="U87" s="284">
        <f>IFERROR(__xludf.DUMMYFUNCTION("""COMPUTED_VALUE"""),45231.0)</f>
        <v>45231</v>
      </c>
      <c r="V87" s="165"/>
      <c r="W87" s="165"/>
      <c r="X87" s="165" t="str">
        <f>IFERROR(__xludf.DUMMYFUNCTION("""COMPUTED_VALUE"""),"CC-MAC-10.01")</f>
        <v>CC-MAC-10.01</v>
      </c>
      <c r="Y87" s="285" t="str">
        <f>IFERROR(__xludf.DUMMYFUNCTION("""COMPUTED_VALUE"""),"Done")</f>
        <v>Done</v>
      </c>
      <c r="Z87" s="284">
        <f>IFERROR(__xludf.DUMMYFUNCTION("""COMPUTED_VALUE"""),45215.0)</f>
        <v>45215</v>
      </c>
      <c r="AA87" s="165" t="str">
        <f>IFERROR(__xludf.DUMMYFUNCTION("""COMPUTED_VALUE"""),"Akhil")</f>
        <v>Akhil</v>
      </c>
      <c r="AB87" s="165" t="str">
        <f>IFERROR(__xludf.DUMMYFUNCTION("""COMPUTED_VALUE"""),"Edit &amp; Caption")</f>
        <v>Edit &amp; Caption</v>
      </c>
      <c r="AC87" s="165"/>
      <c r="AD87" s="165"/>
      <c r="AE87" s="165"/>
      <c r="AF87" s="165"/>
      <c r="AG87" s="165"/>
      <c r="AH87" s="165"/>
      <c r="AI87" s="165"/>
      <c r="AJ87" s="165"/>
      <c r="AK87" s="165"/>
      <c r="AL87" s="165"/>
    </row>
    <row r="88">
      <c r="A88" s="165"/>
      <c r="B88" s="165"/>
      <c r="C88" s="165"/>
      <c r="D88" s="165"/>
      <c r="E88" s="292"/>
      <c r="F88" s="277"/>
      <c r="G88" s="165"/>
      <c r="H88" s="277"/>
      <c r="I88" s="277"/>
      <c r="J88" s="165"/>
      <c r="K88" s="165"/>
      <c r="L88" s="165"/>
      <c r="M88" s="165" t="str">
        <f>IFERROR(__xludf.DUMMYFUNCTION("""COMPUTED_VALUE"""),"Insta")</f>
        <v>Insta</v>
      </c>
      <c r="N88" s="165" t="str">
        <f>IFERROR(__xludf.DUMMYFUNCTION("""COMPUTED_VALUE"""),"Music Teachers Photos")</f>
        <v>Music Teachers Photos</v>
      </c>
      <c r="O88" s="284">
        <f>IFERROR(__xludf.DUMMYFUNCTION("""COMPUTED_VALUE"""),45230.0)</f>
        <v>45230</v>
      </c>
      <c r="P88" s="165"/>
      <c r="Q88" s="165"/>
      <c r="R88" s="165"/>
      <c r="S88" s="165" t="str">
        <f>IFERROR(__xludf.DUMMYFUNCTION("""COMPUTED_VALUE"""),"Insta")</f>
        <v>Insta</v>
      </c>
      <c r="T88" s="165" t="str">
        <f>IFERROR(__xludf.DUMMYFUNCTION("""COMPUTED_VALUE"""),"Music Teachers Photos")</f>
        <v>Music Teachers Photos</v>
      </c>
      <c r="U88" s="284">
        <f>IFERROR(__xludf.DUMMYFUNCTION("""COMPUTED_VALUE"""),45230.0)</f>
        <v>45230</v>
      </c>
      <c r="V88" s="165"/>
      <c r="W88" s="165"/>
      <c r="X88" s="165" t="str">
        <f>IFERROR(__xludf.DUMMYFUNCTION("""COMPUTED_VALUE"""),"CC-MAC-11.01")</f>
        <v>CC-MAC-11.01</v>
      </c>
      <c r="Y88" s="285" t="str">
        <f>IFERROR(__xludf.DUMMYFUNCTION("""COMPUTED_VALUE"""),"Done")</f>
        <v>Done</v>
      </c>
      <c r="Z88" s="284">
        <f>IFERROR(__xludf.DUMMYFUNCTION("""COMPUTED_VALUE"""),45215.0)</f>
        <v>45215</v>
      </c>
      <c r="AA88" s="165" t="str">
        <f>IFERROR(__xludf.DUMMYFUNCTION("""COMPUTED_VALUE"""),"Akhil")</f>
        <v>Akhil</v>
      </c>
      <c r="AB88" s="165" t="str">
        <f>IFERROR(__xludf.DUMMYFUNCTION("""COMPUTED_VALUE"""),"Edit &amp; Caption")</f>
        <v>Edit &amp; Caption</v>
      </c>
      <c r="AC88" s="165"/>
      <c r="AD88" s="165"/>
      <c r="AE88" s="165"/>
      <c r="AF88" s="165"/>
      <c r="AG88" s="165"/>
      <c r="AH88" s="165"/>
      <c r="AI88" s="165"/>
      <c r="AJ88" s="165"/>
      <c r="AK88" s="165"/>
      <c r="AL88" s="165"/>
    </row>
    <row r="89">
      <c r="A89" s="165"/>
      <c r="B89" s="165"/>
      <c r="C89" s="165"/>
      <c r="D89" s="165"/>
      <c r="E89" s="292"/>
      <c r="F89" s="277"/>
      <c r="G89" s="165"/>
      <c r="H89" s="277"/>
      <c r="I89" s="277"/>
      <c r="J89" s="165"/>
      <c r="K89" s="165"/>
      <c r="L89" s="165"/>
      <c r="M89" s="165" t="str">
        <f>IFERROR(__xludf.DUMMYFUNCTION("""COMPUTED_VALUE"""),"Insta")</f>
        <v>Insta</v>
      </c>
      <c r="N89" s="165" t="str">
        <f>IFERROR(__xludf.DUMMYFUNCTION("""COMPUTED_VALUE"""),"Diwali Post")</f>
        <v>Diwali Post</v>
      </c>
      <c r="O89" s="284">
        <f>IFERROR(__xludf.DUMMYFUNCTION("""COMPUTED_VALUE"""),45241.0)</f>
        <v>45241</v>
      </c>
      <c r="P89" s="165"/>
      <c r="Q89" s="165"/>
      <c r="R89" s="165"/>
      <c r="S89" s="165" t="str">
        <f>IFERROR(__xludf.DUMMYFUNCTION("""COMPUTED_VALUE"""),"Insta")</f>
        <v>Insta</v>
      </c>
      <c r="T89" s="165" t="str">
        <f>IFERROR(__xludf.DUMMYFUNCTION("""COMPUTED_VALUE"""),"Diwali Post")</f>
        <v>Diwali Post</v>
      </c>
      <c r="U89" s="284">
        <f>IFERROR(__xludf.DUMMYFUNCTION("""COMPUTED_VALUE"""),45241.0)</f>
        <v>45241</v>
      </c>
      <c r="V89" s="165"/>
      <c r="W89" s="165"/>
      <c r="X89" s="165" t="str">
        <f>IFERROR(__xludf.DUMMYFUNCTION("""COMPUTED_VALUE"""),"CC-MAC-06.02")</f>
        <v>CC-MAC-06.02</v>
      </c>
      <c r="Y89" s="285" t="str">
        <f>IFERROR(__xludf.DUMMYFUNCTION("""COMPUTED_VALUE"""),"Done")</f>
        <v>Done</v>
      </c>
      <c r="Z89" s="284">
        <f>IFERROR(__xludf.DUMMYFUNCTION("""COMPUTED_VALUE"""),45215.0)</f>
        <v>45215</v>
      </c>
      <c r="AA89" s="165" t="str">
        <f>IFERROR(__xludf.DUMMYFUNCTION("""COMPUTED_VALUE"""),"Ibraheem")</f>
        <v>Ibraheem</v>
      </c>
      <c r="AB89" s="165" t="str">
        <f>IFERROR(__xludf.DUMMYFUNCTION("""COMPUTED_VALUE"""),"Shoot")</f>
        <v>Shoot</v>
      </c>
      <c r="AC89" s="165"/>
      <c r="AD89" s="165"/>
      <c r="AE89" s="165"/>
      <c r="AF89" s="165"/>
      <c r="AG89" s="165"/>
      <c r="AH89" s="165"/>
      <c r="AI89" s="165"/>
      <c r="AJ89" s="165"/>
      <c r="AK89" s="165"/>
      <c r="AL89" s="165"/>
    </row>
    <row r="90">
      <c r="A90" s="165"/>
      <c r="B90" s="165"/>
      <c r="C90" s="165"/>
      <c r="D90" s="165"/>
      <c r="E90" s="292"/>
      <c r="F90" s="277"/>
      <c r="G90" s="165"/>
      <c r="H90" s="277"/>
      <c r="I90" s="277"/>
      <c r="J90" s="165"/>
      <c r="K90" s="165"/>
      <c r="L90" s="165"/>
      <c r="M90" s="165" t="str">
        <f>IFERROR(__xludf.DUMMYFUNCTION("""COMPUTED_VALUE"""),"Insta")</f>
        <v>Insta</v>
      </c>
      <c r="N90" s="165" t="str">
        <f>IFERROR(__xludf.DUMMYFUNCTION("""COMPUTED_VALUE"""),"RTX 4070 iCHILL - Feature")</f>
        <v>RTX 4070 iCHILL - Feature</v>
      </c>
      <c r="O90" s="284">
        <f>IFERROR(__xludf.DUMMYFUNCTION("""COMPUTED_VALUE"""),45229.0)</f>
        <v>45229</v>
      </c>
      <c r="P90" s="165"/>
      <c r="Q90" s="165"/>
      <c r="R90" s="165"/>
      <c r="S90" s="165" t="str">
        <f>IFERROR(__xludf.DUMMYFUNCTION("""COMPUTED_VALUE"""),"Insta")</f>
        <v>Insta</v>
      </c>
      <c r="T90" s="165" t="str">
        <f>IFERROR(__xludf.DUMMYFUNCTION("""COMPUTED_VALUE"""),"RTX 4070 iCHILL - Feature")</f>
        <v>RTX 4070 iCHILL - Feature</v>
      </c>
      <c r="U90" s="284">
        <f>IFERROR(__xludf.DUMMYFUNCTION("""COMPUTED_VALUE"""),45229.0)</f>
        <v>45229</v>
      </c>
      <c r="V90" s="165"/>
      <c r="W90" s="165"/>
      <c r="X90" s="165" t="str">
        <f>IFERROR(__xludf.DUMMYFUNCTION("""COMPUTED_VALUE"""),"PM-MAC-01.03")</f>
        <v>PM-MAC-01.03</v>
      </c>
      <c r="Y90" s="285" t="str">
        <f>IFERROR(__xludf.DUMMYFUNCTION("""COMPUTED_VALUE"""),"Done")</f>
        <v>Done</v>
      </c>
      <c r="Z90" s="284">
        <f>IFERROR(__xludf.DUMMYFUNCTION("""COMPUTED_VALUE"""),45215.0)</f>
        <v>45215</v>
      </c>
      <c r="AA90" s="165" t="str">
        <f>IFERROR(__xludf.DUMMYFUNCTION("""COMPUTED_VALUE"""),"Nasser")</f>
        <v>Nasser</v>
      </c>
      <c r="AB90" s="165" t="str">
        <f>IFERROR(__xludf.DUMMYFUNCTION("""COMPUTED_VALUE"""),"Write-Up")</f>
        <v>Write-Up</v>
      </c>
      <c r="AC90" s="165"/>
      <c r="AD90" s="165"/>
      <c r="AE90" s="165"/>
      <c r="AF90" s="165"/>
      <c r="AG90" s="165"/>
      <c r="AH90" s="165"/>
      <c r="AI90" s="165"/>
      <c r="AJ90" s="165"/>
      <c r="AK90" s="165"/>
      <c r="AL90" s="165"/>
    </row>
    <row r="91">
      <c r="A91" s="165"/>
      <c r="B91" s="165"/>
      <c r="C91" s="165"/>
      <c r="D91" s="165"/>
      <c r="E91" s="292"/>
      <c r="F91" s="277"/>
      <c r="G91" s="165"/>
      <c r="H91" s="277"/>
      <c r="I91" s="277"/>
      <c r="J91" s="165"/>
      <c r="K91" s="165"/>
      <c r="L91" s="165"/>
      <c r="M91" s="165" t="str">
        <f>IFERROR(__xludf.DUMMYFUNCTION("""COMPUTED_VALUE"""),"Insta")</f>
        <v>Insta</v>
      </c>
      <c r="N91" s="165" t="str">
        <f>IFERROR(__xludf.DUMMYFUNCTION("""COMPUTED_VALUE"""),"Further with AI - X3 OC")</f>
        <v>Further with AI - X3 OC</v>
      </c>
      <c r="O91" s="284">
        <f>IFERROR(__xludf.DUMMYFUNCTION("""COMPUTED_VALUE"""),45229.0)</f>
        <v>45229</v>
      </c>
      <c r="P91" s="165"/>
      <c r="Q91" s="165"/>
      <c r="R91" s="165"/>
      <c r="S91" s="165" t="str">
        <f>IFERROR(__xludf.DUMMYFUNCTION("""COMPUTED_VALUE"""),"Insta")</f>
        <v>Insta</v>
      </c>
      <c r="T91" s="165" t="str">
        <f>IFERROR(__xludf.DUMMYFUNCTION("""COMPUTED_VALUE"""),"Further with AI - X3 OC")</f>
        <v>Further with AI - X3 OC</v>
      </c>
      <c r="U91" s="284">
        <f>IFERROR(__xludf.DUMMYFUNCTION("""COMPUTED_VALUE"""),45229.0)</f>
        <v>45229</v>
      </c>
      <c r="V91" s="165"/>
      <c r="W91" s="165"/>
      <c r="X91" s="165" t="str">
        <f>IFERROR(__xludf.DUMMYFUNCTION("""COMPUTED_VALUE"""),"PM-MAC-01.05")</f>
        <v>PM-MAC-01.05</v>
      </c>
      <c r="Y91" s="285" t="str">
        <f>IFERROR(__xludf.DUMMYFUNCTION("""COMPUTED_VALUE"""),"Done")</f>
        <v>Done</v>
      </c>
      <c r="Z91" s="284">
        <f>IFERROR(__xludf.DUMMYFUNCTION("""COMPUTED_VALUE"""),45215.0)</f>
        <v>45215</v>
      </c>
      <c r="AA91" s="165" t="str">
        <f>IFERROR(__xludf.DUMMYFUNCTION("""COMPUTED_VALUE"""),"Nasser")</f>
        <v>Nasser</v>
      </c>
      <c r="AB91" s="165" t="str">
        <f>IFERROR(__xludf.DUMMYFUNCTION("""COMPUTED_VALUE"""),"Adonmo Ad")</f>
        <v>Adonmo Ad</v>
      </c>
      <c r="AC91" s="165"/>
      <c r="AD91" s="165"/>
      <c r="AE91" s="165"/>
      <c r="AF91" s="165"/>
      <c r="AG91" s="165"/>
      <c r="AH91" s="165"/>
      <c r="AI91" s="165"/>
      <c r="AJ91" s="165"/>
      <c r="AK91" s="165"/>
      <c r="AL91" s="165"/>
    </row>
    <row r="92">
      <c r="A92" s="165"/>
      <c r="B92" s="165"/>
      <c r="C92" s="165"/>
      <c r="D92" s="165"/>
      <c r="E92" s="292"/>
      <c r="F92" s="277"/>
      <c r="G92" s="165"/>
      <c r="H92" s="277"/>
      <c r="I92" s="277"/>
      <c r="J92" s="165"/>
      <c r="K92" s="165"/>
      <c r="L92" s="165"/>
      <c r="M92" s="165" t="str">
        <f>IFERROR(__xludf.DUMMYFUNCTION("""COMPUTED_VALUE"""),"Insta")</f>
        <v>Insta</v>
      </c>
      <c r="N92" s="165" t="str">
        <f>IFERROR(__xludf.DUMMYFUNCTION("""COMPUTED_VALUE"""),"Build Photo")</f>
        <v>Build Photo</v>
      </c>
      <c r="O92" s="284">
        <f>IFERROR(__xludf.DUMMYFUNCTION("""COMPUTED_VALUE"""),45231.0)</f>
        <v>45231</v>
      </c>
      <c r="P92" s="165"/>
      <c r="Q92" s="165"/>
      <c r="R92" s="165"/>
      <c r="S92" s="165" t="str">
        <f>IFERROR(__xludf.DUMMYFUNCTION("""COMPUTED_VALUE"""),"Insta")</f>
        <v>Insta</v>
      </c>
      <c r="T92" s="165" t="str">
        <f>IFERROR(__xludf.DUMMYFUNCTION("""COMPUTED_VALUE"""),"Build Photo")</f>
        <v>Build Photo</v>
      </c>
      <c r="U92" s="284">
        <f>IFERROR(__xludf.DUMMYFUNCTION("""COMPUTED_VALUE"""),45231.0)</f>
        <v>45231</v>
      </c>
      <c r="V92" s="165"/>
      <c r="W92" s="165"/>
      <c r="X92" s="165" t="str">
        <f>IFERROR(__xludf.DUMMYFUNCTION("""COMPUTED_VALUE"""),"PM-MYD-01.03")</f>
        <v>PM-MYD-01.03</v>
      </c>
      <c r="Y92" s="285" t="str">
        <f>IFERROR(__xludf.DUMMYFUNCTION("""COMPUTED_VALUE"""),"Done")</f>
        <v>Done</v>
      </c>
      <c r="Z92" s="284">
        <f>IFERROR(__xludf.DUMMYFUNCTION("""COMPUTED_VALUE"""),45215.0)</f>
        <v>45215</v>
      </c>
      <c r="AA92" s="165" t="str">
        <f>IFERROR(__xludf.DUMMYFUNCTION("""COMPUTED_VALUE"""),"Nasser")</f>
        <v>Nasser</v>
      </c>
      <c r="AB92" s="165" t="str">
        <f>IFERROR(__xludf.DUMMYFUNCTION("""COMPUTED_VALUE"""),"Options")</f>
        <v>Options</v>
      </c>
      <c r="AC92" s="165"/>
      <c r="AD92" s="165"/>
      <c r="AE92" s="165"/>
      <c r="AF92" s="165"/>
      <c r="AG92" s="165"/>
      <c r="AH92" s="165"/>
      <c r="AI92" s="165"/>
      <c r="AJ92" s="165"/>
      <c r="AK92" s="165"/>
      <c r="AL92" s="165"/>
    </row>
    <row r="93">
      <c r="A93" s="165"/>
      <c r="B93" s="165"/>
      <c r="C93" s="165"/>
      <c r="D93" s="165"/>
      <c r="E93" s="292"/>
      <c r="F93" s="277"/>
      <c r="G93" s="165"/>
      <c r="H93" s="277"/>
      <c r="I93" s="277"/>
      <c r="J93" s="165"/>
      <c r="K93" s="165"/>
      <c r="L93" s="165"/>
      <c r="M93" s="165" t="str">
        <f>IFERROR(__xludf.DUMMYFUNCTION("""COMPUTED_VALUE"""),"Shorts")</f>
        <v>Shorts</v>
      </c>
      <c r="N93" s="165" t="str">
        <f>IFERROR(__xludf.DUMMYFUNCTION("""COMPUTED_VALUE"""),"PC for Generative AI")</f>
        <v>PC for Generative AI</v>
      </c>
      <c r="O93" s="284">
        <f>IFERROR(__xludf.DUMMYFUNCTION("""COMPUTED_VALUE"""),45230.0)</f>
        <v>45230</v>
      </c>
      <c r="P93" s="165"/>
      <c r="Q93" s="165"/>
      <c r="R93" s="165"/>
      <c r="S93" s="165" t="str">
        <f>IFERROR(__xludf.DUMMYFUNCTION("""COMPUTED_VALUE"""),"Shorts")</f>
        <v>Shorts</v>
      </c>
      <c r="T93" s="165" t="str">
        <f>IFERROR(__xludf.DUMMYFUNCTION("""COMPUTED_VALUE"""),"PC for Generative AI")</f>
        <v>PC for Generative AI</v>
      </c>
      <c r="U93" s="284">
        <f>IFERROR(__xludf.DUMMYFUNCTION("""COMPUTED_VALUE"""),45230.0)</f>
        <v>45230</v>
      </c>
      <c r="V93" s="165"/>
      <c r="W93" s="165"/>
      <c r="X93" s="165" t="str">
        <f>IFERROR(__xludf.DUMMYFUNCTION("""COMPUTED_VALUE"""),"PM-MYD-01.04")</f>
        <v>PM-MYD-01.04</v>
      </c>
      <c r="Y93" s="285" t="str">
        <f>IFERROR(__xludf.DUMMYFUNCTION("""COMPUTED_VALUE"""),"Done")</f>
        <v>Done</v>
      </c>
      <c r="Z93" s="284">
        <f>IFERROR(__xludf.DUMMYFUNCTION("""COMPUTED_VALUE"""),45215.0)</f>
        <v>45215</v>
      </c>
      <c r="AA93" s="165" t="str">
        <f>IFERROR(__xludf.DUMMYFUNCTION("""COMPUTED_VALUE"""),"Nasser")</f>
        <v>Nasser</v>
      </c>
      <c r="AB93" s="165" t="str">
        <f>IFERROR(__xludf.DUMMYFUNCTION("""COMPUTED_VALUE"""),"Final Design")</f>
        <v>Final Design</v>
      </c>
      <c r="AC93" s="165"/>
      <c r="AD93" s="165"/>
      <c r="AE93" s="165"/>
      <c r="AF93" s="165"/>
      <c r="AG93" s="165"/>
      <c r="AH93" s="165"/>
      <c r="AI93" s="165"/>
      <c r="AJ93" s="165"/>
      <c r="AK93" s="165"/>
      <c r="AL93" s="165"/>
    </row>
    <row r="94">
      <c r="A94" s="165"/>
      <c r="B94" s="165"/>
      <c r="C94" s="165"/>
      <c r="D94" s="165"/>
      <c r="E94" s="292"/>
      <c r="F94" s="277"/>
      <c r="G94" s="165"/>
      <c r="H94" s="277"/>
      <c r="I94" s="277"/>
      <c r="J94" s="165"/>
      <c r="K94" s="165"/>
      <c r="L94" s="165"/>
      <c r="M94" s="165" t="str">
        <f>IFERROR(__xludf.DUMMYFUNCTION("""COMPUTED_VALUE"""),"Insta")</f>
        <v>Insta</v>
      </c>
      <c r="N94" s="165" t="str">
        <f>IFERROR(__xludf.DUMMYFUNCTION("""COMPUTED_VALUE"""),"Gaming Meme")</f>
        <v>Gaming Meme</v>
      </c>
      <c r="O94" s="284">
        <f>IFERROR(__xludf.DUMMYFUNCTION("""COMPUTED_VALUE"""),45231.0)</f>
        <v>45231</v>
      </c>
      <c r="P94" s="165"/>
      <c r="Q94" s="165"/>
      <c r="R94" s="165"/>
      <c r="S94" s="165" t="str">
        <f>IFERROR(__xludf.DUMMYFUNCTION("""COMPUTED_VALUE"""),"Insta")</f>
        <v>Insta</v>
      </c>
      <c r="T94" s="165" t="str">
        <f>IFERROR(__xludf.DUMMYFUNCTION("""COMPUTED_VALUE"""),"Gaming Meme")</f>
        <v>Gaming Meme</v>
      </c>
      <c r="U94" s="284">
        <f>IFERROR(__xludf.DUMMYFUNCTION("""COMPUTED_VALUE"""),45231.0)</f>
        <v>45231</v>
      </c>
      <c r="V94" s="165"/>
      <c r="W94" s="165"/>
      <c r="X94" s="165" t="str">
        <f>IFERROR(__xludf.DUMMYFUNCTION("""COMPUTED_VALUE"""),"PM-PTS-05.05")</f>
        <v>PM-PTS-05.05</v>
      </c>
      <c r="Y94" s="285" t="str">
        <f>IFERROR(__xludf.DUMMYFUNCTION("""COMPUTED_VALUE"""),"Done")</f>
        <v>Done</v>
      </c>
      <c r="Z94" s="284">
        <f>IFERROR(__xludf.DUMMYFUNCTION("""COMPUTED_VALUE"""),45215.0)</f>
        <v>45215</v>
      </c>
      <c r="AA94" s="165" t="str">
        <f>IFERROR(__xludf.DUMMYFUNCTION("""COMPUTED_VALUE"""),"Talha")</f>
        <v>Talha</v>
      </c>
      <c r="AB94" s="165" t="str">
        <f>IFERROR(__xludf.DUMMYFUNCTION("""COMPUTED_VALUE"""),"Barkery Ad Campaigns")</f>
        <v>Barkery Ad Campaigns</v>
      </c>
      <c r="AC94" s="165"/>
      <c r="AD94" s="165"/>
      <c r="AE94" s="165"/>
      <c r="AF94" s="165"/>
      <c r="AG94" s="165"/>
      <c r="AH94" s="165"/>
      <c r="AI94" s="165"/>
      <c r="AJ94" s="165"/>
      <c r="AK94" s="165"/>
      <c r="AL94" s="165"/>
    </row>
    <row r="95">
      <c r="A95" s="165"/>
      <c r="B95" s="165"/>
      <c r="C95" s="165"/>
      <c r="D95" s="165"/>
      <c r="E95" s="292"/>
      <c r="F95" s="277"/>
      <c r="G95" s="165"/>
      <c r="H95" s="277"/>
      <c r="I95" s="277"/>
      <c r="J95" s="165"/>
      <c r="K95" s="165"/>
      <c r="L95" s="165"/>
      <c r="M95" s="165" t="str">
        <f>IFERROR(__xludf.DUMMYFUNCTION("""COMPUTED_VALUE"""),"Insta")</f>
        <v>Insta</v>
      </c>
      <c r="N95" s="165" t="str">
        <f>IFERROR(__xludf.DUMMYFUNCTION("""COMPUTED_VALUE"""),"Product Photo")</f>
        <v>Product Photo</v>
      </c>
      <c r="O95" s="284">
        <f>IFERROR(__xludf.DUMMYFUNCTION("""COMPUTED_VALUE"""),45232.0)</f>
        <v>45232</v>
      </c>
      <c r="P95" s="165"/>
      <c r="Q95" s="165"/>
      <c r="R95" s="165"/>
      <c r="S95" s="165" t="str">
        <f>IFERROR(__xludf.DUMMYFUNCTION("""COMPUTED_VALUE"""),"Insta")</f>
        <v>Insta</v>
      </c>
      <c r="T95" s="165" t="str">
        <f>IFERROR(__xludf.DUMMYFUNCTION("""COMPUTED_VALUE"""),"Product Photo")</f>
        <v>Product Photo</v>
      </c>
      <c r="U95" s="284">
        <f>IFERROR(__xludf.DUMMYFUNCTION("""COMPUTED_VALUE"""),45232.0)</f>
        <v>45232</v>
      </c>
      <c r="V95" s="165"/>
      <c r="W95" s="165"/>
      <c r="X95" s="165" t="str">
        <f>IFERROR(__xludf.DUMMYFUNCTION("""COMPUTED_VALUE"""),"CC-PTS-07.5")</f>
        <v>CC-PTS-07.5</v>
      </c>
      <c r="Y95" s="285" t="str">
        <f>IFERROR(__xludf.DUMMYFUNCTION("""COMPUTED_VALUE"""),"Done")</f>
        <v>Done</v>
      </c>
      <c r="Z95" s="284">
        <f>IFERROR(__xludf.DUMMYFUNCTION("""COMPUTED_VALUE"""),45216.0)</f>
        <v>45216</v>
      </c>
      <c r="AA95" s="165" t="str">
        <f>IFERROR(__xludf.DUMMYFUNCTION("""COMPUTED_VALUE"""),"Nasser")</f>
        <v>Nasser</v>
      </c>
      <c r="AB95" s="165" t="str">
        <f>IFERROR(__xludf.DUMMYFUNCTION("""COMPUTED_VALUE"""),"Clean Up")</f>
        <v>Clean Up</v>
      </c>
      <c r="AC95" s="165"/>
      <c r="AD95" s="165"/>
      <c r="AE95" s="165"/>
      <c r="AF95" s="165"/>
      <c r="AG95" s="165"/>
      <c r="AH95" s="165"/>
      <c r="AI95" s="165"/>
      <c r="AJ95" s="165"/>
      <c r="AK95" s="165"/>
      <c r="AL95" s="165"/>
    </row>
    <row r="96">
      <c r="A96" s="165"/>
      <c r="B96" s="165"/>
      <c r="C96" s="165"/>
      <c r="D96" s="165"/>
      <c r="E96" s="292"/>
      <c r="F96" s="277"/>
      <c r="G96" s="165"/>
      <c r="H96" s="277"/>
      <c r="I96" s="277"/>
      <c r="J96" s="165"/>
      <c r="K96" s="165"/>
      <c r="L96" s="165"/>
      <c r="M96" s="165" t="str">
        <f>IFERROR(__xludf.DUMMYFUNCTION("""COMPUTED_VALUE"""),"Shorts")</f>
        <v>Shorts</v>
      </c>
      <c r="N96" s="165" t="str">
        <f>IFERROR(__xludf.DUMMYFUNCTION("""COMPUTED_VALUE"""),"Build Reel")</f>
        <v>Build Reel</v>
      </c>
      <c r="O96" s="284">
        <f>IFERROR(__xludf.DUMMYFUNCTION("""COMPUTED_VALUE"""),45233.0)</f>
        <v>45233</v>
      </c>
      <c r="P96" s="165"/>
      <c r="Q96" s="165"/>
      <c r="R96" s="165"/>
      <c r="S96" s="165" t="str">
        <f>IFERROR(__xludf.DUMMYFUNCTION("""COMPUTED_VALUE"""),"Shorts")</f>
        <v>Shorts</v>
      </c>
      <c r="T96" s="165" t="str">
        <f>IFERROR(__xludf.DUMMYFUNCTION("""COMPUTED_VALUE"""),"Build Reel")</f>
        <v>Build Reel</v>
      </c>
      <c r="U96" s="284">
        <f>IFERROR(__xludf.DUMMYFUNCTION("""COMPUTED_VALUE"""),45233.0)</f>
        <v>45233</v>
      </c>
      <c r="V96" s="165"/>
      <c r="W96" s="165"/>
      <c r="X96" s="165" t="str">
        <f>IFERROR(__xludf.DUMMYFUNCTION("""COMPUTED_VALUE"""),"CC-PTS-07.6")</f>
        <v>CC-PTS-07.6</v>
      </c>
      <c r="Y96" s="285" t="str">
        <f>IFERROR(__xludf.DUMMYFUNCTION("""COMPUTED_VALUE"""),"Done")</f>
        <v>Done</v>
      </c>
      <c r="Z96" s="284">
        <f>IFERROR(__xludf.DUMMYFUNCTION("""COMPUTED_VALUE"""),45216.0)</f>
        <v>45216</v>
      </c>
      <c r="AA96" s="165" t="str">
        <f>IFERROR(__xludf.DUMMYFUNCTION("""COMPUTED_VALUE"""),"Nasser")</f>
        <v>Nasser</v>
      </c>
      <c r="AB96" s="165" t="str">
        <f>IFERROR(__xludf.DUMMYFUNCTION("""COMPUTED_VALUE"""),"Upload")</f>
        <v>Upload</v>
      </c>
      <c r="AC96" s="165"/>
      <c r="AD96" s="165"/>
      <c r="AE96" s="165"/>
      <c r="AF96" s="165"/>
      <c r="AG96" s="165"/>
      <c r="AH96" s="165"/>
      <c r="AI96" s="165"/>
      <c r="AJ96" s="165"/>
      <c r="AK96" s="165"/>
      <c r="AL96" s="165"/>
    </row>
    <row r="97">
      <c r="A97" s="165"/>
      <c r="B97" s="165"/>
      <c r="C97" s="165"/>
      <c r="D97" s="165"/>
      <c r="E97" s="292"/>
      <c r="F97" s="277"/>
      <c r="G97" s="165"/>
      <c r="H97" s="277"/>
      <c r="I97" s="277"/>
      <c r="J97" s="165"/>
      <c r="K97" s="165"/>
      <c r="L97" s="165"/>
      <c r="M97" s="165" t="str">
        <f>IFERROR(__xludf.DUMMYFUNCTION("""COMPUTED_VALUE"""),"Insta")</f>
        <v>Insta</v>
      </c>
      <c r="N97" s="165" t="str">
        <f>IFERROR(__xludf.DUMMYFUNCTION("""COMPUTED_VALUE"""),"Call of duty 3 ")</f>
        <v>Call of duty 3 </v>
      </c>
      <c r="O97" s="284">
        <f>IFERROR(__xludf.DUMMYFUNCTION("""COMPUTED_VALUE"""),45234.0)</f>
        <v>45234</v>
      </c>
      <c r="P97" s="165"/>
      <c r="Q97" s="165"/>
      <c r="R97" s="165"/>
      <c r="S97" s="165" t="str">
        <f>IFERROR(__xludf.DUMMYFUNCTION("""COMPUTED_VALUE"""),"Insta")</f>
        <v>Insta</v>
      </c>
      <c r="T97" s="165" t="str">
        <f>IFERROR(__xludf.DUMMYFUNCTION("""COMPUTED_VALUE"""),"Call of duty 3 ")</f>
        <v>Call of duty 3 </v>
      </c>
      <c r="U97" s="284">
        <f>IFERROR(__xludf.DUMMYFUNCTION("""COMPUTED_VALUE"""),45234.0)</f>
        <v>45234</v>
      </c>
      <c r="V97" s="165"/>
      <c r="W97" s="165"/>
      <c r="X97" s="165" t="str">
        <f>IFERROR(__xludf.DUMMYFUNCTION("""COMPUTED_VALUE"""),"CC-PTS-09.4")</f>
        <v>CC-PTS-09.4</v>
      </c>
      <c r="Y97" s="285" t="str">
        <f>IFERROR(__xludf.DUMMYFUNCTION("""COMPUTED_VALUE"""),"Done")</f>
        <v>Done</v>
      </c>
      <c r="Z97" s="284">
        <f>IFERROR(__xludf.DUMMYFUNCTION("""COMPUTED_VALUE"""),45216.0)</f>
        <v>45216</v>
      </c>
      <c r="AA97" s="165" t="str">
        <f>IFERROR(__xludf.DUMMYFUNCTION("""COMPUTED_VALUE"""),"Nasser")</f>
        <v>Nasser</v>
      </c>
      <c r="AB97" s="165" t="str">
        <f>IFERROR(__xludf.DUMMYFUNCTION("""COMPUTED_VALUE"""),"Blog Upload")</f>
        <v>Blog Upload</v>
      </c>
      <c r="AC97" s="165"/>
      <c r="AD97" s="165"/>
      <c r="AE97" s="165"/>
      <c r="AF97" s="165"/>
      <c r="AG97" s="165"/>
      <c r="AH97" s="165"/>
      <c r="AI97" s="165"/>
      <c r="AJ97" s="165"/>
      <c r="AK97" s="165"/>
      <c r="AL97" s="165"/>
    </row>
    <row r="98">
      <c r="A98" s="165"/>
      <c r="B98" s="165"/>
      <c r="C98" s="165"/>
      <c r="D98" s="165"/>
      <c r="E98" s="292"/>
      <c r="F98" s="277"/>
      <c r="G98" s="165"/>
      <c r="H98" s="277"/>
      <c r="I98" s="277"/>
      <c r="J98" s="165"/>
      <c r="K98" s="165"/>
      <c r="L98" s="165"/>
      <c r="M98" s="165" t="str">
        <f>IFERROR(__xludf.DUMMYFUNCTION("""COMPUTED_VALUE"""),"Insta")</f>
        <v>Insta</v>
      </c>
      <c r="N98" s="165" t="str">
        <f>IFERROR(__xludf.DUMMYFUNCTION("""COMPUTED_VALUE"""),"This or that? - Assassins Creed Mirage")</f>
        <v>This or that? - Assassins Creed Mirage</v>
      </c>
      <c r="O98" s="284">
        <f>IFERROR(__xludf.DUMMYFUNCTION("""COMPUTED_VALUE"""),45235.0)</f>
        <v>45235</v>
      </c>
      <c r="P98" s="165"/>
      <c r="Q98" s="165"/>
      <c r="R98" s="165"/>
      <c r="S98" s="165" t="str">
        <f>IFERROR(__xludf.DUMMYFUNCTION("""COMPUTED_VALUE"""),"Insta")</f>
        <v>Insta</v>
      </c>
      <c r="T98" s="165" t="str">
        <f>IFERROR(__xludf.DUMMYFUNCTION("""COMPUTED_VALUE"""),"This or that? - Assassins Creed Mirage")</f>
        <v>This or that? - Assassins Creed Mirage</v>
      </c>
      <c r="U98" s="284">
        <f>IFERROR(__xludf.DUMMYFUNCTION("""COMPUTED_VALUE"""),45235.0)</f>
        <v>45235</v>
      </c>
      <c r="V98" s="165"/>
      <c r="W98" s="165"/>
      <c r="X98" s="165" t="str">
        <f>IFERROR(__xludf.DUMMYFUNCTION("""COMPUTED_VALUE"""),"CC-MAC-01.02")</f>
        <v>CC-MAC-01.02</v>
      </c>
      <c r="Y98" s="285" t="str">
        <f>IFERROR(__xludf.DUMMYFUNCTION("""COMPUTED_VALUE"""),"Done")</f>
        <v>Done</v>
      </c>
      <c r="Z98" s="284">
        <f>IFERROR(__xludf.DUMMYFUNCTION("""COMPUTED_VALUE"""),45216.0)</f>
        <v>45216</v>
      </c>
      <c r="AA98" s="165" t="str">
        <f>IFERROR(__xludf.DUMMYFUNCTION("""COMPUTED_VALUE"""),"Ibraheem")</f>
        <v>Ibraheem</v>
      </c>
      <c r="AB98" s="165" t="str">
        <f>IFERROR(__xludf.DUMMYFUNCTION("""COMPUTED_VALUE"""),"Shoot")</f>
        <v>Shoot</v>
      </c>
      <c r="AC98" s="165"/>
      <c r="AD98" s="165"/>
      <c r="AE98" s="165"/>
      <c r="AF98" s="165"/>
      <c r="AG98" s="165"/>
      <c r="AH98" s="165"/>
      <c r="AI98" s="165"/>
      <c r="AJ98" s="165"/>
      <c r="AK98" s="165"/>
      <c r="AL98" s="165"/>
    </row>
    <row r="99">
      <c r="A99" s="165"/>
      <c r="B99" s="165"/>
      <c r="C99" s="165"/>
      <c r="D99" s="165"/>
      <c r="E99" s="292"/>
      <c r="F99" s="277"/>
      <c r="G99" s="165"/>
      <c r="H99" s="277"/>
      <c r="I99" s="277"/>
      <c r="J99" s="165"/>
      <c r="K99" s="165"/>
      <c r="L99" s="165"/>
      <c r="M99" s="165" t="str">
        <f>IFERROR(__xludf.DUMMYFUNCTION("""COMPUTED_VALUE"""),"Insta")</f>
        <v>Insta</v>
      </c>
      <c r="N99" s="165" t="str">
        <f>IFERROR(__xludf.DUMMYFUNCTION("""COMPUTED_VALUE"""),"Product feature 4070 Twin")</f>
        <v>Product feature 4070 Twin</v>
      </c>
      <c r="O99" s="284">
        <f>IFERROR(__xludf.DUMMYFUNCTION("""COMPUTED_VALUE"""),45237.0)</f>
        <v>45237</v>
      </c>
      <c r="P99" s="165"/>
      <c r="Q99" s="165"/>
      <c r="R99" s="165"/>
      <c r="S99" s="165" t="str">
        <f>IFERROR(__xludf.DUMMYFUNCTION("""COMPUTED_VALUE"""),"Insta")</f>
        <v>Insta</v>
      </c>
      <c r="T99" s="165" t="str">
        <f>IFERROR(__xludf.DUMMYFUNCTION("""COMPUTED_VALUE"""),"Product feature 4070 Twin")</f>
        <v>Product feature 4070 Twin</v>
      </c>
      <c r="U99" s="284">
        <f>IFERROR(__xludf.DUMMYFUNCTION("""COMPUTED_VALUE"""),45237.0)</f>
        <v>45237</v>
      </c>
      <c r="V99" s="165"/>
      <c r="W99" s="165"/>
      <c r="X99" s="165" t="str">
        <f>IFERROR(__xludf.DUMMYFUNCTION("""COMPUTED_VALUE"""),"CC-MVP-67.02")</f>
        <v>CC-MVP-67.02</v>
      </c>
      <c r="Y99" s="285" t="str">
        <f>IFERROR(__xludf.DUMMYFUNCTION("""COMPUTED_VALUE"""),"Done")</f>
        <v>Done</v>
      </c>
      <c r="Z99" s="284">
        <f>IFERROR(__xludf.DUMMYFUNCTION("""COMPUTED_VALUE"""),45217.0)</f>
        <v>45217</v>
      </c>
      <c r="AA99" s="165" t="str">
        <f>IFERROR(__xludf.DUMMYFUNCTION("""COMPUTED_VALUE"""),"Akhil")</f>
        <v>Akhil</v>
      </c>
      <c r="AB99" s="165" t="str">
        <f>IFERROR(__xludf.DUMMYFUNCTION("""COMPUTED_VALUE"""),"Shoot")</f>
        <v>Shoot</v>
      </c>
      <c r="AC99" s="165"/>
      <c r="AD99" s="165"/>
      <c r="AE99" s="165"/>
      <c r="AF99" s="165"/>
      <c r="AG99" s="165"/>
      <c r="AH99" s="165"/>
      <c r="AI99" s="165"/>
      <c r="AJ99" s="165"/>
      <c r="AK99" s="165"/>
      <c r="AL99" s="165"/>
    </row>
    <row r="100">
      <c r="A100" s="165"/>
      <c r="B100" s="165"/>
      <c r="C100" s="165"/>
      <c r="D100" s="165"/>
      <c r="E100" s="292"/>
      <c r="F100" s="277"/>
      <c r="G100" s="165"/>
      <c r="H100" s="277"/>
      <c r="I100" s="277"/>
      <c r="J100" s="165"/>
      <c r="K100" s="165"/>
      <c r="L100" s="165"/>
      <c r="M100" s="165" t="str">
        <f>IFERROR(__xludf.DUMMYFUNCTION("""COMPUTED_VALUE"""),"Insta")</f>
        <v>Insta</v>
      </c>
      <c r="N100" s="165" t="str">
        <f>IFERROR(__xludf.DUMMYFUNCTION("""COMPUTED_VALUE"""),"Build photo")</f>
        <v>Build photo</v>
      </c>
      <c r="O100" s="284">
        <f>IFERROR(__xludf.DUMMYFUNCTION("""COMPUTED_VALUE"""),45238.0)</f>
        <v>45238</v>
      </c>
      <c r="P100" s="165"/>
      <c r="Q100" s="165"/>
      <c r="R100" s="165"/>
      <c r="S100" s="165" t="str">
        <f>IFERROR(__xludf.DUMMYFUNCTION("""COMPUTED_VALUE"""),"Insta")</f>
        <v>Insta</v>
      </c>
      <c r="T100" s="165" t="str">
        <f>IFERROR(__xludf.DUMMYFUNCTION("""COMPUTED_VALUE"""),"Build photo")</f>
        <v>Build photo</v>
      </c>
      <c r="U100" s="284">
        <f>IFERROR(__xludf.DUMMYFUNCTION("""COMPUTED_VALUE"""),45238.0)</f>
        <v>45238</v>
      </c>
      <c r="V100" s="165"/>
      <c r="W100" s="165"/>
      <c r="X100" s="165" t="str">
        <f>IFERROR(__xludf.DUMMYFUNCTION("""COMPUTED_VALUE"""),"CC-NVI-07.05")</f>
        <v>CC-NVI-07.05</v>
      </c>
      <c r="Y100" s="285" t="str">
        <f>IFERROR(__xludf.DUMMYFUNCTION("""COMPUTED_VALUE"""),"Done")</f>
        <v>Done</v>
      </c>
      <c r="Z100" s="284">
        <f>IFERROR(__xludf.DUMMYFUNCTION("""COMPUTED_VALUE"""),45217.0)</f>
        <v>45217</v>
      </c>
      <c r="AA100" s="165" t="str">
        <f>IFERROR(__xludf.DUMMYFUNCTION("""COMPUTED_VALUE"""),"Freelancer")</f>
        <v>Freelancer</v>
      </c>
      <c r="AB100" s="165" t="str">
        <f>IFERROR(__xludf.DUMMYFUNCTION("""COMPUTED_VALUE"""),"Edit")</f>
        <v>Edit</v>
      </c>
      <c r="AC100" s="165"/>
      <c r="AD100" s="165"/>
      <c r="AE100" s="165"/>
      <c r="AF100" s="165"/>
      <c r="AG100" s="165"/>
      <c r="AH100" s="165"/>
      <c r="AI100" s="165"/>
      <c r="AJ100" s="165"/>
      <c r="AK100" s="165"/>
      <c r="AL100" s="165"/>
    </row>
    <row r="101">
      <c r="A101" s="165"/>
      <c r="B101" s="165"/>
      <c r="C101" s="165"/>
      <c r="D101" s="165"/>
      <c r="E101" s="292"/>
      <c r="F101" s="277"/>
      <c r="G101" s="165"/>
      <c r="H101" s="277"/>
      <c r="I101" s="277"/>
      <c r="J101" s="165"/>
      <c r="K101" s="165"/>
      <c r="L101" s="165"/>
      <c r="M101" s="165" t="str">
        <f>IFERROR(__xludf.DUMMYFUNCTION("""COMPUTED_VALUE"""),"Insta")</f>
        <v>Insta</v>
      </c>
      <c r="N101" s="165" t="str">
        <f>IFERROR(__xludf.DUMMYFUNCTION("""COMPUTED_VALUE"""),"COD MW3")</f>
        <v>COD MW3</v>
      </c>
      <c r="O101" s="284">
        <f>IFERROR(__xludf.DUMMYFUNCTION("""COMPUTED_VALUE"""),45239.0)</f>
        <v>45239</v>
      </c>
      <c r="P101" s="165"/>
      <c r="Q101" s="165"/>
      <c r="R101" s="165"/>
      <c r="S101" s="165" t="str">
        <f>IFERROR(__xludf.DUMMYFUNCTION("""COMPUTED_VALUE"""),"Insta")</f>
        <v>Insta</v>
      </c>
      <c r="T101" s="165" t="str">
        <f>IFERROR(__xludf.DUMMYFUNCTION("""COMPUTED_VALUE"""),"COD MW3")</f>
        <v>COD MW3</v>
      </c>
      <c r="U101" s="284">
        <f>IFERROR(__xludf.DUMMYFUNCTION("""COMPUTED_VALUE"""),45239.0)</f>
        <v>45239</v>
      </c>
      <c r="V101" s="165"/>
      <c r="W101" s="165"/>
      <c r="X101" s="165" t="str">
        <f>IFERROR(__xludf.DUMMYFUNCTION("""COMPUTED_VALUE"""),"CC-MAC-02.04")</f>
        <v>CC-MAC-02.04</v>
      </c>
      <c r="Y101" s="285" t="str">
        <f>IFERROR(__xludf.DUMMYFUNCTION("""COMPUTED_VALUE"""),"Done")</f>
        <v>Done</v>
      </c>
      <c r="Z101" s="284">
        <f>IFERROR(__xludf.DUMMYFUNCTION("""COMPUTED_VALUE"""),45217.0)</f>
        <v>45217</v>
      </c>
      <c r="AA101" s="165" t="str">
        <f>IFERROR(__xludf.DUMMYFUNCTION("""COMPUTED_VALUE"""),"Akhil")</f>
        <v>Akhil</v>
      </c>
      <c r="AB101" s="165" t="str">
        <f>IFERROR(__xludf.DUMMYFUNCTION("""COMPUTED_VALUE"""),"Edit Template")</f>
        <v>Edit Template</v>
      </c>
      <c r="AC101" s="165"/>
      <c r="AD101" s="165"/>
      <c r="AE101" s="165"/>
      <c r="AF101" s="165"/>
      <c r="AG101" s="165"/>
      <c r="AH101" s="165"/>
      <c r="AI101" s="165"/>
      <c r="AJ101" s="165"/>
      <c r="AK101" s="165"/>
      <c r="AL101" s="165"/>
    </row>
    <row r="102">
      <c r="A102" s="165"/>
      <c r="B102" s="165"/>
      <c r="C102" s="165"/>
      <c r="D102" s="165"/>
      <c r="E102" s="292"/>
      <c r="F102" s="277"/>
      <c r="G102" s="165"/>
      <c r="H102" s="277"/>
      <c r="I102" s="277"/>
      <c r="J102" s="165"/>
      <c r="K102" s="165"/>
      <c r="L102" s="165"/>
      <c r="M102" s="165" t="str">
        <f>IFERROR(__xludf.DUMMYFUNCTION("""COMPUTED_VALUE"""),"Insta")</f>
        <v>Insta</v>
      </c>
      <c r="N102" s="165" t="str">
        <f>IFERROR(__xludf.DUMMYFUNCTION("""COMPUTED_VALUE"""),"Imagine you have limitless budget")</f>
        <v>Imagine you have limitless budget</v>
      </c>
      <c r="O102" s="284">
        <f>IFERROR(__xludf.DUMMYFUNCTION("""COMPUTED_VALUE"""),45239.0)</f>
        <v>45239</v>
      </c>
      <c r="P102" s="165"/>
      <c r="Q102" s="165"/>
      <c r="R102" s="165"/>
      <c r="S102" s="165" t="str">
        <f>IFERROR(__xludf.DUMMYFUNCTION("""COMPUTED_VALUE"""),"Insta")</f>
        <v>Insta</v>
      </c>
      <c r="T102" s="165" t="str">
        <f>IFERROR(__xludf.DUMMYFUNCTION("""COMPUTED_VALUE"""),"Imagine you have limitless budget")</f>
        <v>Imagine you have limitless budget</v>
      </c>
      <c r="U102" s="284">
        <f>IFERROR(__xludf.DUMMYFUNCTION("""COMPUTED_VALUE"""),45239.0)</f>
        <v>45239</v>
      </c>
      <c r="V102" s="165"/>
      <c r="W102" s="165"/>
      <c r="X102" s="165" t="str">
        <f>IFERROR(__xludf.DUMMYFUNCTION("""COMPUTED_VALUE"""),"PM-INN-01.01")</f>
        <v>PM-INN-01.01</v>
      </c>
      <c r="Y102" s="285" t="str">
        <f>IFERROR(__xludf.DUMMYFUNCTION("""COMPUTED_VALUE"""),"Done")</f>
        <v>Done</v>
      </c>
      <c r="Z102" s="284">
        <f>IFERROR(__xludf.DUMMYFUNCTION("""COMPUTED_VALUE"""),45217.0)</f>
        <v>45217</v>
      </c>
      <c r="AA102" s="165" t="str">
        <f>IFERROR(__xludf.DUMMYFUNCTION("""COMPUTED_VALUE"""),"Naveen")</f>
        <v>Naveen</v>
      </c>
      <c r="AB102" s="165" t="str">
        <f>IFERROR(__xludf.DUMMYFUNCTION("""COMPUTED_VALUE"""),"Landing Page")</f>
        <v>Landing Page</v>
      </c>
      <c r="AC102" s="165"/>
      <c r="AD102" s="165"/>
      <c r="AE102" s="165"/>
      <c r="AF102" s="165"/>
      <c r="AG102" s="165"/>
      <c r="AH102" s="165"/>
      <c r="AI102" s="165"/>
      <c r="AJ102" s="165"/>
      <c r="AK102" s="165"/>
      <c r="AL102" s="165"/>
    </row>
    <row r="103">
      <c r="A103" s="165"/>
      <c r="B103" s="165"/>
      <c r="C103" s="165"/>
      <c r="D103" s="165"/>
      <c r="E103" s="292"/>
      <c r="F103" s="277"/>
      <c r="G103" s="165"/>
      <c r="H103" s="277"/>
      <c r="I103" s="277"/>
      <c r="J103" s="165"/>
      <c r="K103" s="165"/>
      <c r="L103" s="165"/>
      <c r="M103" s="165" t="str">
        <f>IFERROR(__xludf.DUMMYFUNCTION("""COMPUTED_VALUE"""),"Shorts")</f>
        <v>Shorts</v>
      </c>
      <c r="N103" s="165" t="str">
        <f>IFERROR(__xludf.DUMMYFUNCTION("""COMPUTED_VALUE"""),"Troubleshoot GPU issues")</f>
        <v>Troubleshoot GPU issues</v>
      </c>
      <c r="O103" s="284">
        <f>IFERROR(__xludf.DUMMYFUNCTION("""COMPUTED_VALUE"""),45240.0)</f>
        <v>45240</v>
      </c>
      <c r="P103" s="165"/>
      <c r="Q103" s="165"/>
      <c r="R103" s="165"/>
      <c r="S103" s="165" t="str">
        <f>IFERROR(__xludf.DUMMYFUNCTION("""COMPUTED_VALUE"""),"Shorts")</f>
        <v>Shorts</v>
      </c>
      <c r="T103" s="165" t="str">
        <f>IFERROR(__xludf.DUMMYFUNCTION("""COMPUTED_VALUE"""),"Troubleshoot GPU issues")</f>
        <v>Troubleshoot GPU issues</v>
      </c>
      <c r="U103" s="284">
        <f>IFERROR(__xludf.DUMMYFUNCTION("""COMPUTED_VALUE"""),45240.0)</f>
        <v>45240</v>
      </c>
      <c r="V103" s="165"/>
      <c r="W103" s="165"/>
      <c r="X103" s="165" t="str">
        <f>IFERROR(__xludf.DUMMYFUNCTION("""COMPUTED_VALUE"""),"PM-PTS-07.01")</f>
        <v>PM-PTS-07.01</v>
      </c>
      <c r="Y103" s="285" t="str">
        <f>IFERROR(__xludf.DUMMYFUNCTION("""COMPUTED_VALUE"""),"Done")</f>
        <v>Done</v>
      </c>
      <c r="Z103" s="284">
        <f>IFERROR(__xludf.DUMMYFUNCTION("""COMPUTED_VALUE"""),45217.0)</f>
        <v>45217</v>
      </c>
      <c r="AA103" s="165" t="str">
        <f>IFERROR(__xludf.DUMMYFUNCTION("""COMPUTED_VALUE"""),"Nasser")</f>
        <v>Nasser</v>
      </c>
      <c r="AB103" s="165" t="str">
        <f>IFERROR(__xludf.DUMMYFUNCTION("""COMPUTED_VALUE"""),"Script")</f>
        <v>Script</v>
      </c>
      <c r="AC103" s="165"/>
      <c r="AD103" s="165"/>
      <c r="AE103" s="165"/>
      <c r="AF103" s="165"/>
      <c r="AG103" s="165"/>
      <c r="AH103" s="165"/>
      <c r="AI103" s="165"/>
      <c r="AJ103" s="165"/>
      <c r="AK103" s="165"/>
      <c r="AL103" s="165"/>
    </row>
    <row r="104">
      <c r="A104" s="165"/>
      <c r="B104" s="165"/>
      <c r="C104" s="165"/>
      <c r="D104" s="165"/>
      <c r="E104" s="292"/>
      <c r="F104" s="277"/>
      <c r="G104" s="165"/>
      <c r="H104" s="277"/>
      <c r="I104" s="277"/>
      <c r="J104" s="165"/>
      <c r="K104" s="165"/>
      <c r="L104" s="165"/>
      <c r="M104" s="165" t="str">
        <f>IFERROR(__xludf.DUMMYFUNCTION("""COMPUTED_VALUE"""),"Insta")</f>
        <v>Insta</v>
      </c>
      <c r="N104" s="165" t="str">
        <f>IFERROR(__xludf.DUMMYFUNCTION("""COMPUTED_VALUE"""),"Diwali Post")</f>
        <v>Diwali Post</v>
      </c>
      <c r="O104" s="284">
        <f>IFERROR(__xludf.DUMMYFUNCTION("""COMPUTED_VALUE"""),45241.0)</f>
        <v>45241</v>
      </c>
      <c r="P104" s="165"/>
      <c r="Q104" s="165"/>
      <c r="R104" s="165"/>
      <c r="S104" s="165" t="str">
        <f>IFERROR(__xludf.DUMMYFUNCTION("""COMPUTED_VALUE"""),"Insta")</f>
        <v>Insta</v>
      </c>
      <c r="T104" s="165" t="str">
        <f>IFERROR(__xludf.DUMMYFUNCTION("""COMPUTED_VALUE"""),"Diwali Post")</f>
        <v>Diwali Post</v>
      </c>
      <c r="U104" s="284">
        <f>IFERROR(__xludf.DUMMYFUNCTION("""COMPUTED_VALUE"""),45241.0)</f>
        <v>45241</v>
      </c>
      <c r="V104" s="165"/>
      <c r="W104" s="165"/>
      <c r="X104" s="165" t="str">
        <f>IFERROR(__xludf.DUMMYFUNCTION("""COMPUTED_VALUE"""),"PM-PTS-05.10")</f>
        <v>PM-PTS-05.10</v>
      </c>
      <c r="Y104" s="285" t="str">
        <f>IFERROR(__xludf.DUMMYFUNCTION("""COMPUTED_VALUE"""),"Done")</f>
        <v>Done</v>
      </c>
      <c r="Z104" s="284">
        <f>IFERROR(__xludf.DUMMYFUNCTION("""COMPUTED_VALUE"""),45217.0)</f>
        <v>45217</v>
      </c>
      <c r="AA104" s="165" t="str">
        <f>IFERROR(__xludf.DUMMYFUNCTION("""COMPUTED_VALUE"""),"Nasser")</f>
        <v>Nasser</v>
      </c>
      <c r="AB104" s="165" t="str">
        <f>IFERROR(__xludf.DUMMYFUNCTION("""COMPUTED_VALUE"""),"Adobe Subscription")</f>
        <v>Adobe Subscription</v>
      </c>
      <c r="AC104" s="165"/>
      <c r="AD104" s="165"/>
      <c r="AE104" s="165"/>
      <c r="AF104" s="165"/>
      <c r="AG104" s="165"/>
      <c r="AH104" s="165"/>
      <c r="AI104" s="165"/>
      <c r="AJ104" s="165"/>
      <c r="AK104" s="165"/>
      <c r="AL104" s="165"/>
    </row>
    <row r="105">
      <c r="A105" s="165"/>
      <c r="B105" s="165"/>
      <c r="C105" s="165"/>
      <c r="D105" s="165"/>
      <c r="E105" s="292"/>
      <c r="F105" s="277"/>
      <c r="G105" s="165"/>
      <c r="H105" s="277"/>
      <c r="I105" s="277"/>
      <c r="J105" s="165"/>
      <c r="K105" s="165"/>
      <c r="L105" s="165"/>
      <c r="M105" s="165" t="str">
        <f>IFERROR(__xludf.DUMMYFUNCTION("""COMPUTED_VALUE"""),"Shorts")</f>
        <v>Shorts</v>
      </c>
      <c r="N105" s="165" t="str">
        <f>IFERROR(__xludf.DUMMYFUNCTION("""COMPUTED_VALUE"""),"NVIDIA RTX Video Super Resolution")</f>
        <v>NVIDIA RTX Video Super Resolution</v>
      </c>
      <c r="O105" s="284">
        <f>IFERROR(__xludf.DUMMYFUNCTION("""COMPUTED_VALUE"""),45243.0)</f>
        <v>45243</v>
      </c>
      <c r="P105" s="165"/>
      <c r="Q105" s="165"/>
      <c r="R105" s="165"/>
      <c r="S105" s="165" t="str">
        <f>IFERROR(__xludf.DUMMYFUNCTION("""COMPUTED_VALUE"""),"Shorts")</f>
        <v>Shorts</v>
      </c>
      <c r="T105" s="165" t="str">
        <f>IFERROR(__xludf.DUMMYFUNCTION("""COMPUTED_VALUE"""),"NVIDIA RTX Video Super Resolution")</f>
        <v>NVIDIA RTX Video Super Resolution</v>
      </c>
      <c r="U105" s="284">
        <f>IFERROR(__xludf.DUMMYFUNCTION("""COMPUTED_VALUE"""),45243.0)</f>
        <v>45243</v>
      </c>
      <c r="V105" s="165"/>
      <c r="W105" s="165"/>
      <c r="X105" s="165" t="str">
        <f>IFERROR(__xludf.DUMMYFUNCTION("""COMPUTED_VALUE"""),"PM-PTS-05.15")</f>
        <v>PM-PTS-05.15</v>
      </c>
      <c r="Y105" s="285" t="str">
        <f>IFERROR(__xludf.DUMMYFUNCTION("""COMPUTED_VALUE"""),"Done")</f>
        <v>Done</v>
      </c>
      <c r="Z105" s="284">
        <f>IFERROR(__xludf.DUMMYFUNCTION("""COMPUTED_VALUE"""),45217.0)</f>
        <v>45217</v>
      </c>
      <c r="AA105" s="165" t="str">
        <f>IFERROR(__xludf.DUMMYFUNCTION("""COMPUTED_VALUE"""),"Nasser")</f>
        <v>Nasser</v>
      </c>
      <c r="AB105" s="165" t="str">
        <f>IFERROR(__xludf.DUMMYFUNCTION("""COMPUTED_VALUE"""),"Clear NAS")</f>
        <v>Clear NAS</v>
      </c>
      <c r="AC105" s="165"/>
      <c r="AD105" s="165"/>
      <c r="AE105" s="165"/>
      <c r="AF105" s="165"/>
      <c r="AG105" s="165"/>
      <c r="AH105" s="165"/>
      <c r="AI105" s="165"/>
      <c r="AJ105" s="165"/>
      <c r="AK105" s="165"/>
      <c r="AL105" s="165"/>
    </row>
    <row r="106">
      <c r="A106" s="165"/>
      <c r="B106" s="165"/>
      <c r="C106" s="165"/>
      <c r="D106" s="165"/>
      <c r="E106" s="292"/>
      <c r="F106" s="277"/>
      <c r="G106" s="165"/>
      <c r="H106" s="277"/>
      <c r="I106" s="277"/>
      <c r="J106" s="165"/>
      <c r="K106" s="165"/>
      <c r="L106" s="165"/>
      <c r="M106" s="165" t="str">
        <f>IFERROR(__xludf.DUMMYFUNCTION("""COMPUTED_VALUE"""),"Shorts")</f>
        <v>Shorts</v>
      </c>
      <c r="N106" s="165" t="str">
        <f>IFERROR(__xludf.DUMMYFUNCTION("""COMPUTED_VALUE"""),"INNO3D TuneIT OC")</f>
        <v>INNO3D TuneIT OC</v>
      </c>
      <c r="O106" s="284">
        <f>IFERROR(__xludf.DUMMYFUNCTION("""COMPUTED_VALUE"""),45247.0)</f>
        <v>45247</v>
      </c>
      <c r="P106" s="165"/>
      <c r="Q106" s="165"/>
      <c r="R106" s="165"/>
      <c r="S106" s="165" t="str">
        <f>IFERROR(__xludf.DUMMYFUNCTION("""COMPUTED_VALUE"""),"Shorts")</f>
        <v>Shorts</v>
      </c>
      <c r="T106" s="165" t="str">
        <f>IFERROR(__xludf.DUMMYFUNCTION("""COMPUTED_VALUE"""),"INNO3D TuneIT OC")</f>
        <v>INNO3D TuneIT OC</v>
      </c>
      <c r="U106" s="284">
        <f>IFERROR(__xludf.DUMMYFUNCTION("""COMPUTED_VALUE"""),45247.0)</f>
        <v>45247</v>
      </c>
      <c r="V106" s="165"/>
      <c r="W106" s="165"/>
      <c r="X106" s="165" t="str">
        <f>IFERROR(__xludf.DUMMYFUNCTION("""COMPUTED_VALUE"""),"CC-MVP-36.01")</f>
        <v>CC-MVP-36.01</v>
      </c>
      <c r="Y106" s="285" t="str">
        <f>IFERROR(__xludf.DUMMYFUNCTION("""COMPUTED_VALUE"""),"Done")</f>
        <v>Done</v>
      </c>
      <c r="Z106" s="284">
        <f>IFERROR(__xludf.DUMMYFUNCTION("""COMPUTED_VALUE"""),45218.0)</f>
        <v>45218</v>
      </c>
      <c r="AA106" s="165" t="str">
        <f>IFERROR(__xludf.DUMMYFUNCTION("""COMPUTED_VALUE"""),"Tazeen")</f>
        <v>Tazeen</v>
      </c>
      <c r="AB106" s="165" t="str">
        <f>IFERROR(__xludf.DUMMYFUNCTION("""COMPUTED_VALUE"""),"Script")</f>
        <v>Script</v>
      </c>
      <c r="AC106" s="165"/>
      <c r="AD106" s="165"/>
      <c r="AE106" s="165"/>
      <c r="AF106" s="165"/>
      <c r="AG106" s="165"/>
      <c r="AH106" s="165"/>
      <c r="AI106" s="165"/>
      <c r="AJ106" s="165"/>
      <c r="AK106" s="165"/>
      <c r="AL106" s="165"/>
    </row>
    <row r="107">
      <c r="A107" s="165"/>
      <c r="B107" s="165"/>
      <c r="C107" s="165"/>
      <c r="D107" s="165"/>
      <c r="E107" s="292"/>
      <c r="F107" s="277"/>
      <c r="G107" s="165"/>
      <c r="H107" s="277"/>
      <c r="I107" s="277"/>
      <c r="J107" s="165"/>
      <c r="K107" s="165"/>
      <c r="L107" s="165"/>
      <c r="M107" s="165"/>
      <c r="N107" s="165"/>
      <c r="O107" s="165"/>
      <c r="P107" s="165"/>
      <c r="Q107" s="165"/>
      <c r="R107" s="165"/>
      <c r="S107" s="165"/>
      <c r="T107" s="165"/>
      <c r="U107" s="165"/>
      <c r="V107" s="165"/>
      <c r="W107" s="165"/>
      <c r="X107" s="165" t="str">
        <f>IFERROR(__xludf.DUMMYFUNCTION("""COMPUTED_VALUE"""),"CC-MAC-01.07")</f>
        <v>CC-MAC-01.07</v>
      </c>
      <c r="Y107" s="285" t="str">
        <f>IFERROR(__xludf.DUMMYFUNCTION("""COMPUTED_VALUE"""),"Done")</f>
        <v>Done</v>
      </c>
      <c r="Z107" s="284">
        <f>IFERROR(__xludf.DUMMYFUNCTION("""COMPUTED_VALUE"""),45218.0)</f>
        <v>45218</v>
      </c>
      <c r="AA107" s="165" t="str">
        <f>IFERROR(__xludf.DUMMYFUNCTION("""COMPUTED_VALUE"""),"Akhil")</f>
        <v>Akhil</v>
      </c>
      <c r="AB107" s="165" t="str">
        <f>IFERROR(__xludf.DUMMYFUNCTION("""COMPUTED_VALUE"""),"Upload")</f>
        <v>Upload</v>
      </c>
      <c r="AC107" s="165"/>
      <c r="AD107" s="165"/>
      <c r="AE107" s="165"/>
      <c r="AF107" s="165"/>
      <c r="AG107" s="165"/>
      <c r="AH107" s="165"/>
      <c r="AI107" s="165"/>
      <c r="AJ107" s="165"/>
      <c r="AK107" s="165"/>
      <c r="AL107" s="165"/>
    </row>
    <row r="108">
      <c r="A108" s="165"/>
      <c r="B108" s="165"/>
      <c r="C108" s="165"/>
      <c r="D108" s="165"/>
      <c r="E108" s="292"/>
      <c r="F108" s="277"/>
      <c r="G108" s="165"/>
      <c r="H108" s="277"/>
      <c r="I108" s="277"/>
      <c r="J108" s="165"/>
      <c r="K108" s="165"/>
      <c r="L108" s="165"/>
      <c r="M108" s="165"/>
      <c r="N108" s="165"/>
      <c r="O108" s="165"/>
      <c r="P108" s="165"/>
      <c r="Q108" s="165"/>
      <c r="R108" s="165"/>
      <c r="S108" s="165"/>
      <c r="T108" s="165"/>
      <c r="U108" s="165"/>
      <c r="V108" s="165"/>
      <c r="W108" s="165"/>
      <c r="X108" s="165" t="str">
        <f>IFERROR(__xludf.DUMMYFUNCTION("""COMPUTED_VALUE"""),"CC-MAC-10.02")</f>
        <v>CC-MAC-10.02</v>
      </c>
      <c r="Y108" s="285" t="str">
        <f>IFERROR(__xludf.DUMMYFUNCTION("""COMPUTED_VALUE"""),"Done")</f>
        <v>Done</v>
      </c>
      <c r="Z108" s="284">
        <f>IFERROR(__xludf.DUMMYFUNCTION("""COMPUTED_VALUE"""),45218.0)</f>
        <v>45218</v>
      </c>
      <c r="AA108" s="165" t="str">
        <f>IFERROR(__xludf.DUMMYFUNCTION("""COMPUTED_VALUE"""),"Akhil")</f>
        <v>Akhil</v>
      </c>
      <c r="AB108" s="165" t="str">
        <f>IFERROR(__xludf.DUMMYFUNCTION("""COMPUTED_VALUE"""),"Upload")</f>
        <v>Upload</v>
      </c>
      <c r="AC108" s="165"/>
      <c r="AD108" s="165"/>
      <c r="AE108" s="165"/>
      <c r="AF108" s="165"/>
      <c r="AG108" s="165"/>
      <c r="AH108" s="165"/>
      <c r="AI108" s="165"/>
      <c r="AJ108" s="165"/>
      <c r="AK108" s="165"/>
      <c r="AL108" s="165"/>
    </row>
    <row r="109">
      <c r="A109" s="165"/>
      <c r="B109" s="165"/>
      <c r="C109" s="165"/>
      <c r="D109" s="165"/>
      <c r="E109" s="292"/>
      <c r="F109" s="277"/>
      <c r="G109" s="165"/>
      <c r="H109" s="277"/>
      <c r="I109" s="277"/>
      <c r="J109" s="165"/>
      <c r="K109" s="165"/>
      <c r="L109" s="165"/>
      <c r="M109" s="165"/>
      <c r="N109" s="165"/>
      <c r="O109" s="165"/>
      <c r="P109" s="165"/>
      <c r="Q109" s="165"/>
      <c r="R109" s="165"/>
      <c r="S109" s="165"/>
      <c r="T109" s="165"/>
      <c r="U109" s="165"/>
      <c r="V109" s="165"/>
      <c r="W109" s="165"/>
      <c r="X109" s="165" t="str">
        <f>IFERROR(__xludf.DUMMYFUNCTION("""COMPUTED_VALUE"""),"CC-MAC-07.02")</f>
        <v>CC-MAC-07.02</v>
      </c>
      <c r="Y109" s="285" t="str">
        <f>IFERROR(__xludf.DUMMYFUNCTION("""COMPUTED_VALUE"""),"Done")</f>
        <v>Done</v>
      </c>
      <c r="Z109" s="284">
        <f>IFERROR(__xludf.DUMMYFUNCTION("""COMPUTED_VALUE"""),45218.0)</f>
        <v>45218</v>
      </c>
      <c r="AA109" s="165" t="str">
        <f>IFERROR(__xludf.DUMMYFUNCTION("""COMPUTED_VALUE"""),"Ibraheem")</f>
        <v>Ibraheem</v>
      </c>
      <c r="AB109" s="165" t="str">
        <f>IFERROR(__xludf.DUMMYFUNCTION("""COMPUTED_VALUE"""),"Shoot")</f>
        <v>Shoot</v>
      </c>
      <c r="AC109" s="165"/>
      <c r="AD109" s="165"/>
      <c r="AE109" s="165"/>
      <c r="AF109" s="165"/>
      <c r="AG109" s="165"/>
      <c r="AH109" s="165"/>
      <c r="AI109" s="165"/>
      <c r="AJ109" s="165"/>
      <c r="AK109" s="165"/>
      <c r="AL109" s="165"/>
    </row>
    <row r="110">
      <c r="A110" s="165"/>
      <c r="B110" s="165"/>
      <c r="C110" s="165"/>
      <c r="D110" s="165"/>
      <c r="E110" s="292"/>
      <c r="F110" s="277"/>
      <c r="G110" s="165"/>
      <c r="H110" s="277"/>
      <c r="I110" s="277"/>
      <c r="J110" s="165"/>
      <c r="K110" s="165"/>
      <c r="L110" s="165"/>
      <c r="M110" s="165"/>
      <c r="N110" s="165"/>
      <c r="O110" s="165"/>
      <c r="P110" s="165"/>
      <c r="Q110" s="165"/>
      <c r="R110" s="165"/>
      <c r="S110" s="165"/>
      <c r="T110" s="165"/>
      <c r="U110" s="165"/>
      <c r="V110" s="165"/>
      <c r="W110" s="165"/>
      <c r="X110" s="165" t="str">
        <f>IFERROR(__xludf.DUMMYFUNCTION("""COMPUTED_VALUE"""),"CC-MAC-04.04")</f>
        <v>CC-MAC-04.04</v>
      </c>
      <c r="Y110" s="285" t="str">
        <f>IFERROR(__xludf.DUMMYFUNCTION("""COMPUTED_VALUE"""),"Done")</f>
        <v>Done</v>
      </c>
      <c r="Z110" s="284">
        <f>IFERROR(__xludf.DUMMYFUNCTION("""COMPUTED_VALUE"""),45218.0)</f>
        <v>45218</v>
      </c>
      <c r="AA110" s="165" t="str">
        <f>IFERROR(__xludf.DUMMYFUNCTION("""COMPUTED_VALUE"""),"Akhil")</f>
        <v>Akhil</v>
      </c>
      <c r="AB110" s="165" t="str">
        <f>IFERROR(__xludf.DUMMYFUNCTION("""COMPUTED_VALUE"""),"Project Files")</f>
        <v>Project Files</v>
      </c>
      <c r="AC110" s="165"/>
      <c r="AD110" s="165"/>
      <c r="AE110" s="165"/>
      <c r="AF110" s="165"/>
      <c r="AG110" s="165"/>
      <c r="AH110" s="165"/>
      <c r="AI110" s="165"/>
      <c r="AJ110" s="165"/>
      <c r="AK110" s="165"/>
      <c r="AL110" s="165"/>
    </row>
    <row r="111">
      <c r="A111" s="165"/>
      <c r="B111" s="165"/>
      <c r="C111" s="165"/>
      <c r="D111" s="165"/>
      <c r="E111" s="292"/>
      <c r="F111" s="277"/>
      <c r="G111" s="165"/>
      <c r="H111" s="277"/>
      <c r="I111" s="277"/>
      <c r="J111" s="165"/>
      <c r="K111" s="165"/>
      <c r="L111" s="165"/>
      <c r="M111" s="165"/>
      <c r="N111" s="165"/>
      <c r="O111" s="165"/>
      <c r="P111" s="165"/>
      <c r="Q111" s="165"/>
      <c r="R111" s="165"/>
      <c r="S111" s="165"/>
      <c r="T111" s="165"/>
      <c r="U111" s="165"/>
      <c r="V111" s="165"/>
      <c r="W111" s="165"/>
      <c r="X111" s="165" t="str">
        <f>IFERROR(__xludf.DUMMYFUNCTION("""COMPUTED_VALUE"""),"PM-PTS-05.09")</f>
        <v>PM-PTS-05.09</v>
      </c>
      <c r="Y111" s="285" t="str">
        <f>IFERROR(__xludf.DUMMYFUNCTION("""COMPUTED_VALUE"""),"Done")</f>
        <v>Done</v>
      </c>
      <c r="Z111" s="284">
        <f>IFERROR(__xludf.DUMMYFUNCTION("""COMPUTED_VALUE"""),45218.0)</f>
        <v>45218</v>
      </c>
      <c r="AA111" s="165" t="str">
        <f>IFERROR(__xludf.DUMMYFUNCTION("""COMPUTED_VALUE"""),"Naveen")</f>
        <v>Naveen</v>
      </c>
      <c r="AB111" s="165" t="str">
        <f>IFERROR(__xludf.DUMMYFUNCTION("""COMPUTED_VALUE"""),"ChatGPT Workshop")</f>
        <v>ChatGPT Workshop</v>
      </c>
      <c r="AC111" s="165"/>
      <c r="AD111" s="165"/>
      <c r="AE111" s="165"/>
      <c r="AF111" s="165"/>
      <c r="AG111" s="165"/>
      <c r="AH111" s="165"/>
      <c r="AI111" s="165"/>
      <c r="AJ111" s="165"/>
      <c r="AK111" s="165"/>
      <c r="AL111" s="165"/>
    </row>
    <row r="112">
      <c r="A112" s="165"/>
      <c r="B112" s="165"/>
      <c r="C112" s="165"/>
      <c r="D112" s="165"/>
      <c r="E112" s="292"/>
      <c r="F112" s="277"/>
      <c r="G112" s="165"/>
      <c r="H112" s="277"/>
      <c r="I112" s="277"/>
      <c r="J112" s="165"/>
      <c r="K112" s="165"/>
      <c r="L112" s="165"/>
      <c r="M112" s="165"/>
      <c r="N112" s="165"/>
      <c r="O112" s="165"/>
      <c r="P112" s="165"/>
      <c r="Q112" s="165"/>
      <c r="R112" s="165"/>
      <c r="S112" s="165"/>
      <c r="T112" s="165"/>
      <c r="U112" s="165"/>
      <c r="V112" s="165"/>
      <c r="W112" s="165"/>
      <c r="X112" s="165" t="str">
        <f>IFERROR(__xludf.DUMMYFUNCTION("""COMPUTED_VALUE"""),"CC-MAC-11.02")</f>
        <v>CC-MAC-11.02</v>
      </c>
      <c r="Y112" s="285" t="str">
        <f>IFERROR(__xludf.DUMMYFUNCTION("""COMPUTED_VALUE"""),"Done")</f>
        <v>Done</v>
      </c>
      <c r="Z112" s="284">
        <f>IFERROR(__xludf.DUMMYFUNCTION("""COMPUTED_VALUE"""),45219.0)</f>
        <v>45219</v>
      </c>
      <c r="AA112" s="165" t="str">
        <f>IFERROR(__xludf.DUMMYFUNCTION("""COMPUTED_VALUE"""),"Akhil")</f>
        <v>Akhil</v>
      </c>
      <c r="AB112" s="165" t="str">
        <f>IFERROR(__xludf.DUMMYFUNCTION("""COMPUTED_VALUE"""),"Upload")</f>
        <v>Upload</v>
      </c>
      <c r="AC112" s="165"/>
      <c r="AD112" s="165"/>
      <c r="AE112" s="165"/>
      <c r="AF112" s="165"/>
      <c r="AG112" s="165"/>
      <c r="AH112" s="165"/>
      <c r="AI112" s="165"/>
      <c r="AJ112" s="165"/>
      <c r="AK112" s="165"/>
      <c r="AL112" s="165"/>
    </row>
    <row r="113">
      <c r="A113" s="165"/>
      <c r="B113" s="165"/>
      <c r="C113" s="165"/>
      <c r="D113" s="165"/>
      <c r="E113" s="292"/>
      <c r="F113" s="277"/>
      <c r="G113" s="165"/>
      <c r="H113" s="277"/>
      <c r="I113" s="277"/>
      <c r="J113" s="165"/>
      <c r="K113" s="165"/>
      <c r="L113" s="165"/>
      <c r="M113" s="165"/>
      <c r="N113" s="165"/>
      <c r="O113" s="165"/>
      <c r="P113" s="165"/>
      <c r="Q113" s="165"/>
      <c r="R113" s="165"/>
      <c r="S113" s="165"/>
      <c r="T113" s="165"/>
      <c r="U113" s="165"/>
      <c r="V113" s="165"/>
      <c r="W113" s="165"/>
      <c r="X113" s="165" t="str">
        <f>IFERROR(__xludf.DUMMYFUNCTION("""COMPUTED_VALUE"""),"CC-MAC-03.03")</f>
        <v>CC-MAC-03.03</v>
      </c>
      <c r="Y113" s="285" t="str">
        <f>IFERROR(__xludf.DUMMYFUNCTION("""COMPUTED_VALUE"""),"Done")</f>
        <v>Done</v>
      </c>
      <c r="Z113" s="284">
        <f>IFERROR(__xludf.DUMMYFUNCTION("""COMPUTED_VALUE"""),45219.0)</f>
        <v>45219</v>
      </c>
      <c r="AA113" s="165" t="str">
        <f>IFERROR(__xludf.DUMMYFUNCTION("""COMPUTED_VALUE"""),"Akhil")</f>
        <v>Akhil</v>
      </c>
      <c r="AB113" s="165" t="str">
        <f>IFERROR(__xludf.DUMMYFUNCTION("""COMPUTED_VALUE"""),"Edit &amp; Caption")</f>
        <v>Edit &amp; Caption</v>
      </c>
      <c r="AC113" s="165"/>
      <c r="AD113" s="165"/>
      <c r="AE113" s="165"/>
      <c r="AF113" s="165"/>
      <c r="AG113" s="165"/>
      <c r="AH113" s="165"/>
      <c r="AI113" s="165"/>
      <c r="AJ113" s="165"/>
      <c r="AK113" s="165"/>
      <c r="AL113" s="165"/>
    </row>
    <row r="114">
      <c r="A114" s="165"/>
      <c r="B114" s="165"/>
      <c r="C114" s="165"/>
      <c r="D114" s="165"/>
      <c r="E114" s="292"/>
      <c r="F114" s="277"/>
      <c r="G114" s="165"/>
      <c r="H114" s="277"/>
      <c r="I114" s="277"/>
      <c r="J114" s="165"/>
      <c r="K114" s="165"/>
      <c r="L114" s="165"/>
      <c r="M114" s="165"/>
      <c r="N114" s="165"/>
      <c r="O114" s="165"/>
      <c r="P114" s="165"/>
      <c r="Q114" s="165"/>
      <c r="R114" s="165"/>
      <c r="S114" s="165"/>
      <c r="T114" s="165"/>
      <c r="U114" s="165"/>
      <c r="V114" s="165"/>
      <c r="W114" s="165"/>
      <c r="X114" s="165" t="str">
        <f>IFERROR(__xludf.DUMMYFUNCTION("""COMPUTED_VALUE"""),"CC-MAC-05.02")</f>
        <v>CC-MAC-05.02</v>
      </c>
      <c r="Y114" s="285" t="str">
        <f>IFERROR(__xludf.DUMMYFUNCTION("""COMPUTED_VALUE"""),"Done")</f>
        <v>Done</v>
      </c>
      <c r="Z114" s="284">
        <f>IFERROR(__xludf.DUMMYFUNCTION("""COMPUTED_VALUE"""),45219.0)</f>
        <v>45219</v>
      </c>
      <c r="AA114" s="165" t="str">
        <f>IFERROR(__xludf.DUMMYFUNCTION("""COMPUTED_VALUE"""),"Akhil")</f>
        <v>Akhil</v>
      </c>
      <c r="AB114" s="165" t="str">
        <f>IFERROR(__xludf.DUMMYFUNCTION("""COMPUTED_VALUE"""),"Shoot")</f>
        <v>Shoot</v>
      </c>
      <c r="AC114" s="165"/>
      <c r="AD114" s="165"/>
      <c r="AE114" s="165"/>
      <c r="AF114" s="165"/>
      <c r="AG114" s="165"/>
      <c r="AH114" s="165"/>
      <c r="AI114" s="165"/>
      <c r="AJ114" s="165"/>
      <c r="AK114" s="165"/>
      <c r="AL114" s="165"/>
    </row>
    <row r="115">
      <c r="A115" s="165"/>
      <c r="B115" s="165"/>
      <c r="C115" s="165"/>
      <c r="D115" s="165"/>
      <c r="E115" s="292"/>
      <c r="F115" s="277"/>
      <c r="G115" s="165"/>
      <c r="H115" s="277"/>
      <c r="I115" s="277"/>
      <c r="J115" s="165"/>
      <c r="K115" s="165"/>
      <c r="L115" s="165"/>
      <c r="M115" s="165"/>
      <c r="N115" s="165"/>
      <c r="O115" s="165"/>
      <c r="P115" s="165"/>
      <c r="Q115" s="165"/>
      <c r="R115" s="165"/>
      <c r="S115" s="165"/>
      <c r="T115" s="165"/>
      <c r="U115" s="165"/>
      <c r="V115" s="165"/>
      <c r="W115" s="165"/>
      <c r="X115" s="165" t="str">
        <f>IFERROR(__xludf.DUMMYFUNCTION("""COMPUTED_VALUE"""),"PM-MVP-02.01")</f>
        <v>PM-MVP-02.01</v>
      </c>
      <c r="Y115" s="285" t="str">
        <f>IFERROR(__xludf.DUMMYFUNCTION("""COMPUTED_VALUE"""),"Done")</f>
        <v>Done</v>
      </c>
      <c r="Z115" s="284">
        <f>IFERROR(__xludf.DUMMYFUNCTION("""COMPUTED_VALUE"""),45219.0)</f>
        <v>45219</v>
      </c>
      <c r="AA115" s="165" t="str">
        <f>IFERROR(__xludf.DUMMYFUNCTION("""COMPUTED_VALUE"""),"Tazeen")</f>
        <v>Tazeen</v>
      </c>
      <c r="AB115" s="165" t="str">
        <f>IFERROR(__xludf.DUMMYFUNCTION("""COMPUTED_VALUE"""),"Reel 1 - G502 X")</f>
        <v>Reel 1 - G502 X</v>
      </c>
      <c r="AC115" s="165"/>
      <c r="AD115" s="165"/>
      <c r="AE115" s="165"/>
      <c r="AF115" s="165"/>
      <c r="AG115" s="165"/>
      <c r="AH115" s="165"/>
      <c r="AI115" s="165"/>
      <c r="AJ115" s="165"/>
      <c r="AK115" s="165"/>
      <c r="AL115" s="165"/>
    </row>
    <row r="116">
      <c r="A116" s="165"/>
      <c r="B116" s="165"/>
      <c r="C116" s="165"/>
      <c r="D116" s="165"/>
      <c r="E116" s="292"/>
      <c r="F116" s="277"/>
      <c r="G116" s="165"/>
      <c r="H116" s="277"/>
      <c r="I116" s="277"/>
      <c r="J116" s="165"/>
      <c r="K116" s="165"/>
      <c r="L116" s="165"/>
      <c r="M116" s="165"/>
      <c r="N116" s="165"/>
      <c r="O116" s="165"/>
      <c r="P116" s="165"/>
      <c r="Q116" s="165"/>
      <c r="R116" s="165"/>
      <c r="S116" s="165"/>
      <c r="T116" s="165"/>
      <c r="U116" s="165"/>
      <c r="V116" s="165"/>
      <c r="W116" s="165"/>
      <c r="X116" s="165" t="str">
        <f>IFERROR(__xludf.DUMMYFUNCTION("""COMPUTED_VALUE"""),"PM-MVP-02.08")</f>
        <v>PM-MVP-02.08</v>
      </c>
      <c r="Y116" s="285" t="str">
        <f>IFERROR(__xludf.DUMMYFUNCTION("""COMPUTED_VALUE"""),"Done")</f>
        <v>Done</v>
      </c>
      <c r="Z116" s="284">
        <f>IFERROR(__xludf.DUMMYFUNCTION("""COMPUTED_VALUE"""),45219.0)</f>
        <v>45219</v>
      </c>
      <c r="AA116" s="165" t="str">
        <f>IFERROR(__xludf.DUMMYFUNCTION("""COMPUTED_VALUE"""),"Tazeen")</f>
        <v>Tazeen</v>
      </c>
      <c r="AB116" s="165" t="str">
        <f>IFERROR(__xludf.DUMMYFUNCTION("""COMPUTED_VALUE"""),"Steam Promo GFX Follow up")</f>
        <v>Steam Promo GFX Follow up</v>
      </c>
      <c r="AC116" s="165"/>
      <c r="AD116" s="165"/>
      <c r="AE116" s="165"/>
      <c r="AF116" s="165"/>
      <c r="AG116" s="165"/>
      <c r="AH116" s="165"/>
      <c r="AI116" s="165"/>
      <c r="AJ116" s="165"/>
      <c r="AK116" s="165"/>
      <c r="AL116" s="165"/>
    </row>
    <row r="117">
      <c r="A117" s="165"/>
      <c r="B117" s="165"/>
      <c r="C117" s="165"/>
      <c r="D117" s="165"/>
      <c r="E117" s="292"/>
      <c r="F117" s="277"/>
      <c r="G117" s="165"/>
      <c r="H117" s="277"/>
      <c r="I117" s="277"/>
      <c r="J117" s="165"/>
      <c r="K117" s="165"/>
      <c r="L117" s="165"/>
      <c r="M117" s="165"/>
      <c r="N117" s="165"/>
      <c r="O117" s="165"/>
      <c r="P117" s="165"/>
      <c r="Q117" s="165"/>
      <c r="R117" s="165"/>
      <c r="S117" s="165"/>
      <c r="T117" s="165"/>
      <c r="U117" s="165"/>
      <c r="V117" s="165"/>
      <c r="W117" s="165"/>
      <c r="X117" s="165" t="str">
        <f>IFERROR(__xludf.DUMMYFUNCTION("""COMPUTED_VALUE"""),"PM-TNM-01.03")</f>
        <v>PM-TNM-01.03</v>
      </c>
      <c r="Y117" s="285" t="str">
        <f>IFERROR(__xludf.DUMMYFUNCTION("""COMPUTED_VALUE"""),"Done")</f>
        <v>Done</v>
      </c>
      <c r="Z117" s="284">
        <f>IFERROR(__xludf.DUMMYFUNCTION("""COMPUTED_VALUE"""),45219.0)</f>
        <v>45219</v>
      </c>
      <c r="AA117" s="165" t="str">
        <f>IFERROR(__xludf.DUMMYFUNCTION("""COMPUTED_VALUE"""),"Nasser")</f>
        <v>Nasser</v>
      </c>
      <c r="AB117" s="165" t="str">
        <f>IFERROR(__xludf.DUMMYFUNCTION("""COMPUTED_VALUE"""),"Edit")</f>
        <v>Edit</v>
      </c>
      <c r="AC117" s="165"/>
      <c r="AD117" s="165"/>
      <c r="AE117" s="165"/>
      <c r="AF117" s="165"/>
      <c r="AG117" s="165"/>
      <c r="AH117" s="165"/>
      <c r="AI117" s="165"/>
      <c r="AJ117" s="165"/>
      <c r="AK117" s="165"/>
      <c r="AL117" s="165"/>
    </row>
    <row r="118">
      <c r="A118" s="165"/>
      <c r="B118" s="165"/>
      <c r="C118" s="165"/>
      <c r="D118" s="165"/>
      <c r="E118" s="292"/>
      <c r="F118" s="277"/>
      <c r="G118" s="165"/>
      <c r="H118" s="277"/>
      <c r="I118" s="277"/>
      <c r="J118" s="165"/>
      <c r="K118" s="165"/>
      <c r="L118" s="165"/>
      <c r="M118" s="165"/>
      <c r="N118" s="165"/>
      <c r="O118" s="165"/>
      <c r="P118" s="165"/>
      <c r="Q118" s="165"/>
      <c r="R118" s="165"/>
      <c r="S118" s="165"/>
      <c r="T118" s="165"/>
      <c r="U118" s="165"/>
      <c r="V118" s="165"/>
      <c r="W118" s="165"/>
      <c r="X118" s="165" t="str">
        <f>IFERROR(__xludf.DUMMYFUNCTION("""COMPUTED_VALUE"""),"PM-PTS-07.03")</f>
        <v>PM-PTS-07.03</v>
      </c>
      <c r="Y118" s="285" t="str">
        <f>IFERROR(__xludf.DUMMYFUNCTION("""COMPUTED_VALUE"""),"Done")</f>
        <v>Done</v>
      </c>
      <c r="Z118" s="284">
        <f>IFERROR(__xludf.DUMMYFUNCTION("""COMPUTED_VALUE"""),45219.0)</f>
        <v>45219</v>
      </c>
      <c r="AA118" s="165" t="str">
        <f>IFERROR(__xludf.DUMMYFUNCTION("""COMPUTED_VALUE"""),"Freelancer")</f>
        <v>Freelancer</v>
      </c>
      <c r="AB118" s="165" t="str">
        <f>IFERROR(__xludf.DUMMYFUNCTION("""COMPUTED_VALUE"""),"Edit")</f>
        <v>Edit</v>
      </c>
      <c r="AC118" s="165"/>
      <c r="AD118" s="165"/>
      <c r="AE118" s="165"/>
      <c r="AF118" s="165"/>
      <c r="AG118" s="165"/>
      <c r="AH118" s="165"/>
      <c r="AI118" s="165"/>
      <c r="AJ118" s="165"/>
      <c r="AK118" s="165"/>
      <c r="AL118" s="165"/>
    </row>
    <row r="119">
      <c r="A119" s="165"/>
      <c r="B119" s="165"/>
      <c r="C119" s="165"/>
      <c r="D119" s="165"/>
      <c r="E119" s="292"/>
      <c r="F119" s="277"/>
      <c r="G119" s="165"/>
      <c r="H119" s="277"/>
      <c r="I119" s="277"/>
      <c r="J119" s="165"/>
      <c r="K119" s="165"/>
      <c r="L119" s="165"/>
      <c r="M119" s="165"/>
      <c r="N119" s="165"/>
      <c r="O119" s="165"/>
      <c r="P119" s="165"/>
      <c r="Q119" s="165"/>
      <c r="R119" s="165"/>
      <c r="S119" s="165"/>
      <c r="T119" s="165"/>
      <c r="U119" s="165"/>
      <c r="V119" s="165"/>
      <c r="W119" s="165"/>
      <c r="X119" s="165" t="str">
        <f>IFERROR(__xludf.DUMMYFUNCTION("""COMPUTED_VALUE"""),"CC-MVP-67.04")</f>
        <v>CC-MVP-67.04</v>
      </c>
      <c r="Y119" s="285" t="str">
        <f>IFERROR(__xludf.DUMMYFUNCTION("""COMPUTED_VALUE"""),"Done")</f>
        <v>Done</v>
      </c>
      <c r="Z119" s="284">
        <f>IFERROR(__xludf.DUMMYFUNCTION("""COMPUTED_VALUE"""),45220.0)</f>
        <v>45220</v>
      </c>
      <c r="AA119" s="165" t="str">
        <f>IFERROR(__xludf.DUMMYFUNCTION("""COMPUTED_VALUE"""),"Tazeen")</f>
        <v>Tazeen</v>
      </c>
      <c r="AB119" s="165" t="str">
        <f>IFERROR(__xludf.DUMMYFUNCTION("""COMPUTED_VALUE"""),"Ref. + Project Files")</f>
        <v>Ref. + Project Files</v>
      </c>
      <c r="AC119" s="165"/>
      <c r="AD119" s="165"/>
      <c r="AE119" s="165"/>
      <c r="AF119" s="165"/>
      <c r="AG119" s="165"/>
      <c r="AH119" s="165"/>
      <c r="AI119" s="165"/>
      <c r="AJ119" s="165"/>
      <c r="AK119" s="165"/>
      <c r="AL119" s="165"/>
    </row>
    <row r="120">
      <c r="A120" s="165"/>
      <c r="B120" s="165"/>
      <c r="C120" s="165"/>
      <c r="D120" s="165"/>
      <c r="E120" s="292"/>
      <c r="F120" s="277"/>
      <c r="G120" s="165"/>
      <c r="H120" s="277"/>
      <c r="I120" s="277"/>
      <c r="J120" s="165"/>
      <c r="K120" s="165"/>
      <c r="L120" s="165"/>
      <c r="M120" s="165"/>
      <c r="N120" s="165"/>
      <c r="O120" s="165"/>
      <c r="P120" s="165"/>
      <c r="Q120" s="165"/>
      <c r="R120" s="165"/>
      <c r="S120" s="165"/>
      <c r="T120" s="165"/>
      <c r="U120" s="165"/>
      <c r="V120" s="165"/>
      <c r="W120" s="165"/>
      <c r="X120" s="165" t="str">
        <f>IFERROR(__xludf.DUMMYFUNCTION("""COMPUTED_VALUE"""),"CC-MAC-06.04")</f>
        <v>CC-MAC-06.04</v>
      </c>
      <c r="Y120" s="285" t="str">
        <f>IFERROR(__xludf.DUMMYFUNCTION("""COMPUTED_VALUE"""),"Done")</f>
        <v>Done</v>
      </c>
      <c r="Z120" s="284">
        <f>IFERROR(__xludf.DUMMYFUNCTION("""COMPUTED_VALUE"""),45220.0)</f>
        <v>45220</v>
      </c>
      <c r="AA120" s="165" t="str">
        <f>IFERROR(__xludf.DUMMYFUNCTION("""COMPUTED_VALUE"""),"Akhil")</f>
        <v>Akhil</v>
      </c>
      <c r="AB120" s="165" t="str">
        <f>IFERROR(__xludf.DUMMYFUNCTION("""COMPUTED_VALUE"""),"Project Files")</f>
        <v>Project Files</v>
      </c>
      <c r="AC120" s="165"/>
      <c r="AD120" s="165"/>
      <c r="AE120" s="165"/>
      <c r="AF120" s="165"/>
      <c r="AG120" s="165"/>
      <c r="AH120" s="165"/>
      <c r="AI120" s="165"/>
      <c r="AJ120" s="165"/>
      <c r="AK120" s="165"/>
      <c r="AL120" s="165"/>
    </row>
    <row r="121">
      <c r="A121" s="165"/>
      <c r="B121" s="165"/>
      <c r="C121" s="165"/>
      <c r="D121" s="165"/>
      <c r="E121" s="292"/>
      <c r="F121" s="277"/>
      <c r="G121" s="165"/>
      <c r="H121" s="277"/>
      <c r="I121" s="277"/>
      <c r="J121" s="165"/>
      <c r="K121" s="165"/>
      <c r="L121" s="165"/>
      <c r="M121" s="165"/>
      <c r="N121" s="165"/>
      <c r="O121" s="165"/>
      <c r="P121" s="165"/>
      <c r="Q121" s="165"/>
      <c r="R121" s="165"/>
      <c r="S121" s="165"/>
      <c r="T121" s="165"/>
      <c r="U121" s="165"/>
      <c r="V121" s="165"/>
      <c r="W121" s="165"/>
      <c r="X121" s="165" t="str">
        <f>IFERROR(__xludf.DUMMYFUNCTION("""COMPUTED_VALUE"""),"PM-MVP-02.06")</f>
        <v>PM-MVP-02.06</v>
      </c>
      <c r="Y121" s="285" t="str">
        <f>IFERROR(__xludf.DUMMYFUNCTION("""COMPUTED_VALUE"""),"Done")</f>
        <v>Done</v>
      </c>
      <c r="Z121" s="284">
        <f>IFERROR(__xludf.DUMMYFUNCTION("""COMPUTED_VALUE"""),45220.0)</f>
        <v>45220</v>
      </c>
      <c r="AA121" s="165" t="str">
        <f>IFERROR(__xludf.DUMMYFUNCTION("""COMPUTED_VALUE"""),"Nasser")</f>
        <v>Nasser</v>
      </c>
      <c r="AB121" s="165" t="str">
        <f>IFERROR(__xludf.DUMMYFUNCTION("""COMPUTED_VALUE"""),"Landing Page")</f>
        <v>Landing Page</v>
      </c>
      <c r="AC121" s="165"/>
      <c r="AD121" s="165"/>
      <c r="AE121" s="165"/>
      <c r="AF121" s="165"/>
      <c r="AG121" s="165"/>
      <c r="AH121" s="165"/>
      <c r="AI121" s="165"/>
      <c r="AJ121" s="165"/>
      <c r="AK121" s="165"/>
      <c r="AL121" s="165"/>
    </row>
    <row r="122">
      <c r="A122" s="165"/>
      <c r="B122" s="165"/>
      <c r="C122" s="165"/>
      <c r="D122" s="165"/>
      <c r="E122" s="292"/>
      <c r="F122" s="277"/>
      <c r="G122" s="165"/>
      <c r="H122" s="277"/>
      <c r="I122" s="277"/>
      <c r="J122" s="165"/>
      <c r="K122" s="165"/>
      <c r="L122" s="165"/>
      <c r="M122" s="165"/>
      <c r="N122" s="165"/>
      <c r="O122" s="165"/>
      <c r="P122" s="165"/>
      <c r="Q122" s="165"/>
      <c r="R122" s="165"/>
      <c r="S122" s="165"/>
      <c r="T122" s="165"/>
      <c r="U122" s="165"/>
      <c r="V122" s="165"/>
      <c r="W122" s="165"/>
      <c r="X122" s="165" t="str">
        <f>IFERROR(__xludf.DUMMYFUNCTION("""COMPUTED_VALUE"""),"PM-MVP-02.07")</f>
        <v>PM-MVP-02.07</v>
      </c>
      <c r="Y122" s="285" t="str">
        <f>IFERROR(__xludf.DUMMYFUNCTION("""COMPUTED_VALUE"""),"Done")</f>
        <v>Done</v>
      </c>
      <c r="Z122" s="284">
        <f>IFERROR(__xludf.DUMMYFUNCTION("""COMPUTED_VALUE"""),45220.0)</f>
        <v>45220</v>
      </c>
      <c r="AA122" s="165" t="str">
        <f>IFERROR(__xludf.DUMMYFUNCTION("""COMPUTED_VALUE"""),"Nasser")</f>
        <v>Nasser</v>
      </c>
      <c r="AB122" s="165" t="str">
        <f>IFERROR(__xludf.DUMMYFUNCTION("""COMPUTED_VALUE"""),"Promo Variants")</f>
        <v>Promo Variants</v>
      </c>
      <c r="AC122" s="165"/>
      <c r="AD122" s="165"/>
      <c r="AE122" s="165"/>
      <c r="AF122" s="165"/>
      <c r="AG122" s="165"/>
      <c r="AH122" s="165"/>
      <c r="AI122" s="165"/>
      <c r="AJ122" s="165"/>
      <c r="AK122" s="165"/>
      <c r="AL122" s="165"/>
    </row>
    <row r="123">
      <c r="A123" s="165"/>
      <c r="B123" s="165"/>
      <c r="C123" s="165"/>
      <c r="D123" s="165"/>
      <c r="E123" s="292"/>
      <c r="F123" s="277"/>
      <c r="G123" s="165"/>
      <c r="H123" s="277"/>
      <c r="I123" s="277"/>
      <c r="J123" s="165"/>
      <c r="K123" s="165"/>
      <c r="L123" s="165"/>
      <c r="M123" s="165"/>
      <c r="N123" s="165"/>
      <c r="O123" s="165"/>
      <c r="P123" s="165"/>
      <c r="Q123" s="165"/>
      <c r="R123" s="165"/>
      <c r="S123" s="165"/>
      <c r="T123" s="165"/>
      <c r="U123" s="165"/>
      <c r="V123" s="165"/>
      <c r="W123" s="165"/>
      <c r="X123" s="165" t="str">
        <f>IFERROR(__xludf.DUMMYFUNCTION("""COMPUTED_VALUE"""),"PM-PTS-07.02")</f>
        <v>PM-PTS-07.02</v>
      </c>
      <c r="Y123" s="285" t="str">
        <f>IFERROR(__xludf.DUMMYFUNCTION("""COMPUTED_VALUE"""),"Done")</f>
        <v>Done</v>
      </c>
      <c r="Z123" s="284">
        <f>IFERROR(__xludf.DUMMYFUNCTION("""COMPUTED_VALUE"""),45220.0)</f>
        <v>45220</v>
      </c>
      <c r="AA123" s="165" t="str">
        <f>IFERROR(__xludf.DUMMYFUNCTION("""COMPUTED_VALUE"""),"Talha")</f>
        <v>Talha</v>
      </c>
      <c r="AB123" s="165" t="str">
        <f>IFERROR(__xludf.DUMMYFUNCTION("""COMPUTED_VALUE"""),"Voice Over ")</f>
        <v>Voice Over </v>
      </c>
      <c r="AC123" s="165"/>
      <c r="AD123" s="165"/>
      <c r="AE123" s="165"/>
      <c r="AF123" s="165"/>
      <c r="AG123" s="165"/>
      <c r="AH123" s="165"/>
      <c r="AI123" s="165"/>
      <c r="AJ123" s="165"/>
      <c r="AK123" s="165"/>
      <c r="AL123" s="165"/>
    </row>
    <row r="124">
      <c r="A124" s="165"/>
      <c r="B124" s="165"/>
      <c r="C124" s="165"/>
      <c r="D124" s="165"/>
      <c r="E124" s="292"/>
      <c r="F124" s="277"/>
      <c r="G124" s="165"/>
      <c r="H124" s="277"/>
      <c r="I124" s="277"/>
      <c r="J124" s="165"/>
      <c r="K124" s="165"/>
      <c r="L124" s="165"/>
      <c r="M124" s="165"/>
      <c r="N124" s="165"/>
      <c r="O124" s="165"/>
      <c r="P124" s="165"/>
      <c r="Q124" s="165"/>
      <c r="R124" s="165"/>
      <c r="S124" s="165"/>
      <c r="T124" s="165"/>
      <c r="U124" s="165"/>
      <c r="V124" s="165"/>
      <c r="W124" s="165"/>
      <c r="X124" s="165" t="str">
        <f>IFERROR(__xludf.DUMMYFUNCTION("""COMPUTED_VALUE"""),"CC-MAC-06.05")</f>
        <v>CC-MAC-06.05</v>
      </c>
      <c r="Y124" s="285" t="str">
        <f>IFERROR(__xludf.DUMMYFUNCTION("""COMPUTED_VALUE"""),"Done")</f>
        <v>Done</v>
      </c>
      <c r="Z124" s="284">
        <f>IFERROR(__xludf.DUMMYFUNCTION("""COMPUTED_VALUE"""),45221.0)</f>
        <v>45221</v>
      </c>
      <c r="AA124" s="165" t="str">
        <f>IFERROR(__xludf.DUMMYFUNCTION("""COMPUTED_VALUE"""),"Akhil")</f>
        <v>Akhil</v>
      </c>
      <c r="AB124" s="165" t="str">
        <f>IFERROR(__xludf.DUMMYFUNCTION("""COMPUTED_VALUE"""),"Edit")</f>
        <v>Edit</v>
      </c>
      <c r="AC124" s="165"/>
      <c r="AD124" s="165"/>
      <c r="AE124" s="165"/>
      <c r="AF124" s="165"/>
      <c r="AG124" s="165"/>
      <c r="AH124" s="165"/>
      <c r="AI124" s="165"/>
      <c r="AJ124" s="165"/>
      <c r="AK124" s="165"/>
      <c r="AL124" s="165"/>
    </row>
    <row r="125">
      <c r="A125" s="165"/>
      <c r="B125" s="165"/>
      <c r="C125" s="165"/>
      <c r="D125" s="165"/>
      <c r="E125" s="292"/>
      <c r="F125" s="277"/>
      <c r="G125" s="165"/>
      <c r="H125" s="277"/>
      <c r="I125" s="277"/>
      <c r="J125" s="165"/>
      <c r="K125" s="165"/>
      <c r="L125" s="165"/>
      <c r="M125" s="165"/>
      <c r="N125" s="165"/>
      <c r="O125" s="165"/>
      <c r="P125" s="165"/>
      <c r="Q125" s="165"/>
      <c r="R125" s="165"/>
      <c r="S125" s="165"/>
      <c r="T125" s="165"/>
      <c r="U125" s="165"/>
      <c r="V125" s="165"/>
      <c r="W125" s="165"/>
      <c r="X125" s="165" t="str">
        <f>IFERROR(__xludf.DUMMYFUNCTION("""COMPUTED_VALUE"""),"PM-MVP-02.03")</f>
        <v>PM-MVP-02.03</v>
      </c>
      <c r="Y125" s="285" t="str">
        <f>IFERROR(__xludf.DUMMYFUNCTION("""COMPUTED_VALUE"""),"Done")</f>
        <v>Done</v>
      </c>
      <c r="Z125" s="284">
        <f>IFERROR(__xludf.DUMMYFUNCTION("""COMPUTED_VALUE"""),45221.0)</f>
        <v>45221</v>
      </c>
      <c r="AA125" s="165" t="str">
        <f>IFERROR(__xludf.DUMMYFUNCTION("""COMPUTED_VALUE"""),"Tazeen")</f>
        <v>Tazeen</v>
      </c>
      <c r="AB125" s="165" t="str">
        <f>IFERROR(__xludf.DUMMYFUNCTION("""COMPUTED_VALUE"""),"Reel 3 - KB ")</f>
        <v>Reel 3 - KB </v>
      </c>
      <c r="AC125" s="165"/>
      <c r="AD125" s="165"/>
      <c r="AE125" s="165"/>
      <c r="AF125" s="165"/>
      <c r="AG125" s="165"/>
      <c r="AH125" s="165"/>
      <c r="AI125" s="165"/>
      <c r="AJ125" s="165"/>
      <c r="AK125" s="165"/>
      <c r="AL125" s="165"/>
    </row>
    <row r="126">
      <c r="A126" s="165"/>
      <c r="B126" s="165"/>
      <c r="C126" s="165"/>
      <c r="D126" s="165"/>
      <c r="E126" s="292"/>
      <c r="F126" s="277"/>
      <c r="G126" s="165"/>
      <c r="H126" s="277"/>
      <c r="I126" s="277"/>
      <c r="J126" s="165"/>
      <c r="K126" s="165"/>
      <c r="L126" s="165"/>
      <c r="M126" s="165"/>
      <c r="N126" s="165"/>
      <c r="O126" s="165"/>
      <c r="P126" s="165"/>
      <c r="Q126" s="165"/>
      <c r="R126" s="165"/>
      <c r="S126" s="165"/>
      <c r="T126" s="165"/>
      <c r="U126" s="165"/>
      <c r="V126" s="165"/>
      <c r="W126" s="165"/>
      <c r="X126" s="165" t="str">
        <f>IFERROR(__xludf.DUMMYFUNCTION("""COMPUTED_VALUE"""),"PM-MVP-02.04")</f>
        <v>PM-MVP-02.04</v>
      </c>
      <c r="Y126" s="285" t="str">
        <f>IFERROR(__xludf.DUMMYFUNCTION("""COMPUTED_VALUE"""),"Done")</f>
        <v>Done</v>
      </c>
      <c r="Z126" s="284">
        <f>IFERROR(__xludf.DUMMYFUNCTION("""COMPUTED_VALUE"""),45221.0)</f>
        <v>45221</v>
      </c>
      <c r="AA126" s="165" t="str">
        <f>IFERROR(__xludf.DUMMYFUNCTION("""COMPUTED_VALUE"""),"Tazeen")</f>
        <v>Tazeen</v>
      </c>
      <c r="AB126" s="165" t="str">
        <f>IFERROR(__xludf.DUMMYFUNCTION("""COMPUTED_VALUE"""),"Reel 4 - KB 2")</f>
        <v>Reel 4 - KB 2</v>
      </c>
      <c r="AC126" s="165"/>
      <c r="AD126" s="165"/>
      <c r="AE126" s="165"/>
      <c r="AF126" s="165"/>
      <c r="AG126" s="165"/>
      <c r="AH126" s="165"/>
      <c r="AI126" s="165"/>
      <c r="AJ126" s="165"/>
      <c r="AK126" s="165"/>
      <c r="AL126" s="165"/>
    </row>
    <row r="127">
      <c r="A127" s="165"/>
      <c r="B127" s="165"/>
      <c r="C127" s="165"/>
      <c r="D127" s="165"/>
      <c r="E127" s="292"/>
      <c r="F127" s="277"/>
      <c r="G127" s="165"/>
      <c r="H127" s="277"/>
      <c r="I127" s="277"/>
      <c r="J127" s="165"/>
      <c r="K127" s="165"/>
      <c r="L127" s="165"/>
      <c r="M127" s="165"/>
      <c r="N127" s="165"/>
      <c r="O127" s="165"/>
      <c r="P127" s="165"/>
      <c r="Q127" s="165"/>
      <c r="R127" s="165"/>
      <c r="S127" s="165"/>
      <c r="T127" s="165"/>
      <c r="U127" s="165"/>
      <c r="V127" s="165"/>
      <c r="W127" s="165"/>
      <c r="X127" s="165" t="str">
        <f>IFERROR(__xludf.DUMMYFUNCTION("""COMPUTED_VALUE"""),"PM-MVP-02.05")</f>
        <v>PM-MVP-02.05</v>
      </c>
      <c r="Y127" s="285" t="str">
        <f>IFERROR(__xludf.DUMMYFUNCTION("""COMPUTED_VALUE"""),"Done")</f>
        <v>Done</v>
      </c>
      <c r="Z127" s="284">
        <f>IFERROR(__xludf.DUMMYFUNCTION("""COMPUTED_VALUE"""),45221.0)</f>
        <v>45221</v>
      </c>
      <c r="AA127" s="165" t="str">
        <f>IFERROR(__xludf.DUMMYFUNCTION("""COMPUTED_VALUE"""),"Tazeen")</f>
        <v>Tazeen</v>
      </c>
      <c r="AB127" s="165" t="str">
        <f>IFERROR(__xludf.DUMMYFUNCTION("""COMPUTED_VALUE"""),"Reel 5 - Headset")</f>
        <v>Reel 5 - Headset</v>
      </c>
      <c r="AC127" s="165"/>
      <c r="AD127" s="165"/>
      <c r="AE127" s="165"/>
      <c r="AF127" s="165"/>
      <c r="AG127" s="165"/>
      <c r="AH127" s="165"/>
      <c r="AI127" s="165"/>
      <c r="AJ127" s="165"/>
      <c r="AK127" s="165"/>
      <c r="AL127" s="165"/>
    </row>
    <row r="128">
      <c r="A128" s="165"/>
      <c r="B128" s="165"/>
      <c r="C128" s="165"/>
      <c r="D128" s="165"/>
      <c r="E128" s="292"/>
      <c r="F128" s="277"/>
      <c r="G128" s="165"/>
      <c r="H128" s="277"/>
      <c r="I128" s="277"/>
      <c r="J128" s="165"/>
      <c r="K128" s="165"/>
      <c r="L128" s="165"/>
      <c r="M128" s="165"/>
      <c r="N128" s="165"/>
      <c r="O128" s="165"/>
      <c r="P128" s="165"/>
      <c r="Q128" s="165"/>
      <c r="R128" s="165"/>
      <c r="S128" s="165"/>
      <c r="T128" s="165"/>
      <c r="U128" s="165"/>
      <c r="V128" s="165"/>
      <c r="W128" s="165"/>
      <c r="X128" s="165" t="str">
        <f>IFERROR(__xludf.DUMMYFUNCTION("""COMPUTED_VALUE"""),"PM-TNM-01.05")</f>
        <v>PM-TNM-01.05</v>
      </c>
      <c r="Y128" s="285" t="str">
        <f>IFERROR(__xludf.DUMMYFUNCTION("""COMPUTED_VALUE"""),"Done")</f>
        <v>Done</v>
      </c>
      <c r="Z128" s="284">
        <f>IFERROR(__xludf.DUMMYFUNCTION("""COMPUTED_VALUE"""),45221.0)</f>
        <v>45221</v>
      </c>
      <c r="AA128" s="165" t="str">
        <f>IFERROR(__xludf.DUMMYFUNCTION("""COMPUTED_VALUE"""),"Nasser")</f>
        <v>Nasser</v>
      </c>
      <c r="AB128" s="165" t="str">
        <f>IFERROR(__xludf.DUMMYFUNCTION("""COMPUTED_VALUE"""),"Finalise")</f>
        <v>Finalise</v>
      </c>
      <c r="AC128" s="165"/>
      <c r="AD128" s="165"/>
      <c r="AE128" s="165"/>
      <c r="AF128" s="165"/>
      <c r="AG128" s="165"/>
      <c r="AH128" s="165"/>
      <c r="AI128" s="165"/>
      <c r="AJ128" s="165"/>
      <c r="AK128" s="165"/>
      <c r="AL128" s="165"/>
    </row>
    <row r="129">
      <c r="A129" s="165"/>
      <c r="B129" s="165"/>
      <c r="C129" s="165"/>
      <c r="D129" s="165"/>
      <c r="E129" s="292"/>
      <c r="F129" s="277"/>
      <c r="G129" s="165"/>
      <c r="H129" s="277"/>
      <c r="I129" s="277"/>
      <c r="J129" s="165"/>
      <c r="K129" s="165"/>
      <c r="L129" s="165"/>
      <c r="M129" s="165"/>
      <c r="N129" s="165"/>
      <c r="O129" s="165"/>
      <c r="P129" s="165"/>
      <c r="Q129" s="165"/>
      <c r="R129" s="165"/>
      <c r="S129" s="165"/>
      <c r="T129" s="165"/>
      <c r="U129" s="165"/>
      <c r="V129" s="165"/>
      <c r="W129" s="165"/>
      <c r="X129" s="165" t="str">
        <f>IFERROR(__xludf.DUMMYFUNCTION("""COMPUTED_VALUE"""),"CC-MAC-07.03")</f>
        <v>CC-MAC-07.03</v>
      </c>
      <c r="Y129" s="285" t="str">
        <f>IFERROR(__xludf.DUMMYFUNCTION("""COMPUTED_VALUE"""),"Done")</f>
        <v>Done</v>
      </c>
      <c r="Z129" s="284">
        <f>IFERROR(__xludf.DUMMYFUNCTION("""COMPUTED_VALUE"""),45222.0)</f>
        <v>45222</v>
      </c>
      <c r="AA129" s="165" t="str">
        <f>IFERROR(__xludf.DUMMYFUNCTION("""COMPUTED_VALUE"""),"Akhil")</f>
        <v>Akhil</v>
      </c>
      <c r="AB129" s="165" t="str">
        <f>IFERROR(__xludf.DUMMYFUNCTION("""COMPUTED_VALUE"""),"Edit + Captions")</f>
        <v>Edit + Captions</v>
      </c>
      <c r="AC129" s="165"/>
      <c r="AD129" s="165"/>
      <c r="AE129" s="165"/>
      <c r="AF129" s="165"/>
      <c r="AG129" s="165"/>
      <c r="AH129" s="165"/>
      <c r="AI129" s="165"/>
      <c r="AJ129" s="165"/>
      <c r="AK129" s="165"/>
      <c r="AL129" s="165"/>
    </row>
    <row r="130">
      <c r="A130" s="165"/>
      <c r="B130" s="165"/>
      <c r="C130" s="165"/>
      <c r="D130" s="165"/>
      <c r="E130" s="292"/>
      <c r="F130" s="277"/>
      <c r="G130" s="165"/>
      <c r="H130" s="277"/>
      <c r="I130" s="277"/>
      <c r="J130" s="165"/>
      <c r="K130" s="165"/>
      <c r="L130" s="165"/>
      <c r="M130" s="165"/>
      <c r="N130" s="165"/>
      <c r="O130" s="165"/>
      <c r="P130" s="165"/>
      <c r="Q130" s="165"/>
      <c r="R130" s="165"/>
      <c r="S130" s="165"/>
      <c r="T130" s="165"/>
      <c r="U130" s="165"/>
      <c r="V130" s="165"/>
      <c r="W130" s="165"/>
      <c r="X130" s="165" t="str">
        <f>IFERROR(__xludf.DUMMYFUNCTION("""COMPUTED_VALUE"""),"CC-MAC-08.04")</f>
        <v>CC-MAC-08.04</v>
      </c>
      <c r="Y130" s="285" t="str">
        <f>IFERROR(__xludf.DUMMYFUNCTION("""COMPUTED_VALUE"""),"Done")</f>
        <v>Done</v>
      </c>
      <c r="Z130" s="284">
        <f>IFERROR(__xludf.DUMMYFUNCTION("""COMPUTED_VALUE"""),45222.0)</f>
        <v>45222</v>
      </c>
      <c r="AA130" s="165" t="str">
        <f>IFERROR(__xludf.DUMMYFUNCTION("""COMPUTED_VALUE"""),"Akhil")</f>
        <v>Akhil</v>
      </c>
      <c r="AB130" s="165" t="str">
        <f>IFERROR(__xludf.DUMMYFUNCTION("""COMPUTED_VALUE"""),"Project Files")</f>
        <v>Project Files</v>
      </c>
      <c r="AC130" s="165"/>
      <c r="AD130" s="165"/>
      <c r="AE130" s="165"/>
      <c r="AF130" s="165"/>
      <c r="AG130" s="165"/>
      <c r="AH130" s="165"/>
      <c r="AI130" s="165"/>
      <c r="AJ130" s="165"/>
      <c r="AK130" s="165"/>
      <c r="AL130" s="165"/>
    </row>
    <row r="131">
      <c r="A131" s="165"/>
      <c r="B131" s="165"/>
      <c r="C131" s="165"/>
      <c r="D131" s="165"/>
      <c r="E131" s="292"/>
      <c r="F131" s="277"/>
      <c r="G131" s="165"/>
      <c r="H131" s="277"/>
      <c r="I131" s="277"/>
      <c r="J131" s="165"/>
      <c r="K131" s="165"/>
      <c r="L131" s="165"/>
      <c r="M131" s="165"/>
      <c r="N131" s="165"/>
      <c r="O131" s="165"/>
      <c r="P131" s="165"/>
      <c r="Q131" s="165"/>
      <c r="R131" s="165"/>
      <c r="S131" s="165"/>
      <c r="T131" s="165"/>
      <c r="U131" s="165"/>
      <c r="V131" s="165"/>
      <c r="W131" s="165"/>
      <c r="X131" s="165" t="str">
        <f>IFERROR(__xludf.DUMMYFUNCTION("""COMPUTED_VALUE"""),"PM-MVP-02.02")</f>
        <v>PM-MVP-02.02</v>
      </c>
      <c r="Y131" s="285" t="str">
        <f>IFERROR(__xludf.DUMMYFUNCTION("""COMPUTED_VALUE"""),"Done")</f>
        <v>Done</v>
      </c>
      <c r="Z131" s="284">
        <f>IFERROR(__xludf.DUMMYFUNCTION("""COMPUTED_VALUE"""),45222.0)</f>
        <v>45222</v>
      </c>
      <c r="AA131" s="165" t="str">
        <f>IFERROR(__xludf.DUMMYFUNCTION("""COMPUTED_VALUE"""),"Tazeen")</f>
        <v>Tazeen</v>
      </c>
      <c r="AB131" s="165" t="str">
        <f>IFERROR(__xludf.DUMMYFUNCTION("""COMPUTED_VALUE"""),"Reel 2 - Superlight")</f>
        <v>Reel 2 - Superlight</v>
      </c>
      <c r="AC131" s="165"/>
      <c r="AD131" s="165"/>
      <c r="AE131" s="165"/>
      <c r="AF131" s="165"/>
      <c r="AG131" s="165"/>
      <c r="AH131" s="165"/>
      <c r="AI131" s="165"/>
      <c r="AJ131" s="165"/>
      <c r="AK131" s="165"/>
      <c r="AL131" s="165"/>
    </row>
    <row r="132">
      <c r="A132" s="165"/>
      <c r="B132" s="165"/>
      <c r="C132" s="165"/>
      <c r="D132" s="165"/>
      <c r="E132" s="292"/>
      <c r="F132" s="277"/>
      <c r="G132" s="165"/>
      <c r="H132" s="277"/>
      <c r="I132" s="277"/>
      <c r="J132" s="165"/>
      <c r="K132" s="165"/>
      <c r="L132" s="165"/>
      <c r="M132" s="165"/>
      <c r="N132" s="165"/>
      <c r="O132" s="165"/>
      <c r="P132" s="165"/>
      <c r="Q132" s="165"/>
      <c r="R132" s="165"/>
      <c r="S132" s="165"/>
      <c r="T132" s="165"/>
      <c r="U132" s="165"/>
      <c r="V132" s="165"/>
      <c r="W132" s="165"/>
      <c r="X132" s="165" t="str">
        <f>IFERROR(__xludf.DUMMYFUNCTION("""COMPUTED_VALUE"""),"PM-INN-01.02")</f>
        <v>PM-INN-01.02</v>
      </c>
      <c r="Y132" s="285" t="str">
        <f>IFERROR(__xludf.DUMMYFUNCTION("""COMPUTED_VALUE"""),"Done")</f>
        <v>Done</v>
      </c>
      <c r="Z132" s="284">
        <f>IFERROR(__xludf.DUMMYFUNCTION("""COMPUTED_VALUE"""),45222.0)</f>
        <v>45222</v>
      </c>
      <c r="AA132" s="165" t="str">
        <f>IFERROR(__xludf.DUMMYFUNCTION("""COMPUTED_VALUE"""),"Nasser")</f>
        <v>Nasser</v>
      </c>
      <c r="AB132" s="165" t="str">
        <f>IFERROR(__xludf.DUMMYFUNCTION("""COMPUTED_VALUE"""),"Landing Page Slices")</f>
        <v>Landing Page Slices</v>
      </c>
      <c r="AC132" s="165"/>
      <c r="AD132" s="165"/>
      <c r="AE132" s="165"/>
      <c r="AF132" s="165"/>
      <c r="AG132" s="165"/>
      <c r="AH132" s="165"/>
      <c r="AI132" s="165"/>
      <c r="AJ132" s="165"/>
      <c r="AK132" s="165"/>
      <c r="AL132" s="165"/>
    </row>
    <row r="133">
      <c r="A133" s="165"/>
      <c r="B133" s="165"/>
      <c r="C133" s="165"/>
      <c r="D133" s="165"/>
      <c r="E133" s="292"/>
      <c r="F133" s="277"/>
      <c r="G133" s="165"/>
      <c r="H133" s="277"/>
      <c r="I133" s="277"/>
      <c r="J133" s="165"/>
      <c r="K133" s="165"/>
      <c r="L133" s="165"/>
      <c r="M133" s="165"/>
      <c r="N133" s="165"/>
      <c r="O133" s="165"/>
      <c r="P133" s="165"/>
      <c r="Q133" s="165"/>
      <c r="R133" s="165"/>
      <c r="S133" s="165"/>
      <c r="T133" s="165"/>
      <c r="U133" s="165"/>
      <c r="V133" s="165"/>
      <c r="W133" s="165"/>
      <c r="X133" s="165" t="str">
        <f>IFERROR(__xludf.DUMMYFUNCTION("""COMPUTED_VALUE"""),"CC-MAC-08.05")</f>
        <v>CC-MAC-08.05</v>
      </c>
      <c r="Y133" s="285" t="str">
        <f>IFERROR(__xludf.DUMMYFUNCTION("""COMPUTED_VALUE"""),"Done")</f>
        <v>Done</v>
      </c>
      <c r="Z133" s="284">
        <f>IFERROR(__xludf.DUMMYFUNCTION("""COMPUTED_VALUE"""),45223.0)</f>
        <v>45223</v>
      </c>
      <c r="AA133" s="165" t="str">
        <f>IFERROR(__xludf.DUMMYFUNCTION("""COMPUTED_VALUE"""),"Akhil")</f>
        <v>Akhil</v>
      </c>
      <c r="AB133" s="165" t="str">
        <f>IFERROR(__xludf.DUMMYFUNCTION("""COMPUTED_VALUE"""),"Edit")</f>
        <v>Edit</v>
      </c>
      <c r="AC133" s="165"/>
      <c r="AD133" s="165"/>
      <c r="AE133" s="165"/>
      <c r="AF133" s="165"/>
      <c r="AG133" s="165"/>
      <c r="AH133" s="165"/>
      <c r="AI133" s="165"/>
      <c r="AJ133" s="165"/>
      <c r="AK133" s="165"/>
      <c r="AL133" s="165"/>
    </row>
    <row r="134">
      <c r="A134" s="165"/>
      <c r="B134" s="165"/>
      <c r="C134" s="165"/>
      <c r="D134" s="165"/>
      <c r="E134" s="292"/>
      <c r="F134" s="277"/>
      <c r="G134" s="165"/>
      <c r="H134" s="277"/>
      <c r="I134" s="277"/>
      <c r="J134" s="165"/>
      <c r="K134" s="165"/>
      <c r="L134" s="165"/>
      <c r="M134" s="165"/>
      <c r="N134" s="165"/>
      <c r="O134" s="165"/>
      <c r="P134" s="165"/>
      <c r="Q134" s="165"/>
      <c r="R134" s="165"/>
      <c r="S134" s="165"/>
      <c r="T134" s="165"/>
      <c r="U134" s="165"/>
      <c r="V134" s="165"/>
      <c r="W134" s="165"/>
      <c r="X134" s="165" t="str">
        <f>IFERROR(__xludf.DUMMYFUNCTION("""COMPUTED_VALUE"""),"PM-PTS-05.11")</f>
        <v>PM-PTS-05.11</v>
      </c>
      <c r="Y134" s="285" t="str">
        <f>IFERROR(__xludf.DUMMYFUNCTION("""COMPUTED_VALUE"""),"Done")</f>
        <v>Done</v>
      </c>
      <c r="Z134" s="284">
        <f>IFERROR(__xludf.DUMMYFUNCTION("""COMPUTED_VALUE"""),45223.0)</f>
        <v>45223</v>
      </c>
      <c r="AA134" s="165" t="str">
        <f>IFERROR(__xludf.DUMMYFUNCTION("""COMPUTED_VALUE"""),"Naveen")</f>
        <v>Naveen</v>
      </c>
      <c r="AB134" s="165" t="str">
        <f>IFERROR(__xludf.DUMMYFUNCTION("""COMPUTED_VALUE"""),"Ideation Colorful")</f>
        <v>Ideation Colorful</v>
      </c>
      <c r="AC134" s="165"/>
      <c r="AD134" s="165"/>
      <c r="AE134" s="165"/>
      <c r="AF134" s="165"/>
      <c r="AG134" s="165"/>
      <c r="AH134" s="165"/>
      <c r="AI134" s="165"/>
      <c r="AJ134" s="165"/>
      <c r="AK134" s="165"/>
      <c r="AL134" s="165"/>
    </row>
    <row r="135">
      <c r="A135" s="165"/>
      <c r="B135" s="165"/>
      <c r="C135" s="165"/>
      <c r="D135" s="165"/>
      <c r="E135" s="292"/>
      <c r="F135" s="277"/>
      <c r="G135" s="165"/>
      <c r="H135" s="277"/>
      <c r="I135" s="277"/>
      <c r="J135" s="165"/>
      <c r="K135" s="165"/>
      <c r="L135" s="165"/>
      <c r="M135" s="165"/>
      <c r="N135" s="165"/>
      <c r="O135" s="165"/>
      <c r="P135" s="165"/>
      <c r="Q135" s="165"/>
      <c r="R135" s="165"/>
      <c r="S135" s="165"/>
      <c r="T135" s="165"/>
      <c r="U135" s="165"/>
      <c r="V135" s="165"/>
      <c r="W135" s="165"/>
      <c r="X135" s="165" t="str">
        <f>IFERROR(__xludf.DUMMYFUNCTION("""COMPUTED_VALUE"""),"PM-PTS-05.12")</f>
        <v>PM-PTS-05.12</v>
      </c>
      <c r="Y135" s="285" t="str">
        <f>IFERROR(__xludf.DUMMYFUNCTION("""COMPUTED_VALUE"""),"Done")</f>
        <v>Done</v>
      </c>
      <c r="Z135" s="284">
        <f>IFERROR(__xludf.DUMMYFUNCTION("""COMPUTED_VALUE"""),45223.0)</f>
        <v>45223</v>
      </c>
      <c r="AA135" s="165" t="str">
        <f>IFERROR(__xludf.DUMMYFUNCTION("""COMPUTED_VALUE"""),"Naveen")</f>
        <v>Naveen</v>
      </c>
      <c r="AB135" s="165" t="str">
        <f>IFERROR(__xludf.DUMMYFUNCTION("""COMPUTED_VALUE"""),"Ideation INNO3D")</f>
        <v>Ideation INNO3D</v>
      </c>
      <c r="AC135" s="165"/>
      <c r="AD135" s="165"/>
      <c r="AE135" s="165"/>
      <c r="AF135" s="165"/>
      <c r="AG135" s="165"/>
      <c r="AH135" s="165"/>
      <c r="AI135" s="165"/>
      <c r="AJ135" s="165"/>
      <c r="AK135" s="165"/>
      <c r="AL135" s="165"/>
    </row>
    <row r="136">
      <c r="A136" s="165"/>
      <c r="B136" s="165"/>
      <c r="C136" s="165"/>
      <c r="D136" s="165"/>
      <c r="E136" s="292"/>
      <c r="F136" s="277"/>
      <c r="G136" s="165"/>
      <c r="H136" s="277"/>
      <c r="I136" s="277"/>
      <c r="J136" s="165"/>
      <c r="K136" s="165"/>
      <c r="L136" s="165"/>
      <c r="M136" s="165"/>
      <c r="N136" s="165"/>
      <c r="O136" s="165"/>
      <c r="P136" s="165"/>
      <c r="Q136" s="165"/>
      <c r="R136" s="165"/>
      <c r="S136" s="165"/>
      <c r="T136" s="165"/>
      <c r="U136" s="165"/>
      <c r="V136" s="165"/>
      <c r="W136" s="165"/>
      <c r="X136" s="165" t="str">
        <f>IFERROR(__xludf.DUMMYFUNCTION("""COMPUTED_VALUE"""),"CC-MAC-09.03")</f>
        <v>CC-MAC-09.03</v>
      </c>
      <c r="Y136" s="285" t="str">
        <f>IFERROR(__xludf.DUMMYFUNCTION("""COMPUTED_VALUE"""),"Done")</f>
        <v>Done</v>
      </c>
      <c r="Z136" s="284">
        <f>IFERROR(__xludf.DUMMYFUNCTION("""COMPUTED_VALUE"""),45224.0)</f>
        <v>45224</v>
      </c>
      <c r="AA136" s="165" t="str">
        <f>IFERROR(__xludf.DUMMYFUNCTION("""COMPUTED_VALUE"""),"Akhil")</f>
        <v>Akhil</v>
      </c>
      <c r="AB136" s="165" t="str">
        <f>IFERROR(__xludf.DUMMYFUNCTION("""COMPUTED_VALUE"""),"Edit + Captions")</f>
        <v>Edit + Captions</v>
      </c>
      <c r="AC136" s="165"/>
      <c r="AD136" s="165"/>
      <c r="AE136" s="165"/>
      <c r="AF136" s="165"/>
      <c r="AG136" s="165"/>
      <c r="AH136" s="165"/>
      <c r="AI136" s="165"/>
      <c r="AJ136" s="165"/>
      <c r="AK136" s="165"/>
      <c r="AL136" s="165"/>
    </row>
    <row r="137">
      <c r="A137" s="165"/>
      <c r="B137" s="165"/>
      <c r="C137" s="165"/>
      <c r="D137" s="165"/>
      <c r="E137" s="292"/>
      <c r="F137" s="277"/>
      <c r="G137" s="165"/>
      <c r="H137" s="277"/>
      <c r="I137" s="277"/>
      <c r="J137" s="165"/>
      <c r="K137" s="165"/>
      <c r="L137" s="165"/>
      <c r="M137" s="165"/>
      <c r="N137" s="165"/>
      <c r="O137" s="165"/>
      <c r="P137" s="165"/>
      <c r="Q137" s="165"/>
      <c r="R137" s="165"/>
      <c r="S137" s="165"/>
      <c r="T137" s="165"/>
      <c r="U137" s="165"/>
      <c r="V137" s="165"/>
      <c r="W137" s="165"/>
      <c r="X137" s="165" t="str">
        <f>IFERROR(__xludf.DUMMYFUNCTION("""COMPUTED_VALUE"""),"CC-MVP-36.02")</f>
        <v>CC-MVP-36.02</v>
      </c>
      <c r="Y137" s="285" t="str">
        <f>IFERROR(__xludf.DUMMYFUNCTION("""COMPUTED_VALUE"""),"Done")</f>
        <v>Done</v>
      </c>
      <c r="Z137" s="284">
        <f>IFERROR(__xludf.DUMMYFUNCTION("""COMPUTED_VALUE"""),45226.0)</f>
        <v>45226</v>
      </c>
      <c r="AA137" s="165" t="str">
        <f>IFERROR(__xludf.DUMMYFUNCTION("""COMPUTED_VALUE"""),"Akhil")</f>
        <v>Akhil</v>
      </c>
      <c r="AB137" s="165" t="str">
        <f>IFERROR(__xludf.DUMMYFUNCTION("""COMPUTED_VALUE"""),"Shoot")</f>
        <v>Shoot</v>
      </c>
      <c r="AC137" s="165"/>
      <c r="AD137" s="165"/>
      <c r="AE137" s="165"/>
      <c r="AF137" s="165"/>
      <c r="AG137" s="165"/>
      <c r="AH137" s="165"/>
      <c r="AI137" s="165"/>
      <c r="AJ137" s="165"/>
      <c r="AK137" s="165"/>
      <c r="AL137" s="165"/>
    </row>
    <row r="138">
      <c r="A138" s="165"/>
      <c r="B138" s="165"/>
      <c r="C138" s="165"/>
      <c r="D138" s="165"/>
      <c r="E138" s="292"/>
      <c r="F138" s="277"/>
      <c r="G138" s="165"/>
      <c r="H138" s="277"/>
      <c r="I138" s="277"/>
      <c r="J138" s="165"/>
      <c r="K138" s="165"/>
      <c r="L138" s="165"/>
      <c r="M138" s="165"/>
      <c r="N138" s="165"/>
      <c r="O138" s="165"/>
      <c r="P138" s="165"/>
      <c r="Q138" s="165"/>
      <c r="R138" s="165"/>
      <c r="S138" s="165"/>
      <c r="T138" s="165"/>
      <c r="U138" s="165"/>
      <c r="V138" s="165"/>
      <c r="W138" s="165"/>
      <c r="X138" s="165" t="str">
        <f>IFERROR(__xludf.DUMMYFUNCTION("""COMPUTED_VALUE"""),"CC-MVP-36.04")</f>
        <v>CC-MVP-36.04</v>
      </c>
      <c r="Y138" s="285" t="str">
        <f>IFERROR(__xludf.DUMMYFUNCTION("""COMPUTED_VALUE"""),"Done")</f>
        <v>Done</v>
      </c>
      <c r="Z138" s="284">
        <f>IFERROR(__xludf.DUMMYFUNCTION("""COMPUTED_VALUE"""),45226.0)</f>
        <v>45226</v>
      </c>
      <c r="AA138" s="165" t="str">
        <f>IFERROR(__xludf.DUMMYFUNCTION("""COMPUTED_VALUE"""),"Nasser")</f>
        <v>Nasser</v>
      </c>
      <c r="AB138" s="165" t="str">
        <f>IFERROR(__xludf.DUMMYFUNCTION("""COMPUTED_VALUE"""),"Editor Notes")</f>
        <v>Editor Notes</v>
      </c>
      <c r="AC138" s="165"/>
      <c r="AD138" s="165"/>
      <c r="AE138" s="165"/>
      <c r="AF138" s="165"/>
      <c r="AG138" s="165"/>
      <c r="AH138" s="165"/>
      <c r="AI138" s="165"/>
      <c r="AJ138" s="165"/>
      <c r="AK138" s="165"/>
      <c r="AL138" s="165"/>
    </row>
    <row r="139">
      <c r="A139" s="165"/>
      <c r="B139" s="165"/>
      <c r="C139" s="165"/>
      <c r="D139" s="165"/>
      <c r="E139" s="292"/>
      <c r="F139" s="277"/>
      <c r="G139" s="165"/>
      <c r="H139" s="277"/>
      <c r="I139" s="277"/>
      <c r="J139" s="165"/>
      <c r="K139" s="165"/>
      <c r="L139" s="165"/>
      <c r="M139" s="165"/>
      <c r="N139" s="165"/>
      <c r="O139" s="165"/>
      <c r="P139" s="165"/>
      <c r="Q139" s="165"/>
      <c r="R139" s="165"/>
      <c r="S139" s="165"/>
      <c r="T139" s="165"/>
      <c r="U139" s="165"/>
      <c r="V139" s="165"/>
      <c r="W139" s="165"/>
      <c r="X139" s="165" t="str">
        <f>IFERROR(__xludf.DUMMYFUNCTION("""COMPUTED_VALUE"""),"CC-MVP-36.05")</f>
        <v>CC-MVP-36.05</v>
      </c>
      <c r="Y139" s="285" t="str">
        <f>IFERROR(__xludf.DUMMYFUNCTION("""COMPUTED_VALUE"""),"Done")</f>
        <v>Done</v>
      </c>
      <c r="Z139" s="284">
        <f>IFERROR(__xludf.DUMMYFUNCTION("""COMPUTED_VALUE"""),45226.0)</f>
        <v>45226</v>
      </c>
      <c r="AA139" s="165" t="str">
        <f>IFERROR(__xludf.DUMMYFUNCTION("""COMPUTED_VALUE"""),"Naveen")</f>
        <v>Naveen</v>
      </c>
      <c r="AB139" s="165" t="str">
        <f>IFERROR(__xludf.DUMMYFUNCTION("""COMPUTED_VALUE"""),"Edit")</f>
        <v>Edit</v>
      </c>
      <c r="AC139" s="165"/>
      <c r="AD139" s="165"/>
      <c r="AE139" s="165"/>
      <c r="AF139" s="165"/>
      <c r="AG139" s="165"/>
      <c r="AH139" s="165"/>
      <c r="AI139" s="165"/>
      <c r="AJ139" s="165"/>
      <c r="AK139" s="165"/>
      <c r="AL139" s="165"/>
    </row>
    <row r="140">
      <c r="A140" s="165"/>
      <c r="B140" s="165"/>
      <c r="C140" s="165"/>
      <c r="D140" s="165"/>
      <c r="E140" s="292"/>
      <c r="F140" s="277"/>
      <c r="G140" s="165"/>
      <c r="H140" s="277"/>
      <c r="I140" s="277"/>
      <c r="J140" s="165"/>
      <c r="K140" s="165"/>
      <c r="L140" s="165"/>
      <c r="M140" s="165"/>
      <c r="N140" s="165"/>
      <c r="O140" s="165"/>
      <c r="P140" s="165"/>
      <c r="Q140" s="165"/>
      <c r="R140" s="165"/>
      <c r="S140" s="165"/>
      <c r="T140" s="165"/>
      <c r="U140" s="165"/>
      <c r="V140" s="165"/>
      <c r="W140" s="165"/>
      <c r="X140" s="165" t="str">
        <f>IFERROR(__xludf.DUMMYFUNCTION("""COMPUTED_VALUE"""),"CC-NVI-05.07")</f>
        <v>CC-NVI-05.07</v>
      </c>
      <c r="Y140" s="285" t="str">
        <f>IFERROR(__xludf.DUMMYFUNCTION("""COMPUTED_VALUE"""),"Done")</f>
        <v>Done</v>
      </c>
      <c r="Z140" s="284">
        <f>IFERROR(__xludf.DUMMYFUNCTION("""COMPUTED_VALUE"""),45226.0)</f>
        <v>45226</v>
      </c>
      <c r="AA140" s="165" t="str">
        <f>IFERROR(__xludf.DUMMYFUNCTION("""COMPUTED_VALUE"""),"Freelancer")</f>
        <v>Freelancer</v>
      </c>
      <c r="AB140" s="165" t="str">
        <f>IFERROR(__xludf.DUMMYFUNCTION("""COMPUTED_VALUE"""),"Revise")</f>
        <v>Revise</v>
      </c>
      <c r="AC140" s="165"/>
      <c r="AD140" s="165"/>
      <c r="AE140" s="165"/>
      <c r="AF140" s="165"/>
      <c r="AG140" s="165"/>
      <c r="AH140" s="165"/>
      <c r="AI140" s="165"/>
      <c r="AJ140" s="165"/>
      <c r="AK140" s="165"/>
      <c r="AL140" s="165"/>
    </row>
    <row r="141">
      <c r="A141" s="165"/>
      <c r="B141" s="165"/>
      <c r="C141" s="165"/>
      <c r="D141" s="165"/>
      <c r="E141" s="292"/>
      <c r="F141" s="277"/>
      <c r="G141" s="165"/>
      <c r="H141" s="277"/>
      <c r="I141" s="277"/>
      <c r="J141" s="165"/>
      <c r="K141" s="165"/>
      <c r="L141" s="165"/>
      <c r="M141" s="165"/>
      <c r="N141" s="165"/>
      <c r="O141" s="165"/>
      <c r="P141" s="165"/>
      <c r="Q141" s="165"/>
      <c r="R141" s="165"/>
      <c r="S141" s="165"/>
      <c r="T141" s="165"/>
      <c r="U141" s="165"/>
      <c r="V141" s="165"/>
      <c r="W141" s="165"/>
      <c r="X141" s="165" t="str">
        <f>IFERROR(__xludf.DUMMYFUNCTION("""COMPUTED_VALUE"""),"CC-MAC-02.05")</f>
        <v>CC-MAC-02.05</v>
      </c>
      <c r="Y141" s="285" t="str">
        <f>IFERROR(__xludf.DUMMYFUNCTION("""COMPUTED_VALUE"""),"Done")</f>
        <v>Done</v>
      </c>
      <c r="Z141" s="284">
        <f>IFERROR(__xludf.DUMMYFUNCTION("""COMPUTED_VALUE"""),45226.0)</f>
        <v>45226</v>
      </c>
      <c r="AA141" s="165" t="str">
        <f>IFERROR(__xludf.DUMMYFUNCTION("""COMPUTED_VALUE"""),"Akhil")</f>
        <v>Akhil</v>
      </c>
      <c r="AB141" s="165" t="str">
        <f>IFERROR(__xludf.DUMMYFUNCTION("""COMPUTED_VALUE"""),"Captions")</f>
        <v>Captions</v>
      </c>
      <c r="AC141" s="165"/>
      <c r="AD141" s="165"/>
      <c r="AE141" s="165"/>
      <c r="AF141" s="165"/>
      <c r="AG141" s="165"/>
      <c r="AH141" s="165"/>
      <c r="AI141" s="165"/>
      <c r="AJ141" s="165"/>
      <c r="AK141" s="165"/>
      <c r="AL141" s="165"/>
    </row>
    <row r="142">
      <c r="A142" s="165"/>
      <c r="B142" s="165"/>
      <c r="C142" s="165"/>
      <c r="D142" s="165"/>
      <c r="E142" s="292"/>
      <c r="F142" s="277"/>
      <c r="G142" s="165"/>
      <c r="H142" s="277"/>
      <c r="I142" s="277"/>
      <c r="J142" s="165"/>
      <c r="K142" s="165"/>
      <c r="L142" s="165"/>
      <c r="M142" s="165"/>
      <c r="N142" s="165"/>
      <c r="O142" s="165"/>
      <c r="P142" s="165"/>
      <c r="Q142" s="165"/>
      <c r="R142" s="165"/>
      <c r="S142" s="165"/>
      <c r="T142" s="165"/>
      <c r="U142" s="165"/>
      <c r="V142" s="165"/>
      <c r="W142" s="165"/>
      <c r="X142" s="165" t="str">
        <f>IFERROR(__xludf.DUMMYFUNCTION("""COMPUTED_VALUE"""),"CC-MAC-02.07")</f>
        <v>CC-MAC-02.07</v>
      </c>
      <c r="Y142" s="285" t="str">
        <f>IFERROR(__xludf.DUMMYFUNCTION("""COMPUTED_VALUE"""),"Done")</f>
        <v>Done</v>
      </c>
      <c r="Z142" s="284">
        <f>IFERROR(__xludf.DUMMYFUNCTION("""COMPUTED_VALUE"""),45226.0)</f>
        <v>45226</v>
      </c>
      <c r="AA142" s="165" t="str">
        <f>IFERROR(__xludf.DUMMYFUNCTION("""COMPUTED_VALUE"""),"Akhil")</f>
        <v>Akhil</v>
      </c>
      <c r="AB142" s="165" t="str">
        <f>IFERROR(__xludf.DUMMYFUNCTION("""COMPUTED_VALUE"""),"Upload")</f>
        <v>Upload</v>
      </c>
      <c r="AC142" s="165"/>
      <c r="AD142" s="165"/>
      <c r="AE142" s="165"/>
      <c r="AF142" s="165"/>
      <c r="AG142" s="165"/>
      <c r="AH142" s="165"/>
      <c r="AI142" s="165"/>
      <c r="AJ142" s="165"/>
      <c r="AK142" s="165"/>
      <c r="AL142" s="165"/>
    </row>
    <row r="143">
      <c r="A143" s="165"/>
      <c r="B143" s="165"/>
      <c r="C143" s="165"/>
      <c r="D143" s="165"/>
      <c r="E143" s="292"/>
      <c r="F143" s="277"/>
      <c r="G143" s="165"/>
      <c r="H143" s="277"/>
      <c r="I143" s="277"/>
      <c r="J143" s="165"/>
      <c r="K143" s="165"/>
      <c r="L143" s="165"/>
      <c r="M143" s="165"/>
      <c r="N143" s="165"/>
      <c r="O143" s="165"/>
      <c r="P143" s="165"/>
      <c r="Q143" s="165"/>
      <c r="R143" s="165"/>
      <c r="S143" s="165"/>
      <c r="T143" s="165"/>
      <c r="U143" s="165"/>
      <c r="V143" s="165"/>
      <c r="W143" s="165"/>
      <c r="X143" s="165" t="str">
        <f>IFERROR(__xludf.DUMMYFUNCTION("""COMPUTED_VALUE"""),"CC-MAC-03.04")</f>
        <v>CC-MAC-03.04</v>
      </c>
      <c r="Y143" s="285" t="str">
        <f>IFERROR(__xludf.DUMMYFUNCTION("""COMPUTED_VALUE"""),"Done")</f>
        <v>Done</v>
      </c>
      <c r="Z143" s="284">
        <f>IFERROR(__xludf.DUMMYFUNCTION("""COMPUTED_VALUE"""),45226.0)</f>
        <v>45226</v>
      </c>
      <c r="AA143" s="165" t="str">
        <f>IFERROR(__xludf.DUMMYFUNCTION("""COMPUTED_VALUE"""),"Akhil")</f>
        <v>Akhil</v>
      </c>
      <c r="AB143" s="165" t="str">
        <f>IFERROR(__xludf.DUMMYFUNCTION("""COMPUTED_VALUE"""),"Upload")</f>
        <v>Upload</v>
      </c>
      <c r="AC143" s="165"/>
      <c r="AD143" s="165"/>
      <c r="AE143" s="165"/>
      <c r="AF143" s="165"/>
      <c r="AG143" s="165"/>
      <c r="AH143" s="165"/>
      <c r="AI143" s="165"/>
      <c r="AJ143" s="165"/>
      <c r="AK143" s="165"/>
      <c r="AL143" s="165"/>
    </row>
    <row r="144">
      <c r="A144" s="165"/>
      <c r="B144" s="165"/>
      <c r="C144" s="165"/>
      <c r="D144" s="165"/>
      <c r="E144" s="292"/>
      <c r="F144" s="277"/>
      <c r="G144" s="165"/>
      <c r="H144" s="277"/>
      <c r="I144" s="277"/>
      <c r="J144" s="165"/>
      <c r="K144" s="165"/>
      <c r="L144" s="165"/>
      <c r="M144" s="165"/>
      <c r="N144" s="165"/>
      <c r="O144" s="165"/>
      <c r="P144" s="165"/>
      <c r="Q144" s="165"/>
      <c r="R144" s="165"/>
      <c r="S144" s="165"/>
      <c r="T144" s="165"/>
      <c r="U144" s="165"/>
      <c r="V144" s="165"/>
      <c r="W144" s="165"/>
      <c r="X144" s="165" t="str">
        <f>IFERROR(__xludf.DUMMYFUNCTION("""COMPUTED_VALUE"""),"CC-MVP-78.01")</f>
        <v>CC-MVP-78.01</v>
      </c>
      <c r="Y144" s="285" t="str">
        <f>IFERROR(__xludf.DUMMYFUNCTION("""COMPUTED_VALUE"""),"Done")</f>
        <v>Done</v>
      </c>
      <c r="Z144" s="284">
        <f>IFERROR(__xludf.DUMMYFUNCTION("""COMPUTED_VALUE"""),45227.0)</f>
        <v>45227</v>
      </c>
      <c r="AA144" s="165" t="str">
        <f>IFERROR(__xludf.DUMMYFUNCTION("""COMPUTED_VALUE"""),"Nasser")</f>
        <v>Nasser</v>
      </c>
      <c r="AB144" s="165" t="str">
        <f>IFERROR(__xludf.DUMMYFUNCTION("""COMPUTED_VALUE"""),"Script")</f>
        <v>Script</v>
      </c>
      <c r="AC144" s="165"/>
      <c r="AD144" s="165"/>
      <c r="AE144" s="165"/>
      <c r="AF144" s="165"/>
      <c r="AG144" s="165"/>
      <c r="AH144" s="165"/>
      <c r="AI144" s="165"/>
      <c r="AJ144" s="165"/>
      <c r="AK144" s="165"/>
      <c r="AL144" s="165"/>
    </row>
    <row r="145">
      <c r="A145" s="165"/>
      <c r="B145" s="165"/>
      <c r="C145" s="165"/>
      <c r="D145" s="165"/>
      <c r="E145" s="292"/>
      <c r="F145" s="277"/>
      <c r="G145" s="165"/>
      <c r="H145" s="277"/>
      <c r="I145" s="277"/>
      <c r="J145" s="165"/>
      <c r="K145" s="165"/>
      <c r="L145" s="165"/>
      <c r="M145" s="165"/>
      <c r="N145" s="165"/>
      <c r="O145" s="165"/>
      <c r="P145" s="165"/>
      <c r="Q145" s="165"/>
      <c r="R145" s="165"/>
      <c r="S145" s="165"/>
      <c r="T145" s="165"/>
      <c r="U145" s="165"/>
      <c r="V145" s="165"/>
      <c r="W145" s="165"/>
      <c r="X145" s="165" t="str">
        <f>IFERROR(__xludf.DUMMYFUNCTION("""COMPUTED_VALUE"""),"CC-MVP-77.01")</f>
        <v>CC-MVP-77.01</v>
      </c>
      <c r="Y145" s="285" t="str">
        <f>IFERROR(__xludf.DUMMYFUNCTION("""COMPUTED_VALUE"""),"Done")</f>
        <v>Done</v>
      </c>
      <c r="Z145" s="284">
        <f>IFERROR(__xludf.DUMMYFUNCTION("""COMPUTED_VALUE"""),45227.0)</f>
        <v>45227</v>
      </c>
      <c r="AA145" s="165" t="str">
        <f>IFERROR(__xludf.DUMMYFUNCTION("""COMPUTED_VALUE"""),"Nasser")</f>
        <v>Nasser</v>
      </c>
      <c r="AB145" s="165" t="str">
        <f>IFERROR(__xludf.DUMMYFUNCTION("""COMPUTED_VALUE"""),"Script")</f>
        <v>Script</v>
      </c>
      <c r="AC145" s="165"/>
      <c r="AD145" s="165"/>
      <c r="AE145" s="165"/>
      <c r="AF145" s="165"/>
      <c r="AG145" s="165"/>
      <c r="AH145" s="165"/>
      <c r="AI145" s="165"/>
      <c r="AJ145" s="165"/>
      <c r="AK145" s="165"/>
      <c r="AL145" s="165"/>
    </row>
    <row r="146">
      <c r="A146" s="165"/>
      <c r="B146" s="165"/>
      <c r="C146" s="165"/>
      <c r="D146" s="165"/>
      <c r="E146" s="292"/>
      <c r="F146" s="277"/>
      <c r="G146" s="165"/>
      <c r="H146" s="277"/>
      <c r="I146" s="277"/>
      <c r="J146" s="165"/>
      <c r="K146" s="165"/>
      <c r="L146" s="165"/>
      <c r="M146" s="165"/>
      <c r="N146" s="165"/>
      <c r="O146" s="165"/>
      <c r="P146" s="165"/>
      <c r="Q146" s="165"/>
      <c r="R146" s="165"/>
      <c r="S146" s="165"/>
      <c r="T146" s="165"/>
      <c r="U146" s="165"/>
      <c r="V146" s="165"/>
      <c r="W146" s="165"/>
      <c r="X146" s="165" t="str">
        <f>IFERROR(__xludf.DUMMYFUNCTION("""COMPUTED_VALUE"""),"CC-NVI-08.05")</f>
        <v>CC-NVI-08.05</v>
      </c>
      <c r="Y146" s="285" t="str">
        <f>IFERROR(__xludf.DUMMYFUNCTION("""COMPUTED_VALUE"""),"Done")</f>
        <v>Done</v>
      </c>
      <c r="Z146" s="284">
        <f>IFERROR(__xludf.DUMMYFUNCTION("""COMPUTED_VALUE"""),45227.0)</f>
        <v>45227</v>
      </c>
      <c r="AA146" s="165" t="str">
        <f>IFERROR(__xludf.DUMMYFUNCTION("""COMPUTED_VALUE"""),"Nasser")</f>
        <v>Nasser</v>
      </c>
      <c r="AB146" s="165" t="str">
        <f>IFERROR(__xludf.DUMMYFUNCTION("""COMPUTED_VALUE"""),"Voiceover")</f>
        <v>Voiceover</v>
      </c>
      <c r="AC146" s="165"/>
      <c r="AD146" s="165"/>
      <c r="AE146" s="165"/>
      <c r="AF146" s="165"/>
      <c r="AG146" s="165"/>
      <c r="AH146" s="165"/>
      <c r="AI146" s="165"/>
      <c r="AJ146" s="165"/>
      <c r="AK146" s="165"/>
      <c r="AL146" s="165"/>
    </row>
    <row r="147">
      <c r="A147" s="165"/>
      <c r="B147" s="165"/>
      <c r="C147" s="165"/>
      <c r="D147" s="165"/>
      <c r="E147" s="292"/>
      <c r="F147" s="277"/>
      <c r="G147" s="165"/>
      <c r="H147" s="277"/>
      <c r="I147" s="277"/>
      <c r="J147" s="165"/>
      <c r="K147" s="165"/>
      <c r="L147" s="165"/>
      <c r="M147" s="165"/>
      <c r="N147" s="165"/>
      <c r="O147" s="165"/>
      <c r="P147" s="165"/>
      <c r="Q147" s="165"/>
      <c r="R147" s="165"/>
      <c r="S147" s="165"/>
      <c r="T147" s="165"/>
      <c r="U147" s="165"/>
      <c r="V147" s="165"/>
      <c r="W147" s="165"/>
      <c r="X147" s="165" t="str">
        <f>IFERROR(__xludf.DUMMYFUNCTION("""COMPUTED_VALUE"""),"CC-NVI-08.06")</f>
        <v>CC-NVI-08.06</v>
      </c>
      <c r="Y147" s="285" t="str">
        <f>IFERROR(__xludf.DUMMYFUNCTION("""COMPUTED_VALUE"""),"Done")</f>
        <v>Done</v>
      </c>
      <c r="Z147" s="284">
        <f>IFERROR(__xludf.DUMMYFUNCTION("""COMPUTED_VALUE"""),45227.0)</f>
        <v>45227</v>
      </c>
      <c r="AA147" s="165" t="str">
        <f>IFERROR(__xludf.DUMMYFUNCTION("""COMPUTED_VALUE"""),"Freelancer")</f>
        <v>Freelancer</v>
      </c>
      <c r="AB147" s="165" t="str">
        <f>IFERROR(__xludf.DUMMYFUNCTION("""COMPUTED_VALUE"""),"Edit")</f>
        <v>Edit</v>
      </c>
      <c r="AC147" s="165"/>
      <c r="AD147" s="165"/>
      <c r="AE147" s="165"/>
      <c r="AF147" s="165"/>
      <c r="AG147" s="165"/>
      <c r="AH147" s="165"/>
      <c r="AI147" s="165"/>
      <c r="AJ147" s="165"/>
      <c r="AK147" s="165"/>
      <c r="AL147" s="165"/>
    </row>
    <row r="148">
      <c r="A148" s="165"/>
      <c r="B148" s="165"/>
      <c r="C148" s="165"/>
      <c r="D148" s="165"/>
      <c r="E148" s="292"/>
      <c r="F148" s="277"/>
      <c r="G148" s="165"/>
      <c r="H148" s="277"/>
      <c r="I148" s="277"/>
      <c r="J148" s="165"/>
      <c r="K148" s="165"/>
      <c r="L148" s="165"/>
      <c r="M148" s="165"/>
      <c r="N148" s="165"/>
      <c r="O148" s="165"/>
      <c r="P148" s="165"/>
      <c r="Q148" s="165"/>
      <c r="R148" s="165"/>
      <c r="S148" s="165"/>
      <c r="T148" s="165"/>
      <c r="U148" s="165"/>
      <c r="V148" s="165"/>
      <c r="W148" s="165"/>
      <c r="X148" s="165" t="str">
        <f>IFERROR(__xludf.DUMMYFUNCTION("""COMPUTED_VALUE"""),"CC-MAC-06.07")</f>
        <v>CC-MAC-06.07</v>
      </c>
      <c r="Y148" s="285" t="str">
        <f>IFERROR(__xludf.DUMMYFUNCTION("""COMPUTED_VALUE"""),"Done")</f>
        <v>Done</v>
      </c>
      <c r="Z148" s="284">
        <f>IFERROR(__xludf.DUMMYFUNCTION("""COMPUTED_VALUE"""),45227.0)</f>
        <v>45227</v>
      </c>
      <c r="AA148" s="165" t="str">
        <f>IFERROR(__xludf.DUMMYFUNCTION("""COMPUTED_VALUE"""),"Akhil")</f>
        <v>Akhil</v>
      </c>
      <c r="AB148" s="165" t="str">
        <f>IFERROR(__xludf.DUMMYFUNCTION("""COMPUTED_VALUE"""),"Upload")</f>
        <v>Upload</v>
      </c>
      <c r="AC148" s="165"/>
      <c r="AD148" s="165"/>
      <c r="AE148" s="165"/>
      <c r="AF148" s="165"/>
      <c r="AG148" s="165"/>
      <c r="AH148" s="165"/>
      <c r="AI148" s="165"/>
      <c r="AJ148" s="165"/>
      <c r="AK148" s="165"/>
      <c r="AL148" s="165"/>
    </row>
    <row r="149">
      <c r="A149" s="165"/>
      <c r="B149" s="165"/>
      <c r="C149" s="165"/>
      <c r="D149" s="165"/>
      <c r="E149" s="292"/>
      <c r="F149" s="277"/>
      <c r="G149" s="165"/>
      <c r="H149" s="277"/>
      <c r="I149" s="277"/>
      <c r="J149" s="165"/>
      <c r="K149" s="165"/>
      <c r="L149" s="165"/>
      <c r="M149" s="165"/>
      <c r="N149" s="165"/>
      <c r="O149" s="165"/>
      <c r="P149" s="165"/>
      <c r="Q149" s="165"/>
      <c r="R149" s="165"/>
      <c r="S149" s="165"/>
      <c r="T149" s="165"/>
      <c r="U149" s="165"/>
      <c r="V149" s="165"/>
      <c r="W149" s="165"/>
      <c r="X149" s="165" t="str">
        <f>IFERROR(__xludf.DUMMYFUNCTION("""COMPUTED_VALUE"""),"CC-MAC-07.04")</f>
        <v>CC-MAC-07.04</v>
      </c>
      <c r="Y149" s="285" t="str">
        <f>IFERROR(__xludf.DUMMYFUNCTION("""COMPUTED_VALUE"""),"Done")</f>
        <v>Done</v>
      </c>
      <c r="Z149" s="284">
        <f>IFERROR(__xludf.DUMMYFUNCTION("""COMPUTED_VALUE"""),45227.0)</f>
        <v>45227</v>
      </c>
      <c r="AA149" s="165" t="str">
        <f>IFERROR(__xludf.DUMMYFUNCTION("""COMPUTED_VALUE"""),"Akhil")</f>
        <v>Akhil</v>
      </c>
      <c r="AB149" s="165" t="str">
        <f>IFERROR(__xludf.DUMMYFUNCTION("""COMPUTED_VALUE"""),"Upload")</f>
        <v>Upload</v>
      </c>
      <c r="AC149" s="165"/>
      <c r="AD149" s="165"/>
      <c r="AE149" s="165"/>
      <c r="AF149" s="165"/>
      <c r="AG149" s="165"/>
      <c r="AH149" s="165"/>
      <c r="AI149" s="165"/>
      <c r="AJ149" s="165"/>
      <c r="AK149" s="165"/>
      <c r="AL149" s="165"/>
    </row>
    <row r="150">
      <c r="A150" s="165"/>
      <c r="B150" s="165"/>
      <c r="C150" s="165"/>
      <c r="D150" s="165"/>
      <c r="E150" s="292"/>
      <c r="F150" s="277"/>
      <c r="G150" s="165"/>
      <c r="H150" s="277"/>
      <c r="I150" s="277"/>
      <c r="J150" s="165"/>
      <c r="K150" s="165"/>
      <c r="L150" s="165"/>
      <c r="M150" s="165"/>
      <c r="N150" s="165"/>
      <c r="O150" s="165"/>
      <c r="P150" s="165"/>
      <c r="Q150" s="165"/>
      <c r="R150" s="165"/>
      <c r="S150" s="165"/>
      <c r="T150" s="165"/>
      <c r="U150" s="165"/>
      <c r="V150" s="165"/>
      <c r="W150" s="165"/>
      <c r="X150" s="165" t="str">
        <f>IFERROR(__xludf.DUMMYFUNCTION("""COMPUTED_VALUE"""),"CC-NVI-04.06")</f>
        <v>CC-NVI-04.06</v>
      </c>
      <c r="Y150" s="285" t="str">
        <f>IFERROR(__xludf.DUMMYFUNCTION("""COMPUTED_VALUE"""),"Done")</f>
        <v>Done</v>
      </c>
      <c r="Z150" s="284">
        <f>IFERROR(__xludf.DUMMYFUNCTION("""COMPUTED_VALUE"""),45228.0)</f>
        <v>45228</v>
      </c>
      <c r="AA150" s="165" t="str">
        <f>IFERROR(__xludf.DUMMYFUNCTION("""COMPUTED_VALUE"""),"Freelancer")</f>
        <v>Freelancer</v>
      </c>
      <c r="AB150" s="165" t="str">
        <f>IFERROR(__xludf.DUMMYFUNCTION("""COMPUTED_VALUE"""),"Edit")</f>
        <v>Edit</v>
      </c>
      <c r="AC150" s="165"/>
      <c r="AD150" s="165"/>
      <c r="AE150" s="165"/>
      <c r="AF150" s="165"/>
      <c r="AG150" s="165"/>
      <c r="AH150" s="165"/>
      <c r="AI150" s="165"/>
      <c r="AJ150" s="165"/>
      <c r="AK150" s="165"/>
      <c r="AL150" s="165"/>
    </row>
    <row r="151">
      <c r="A151" s="165"/>
      <c r="B151" s="165"/>
      <c r="C151" s="165"/>
      <c r="D151" s="165"/>
      <c r="E151" s="292"/>
      <c r="F151" s="277"/>
      <c r="G151" s="165"/>
      <c r="H151" s="277"/>
      <c r="I151" s="277"/>
      <c r="J151" s="165"/>
      <c r="K151" s="165"/>
      <c r="L151" s="165"/>
      <c r="M151" s="165"/>
      <c r="N151" s="165"/>
      <c r="O151" s="165"/>
      <c r="P151" s="165"/>
      <c r="Q151" s="165"/>
      <c r="R151" s="165"/>
      <c r="S151" s="165"/>
      <c r="T151" s="165"/>
      <c r="U151" s="165"/>
      <c r="V151" s="165"/>
      <c r="W151" s="165"/>
      <c r="X151" s="165" t="str">
        <f>IFERROR(__xludf.DUMMYFUNCTION("""COMPUTED_VALUE"""),"CC-CTH-10.01")</f>
        <v>CC-CTH-10.01</v>
      </c>
      <c r="Y151" s="285" t="str">
        <f>IFERROR(__xludf.DUMMYFUNCTION("""COMPUTED_VALUE"""),"Done")</f>
        <v>Done</v>
      </c>
      <c r="Z151" s="284">
        <f>IFERROR(__xludf.DUMMYFUNCTION("""COMPUTED_VALUE"""),45228.0)</f>
        <v>45228</v>
      </c>
      <c r="AA151" s="165" t="str">
        <f>IFERROR(__xludf.DUMMYFUNCTION("""COMPUTED_VALUE"""),"Naveen")</f>
        <v>Naveen</v>
      </c>
      <c r="AB151" s="165" t="str">
        <f>IFERROR(__xludf.DUMMYFUNCTION("""COMPUTED_VALUE"""),"Script")</f>
        <v>Script</v>
      </c>
      <c r="AC151" s="165"/>
      <c r="AD151" s="165"/>
      <c r="AE151" s="165"/>
      <c r="AF151" s="165"/>
      <c r="AG151" s="165"/>
      <c r="AH151" s="165"/>
      <c r="AI151" s="165"/>
      <c r="AJ151" s="165"/>
      <c r="AK151" s="165"/>
      <c r="AL151" s="165"/>
    </row>
    <row r="152">
      <c r="A152" s="165"/>
      <c r="B152" s="165"/>
      <c r="C152" s="165"/>
      <c r="D152" s="165"/>
      <c r="E152" s="292"/>
      <c r="F152" s="277"/>
      <c r="G152" s="165"/>
      <c r="H152" s="277"/>
      <c r="I152" s="277"/>
      <c r="J152" s="165"/>
      <c r="K152" s="165"/>
      <c r="L152" s="165"/>
      <c r="M152" s="165"/>
      <c r="N152" s="165"/>
      <c r="O152" s="165"/>
      <c r="P152" s="165"/>
      <c r="Q152" s="165"/>
      <c r="R152" s="165"/>
      <c r="S152" s="165"/>
      <c r="T152" s="165"/>
      <c r="U152" s="165"/>
      <c r="V152" s="165"/>
      <c r="W152" s="165"/>
      <c r="X152" s="165" t="str">
        <f>IFERROR(__xludf.DUMMYFUNCTION("""COMPUTED_VALUE"""),"CC-MAC-08.07")</f>
        <v>CC-MAC-08.07</v>
      </c>
      <c r="Y152" s="285" t="str">
        <f>IFERROR(__xludf.DUMMYFUNCTION("""COMPUTED_VALUE"""),"Done")</f>
        <v>Done</v>
      </c>
      <c r="Z152" s="284">
        <f>IFERROR(__xludf.DUMMYFUNCTION("""COMPUTED_VALUE"""),45228.0)</f>
        <v>45228</v>
      </c>
      <c r="AA152" s="165" t="str">
        <f>IFERROR(__xludf.DUMMYFUNCTION("""COMPUTED_VALUE"""),"Akhil")</f>
        <v>Akhil</v>
      </c>
      <c r="AB152" s="165" t="str">
        <f>IFERROR(__xludf.DUMMYFUNCTION("""COMPUTED_VALUE"""),"Upload")</f>
        <v>Upload</v>
      </c>
      <c r="AC152" s="165"/>
      <c r="AD152" s="165"/>
      <c r="AE152" s="165"/>
      <c r="AF152" s="165"/>
      <c r="AG152" s="165"/>
      <c r="AH152" s="165"/>
      <c r="AI152" s="165"/>
      <c r="AJ152" s="165"/>
      <c r="AK152" s="165"/>
      <c r="AL152" s="165"/>
    </row>
    <row r="153">
      <c r="A153" s="165"/>
      <c r="B153" s="165"/>
      <c r="C153" s="165"/>
      <c r="D153" s="165"/>
      <c r="E153" s="292"/>
      <c r="F153" s="277"/>
      <c r="G153" s="165"/>
      <c r="H153" s="277"/>
      <c r="I153" s="277"/>
      <c r="J153" s="165"/>
      <c r="K153" s="165"/>
      <c r="L153" s="165"/>
      <c r="M153" s="165"/>
      <c r="N153" s="165"/>
      <c r="O153" s="165"/>
      <c r="P153" s="165"/>
      <c r="Q153" s="165"/>
      <c r="R153" s="165"/>
      <c r="S153" s="165"/>
      <c r="T153" s="165"/>
      <c r="U153" s="165"/>
      <c r="V153" s="165"/>
      <c r="W153" s="165"/>
      <c r="X153" s="165" t="str">
        <f>IFERROR(__xludf.DUMMYFUNCTION("""COMPUTED_VALUE"""),"CC-MAC-09.04")</f>
        <v>CC-MAC-09.04</v>
      </c>
      <c r="Y153" s="285" t="str">
        <f>IFERROR(__xludf.DUMMYFUNCTION("""COMPUTED_VALUE"""),"Done")</f>
        <v>Done</v>
      </c>
      <c r="Z153" s="284">
        <f>IFERROR(__xludf.DUMMYFUNCTION("""COMPUTED_VALUE"""),45228.0)</f>
        <v>45228</v>
      </c>
      <c r="AA153" s="165" t="str">
        <f>IFERROR(__xludf.DUMMYFUNCTION("""COMPUTED_VALUE"""),"Akhil")</f>
        <v>Akhil</v>
      </c>
      <c r="AB153" s="165" t="str">
        <f>IFERROR(__xludf.DUMMYFUNCTION("""COMPUTED_VALUE"""),"Upload")</f>
        <v>Upload</v>
      </c>
      <c r="AC153" s="165"/>
      <c r="AD153" s="165"/>
      <c r="AE153" s="165"/>
      <c r="AF153" s="165"/>
      <c r="AG153" s="165"/>
      <c r="AH153" s="165"/>
      <c r="AI153" s="165"/>
      <c r="AJ153" s="165"/>
      <c r="AK153" s="165"/>
      <c r="AL153" s="165"/>
    </row>
    <row r="154">
      <c r="A154" s="165"/>
      <c r="B154" s="165"/>
      <c r="C154" s="165"/>
      <c r="D154" s="165"/>
      <c r="E154" s="292"/>
      <c r="F154" s="277"/>
      <c r="G154" s="165"/>
      <c r="H154" s="277"/>
      <c r="I154" s="277"/>
      <c r="J154" s="165"/>
      <c r="K154" s="165"/>
      <c r="L154" s="165"/>
      <c r="M154" s="165"/>
      <c r="N154" s="165"/>
      <c r="O154" s="165"/>
      <c r="P154" s="165"/>
      <c r="Q154" s="165"/>
      <c r="R154" s="165"/>
      <c r="S154" s="165"/>
      <c r="T154" s="165"/>
      <c r="U154" s="165"/>
      <c r="V154" s="165"/>
      <c r="W154" s="165"/>
      <c r="X154" s="165" t="str">
        <f>IFERROR(__xludf.DUMMYFUNCTION("""COMPUTED_VALUE"""),"CC-MAC-04.05")</f>
        <v>CC-MAC-04.05</v>
      </c>
      <c r="Y154" s="285" t="str">
        <f>IFERROR(__xludf.DUMMYFUNCTION("""COMPUTED_VALUE"""),"Done")</f>
        <v>Done</v>
      </c>
      <c r="Z154" s="284">
        <f>IFERROR(__xludf.DUMMYFUNCTION("""COMPUTED_VALUE"""),45228.0)</f>
        <v>45228</v>
      </c>
      <c r="AA154" s="165" t="str">
        <f>IFERROR(__xludf.DUMMYFUNCTION("""COMPUTED_VALUE"""),"Akhil")</f>
        <v>Akhil</v>
      </c>
      <c r="AB154" s="165" t="str">
        <f>IFERROR(__xludf.DUMMYFUNCTION("""COMPUTED_VALUE"""),"Edit")</f>
        <v>Edit</v>
      </c>
      <c r="AC154" s="165"/>
      <c r="AD154" s="165"/>
      <c r="AE154" s="165"/>
      <c r="AF154" s="165"/>
      <c r="AG154" s="165"/>
      <c r="AH154" s="165"/>
      <c r="AI154" s="165"/>
      <c r="AJ154" s="165"/>
      <c r="AK154" s="165"/>
      <c r="AL154" s="165"/>
    </row>
    <row r="155">
      <c r="A155" s="165"/>
      <c r="B155" s="165"/>
      <c r="C155" s="165"/>
      <c r="D155" s="165"/>
      <c r="E155" s="292"/>
      <c r="F155" s="277"/>
      <c r="G155" s="165"/>
      <c r="H155" s="277"/>
      <c r="I155" s="277"/>
      <c r="J155" s="165"/>
      <c r="K155" s="165"/>
      <c r="L155" s="165"/>
      <c r="M155" s="165"/>
      <c r="N155" s="165"/>
      <c r="O155" s="165"/>
      <c r="P155" s="165"/>
      <c r="Q155" s="165"/>
      <c r="R155" s="165"/>
      <c r="S155" s="165"/>
      <c r="T155" s="165"/>
      <c r="U155" s="165"/>
      <c r="V155" s="165"/>
      <c r="W155" s="165"/>
      <c r="X155" s="165" t="str">
        <f>IFERROR(__xludf.DUMMYFUNCTION("""COMPUTED_VALUE"""),"CC-MAC-05.03")</f>
        <v>CC-MAC-05.03</v>
      </c>
      <c r="Y155" s="285" t="str">
        <f>IFERROR(__xludf.DUMMYFUNCTION("""COMPUTED_VALUE"""),"Done")</f>
        <v>Done</v>
      </c>
      <c r="Z155" s="284">
        <f>IFERROR(__xludf.DUMMYFUNCTION("""COMPUTED_VALUE"""),45228.0)</f>
        <v>45228</v>
      </c>
      <c r="AA155" s="165" t="str">
        <f>IFERROR(__xludf.DUMMYFUNCTION("""COMPUTED_VALUE"""),"Akhil")</f>
        <v>Akhil</v>
      </c>
      <c r="AB155" s="165" t="str">
        <f>IFERROR(__xludf.DUMMYFUNCTION("""COMPUTED_VALUE"""),"Edit &amp; Caption")</f>
        <v>Edit &amp; Caption</v>
      </c>
      <c r="AC155" s="165"/>
      <c r="AD155" s="165"/>
      <c r="AE155" s="165"/>
      <c r="AF155" s="165"/>
      <c r="AG155" s="165"/>
      <c r="AH155" s="165"/>
      <c r="AI155" s="165"/>
      <c r="AJ155" s="165"/>
      <c r="AK155" s="165"/>
      <c r="AL155" s="165"/>
    </row>
    <row r="156">
      <c r="A156" s="165"/>
      <c r="B156" s="165"/>
      <c r="C156" s="165"/>
      <c r="D156" s="165"/>
      <c r="E156" s="292"/>
      <c r="F156" s="277"/>
      <c r="G156" s="165"/>
      <c r="H156" s="277"/>
      <c r="I156" s="277"/>
      <c r="J156" s="165"/>
      <c r="K156" s="165"/>
      <c r="L156" s="165"/>
      <c r="M156" s="165"/>
      <c r="N156" s="165"/>
      <c r="O156" s="165"/>
      <c r="P156" s="165"/>
      <c r="Q156" s="165"/>
      <c r="R156" s="165"/>
      <c r="S156" s="165"/>
      <c r="T156" s="165"/>
      <c r="U156" s="165"/>
      <c r="V156" s="165"/>
      <c r="W156" s="165"/>
      <c r="X156" s="165" t="str">
        <f>IFERROR(__xludf.DUMMYFUNCTION("""COMPUTED_VALUE"""),"CC-MVP-80.01")</f>
        <v>CC-MVP-80.01</v>
      </c>
      <c r="Y156" s="285" t="str">
        <f>IFERROR(__xludf.DUMMYFUNCTION("""COMPUTED_VALUE"""),"Done")</f>
        <v>Done</v>
      </c>
      <c r="Z156" s="284">
        <f>IFERROR(__xludf.DUMMYFUNCTION("""COMPUTED_VALUE"""),45229.0)</f>
        <v>45229</v>
      </c>
      <c r="AA156" s="165" t="str">
        <f>IFERROR(__xludf.DUMMYFUNCTION("""COMPUTED_VALUE"""),"Naveen")</f>
        <v>Naveen</v>
      </c>
      <c r="AB156" s="165" t="str">
        <f>IFERROR(__xludf.DUMMYFUNCTION("""COMPUTED_VALUE"""),"Script")</f>
        <v>Script</v>
      </c>
      <c r="AC156" s="165"/>
      <c r="AD156" s="165"/>
      <c r="AE156" s="165"/>
      <c r="AF156" s="165"/>
      <c r="AG156" s="165"/>
      <c r="AH156" s="165"/>
      <c r="AI156" s="165"/>
      <c r="AJ156" s="165"/>
      <c r="AK156" s="165"/>
      <c r="AL156" s="165"/>
    </row>
    <row r="157">
      <c r="A157" s="165"/>
      <c r="B157" s="165"/>
      <c r="C157" s="165"/>
      <c r="D157" s="165"/>
      <c r="E157" s="292"/>
      <c r="F157" s="277"/>
      <c r="G157" s="165"/>
      <c r="H157" s="277"/>
      <c r="I157" s="277"/>
      <c r="J157" s="165"/>
      <c r="K157" s="165"/>
      <c r="L157" s="165"/>
      <c r="M157" s="165"/>
      <c r="N157" s="165"/>
      <c r="O157" s="165"/>
      <c r="P157" s="165"/>
      <c r="Q157" s="165"/>
      <c r="R157" s="165"/>
      <c r="S157" s="165"/>
      <c r="T157" s="165"/>
      <c r="U157" s="165"/>
      <c r="V157" s="165"/>
      <c r="W157" s="165"/>
      <c r="X157" s="165" t="str">
        <f>IFERROR(__xludf.DUMMYFUNCTION("""COMPUTED_VALUE"""),"CC-MVP-78.02")</f>
        <v>CC-MVP-78.02</v>
      </c>
      <c r="Y157" s="285" t="str">
        <f>IFERROR(__xludf.DUMMYFUNCTION("""COMPUTED_VALUE"""),"Done")</f>
        <v>Done</v>
      </c>
      <c r="Z157" s="284">
        <f>IFERROR(__xludf.DUMMYFUNCTION("""COMPUTED_VALUE"""),45229.0)</f>
        <v>45229</v>
      </c>
      <c r="AA157" s="165" t="str">
        <f>IFERROR(__xludf.DUMMYFUNCTION("""COMPUTED_VALUE"""),"Nasser")</f>
        <v>Nasser</v>
      </c>
      <c r="AB157" s="165" t="str">
        <f>IFERROR(__xludf.DUMMYFUNCTION("""COMPUTED_VALUE"""),"Edit")</f>
        <v>Edit</v>
      </c>
      <c r="AC157" s="165"/>
      <c r="AD157" s="165"/>
      <c r="AE157" s="165"/>
      <c r="AF157" s="165"/>
      <c r="AG157" s="165"/>
      <c r="AH157" s="165"/>
      <c r="AI157" s="165"/>
      <c r="AJ157" s="165"/>
      <c r="AK157" s="165"/>
      <c r="AL157" s="165"/>
    </row>
    <row r="158">
      <c r="A158" s="165"/>
      <c r="B158" s="165"/>
      <c r="C158" s="165"/>
      <c r="D158" s="165"/>
      <c r="E158" s="292"/>
      <c r="F158" s="277"/>
      <c r="G158" s="165"/>
      <c r="H158" s="277"/>
      <c r="I158" s="277"/>
      <c r="J158" s="165"/>
      <c r="K158" s="165"/>
      <c r="L158" s="165"/>
      <c r="M158" s="165"/>
      <c r="N158" s="165"/>
      <c r="O158" s="165"/>
      <c r="P158" s="165"/>
      <c r="Q158" s="165"/>
      <c r="R158" s="165"/>
      <c r="S158" s="165"/>
      <c r="T158" s="165"/>
      <c r="U158" s="165"/>
      <c r="V158" s="165"/>
      <c r="W158" s="165"/>
      <c r="X158" s="165" t="str">
        <f>IFERROR(__xludf.DUMMYFUNCTION("""COMPUTED_VALUE"""),"CC-NVI-05.08")</f>
        <v>CC-NVI-05.08</v>
      </c>
      <c r="Y158" s="285" t="str">
        <f>IFERROR(__xludf.DUMMYFUNCTION("""COMPUTED_VALUE"""),"Done")</f>
        <v>Done</v>
      </c>
      <c r="Z158" s="284">
        <f>IFERROR(__xludf.DUMMYFUNCTION("""COMPUTED_VALUE"""),45229.0)</f>
        <v>45229</v>
      </c>
      <c r="AA158" s="165" t="str">
        <f>IFERROR(__xludf.DUMMYFUNCTION("""COMPUTED_VALUE"""),"Naveen")</f>
        <v>Naveen</v>
      </c>
      <c r="AB158" s="165" t="str">
        <f>IFERROR(__xludf.DUMMYFUNCTION("""COMPUTED_VALUE"""),"Upload")</f>
        <v>Upload</v>
      </c>
      <c r="AC158" s="165"/>
      <c r="AD158" s="165"/>
      <c r="AE158" s="165"/>
      <c r="AF158" s="165"/>
      <c r="AG158" s="165"/>
      <c r="AH158" s="165"/>
      <c r="AI158" s="165"/>
      <c r="AJ158" s="165"/>
      <c r="AK158" s="165"/>
      <c r="AL158" s="165"/>
    </row>
    <row r="159">
      <c r="A159" s="165"/>
      <c r="B159" s="165"/>
      <c r="C159" s="165"/>
      <c r="D159" s="165"/>
      <c r="E159" s="292"/>
      <c r="F159" s="277"/>
      <c r="G159" s="165"/>
      <c r="H159" s="277"/>
      <c r="I159" s="277"/>
      <c r="J159" s="165"/>
      <c r="K159" s="165"/>
      <c r="L159" s="165"/>
      <c r="M159" s="165"/>
      <c r="N159" s="165"/>
      <c r="O159" s="165"/>
      <c r="P159" s="165"/>
      <c r="Q159" s="165"/>
      <c r="R159" s="165"/>
      <c r="S159" s="165"/>
      <c r="T159" s="165"/>
      <c r="U159" s="165"/>
      <c r="V159" s="165"/>
      <c r="W159" s="165"/>
      <c r="X159" s="165" t="str">
        <f>IFERROR(__xludf.DUMMYFUNCTION("""COMPUTED_VALUE"""),"CC-NVI-07.07")</f>
        <v>CC-NVI-07.07</v>
      </c>
      <c r="Y159" s="285" t="str">
        <f>IFERROR(__xludf.DUMMYFUNCTION("""COMPUTED_VALUE"""),"Done")</f>
        <v>Done</v>
      </c>
      <c r="Z159" s="284">
        <f>IFERROR(__xludf.DUMMYFUNCTION("""COMPUTED_VALUE"""),45229.0)</f>
        <v>45229</v>
      </c>
      <c r="AA159" s="165" t="str">
        <f>IFERROR(__xludf.DUMMYFUNCTION("""COMPUTED_VALUE"""),"Naveen")</f>
        <v>Naveen</v>
      </c>
      <c r="AB159" s="165" t="str">
        <f>IFERROR(__xludf.DUMMYFUNCTION("""COMPUTED_VALUE"""),"Upload")</f>
        <v>Upload</v>
      </c>
      <c r="AC159" s="165"/>
      <c r="AD159" s="165"/>
      <c r="AE159" s="165"/>
      <c r="AF159" s="165"/>
      <c r="AG159" s="165"/>
      <c r="AH159" s="165"/>
      <c r="AI159" s="165"/>
      <c r="AJ159" s="165"/>
      <c r="AK159" s="165"/>
      <c r="AL159" s="165"/>
    </row>
    <row r="160">
      <c r="A160" s="165"/>
      <c r="B160" s="165"/>
      <c r="C160" s="165"/>
      <c r="D160" s="165"/>
      <c r="E160" s="292"/>
      <c r="F160" s="277"/>
      <c r="G160" s="165"/>
      <c r="H160" s="277"/>
      <c r="I160" s="277"/>
      <c r="J160" s="165"/>
      <c r="K160" s="165"/>
      <c r="L160" s="165"/>
      <c r="M160" s="165"/>
      <c r="N160" s="165"/>
      <c r="O160" s="165"/>
      <c r="P160" s="165"/>
      <c r="Q160" s="165"/>
      <c r="R160" s="165"/>
      <c r="S160" s="165"/>
      <c r="T160" s="165"/>
      <c r="U160" s="165"/>
      <c r="V160" s="165"/>
      <c r="W160" s="165"/>
      <c r="X160" s="165" t="str">
        <f>IFERROR(__xludf.DUMMYFUNCTION("""COMPUTED_VALUE"""),"CC-CTH-10.03")</f>
        <v>CC-CTH-10.03</v>
      </c>
      <c r="Y160" s="285" t="str">
        <f>IFERROR(__xludf.DUMMYFUNCTION("""COMPUTED_VALUE"""),"Done")</f>
        <v>Done</v>
      </c>
      <c r="Z160" s="284">
        <f>IFERROR(__xludf.DUMMYFUNCTION("""COMPUTED_VALUE"""),45229.0)</f>
        <v>45229</v>
      </c>
      <c r="AA160" s="165" t="str">
        <f>IFERROR(__xludf.DUMMYFUNCTION("""COMPUTED_VALUE"""),"Naveen")</f>
        <v>Naveen</v>
      </c>
      <c r="AB160" s="165" t="str">
        <f>IFERROR(__xludf.DUMMYFUNCTION("""COMPUTED_VALUE"""),"Edit")</f>
        <v>Edit</v>
      </c>
      <c r="AC160" s="165"/>
      <c r="AD160" s="165"/>
      <c r="AE160" s="165"/>
      <c r="AF160" s="165"/>
      <c r="AG160" s="165"/>
      <c r="AH160" s="165"/>
      <c r="AI160" s="165"/>
      <c r="AJ160" s="165"/>
      <c r="AK160" s="165"/>
      <c r="AL160" s="165"/>
    </row>
    <row r="161">
      <c r="A161" s="165"/>
      <c r="B161" s="165"/>
      <c r="C161" s="165"/>
      <c r="D161" s="165"/>
      <c r="E161" s="292"/>
      <c r="F161" s="277"/>
      <c r="G161" s="165"/>
      <c r="H161" s="277"/>
      <c r="I161" s="277"/>
      <c r="J161" s="165"/>
      <c r="K161" s="165"/>
      <c r="L161" s="165"/>
      <c r="M161" s="165"/>
      <c r="N161" s="165"/>
      <c r="O161" s="165"/>
      <c r="P161" s="165"/>
      <c r="Q161" s="165"/>
      <c r="R161" s="165"/>
      <c r="S161" s="165"/>
      <c r="T161" s="165"/>
      <c r="U161" s="165"/>
      <c r="V161" s="165"/>
      <c r="W161" s="165"/>
      <c r="X161" s="165" t="str">
        <f>IFERROR(__xludf.DUMMYFUNCTION("""COMPUTED_VALUE"""),"CC-INN-13.01")</f>
        <v>CC-INN-13.01</v>
      </c>
      <c r="Y161" s="285" t="str">
        <f>IFERROR(__xludf.DUMMYFUNCTION("""COMPUTED_VALUE"""),"Done")</f>
        <v>Done</v>
      </c>
      <c r="Z161" s="284">
        <f>IFERROR(__xludf.DUMMYFUNCTION("""COMPUTED_VALUE"""),45229.0)</f>
        <v>45229</v>
      </c>
      <c r="AA161" s="165" t="str">
        <f>IFERROR(__xludf.DUMMYFUNCTION("""COMPUTED_VALUE"""),"Naveen")</f>
        <v>Naveen</v>
      </c>
      <c r="AB161" s="165" t="str">
        <f>IFERROR(__xludf.DUMMYFUNCTION("""COMPUTED_VALUE"""),"Script")</f>
        <v>Script</v>
      </c>
      <c r="AC161" s="165"/>
      <c r="AD161" s="165"/>
      <c r="AE161" s="165"/>
      <c r="AF161" s="165"/>
      <c r="AG161" s="165"/>
      <c r="AH161" s="165"/>
      <c r="AI161" s="165"/>
      <c r="AJ161" s="165"/>
      <c r="AK161" s="165"/>
      <c r="AL161" s="165"/>
    </row>
    <row r="162">
      <c r="A162" s="165"/>
      <c r="B162" s="165"/>
      <c r="C162" s="165"/>
      <c r="D162" s="165"/>
      <c r="E162" s="292"/>
      <c r="F162" s="277"/>
      <c r="G162" s="165"/>
      <c r="H162" s="277"/>
      <c r="I162" s="277"/>
      <c r="J162" s="165"/>
      <c r="K162" s="165"/>
      <c r="L162" s="165"/>
      <c r="M162" s="165"/>
      <c r="N162" s="165"/>
      <c r="O162" s="165"/>
      <c r="P162" s="165"/>
      <c r="Q162" s="165"/>
      <c r="R162" s="165"/>
      <c r="S162" s="165"/>
      <c r="T162" s="165"/>
      <c r="U162" s="165"/>
      <c r="V162" s="165"/>
      <c r="W162" s="165"/>
      <c r="X162" s="165" t="str">
        <f>IFERROR(__xludf.DUMMYFUNCTION("""COMPUTED_VALUE"""),"CC-INN-13.03")</f>
        <v>CC-INN-13.03</v>
      </c>
      <c r="Y162" s="285" t="str">
        <f>IFERROR(__xludf.DUMMYFUNCTION("""COMPUTED_VALUE"""),"Done")</f>
        <v>Done</v>
      </c>
      <c r="Z162" s="284">
        <f>IFERROR(__xludf.DUMMYFUNCTION("""COMPUTED_VALUE"""),45229.0)</f>
        <v>45229</v>
      </c>
      <c r="AA162" s="165" t="str">
        <f>IFERROR(__xludf.DUMMYFUNCTION("""COMPUTED_VALUE"""),"Naveen")</f>
        <v>Naveen</v>
      </c>
      <c r="AB162" s="165" t="str">
        <f>IFERROR(__xludf.DUMMYFUNCTION("""COMPUTED_VALUE"""),"Edit + Captions")</f>
        <v>Edit + Captions</v>
      </c>
      <c r="AC162" s="165"/>
      <c r="AD162" s="165"/>
      <c r="AE162" s="165"/>
      <c r="AF162" s="165"/>
      <c r="AG162" s="165"/>
      <c r="AH162" s="165"/>
      <c r="AI162" s="165"/>
      <c r="AJ162" s="165"/>
      <c r="AK162" s="165"/>
      <c r="AL162" s="165"/>
    </row>
    <row r="163">
      <c r="A163" s="165"/>
      <c r="B163" s="165"/>
      <c r="C163" s="165"/>
      <c r="D163" s="165"/>
      <c r="E163" s="292"/>
      <c r="F163" s="277"/>
      <c r="G163" s="165"/>
      <c r="H163" s="277"/>
      <c r="I163" s="277"/>
      <c r="J163" s="165"/>
      <c r="K163" s="165"/>
      <c r="L163" s="165"/>
      <c r="M163" s="165"/>
      <c r="N163" s="165"/>
      <c r="O163" s="165"/>
      <c r="P163" s="165"/>
      <c r="Q163" s="165"/>
      <c r="R163" s="165"/>
      <c r="S163" s="165"/>
      <c r="T163" s="165"/>
      <c r="U163" s="165"/>
      <c r="V163" s="165"/>
      <c r="W163" s="165"/>
      <c r="X163" s="165" t="str">
        <f>IFERROR(__xludf.DUMMYFUNCTION("""COMPUTED_VALUE"""),"CC-INN-13.04")</f>
        <v>CC-INN-13.04</v>
      </c>
      <c r="Y163" s="285" t="str">
        <f>IFERROR(__xludf.DUMMYFUNCTION("""COMPUTED_VALUE"""),"Done")</f>
        <v>Done</v>
      </c>
      <c r="Z163" s="284">
        <f>IFERROR(__xludf.DUMMYFUNCTION("""COMPUTED_VALUE"""),45229.0)</f>
        <v>45229</v>
      </c>
      <c r="AA163" s="165" t="str">
        <f>IFERROR(__xludf.DUMMYFUNCTION("""COMPUTED_VALUE"""),"Naveen")</f>
        <v>Naveen</v>
      </c>
      <c r="AB163" s="165" t="str">
        <f>IFERROR(__xludf.DUMMYFUNCTION("""COMPUTED_VALUE"""),"Upload")</f>
        <v>Upload</v>
      </c>
      <c r="AC163" s="165"/>
      <c r="AD163" s="165"/>
      <c r="AE163" s="165"/>
      <c r="AF163" s="165"/>
      <c r="AG163" s="165"/>
      <c r="AH163" s="165"/>
      <c r="AI163" s="165"/>
      <c r="AJ163" s="165"/>
      <c r="AK163" s="165"/>
      <c r="AL163" s="165"/>
    </row>
    <row r="164">
      <c r="A164" s="165"/>
      <c r="B164" s="165"/>
      <c r="C164" s="165"/>
      <c r="D164" s="165"/>
      <c r="E164" s="292"/>
      <c r="F164" s="277"/>
      <c r="G164" s="165"/>
      <c r="H164" s="277"/>
      <c r="I164" s="277"/>
      <c r="J164" s="165"/>
      <c r="K164" s="165"/>
      <c r="L164" s="165"/>
      <c r="M164" s="165"/>
      <c r="N164" s="165"/>
      <c r="O164" s="165"/>
      <c r="P164" s="165"/>
      <c r="Q164" s="165"/>
      <c r="R164" s="165"/>
      <c r="S164" s="165"/>
      <c r="T164" s="165"/>
      <c r="U164" s="165"/>
      <c r="V164" s="165"/>
      <c r="W164" s="165"/>
      <c r="X164" s="165" t="str">
        <f>IFERROR(__xludf.DUMMYFUNCTION("""COMPUTED_VALUE"""),"CC-INN-14.01")</f>
        <v>CC-INN-14.01</v>
      </c>
      <c r="Y164" s="285" t="str">
        <f>IFERROR(__xludf.DUMMYFUNCTION("""COMPUTED_VALUE"""),"Done")</f>
        <v>Done</v>
      </c>
      <c r="Z164" s="284">
        <f>IFERROR(__xludf.DUMMYFUNCTION("""COMPUTED_VALUE"""),45229.0)</f>
        <v>45229</v>
      </c>
      <c r="AA164" s="165" t="str">
        <f>IFERROR(__xludf.DUMMYFUNCTION("""COMPUTED_VALUE"""),"Naveen")</f>
        <v>Naveen</v>
      </c>
      <c r="AB164" s="165" t="str">
        <f>IFERROR(__xludf.DUMMYFUNCTION("""COMPUTED_VALUE"""),"Script")</f>
        <v>Script</v>
      </c>
      <c r="AC164" s="165"/>
      <c r="AD164" s="165"/>
      <c r="AE164" s="165"/>
      <c r="AF164" s="165"/>
      <c r="AG164" s="165"/>
      <c r="AH164" s="165"/>
      <c r="AI164" s="165"/>
      <c r="AJ164" s="165"/>
      <c r="AK164" s="165"/>
      <c r="AL164" s="165"/>
    </row>
    <row r="165">
      <c r="A165" s="165"/>
      <c r="B165" s="165"/>
      <c r="C165" s="165"/>
      <c r="D165" s="165"/>
      <c r="E165" s="292"/>
      <c r="F165" s="277"/>
      <c r="G165" s="165"/>
      <c r="H165" s="277"/>
      <c r="I165" s="277"/>
      <c r="J165" s="165"/>
      <c r="K165" s="165"/>
      <c r="L165" s="165"/>
      <c r="M165" s="165"/>
      <c r="N165" s="165"/>
      <c r="O165" s="165"/>
      <c r="P165" s="165"/>
      <c r="Q165" s="165"/>
      <c r="R165" s="165"/>
      <c r="S165" s="165"/>
      <c r="T165" s="165"/>
      <c r="U165" s="165"/>
      <c r="V165" s="165"/>
      <c r="W165" s="165"/>
      <c r="X165" s="165" t="str">
        <f>IFERROR(__xludf.DUMMYFUNCTION("""COMPUTED_VALUE"""),"CC-INN-14.03")</f>
        <v>CC-INN-14.03</v>
      </c>
      <c r="Y165" s="285" t="str">
        <f>IFERROR(__xludf.DUMMYFUNCTION("""COMPUTED_VALUE"""),"Done")</f>
        <v>Done</v>
      </c>
      <c r="Z165" s="284">
        <f>IFERROR(__xludf.DUMMYFUNCTION("""COMPUTED_VALUE"""),45229.0)</f>
        <v>45229</v>
      </c>
      <c r="AA165" s="165" t="str">
        <f>IFERROR(__xludf.DUMMYFUNCTION("""COMPUTED_VALUE"""),"Naveen")</f>
        <v>Naveen</v>
      </c>
      <c r="AB165" s="165" t="str">
        <f>IFERROR(__xludf.DUMMYFUNCTION("""COMPUTED_VALUE"""),"Edit + Captions")</f>
        <v>Edit + Captions</v>
      </c>
      <c r="AC165" s="165"/>
      <c r="AD165" s="165"/>
      <c r="AE165" s="165"/>
      <c r="AF165" s="165"/>
      <c r="AG165" s="165"/>
      <c r="AH165" s="165"/>
      <c r="AI165" s="165"/>
      <c r="AJ165" s="165"/>
      <c r="AK165" s="165"/>
      <c r="AL165" s="165"/>
    </row>
    <row r="166">
      <c r="A166" s="165"/>
      <c r="B166" s="165"/>
      <c r="C166" s="165"/>
      <c r="D166" s="165"/>
      <c r="E166" s="292"/>
      <c r="F166" s="277"/>
      <c r="G166" s="165"/>
      <c r="H166" s="277"/>
      <c r="I166" s="277"/>
      <c r="J166" s="165"/>
      <c r="K166" s="165"/>
      <c r="L166" s="165"/>
      <c r="M166" s="165"/>
      <c r="N166" s="165"/>
      <c r="O166" s="165"/>
      <c r="P166" s="165"/>
      <c r="Q166" s="165"/>
      <c r="R166" s="165"/>
      <c r="S166" s="165"/>
      <c r="T166" s="165"/>
      <c r="U166" s="165"/>
      <c r="V166" s="165"/>
      <c r="W166" s="165"/>
      <c r="X166" s="165" t="str">
        <f>IFERROR(__xludf.DUMMYFUNCTION("""COMPUTED_VALUE"""),"CC-INN-14.04")</f>
        <v>CC-INN-14.04</v>
      </c>
      <c r="Y166" s="285" t="str">
        <f>IFERROR(__xludf.DUMMYFUNCTION("""COMPUTED_VALUE"""),"Done")</f>
        <v>Done</v>
      </c>
      <c r="Z166" s="284">
        <f>IFERROR(__xludf.DUMMYFUNCTION("""COMPUTED_VALUE"""),45229.0)</f>
        <v>45229</v>
      </c>
      <c r="AA166" s="165" t="str">
        <f>IFERROR(__xludf.DUMMYFUNCTION("""COMPUTED_VALUE"""),"Naveen")</f>
        <v>Naveen</v>
      </c>
      <c r="AB166" s="165" t="str">
        <f>IFERROR(__xludf.DUMMYFUNCTION("""COMPUTED_VALUE"""),"Upload")</f>
        <v>Upload</v>
      </c>
      <c r="AC166" s="165"/>
      <c r="AD166" s="165"/>
      <c r="AE166" s="165"/>
      <c r="AF166" s="165"/>
      <c r="AG166" s="165"/>
      <c r="AH166" s="165"/>
      <c r="AI166" s="165"/>
      <c r="AJ166" s="165"/>
      <c r="AK166" s="165"/>
      <c r="AL166" s="165"/>
    </row>
    <row r="167">
      <c r="A167" s="165"/>
      <c r="B167" s="165"/>
      <c r="C167" s="165"/>
      <c r="D167" s="165"/>
      <c r="E167" s="292"/>
      <c r="F167" s="277"/>
      <c r="G167" s="165"/>
      <c r="H167" s="277"/>
      <c r="I167" s="277"/>
      <c r="J167" s="165"/>
      <c r="K167" s="165"/>
      <c r="L167" s="165"/>
      <c r="M167" s="165"/>
      <c r="N167" s="165"/>
      <c r="O167" s="165"/>
      <c r="P167" s="165"/>
      <c r="Q167" s="165"/>
      <c r="R167" s="165"/>
      <c r="S167" s="165"/>
      <c r="T167" s="165"/>
      <c r="U167" s="165"/>
      <c r="V167" s="165"/>
      <c r="W167" s="165"/>
      <c r="X167" s="165" t="str">
        <f>IFERROR(__xludf.DUMMYFUNCTION("""COMPUTED_VALUE"""),"CC-INN-16.01")</f>
        <v>CC-INN-16.01</v>
      </c>
      <c r="Y167" s="285" t="str">
        <f>IFERROR(__xludf.DUMMYFUNCTION("""COMPUTED_VALUE"""),"Done")</f>
        <v>Done</v>
      </c>
      <c r="Z167" s="284">
        <f>IFERROR(__xludf.DUMMYFUNCTION("""COMPUTED_VALUE"""),45229.0)</f>
        <v>45229</v>
      </c>
      <c r="AA167" s="165" t="str">
        <f>IFERROR(__xludf.DUMMYFUNCTION("""COMPUTED_VALUE"""),"Naveen")</f>
        <v>Naveen</v>
      </c>
      <c r="AB167" s="165" t="str">
        <f>IFERROR(__xludf.DUMMYFUNCTION("""COMPUTED_VALUE"""),"Script")</f>
        <v>Script</v>
      </c>
      <c r="AC167" s="165"/>
      <c r="AD167" s="165"/>
      <c r="AE167" s="165"/>
      <c r="AF167" s="165"/>
      <c r="AG167" s="165"/>
      <c r="AH167" s="165"/>
      <c r="AI167" s="165"/>
      <c r="AJ167" s="165"/>
      <c r="AK167" s="165"/>
      <c r="AL167" s="165"/>
    </row>
    <row r="168">
      <c r="A168" s="165"/>
      <c r="B168" s="165"/>
      <c r="C168" s="165"/>
      <c r="D168" s="165"/>
      <c r="E168" s="292"/>
      <c r="F168" s="277"/>
      <c r="G168" s="165"/>
      <c r="H168" s="277"/>
      <c r="I168" s="277"/>
      <c r="J168" s="165"/>
      <c r="K168" s="165"/>
      <c r="L168" s="165"/>
      <c r="M168" s="165"/>
      <c r="N168" s="165"/>
      <c r="O168" s="165"/>
      <c r="P168" s="165"/>
      <c r="Q168" s="165"/>
      <c r="R168" s="165"/>
      <c r="S168" s="165"/>
      <c r="T168" s="165"/>
      <c r="U168" s="165"/>
      <c r="V168" s="165"/>
      <c r="W168" s="165"/>
      <c r="X168" s="165" t="str">
        <f>IFERROR(__xludf.DUMMYFUNCTION("""COMPUTED_VALUE"""),"CC-INN-16.04")</f>
        <v>CC-INN-16.04</v>
      </c>
      <c r="Y168" s="285" t="str">
        <f>IFERROR(__xludf.DUMMYFUNCTION("""COMPUTED_VALUE"""),"Done")</f>
        <v>Done</v>
      </c>
      <c r="Z168" s="284">
        <f>IFERROR(__xludf.DUMMYFUNCTION("""COMPUTED_VALUE"""),45229.0)</f>
        <v>45229</v>
      </c>
      <c r="AA168" s="165" t="str">
        <f>IFERROR(__xludf.DUMMYFUNCTION("""COMPUTED_VALUE"""),"Akhil")</f>
        <v>Akhil</v>
      </c>
      <c r="AB168" s="165" t="str">
        <f>IFERROR(__xludf.DUMMYFUNCTION("""COMPUTED_VALUE"""),"Voiceover")</f>
        <v>Voiceover</v>
      </c>
      <c r="AC168" s="165"/>
      <c r="AD168" s="165"/>
      <c r="AE168" s="165"/>
      <c r="AF168" s="165"/>
      <c r="AG168" s="165"/>
      <c r="AH168" s="165"/>
      <c r="AI168" s="165"/>
      <c r="AJ168" s="165"/>
      <c r="AK168" s="165"/>
      <c r="AL168" s="165"/>
    </row>
    <row r="169">
      <c r="A169" s="165"/>
      <c r="B169" s="165"/>
      <c r="C169" s="165"/>
      <c r="D169" s="165"/>
      <c r="E169" s="292"/>
      <c r="F169" s="277"/>
      <c r="G169" s="165"/>
      <c r="H169" s="277"/>
      <c r="I169" s="277"/>
      <c r="J169" s="165"/>
      <c r="K169" s="165"/>
      <c r="L169" s="165"/>
      <c r="M169" s="165"/>
      <c r="N169" s="165"/>
      <c r="O169" s="165"/>
      <c r="P169" s="165"/>
      <c r="Q169" s="165"/>
      <c r="R169" s="165"/>
      <c r="S169" s="165"/>
      <c r="T169" s="165"/>
      <c r="U169" s="165"/>
      <c r="V169" s="165"/>
      <c r="W169" s="165"/>
      <c r="X169" s="165" t="str">
        <f>IFERROR(__xludf.DUMMYFUNCTION("""COMPUTED_VALUE"""),"CC-INN-16.05")</f>
        <v>CC-INN-16.05</v>
      </c>
      <c r="Y169" s="285" t="str">
        <f>IFERROR(__xludf.DUMMYFUNCTION("""COMPUTED_VALUE"""),"Done")</f>
        <v>Done</v>
      </c>
      <c r="Z169" s="284">
        <f>IFERROR(__xludf.DUMMYFUNCTION("""COMPUTED_VALUE"""),45229.0)</f>
        <v>45229</v>
      </c>
      <c r="AA169" s="165" t="str">
        <f>IFERROR(__xludf.DUMMYFUNCTION("""COMPUTED_VALUE"""),"Freelancer")</f>
        <v>Freelancer</v>
      </c>
      <c r="AB169" s="165" t="str">
        <f>IFERROR(__xludf.DUMMYFUNCTION("""COMPUTED_VALUE"""),"Edit")</f>
        <v>Edit</v>
      </c>
      <c r="AC169" s="165"/>
      <c r="AD169" s="165"/>
      <c r="AE169" s="165"/>
      <c r="AF169" s="165"/>
      <c r="AG169" s="165"/>
      <c r="AH169" s="165"/>
      <c r="AI169" s="165"/>
      <c r="AJ169" s="165"/>
      <c r="AK169" s="165"/>
      <c r="AL169" s="165"/>
    </row>
    <row r="170">
      <c r="A170" s="165"/>
      <c r="B170" s="165"/>
      <c r="C170" s="165"/>
      <c r="D170" s="165"/>
      <c r="E170" s="292"/>
      <c r="F170" s="277"/>
      <c r="G170" s="165"/>
      <c r="H170" s="277"/>
      <c r="I170" s="277"/>
      <c r="J170" s="165"/>
      <c r="K170" s="165"/>
      <c r="L170" s="165"/>
      <c r="M170" s="165"/>
      <c r="N170" s="165"/>
      <c r="O170" s="165"/>
      <c r="P170" s="165"/>
      <c r="Q170" s="165"/>
      <c r="R170" s="165"/>
      <c r="S170" s="165"/>
      <c r="T170" s="165"/>
      <c r="U170" s="165"/>
      <c r="V170" s="165"/>
      <c r="W170" s="165"/>
      <c r="X170" s="165" t="str">
        <f>IFERROR(__xludf.DUMMYFUNCTION("""COMPUTED_VALUE"""),"CC-MVP-87.01")</f>
        <v>CC-MVP-87.01</v>
      </c>
      <c r="Y170" s="285" t="str">
        <f>IFERROR(__xludf.DUMMYFUNCTION("""COMPUTED_VALUE"""),"Done")</f>
        <v>Done</v>
      </c>
      <c r="Z170" s="284">
        <f>IFERROR(__xludf.DUMMYFUNCTION("""COMPUTED_VALUE"""),45230.0)</f>
        <v>45230</v>
      </c>
      <c r="AA170" s="165" t="str">
        <f>IFERROR(__xludf.DUMMYFUNCTION("""COMPUTED_VALUE"""),"Talha")</f>
        <v>Talha</v>
      </c>
      <c r="AB170" s="165" t="str">
        <f>IFERROR(__xludf.DUMMYFUNCTION("""COMPUTED_VALUE"""),"Timeline")</f>
        <v>Timeline</v>
      </c>
      <c r="AC170" s="165"/>
      <c r="AD170" s="165"/>
      <c r="AE170" s="165"/>
      <c r="AF170" s="165"/>
      <c r="AG170" s="165"/>
      <c r="AH170" s="165"/>
      <c r="AI170" s="165"/>
      <c r="AJ170" s="165"/>
      <c r="AK170" s="165"/>
      <c r="AL170" s="165"/>
    </row>
    <row r="171">
      <c r="A171" s="165"/>
      <c r="B171" s="165"/>
      <c r="C171" s="165"/>
      <c r="D171" s="165"/>
      <c r="E171" s="292"/>
      <c r="F171" s="277"/>
      <c r="G171" s="165"/>
      <c r="H171" s="277"/>
      <c r="I171" s="277"/>
      <c r="J171" s="165"/>
      <c r="K171" s="165"/>
      <c r="L171" s="165"/>
      <c r="M171" s="165"/>
      <c r="N171" s="165"/>
      <c r="O171" s="165"/>
      <c r="P171" s="165"/>
      <c r="Q171" s="165"/>
      <c r="R171" s="165"/>
      <c r="S171" s="165"/>
      <c r="T171" s="165"/>
      <c r="U171" s="165"/>
      <c r="V171" s="165"/>
      <c r="W171" s="165"/>
      <c r="X171" s="165" t="str">
        <f>IFERROR(__xludf.DUMMYFUNCTION("""COMPUTED_VALUE"""),"CC-NVI-06.07")</f>
        <v>CC-NVI-06.07</v>
      </c>
      <c r="Y171" s="285" t="str">
        <f>IFERROR(__xludf.DUMMYFUNCTION("""COMPUTED_VALUE"""),"Done")</f>
        <v>Done</v>
      </c>
      <c r="Z171" s="284">
        <f>IFERROR(__xludf.DUMMYFUNCTION("""COMPUTED_VALUE"""),45230.0)</f>
        <v>45230</v>
      </c>
      <c r="AA171" s="165" t="str">
        <f>IFERROR(__xludf.DUMMYFUNCTION("""COMPUTED_VALUE"""),"Nasser")</f>
        <v>Nasser</v>
      </c>
      <c r="AB171" s="165" t="str">
        <f>IFERROR(__xludf.DUMMYFUNCTION("""COMPUTED_VALUE"""),"Upload")</f>
        <v>Upload</v>
      </c>
      <c r="AC171" s="165"/>
      <c r="AD171" s="165"/>
      <c r="AE171" s="165"/>
      <c r="AF171" s="165"/>
      <c r="AG171" s="165"/>
      <c r="AH171" s="165"/>
      <c r="AI171" s="165"/>
      <c r="AJ171" s="165"/>
      <c r="AK171" s="165"/>
      <c r="AL171" s="165"/>
    </row>
    <row r="172">
      <c r="A172" s="165"/>
      <c r="B172" s="165"/>
      <c r="C172" s="165"/>
      <c r="D172" s="165"/>
      <c r="E172" s="292"/>
      <c r="F172" s="277"/>
      <c r="G172" s="165"/>
      <c r="H172" s="277"/>
      <c r="I172" s="277"/>
      <c r="J172" s="165"/>
      <c r="K172" s="165"/>
      <c r="L172" s="165"/>
      <c r="M172" s="165"/>
      <c r="N172" s="165"/>
      <c r="O172" s="165"/>
      <c r="P172" s="165"/>
      <c r="Q172" s="165"/>
      <c r="R172" s="165"/>
      <c r="S172" s="165"/>
      <c r="T172" s="165"/>
      <c r="U172" s="165"/>
      <c r="V172" s="165"/>
      <c r="W172" s="165"/>
      <c r="X172" s="165" t="str">
        <f>IFERROR(__xludf.DUMMYFUNCTION("""COMPUTED_VALUE"""),"CC-NVI-08.08")</f>
        <v>CC-NVI-08.08</v>
      </c>
      <c r="Y172" s="285" t="str">
        <f>IFERROR(__xludf.DUMMYFUNCTION("""COMPUTED_VALUE"""),"Done")</f>
        <v>Done</v>
      </c>
      <c r="Z172" s="284">
        <f>IFERROR(__xludf.DUMMYFUNCTION("""COMPUTED_VALUE"""),45230.0)</f>
        <v>45230</v>
      </c>
      <c r="AA172" s="165" t="str">
        <f>IFERROR(__xludf.DUMMYFUNCTION("""COMPUTED_VALUE"""),"Nasser")</f>
        <v>Nasser</v>
      </c>
      <c r="AB172" s="165" t="str">
        <f>IFERROR(__xludf.DUMMYFUNCTION("""COMPUTED_VALUE"""),"Upload")</f>
        <v>Upload</v>
      </c>
      <c r="AC172" s="165"/>
      <c r="AD172" s="165"/>
      <c r="AE172" s="165"/>
      <c r="AF172" s="165"/>
      <c r="AG172" s="165"/>
      <c r="AH172" s="165"/>
      <c r="AI172" s="165"/>
      <c r="AJ172" s="165"/>
      <c r="AK172" s="165"/>
      <c r="AL172" s="165"/>
    </row>
    <row r="173">
      <c r="A173" s="165"/>
      <c r="B173" s="165"/>
      <c r="C173" s="165"/>
      <c r="D173" s="165"/>
      <c r="E173" s="292"/>
      <c r="F173" s="277"/>
      <c r="G173" s="165"/>
      <c r="H173" s="277"/>
      <c r="I173" s="277"/>
      <c r="J173" s="165"/>
      <c r="K173" s="165"/>
      <c r="L173" s="165"/>
      <c r="M173" s="165"/>
      <c r="N173" s="165"/>
      <c r="O173" s="165"/>
      <c r="P173" s="165"/>
      <c r="Q173" s="165"/>
      <c r="R173" s="165"/>
      <c r="S173" s="165"/>
      <c r="T173" s="165"/>
      <c r="U173" s="165"/>
      <c r="V173" s="165"/>
      <c r="W173" s="165"/>
      <c r="X173" s="165" t="str">
        <f>IFERROR(__xludf.DUMMYFUNCTION("""COMPUTED_VALUE"""),"CC-NVI-04.07")</f>
        <v>CC-NVI-04.07</v>
      </c>
      <c r="Y173" s="285" t="str">
        <f>IFERROR(__xludf.DUMMYFUNCTION("""COMPUTED_VALUE"""),"Done")</f>
        <v>Done</v>
      </c>
      <c r="Z173" s="284">
        <f>IFERROR(__xludf.DUMMYFUNCTION("""COMPUTED_VALUE"""),45230.0)</f>
        <v>45230</v>
      </c>
      <c r="AA173" s="165" t="str">
        <f>IFERROR(__xludf.DUMMYFUNCTION("""COMPUTED_VALUE"""),"Nasser")</f>
        <v>Nasser</v>
      </c>
      <c r="AB173" s="165" t="str">
        <f>IFERROR(__xludf.DUMMYFUNCTION("""COMPUTED_VALUE"""),"Upload")</f>
        <v>Upload</v>
      </c>
      <c r="AC173" s="165"/>
      <c r="AD173" s="165"/>
      <c r="AE173" s="165"/>
      <c r="AF173" s="165"/>
      <c r="AG173" s="165"/>
      <c r="AH173" s="165"/>
      <c r="AI173" s="165"/>
      <c r="AJ173" s="165"/>
      <c r="AK173" s="165"/>
      <c r="AL173" s="165"/>
    </row>
    <row r="174">
      <c r="A174" s="165"/>
      <c r="B174" s="165"/>
      <c r="C174" s="165"/>
      <c r="D174" s="165"/>
      <c r="E174" s="292"/>
      <c r="F174" s="277"/>
      <c r="G174" s="165"/>
      <c r="H174" s="277"/>
      <c r="I174" s="277"/>
      <c r="J174" s="165"/>
      <c r="K174" s="165"/>
      <c r="L174" s="165"/>
      <c r="M174" s="165"/>
      <c r="N174" s="165"/>
      <c r="O174" s="165"/>
      <c r="P174" s="165"/>
      <c r="Q174" s="165"/>
      <c r="R174" s="165"/>
      <c r="S174" s="165"/>
      <c r="T174" s="165"/>
      <c r="U174" s="165"/>
      <c r="V174" s="165"/>
      <c r="W174" s="165"/>
      <c r="X174" s="165" t="str">
        <f>IFERROR(__xludf.DUMMYFUNCTION("""COMPUTED_VALUE"""),"CC-NVI-10.07")</f>
        <v>CC-NVI-10.07</v>
      </c>
      <c r="Y174" s="285" t="str">
        <f>IFERROR(__xludf.DUMMYFUNCTION("""COMPUTED_VALUE"""),"Done")</f>
        <v>Done</v>
      </c>
      <c r="Z174" s="284">
        <f>IFERROR(__xludf.DUMMYFUNCTION("""COMPUTED_VALUE"""),45230.0)</f>
        <v>45230</v>
      </c>
      <c r="AA174" s="165" t="str">
        <f>IFERROR(__xludf.DUMMYFUNCTION("""COMPUTED_VALUE"""),"Nasser")</f>
        <v>Nasser</v>
      </c>
      <c r="AB174" s="165" t="str">
        <f>IFERROR(__xludf.DUMMYFUNCTION("""COMPUTED_VALUE"""),"Upload")</f>
        <v>Upload</v>
      </c>
      <c r="AC174" s="165"/>
      <c r="AD174" s="165"/>
      <c r="AE174" s="165"/>
      <c r="AF174" s="165"/>
      <c r="AG174" s="165"/>
      <c r="AH174" s="165"/>
      <c r="AI174" s="165"/>
      <c r="AJ174" s="165"/>
      <c r="AK174" s="165"/>
      <c r="AL174" s="165"/>
    </row>
    <row r="175">
      <c r="A175" s="165"/>
      <c r="B175" s="165"/>
      <c r="C175" s="165"/>
      <c r="D175" s="165"/>
      <c r="E175" s="292"/>
      <c r="F175" s="277"/>
      <c r="G175" s="165"/>
      <c r="H175" s="277"/>
      <c r="I175" s="277"/>
      <c r="J175" s="165"/>
      <c r="K175" s="165"/>
      <c r="L175" s="165"/>
      <c r="M175" s="165"/>
      <c r="N175" s="165"/>
      <c r="O175" s="165"/>
      <c r="P175" s="165"/>
      <c r="Q175" s="165"/>
      <c r="R175" s="165"/>
      <c r="S175" s="165"/>
      <c r="T175" s="165"/>
      <c r="U175" s="165"/>
      <c r="V175" s="165"/>
      <c r="W175" s="165"/>
      <c r="X175" s="165" t="str">
        <f>IFERROR(__xludf.DUMMYFUNCTION("""COMPUTED_VALUE"""),"CC-MAC-05.04")</f>
        <v>CC-MAC-05.04</v>
      </c>
      <c r="Y175" s="285" t="str">
        <f>IFERROR(__xludf.DUMMYFUNCTION("""COMPUTED_VALUE"""),"Done")</f>
        <v>Done</v>
      </c>
      <c r="Z175" s="284">
        <f>IFERROR(__xludf.DUMMYFUNCTION("""COMPUTED_VALUE"""),45230.0)</f>
        <v>45230</v>
      </c>
      <c r="AA175" s="165" t="str">
        <f>IFERROR(__xludf.DUMMYFUNCTION("""COMPUTED_VALUE"""),"Akhil")</f>
        <v>Akhil</v>
      </c>
      <c r="AB175" s="165" t="str">
        <f>IFERROR(__xludf.DUMMYFUNCTION("""COMPUTED_VALUE"""),"Upload")</f>
        <v>Upload</v>
      </c>
      <c r="AC175" s="165"/>
      <c r="AD175" s="165"/>
      <c r="AE175" s="165"/>
      <c r="AF175" s="165"/>
      <c r="AG175" s="165"/>
      <c r="AH175" s="165"/>
      <c r="AI175" s="165"/>
      <c r="AJ175" s="165"/>
      <c r="AK175" s="165"/>
      <c r="AL175" s="165"/>
    </row>
    <row r="176">
      <c r="A176" s="165"/>
      <c r="B176" s="165"/>
      <c r="C176" s="165"/>
      <c r="D176" s="165"/>
      <c r="E176" s="292"/>
      <c r="F176" s="277"/>
      <c r="G176" s="165"/>
      <c r="H176" s="277"/>
      <c r="I176" s="277"/>
      <c r="J176" s="165"/>
      <c r="K176" s="165"/>
      <c r="L176" s="165"/>
      <c r="M176" s="165"/>
      <c r="N176" s="165"/>
      <c r="O176" s="165"/>
      <c r="P176" s="165"/>
      <c r="Q176" s="165"/>
      <c r="R176" s="165"/>
      <c r="S176" s="165"/>
      <c r="T176" s="165"/>
      <c r="U176" s="165"/>
      <c r="V176" s="165"/>
      <c r="W176" s="165"/>
      <c r="X176" s="165" t="str">
        <f>IFERROR(__xludf.DUMMYFUNCTION("""COMPUTED_VALUE"""),"CC-INN-15.04")</f>
        <v>CC-INN-15.04</v>
      </c>
      <c r="Y176" s="285" t="str">
        <f>IFERROR(__xludf.DUMMYFUNCTION("""COMPUTED_VALUE"""),"Done")</f>
        <v>Done</v>
      </c>
      <c r="Z176" s="284">
        <f>IFERROR(__xludf.DUMMYFUNCTION("""COMPUTED_VALUE"""),45230.0)</f>
        <v>45230</v>
      </c>
      <c r="AA176" s="165" t="str">
        <f>IFERROR(__xludf.DUMMYFUNCTION("""COMPUTED_VALUE"""),"Naveen")</f>
        <v>Naveen</v>
      </c>
      <c r="AB176" s="165" t="str">
        <f>IFERROR(__xludf.DUMMYFUNCTION("""COMPUTED_VALUE"""),"Upload")</f>
        <v>Upload</v>
      </c>
      <c r="AC176" s="165"/>
      <c r="AD176" s="165"/>
      <c r="AE176" s="165"/>
      <c r="AF176" s="165"/>
      <c r="AG176" s="165"/>
      <c r="AH176" s="165"/>
      <c r="AI176" s="165"/>
      <c r="AJ176" s="165"/>
      <c r="AK176" s="165"/>
      <c r="AL176" s="165"/>
    </row>
    <row r="177">
      <c r="A177" s="165"/>
      <c r="B177" s="165"/>
      <c r="C177" s="165"/>
      <c r="D177" s="165"/>
      <c r="E177" s="292"/>
      <c r="F177" s="277"/>
      <c r="G177" s="165"/>
      <c r="H177" s="277"/>
      <c r="I177" s="277"/>
      <c r="J177" s="165"/>
      <c r="K177" s="165"/>
      <c r="L177" s="165"/>
      <c r="M177" s="165"/>
      <c r="N177" s="165"/>
      <c r="O177" s="165"/>
      <c r="P177" s="165"/>
      <c r="Q177" s="165"/>
      <c r="R177" s="165"/>
      <c r="S177" s="165"/>
      <c r="T177" s="165"/>
      <c r="U177" s="165"/>
      <c r="V177" s="165"/>
      <c r="W177" s="165"/>
      <c r="X177" s="165" t="str">
        <f>IFERROR(__xludf.DUMMYFUNCTION("""COMPUTED_VALUE"""),"CC-INN-16.07")</f>
        <v>CC-INN-16.07</v>
      </c>
      <c r="Y177" s="285" t="str">
        <f>IFERROR(__xludf.DUMMYFUNCTION("""COMPUTED_VALUE"""),"Done")</f>
        <v>Done</v>
      </c>
      <c r="Z177" s="284">
        <f>IFERROR(__xludf.DUMMYFUNCTION("""COMPUTED_VALUE"""),45230.0)</f>
        <v>45230</v>
      </c>
      <c r="AA177" s="165" t="str">
        <f>IFERROR(__xludf.DUMMYFUNCTION("""COMPUTED_VALUE"""),"Naveen")</f>
        <v>Naveen</v>
      </c>
      <c r="AB177" s="165" t="str">
        <f>IFERROR(__xludf.DUMMYFUNCTION("""COMPUTED_VALUE"""),"Upload")</f>
        <v>Upload</v>
      </c>
      <c r="AC177" s="165"/>
      <c r="AD177" s="165"/>
      <c r="AE177" s="165"/>
      <c r="AF177" s="165"/>
      <c r="AG177" s="165"/>
      <c r="AH177" s="165"/>
      <c r="AI177" s="165"/>
      <c r="AJ177" s="165"/>
      <c r="AK177" s="165"/>
      <c r="AL177" s="165"/>
    </row>
    <row r="178">
      <c r="A178" s="165"/>
      <c r="B178" s="165"/>
      <c r="C178" s="165"/>
      <c r="D178" s="165"/>
      <c r="E178" s="292"/>
      <c r="F178" s="277"/>
      <c r="G178" s="165"/>
      <c r="H178" s="277"/>
      <c r="I178" s="277"/>
      <c r="J178" s="165"/>
      <c r="K178" s="165"/>
      <c r="L178" s="165"/>
      <c r="M178" s="165"/>
      <c r="N178" s="165"/>
      <c r="O178" s="165"/>
      <c r="P178" s="165"/>
      <c r="Q178" s="165"/>
      <c r="R178" s="165"/>
      <c r="S178" s="165"/>
      <c r="T178" s="165"/>
      <c r="U178" s="165"/>
      <c r="V178" s="165"/>
      <c r="W178" s="165"/>
      <c r="X178" s="165" t="str">
        <f>IFERROR(__xludf.DUMMYFUNCTION("""COMPUTED_VALUE"""),"CC-INN-17.03")</f>
        <v>CC-INN-17.03</v>
      </c>
      <c r="Y178" s="285" t="str">
        <f>IFERROR(__xludf.DUMMYFUNCTION("""COMPUTED_VALUE"""),"Done")</f>
        <v>Done</v>
      </c>
      <c r="Z178" s="284">
        <f>IFERROR(__xludf.DUMMYFUNCTION("""COMPUTED_VALUE"""),45230.0)</f>
        <v>45230</v>
      </c>
      <c r="AA178" s="165" t="str">
        <f>IFERROR(__xludf.DUMMYFUNCTION("""COMPUTED_VALUE"""),"Naveen")</f>
        <v>Naveen</v>
      </c>
      <c r="AB178" s="165" t="str">
        <f>IFERROR(__xludf.DUMMYFUNCTION("""COMPUTED_VALUE"""),"Edit")</f>
        <v>Edit</v>
      </c>
      <c r="AC178" s="165"/>
      <c r="AD178" s="165"/>
      <c r="AE178" s="165"/>
      <c r="AF178" s="165"/>
      <c r="AG178" s="165"/>
      <c r="AH178" s="165"/>
      <c r="AI178" s="165"/>
      <c r="AJ178" s="165"/>
      <c r="AK178" s="165"/>
      <c r="AL178" s="165"/>
    </row>
    <row r="179">
      <c r="A179" s="165"/>
      <c r="B179" s="165"/>
      <c r="C179" s="165"/>
      <c r="D179" s="165"/>
      <c r="E179" s="292"/>
      <c r="F179" s="277"/>
      <c r="G179" s="165"/>
      <c r="H179" s="277"/>
      <c r="I179" s="277"/>
      <c r="J179" s="165"/>
      <c r="K179" s="165"/>
      <c r="L179" s="165"/>
      <c r="M179" s="165"/>
      <c r="N179" s="165"/>
      <c r="O179" s="165"/>
      <c r="P179" s="165"/>
      <c r="Q179" s="165"/>
      <c r="R179" s="165"/>
      <c r="S179" s="165"/>
      <c r="T179" s="165"/>
      <c r="U179" s="165"/>
      <c r="V179" s="165"/>
      <c r="W179" s="165"/>
      <c r="X179" s="165" t="str">
        <f>IFERROR(__xludf.DUMMYFUNCTION("""COMPUTED_VALUE"""),"PM-NVI-03.03")</f>
        <v>PM-NVI-03.03</v>
      </c>
      <c r="Y179" s="285" t="str">
        <f>IFERROR(__xludf.DUMMYFUNCTION("""COMPUTED_VALUE"""),"Done")</f>
        <v>Done</v>
      </c>
      <c r="Z179" s="284">
        <f>IFERROR(__xludf.DUMMYFUNCTION("""COMPUTED_VALUE"""),45230.0)</f>
        <v>45230</v>
      </c>
      <c r="AA179" s="165" t="str">
        <f>IFERROR(__xludf.DUMMYFUNCTION("""COMPUTED_VALUE"""),"Nasser")</f>
        <v>Nasser</v>
      </c>
      <c r="AB179" s="165" t="str">
        <f>IFERROR(__xludf.DUMMYFUNCTION("""COMPUTED_VALUE"""),"Benchmarks")</f>
        <v>Benchmarks</v>
      </c>
      <c r="AC179" s="165"/>
      <c r="AD179" s="165"/>
      <c r="AE179" s="165"/>
      <c r="AF179" s="165"/>
      <c r="AG179" s="165"/>
      <c r="AH179" s="165"/>
      <c r="AI179" s="165"/>
      <c r="AJ179" s="165"/>
      <c r="AK179" s="165"/>
      <c r="AL179" s="165"/>
    </row>
    <row r="180">
      <c r="A180" s="165"/>
      <c r="B180" s="165"/>
      <c r="C180" s="165"/>
      <c r="D180" s="165"/>
      <c r="E180" s="292"/>
      <c r="F180" s="277"/>
      <c r="G180" s="165"/>
      <c r="H180" s="277"/>
      <c r="I180" s="277"/>
      <c r="J180" s="165"/>
      <c r="K180" s="165"/>
      <c r="L180" s="165"/>
      <c r="M180" s="165"/>
      <c r="N180" s="165"/>
      <c r="O180" s="165"/>
      <c r="P180" s="165"/>
      <c r="Q180" s="165"/>
      <c r="R180" s="165"/>
      <c r="S180" s="165"/>
      <c r="T180" s="165"/>
      <c r="U180" s="165"/>
      <c r="V180" s="165"/>
      <c r="W180" s="165"/>
      <c r="X180" s="165" t="str">
        <f>IFERROR(__xludf.DUMMYFUNCTION("""COMPUTED_VALUE"""),"CC-MVP-36.06")</f>
        <v>CC-MVP-36.06</v>
      </c>
      <c r="Y180" s="285" t="str">
        <f>IFERROR(__xludf.DUMMYFUNCTION("""COMPUTED_VALUE"""),"Done")</f>
        <v>Done</v>
      </c>
      <c r="Z180" s="284">
        <f>IFERROR(__xludf.DUMMYFUNCTION("""COMPUTED_VALUE"""),45231.0)</f>
        <v>45231</v>
      </c>
      <c r="AA180" s="165" t="str">
        <f>IFERROR(__xludf.DUMMYFUNCTION("""COMPUTED_VALUE"""),"Naveen")</f>
        <v>Naveen</v>
      </c>
      <c r="AB180" s="165" t="str">
        <f>IFERROR(__xludf.DUMMYFUNCTION("""COMPUTED_VALUE"""),"Thumbnail")</f>
        <v>Thumbnail</v>
      </c>
      <c r="AC180" s="165"/>
      <c r="AD180" s="165"/>
      <c r="AE180" s="165"/>
      <c r="AF180" s="165"/>
      <c r="AG180" s="165"/>
      <c r="AH180" s="165"/>
      <c r="AI180" s="165"/>
      <c r="AJ180" s="165"/>
      <c r="AK180" s="165"/>
      <c r="AL180" s="165"/>
    </row>
    <row r="181">
      <c r="A181" s="165"/>
      <c r="B181" s="165"/>
      <c r="C181" s="165"/>
      <c r="D181" s="165"/>
      <c r="E181" s="292"/>
      <c r="F181" s="277"/>
      <c r="G181" s="165"/>
      <c r="H181" s="277"/>
      <c r="I181" s="277"/>
      <c r="J181" s="165"/>
      <c r="K181" s="165"/>
      <c r="L181" s="165"/>
      <c r="M181" s="165"/>
      <c r="N181" s="165"/>
      <c r="O181" s="165"/>
      <c r="P181" s="165"/>
      <c r="Q181" s="165"/>
      <c r="R181" s="165"/>
      <c r="S181" s="165"/>
      <c r="T181" s="165"/>
      <c r="U181" s="165"/>
      <c r="V181" s="165"/>
      <c r="W181" s="165"/>
      <c r="X181" s="165" t="str">
        <f>IFERROR(__xludf.DUMMYFUNCTION("""COMPUTED_VALUE"""),"CC-MVP-80.02")</f>
        <v>CC-MVP-80.02</v>
      </c>
      <c r="Y181" s="285" t="str">
        <f>IFERROR(__xludf.DUMMYFUNCTION("""COMPUTED_VALUE"""),"Done")</f>
        <v>Done</v>
      </c>
      <c r="Z181" s="284">
        <f>IFERROR(__xludf.DUMMYFUNCTION("""COMPUTED_VALUE"""),45231.0)</f>
        <v>45231</v>
      </c>
      <c r="AA181" s="165" t="str">
        <f>IFERROR(__xludf.DUMMYFUNCTION("""COMPUTED_VALUE"""),"Naveen")</f>
        <v>Naveen</v>
      </c>
      <c r="AB181" s="165" t="str">
        <f>IFERROR(__xludf.DUMMYFUNCTION("""COMPUTED_VALUE"""),"Shoot")</f>
        <v>Shoot</v>
      </c>
      <c r="AC181" s="165"/>
      <c r="AD181" s="165"/>
      <c r="AE181" s="165"/>
      <c r="AF181" s="165"/>
      <c r="AG181" s="165"/>
      <c r="AH181" s="165"/>
      <c r="AI181" s="165"/>
      <c r="AJ181" s="165"/>
      <c r="AK181" s="165"/>
      <c r="AL181" s="165"/>
    </row>
    <row r="182">
      <c r="A182" s="165"/>
      <c r="B182" s="165"/>
      <c r="C182" s="165"/>
      <c r="D182" s="165"/>
      <c r="E182" s="292"/>
      <c r="F182" s="277"/>
      <c r="G182" s="165"/>
      <c r="H182" s="277"/>
      <c r="I182" s="277"/>
      <c r="J182" s="165"/>
      <c r="K182" s="165"/>
      <c r="L182" s="165"/>
      <c r="M182" s="165"/>
      <c r="N182" s="165"/>
      <c r="O182" s="165"/>
      <c r="P182" s="165"/>
      <c r="Q182" s="165"/>
      <c r="R182" s="165"/>
      <c r="S182" s="165"/>
      <c r="T182" s="165"/>
      <c r="U182" s="165"/>
      <c r="V182" s="165"/>
      <c r="W182" s="165"/>
      <c r="X182" s="165" t="str">
        <f>IFERROR(__xludf.DUMMYFUNCTION("""COMPUTED_VALUE"""),"CC-MVP-80.03")</f>
        <v>CC-MVP-80.03</v>
      </c>
      <c r="Y182" s="285" t="str">
        <f>IFERROR(__xludf.DUMMYFUNCTION("""COMPUTED_VALUE"""),"Done")</f>
        <v>Done</v>
      </c>
      <c r="Z182" s="284">
        <f>IFERROR(__xludf.DUMMYFUNCTION("""COMPUTED_VALUE"""),45231.0)</f>
        <v>45231</v>
      </c>
      <c r="AA182" s="165" t="str">
        <f>IFERROR(__xludf.DUMMYFUNCTION("""COMPUTED_VALUE"""),"Naveen")</f>
        <v>Naveen</v>
      </c>
      <c r="AB182" s="165" t="str">
        <f>IFERROR(__xludf.DUMMYFUNCTION("""COMPUTED_VALUE"""),"Edit")</f>
        <v>Edit</v>
      </c>
      <c r="AC182" s="165"/>
      <c r="AD182" s="165"/>
      <c r="AE182" s="165"/>
      <c r="AF182" s="165"/>
      <c r="AG182" s="165"/>
      <c r="AH182" s="165"/>
      <c r="AI182" s="165"/>
      <c r="AJ182" s="165"/>
      <c r="AK182" s="165"/>
      <c r="AL182" s="165"/>
    </row>
    <row r="183">
      <c r="A183" s="165"/>
      <c r="B183" s="165"/>
      <c r="C183" s="165"/>
      <c r="D183" s="165"/>
      <c r="E183" s="292"/>
      <c r="F183" s="277"/>
      <c r="G183" s="165"/>
      <c r="H183" s="277"/>
      <c r="I183" s="277"/>
      <c r="J183" s="165"/>
      <c r="K183" s="165"/>
      <c r="L183" s="165"/>
      <c r="M183" s="165"/>
      <c r="N183" s="165"/>
      <c r="O183" s="165"/>
      <c r="P183" s="165"/>
      <c r="Q183" s="165"/>
      <c r="R183" s="165"/>
      <c r="S183" s="165"/>
      <c r="T183" s="165"/>
      <c r="U183" s="165"/>
      <c r="V183" s="165"/>
      <c r="W183" s="165"/>
      <c r="X183" s="165" t="str">
        <f>IFERROR(__xludf.DUMMYFUNCTION("""COMPUTED_VALUE"""),"CC-MVP-87.04")</f>
        <v>CC-MVP-87.04</v>
      </c>
      <c r="Y183" s="285" t="str">
        <f>IFERROR(__xludf.DUMMYFUNCTION("""COMPUTED_VALUE"""),"Done")</f>
        <v>Done</v>
      </c>
      <c r="Z183" s="284">
        <f>IFERROR(__xludf.DUMMYFUNCTION("""COMPUTED_VALUE"""),45231.0)</f>
        <v>45231</v>
      </c>
      <c r="AA183" s="165" t="str">
        <f>IFERROR(__xludf.DUMMYFUNCTION("""COMPUTED_VALUE"""),"Ahmer")</f>
        <v>Ahmer</v>
      </c>
      <c r="AB183" s="165" t="str">
        <f>IFERROR(__xludf.DUMMYFUNCTION("""COMPUTED_VALUE"""),"Editor Notes")</f>
        <v>Editor Notes</v>
      </c>
      <c r="AC183" s="165"/>
      <c r="AD183" s="165"/>
      <c r="AE183" s="165"/>
      <c r="AF183" s="165"/>
      <c r="AG183" s="165"/>
      <c r="AH183" s="165"/>
      <c r="AI183" s="165"/>
      <c r="AJ183" s="165"/>
      <c r="AK183" s="165"/>
      <c r="AL183" s="165"/>
    </row>
    <row r="184">
      <c r="A184" s="165"/>
      <c r="B184" s="165"/>
      <c r="C184" s="165"/>
      <c r="D184" s="165"/>
      <c r="E184" s="292"/>
      <c r="F184" s="277"/>
      <c r="G184" s="165"/>
      <c r="H184" s="277"/>
      <c r="I184" s="277"/>
      <c r="J184" s="165"/>
      <c r="K184" s="165"/>
      <c r="L184" s="165"/>
      <c r="M184" s="165"/>
      <c r="N184" s="165"/>
      <c r="O184" s="165"/>
      <c r="P184" s="165"/>
      <c r="Q184" s="165"/>
      <c r="R184" s="165"/>
      <c r="S184" s="165"/>
      <c r="T184" s="165"/>
      <c r="U184" s="165"/>
      <c r="V184" s="165"/>
      <c r="W184" s="165"/>
      <c r="X184" s="165" t="str">
        <f>IFERROR(__xludf.DUMMYFUNCTION("""COMPUTED_VALUE"""),"CC-NVI-11.05")</f>
        <v>CC-NVI-11.05</v>
      </c>
      <c r="Y184" s="285" t="str">
        <f>IFERROR(__xludf.DUMMYFUNCTION("""COMPUTED_VALUE"""),"Done")</f>
        <v>Done</v>
      </c>
      <c r="Z184" s="284">
        <f>IFERROR(__xludf.DUMMYFUNCTION("""COMPUTED_VALUE"""),45231.0)</f>
        <v>45231</v>
      </c>
      <c r="AA184" s="165" t="str">
        <f>IFERROR(__xludf.DUMMYFUNCTION("""COMPUTED_VALUE"""),"Freelancer")</f>
        <v>Freelancer</v>
      </c>
      <c r="AB184" s="165" t="str">
        <f>IFERROR(__xludf.DUMMYFUNCTION("""COMPUTED_VALUE"""),"Edit")</f>
        <v>Edit</v>
      </c>
      <c r="AC184" s="165"/>
      <c r="AD184" s="165"/>
      <c r="AE184" s="165"/>
      <c r="AF184" s="165"/>
      <c r="AG184" s="165"/>
      <c r="AH184" s="165"/>
      <c r="AI184" s="165"/>
      <c r="AJ184" s="165"/>
      <c r="AK184" s="165"/>
      <c r="AL184" s="165"/>
    </row>
    <row r="185">
      <c r="A185" s="165"/>
      <c r="B185" s="165"/>
      <c r="C185" s="165"/>
      <c r="D185" s="165"/>
      <c r="E185" s="292"/>
      <c r="F185" s="277"/>
      <c r="G185" s="165"/>
      <c r="H185" s="277"/>
      <c r="I185" s="277"/>
      <c r="J185" s="165"/>
      <c r="K185" s="165"/>
      <c r="L185" s="165"/>
      <c r="M185" s="165"/>
      <c r="N185" s="165"/>
      <c r="O185" s="165"/>
      <c r="P185" s="165"/>
      <c r="Q185" s="165"/>
      <c r="R185" s="165"/>
      <c r="S185" s="165"/>
      <c r="T185" s="165"/>
      <c r="U185" s="165"/>
      <c r="V185" s="165"/>
      <c r="W185" s="165"/>
      <c r="X185" s="165" t="str">
        <f>IFERROR(__xludf.DUMMYFUNCTION("""COMPUTED_VALUE"""),"CC-NVI-11.06")</f>
        <v>CC-NVI-11.06</v>
      </c>
      <c r="Y185" s="285" t="str">
        <f>IFERROR(__xludf.DUMMYFUNCTION("""COMPUTED_VALUE"""),"Done")</f>
        <v>Done</v>
      </c>
      <c r="Z185" s="284">
        <f>IFERROR(__xludf.DUMMYFUNCTION("""COMPUTED_VALUE"""),45231.0)</f>
        <v>45231</v>
      </c>
      <c r="AA185" s="165" t="str">
        <f>IFERROR(__xludf.DUMMYFUNCTION("""COMPUTED_VALUE"""),"Nasser")</f>
        <v>Nasser</v>
      </c>
      <c r="AB185" s="165" t="str">
        <f>IFERROR(__xludf.DUMMYFUNCTION("""COMPUTED_VALUE"""),"Voiceover ")</f>
        <v>Voiceover </v>
      </c>
      <c r="AC185" s="165"/>
      <c r="AD185" s="165"/>
      <c r="AE185" s="165"/>
      <c r="AF185" s="165"/>
      <c r="AG185" s="165"/>
      <c r="AH185" s="165"/>
      <c r="AI185" s="165"/>
      <c r="AJ185" s="165"/>
      <c r="AK185" s="165"/>
      <c r="AL185" s="165"/>
    </row>
    <row r="186">
      <c r="A186" s="165"/>
      <c r="B186" s="165"/>
      <c r="C186" s="165"/>
      <c r="D186" s="165"/>
      <c r="E186" s="292"/>
      <c r="F186" s="277"/>
      <c r="G186" s="165"/>
      <c r="H186" s="277"/>
      <c r="I186" s="277"/>
      <c r="J186" s="165"/>
      <c r="K186" s="165"/>
      <c r="L186" s="165"/>
      <c r="M186" s="165"/>
      <c r="N186" s="165"/>
      <c r="O186" s="165"/>
      <c r="P186" s="165"/>
      <c r="Q186" s="165"/>
      <c r="R186" s="165"/>
      <c r="S186" s="165"/>
      <c r="T186" s="165"/>
      <c r="U186" s="165"/>
      <c r="V186" s="165"/>
      <c r="W186" s="165"/>
      <c r="X186" s="165" t="str">
        <f>IFERROR(__xludf.DUMMYFUNCTION("""COMPUTED_VALUE"""),"CC-NVI-11.07")</f>
        <v>CC-NVI-11.07</v>
      </c>
      <c r="Y186" s="285" t="str">
        <f>IFERROR(__xludf.DUMMYFUNCTION("""COMPUTED_VALUE"""),"Done")</f>
        <v>Done</v>
      </c>
      <c r="Z186" s="284">
        <f>IFERROR(__xludf.DUMMYFUNCTION("""COMPUTED_VALUE"""),45231.0)</f>
        <v>45231</v>
      </c>
      <c r="AA186" s="165" t="str">
        <f>IFERROR(__xludf.DUMMYFUNCTION("""COMPUTED_VALUE"""),"Naveen")</f>
        <v>Naveen</v>
      </c>
      <c r="AB186" s="165" t="str">
        <f>IFERROR(__xludf.DUMMYFUNCTION("""COMPUTED_VALUE"""),"Upload")</f>
        <v>Upload</v>
      </c>
      <c r="AC186" s="165"/>
      <c r="AD186" s="165"/>
      <c r="AE186" s="165"/>
      <c r="AF186" s="165"/>
      <c r="AG186" s="165"/>
      <c r="AH186" s="165"/>
      <c r="AI186" s="165"/>
      <c r="AJ186" s="165"/>
      <c r="AK186" s="165"/>
      <c r="AL186" s="165"/>
    </row>
    <row r="187">
      <c r="A187" s="165"/>
      <c r="B187" s="165"/>
      <c r="C187" s="165"/>
      <c r="D187" s="165"/>
      <c r="E187" s="292"/>
      <c r="F187" s="277"/>
      <c r="G187" s="165"/>
      <c r="H187" s="277"/>
      <c r="I187" s="277"/>
      <c r="J187" s="165"/>
      <c r="K187" s="165"/>
      <c r="L187" s="165"/>
      <c r="M187" s="165"/>
      <c r="N187" s="165"/>
      <c r="O187" s="165"/>
      <c r="P187" s="165"/>
      <c r="Q187" s="165"/>
      <c r="R187" s="165"/>
      <c r="S187" s="165"/>
      <c r="T187" s="165"/>
      <c r="U187" s="165"/>
      <c r="V187" s="165"/>
      <c r="W187" s="165"/>
      <c r="X187" s="165" t="str">
        <f>IFERROR(__xludf.DUMMYFUNCTION("""COMPUTED_VALUE"""),"CC-MAC-04.07")</f>
        <v>CC-MAC-04.07</v>
      </c>
      <c r="Y187" s="285" t="str">
        <f>IFERROR(__xludf.DUMMYFUNCTION("""COMPUTED_VALUE"""),"Done")</f>
        <v>Done</v>
      </c>
      <c r="Z187" s="284">
        <f>IFERROR(__xludf.DUMMYFUNCTION("""COMPUTED_VALUE"""),45231.0)</f>
        <v>45231</v>
      </c>
      <c r="AA187" s="165" t="str">
        <f>IFERROR(__xludf.DUMMYFUNCTION("""COMPUTED_VALUE"""),"Akhil")</f>
        <v>Akhil</v>
      </c>
      <c r="AB187" s="165" t="str">
        <f>IFERROR(__xludf.DUMMYFUNCTION("""COMPUTED_VALUE"""),"Upload")</f>
        <v>Upload</v>
      </c>
      <c r="AC187" s="165"/>
      <c r="AD187" s="165"/>
      <c r="AE187" s="165"/>
      <c r="AF187" s="165"/>
      <c r="AG187" s="165"/>
      <c r="AH187" s="165"/>
      <c r="AI187" s="165"/>
      <c r="AJ187" s="165"/>
      <c r="AK187" s="165"/>
      <c r="AL187" s="165"/>
    </row>
    <row r="188">
      <c r="A188" s="165"/>
      <c r="B188" s="165"/>
      <c r="C188" s="165"/>
      <c r="D188" s="165"/>
      <c r="E188" s="292"/>
      <c r="F188" s="277"/>
      <c r="G188" s="165"/>
      <c r="H188" s="277"/>
      <c r="I188" s="277"/>
      <c r="J188" s="165"/>
      <c r="K188" s="165"/>
      <c r="L188" s="165"/>
      <c r="M188" s="165"/>
      <c r="N188" s="165"/>
      <c r="O188" s="165"/>
      <c r="P188" s="165"/>
      <c r="Q188" s="165"/>
      <c r="R188" s="165"/>
      <c r="S188" s="165"/>
      <c r="T188" s="165"/>
      <c r="U188" s="165"/>
      <c r="V188" s="165"/>
      <c r="W188" s="165"/>
      <c r="X188" s="165" t="str">
        <f>IFERROR(__xludf.DUMMYFUNCTION("""COMPUTED_VALUE"""),"CC-INN-15.03")</f>
        <v>CC-INN-15.03</v>
      </c>
      <c r="Y188" s="285" t="str">
        <f>IFERROR(__xludf.DUMMYFUNCTION("""COMPUTED_VALUE"""),"Done")</f>
        <v>Done</v>
      </c>
      <c r="Z188" s="284">
        <f>IFERROR(__xludf.DUMMYFUNCTION("""COMPUTED_VALUE"""),45231.0)</f>
        <v>45231</v>
      </c>
      <c r="AA188" s="165" t="str">
        <f>IFERROR(__xludf.DUMMYFUNCTION("""COMPUTED_VALUE"""),"Naveen")</f>
        <v>Naveen</v>
      </c>
      <c r="AB188" s="165" t="str">
        <f>IFERROR(__xludf.DUMMYFUNCTION("""COMPUTED_VALUE"""),"Edit")</f>
        <v>Edit</v>
      </c>
      <c r="AC188" s="165"/>
      <c r="AD188" s="165"/>
      <c r="AE188" s="165"/>
      <c r="AF188" s="165"/>
      <c r="AG188" s="165"/>
      <c r="AH188" s="165"/>
      <c r="AI188" s="165"/>
      <c r="AJ188" s="165"/>
      <c r="AK188" s="165"/>
      <c r="AL188" s="165"/>
    </row>
    <row r="189">
      <c r="A189" s="165"/>
      <c r="B189" s="165"/>
      <c r="C189" s="165"/>
      <c r="D189" s="165"/>
      <c r="E189" s="292"/>
      <c r="F189" s="277"/>
      <c r="G189" s="165"/>
      <c r="H189" s="277"/>
      <c r="I189" s="277"/>
      <c r="J189" s="165"/>
      <c r="K189" s="165"/>
      <c r="L189" s="165"/>
      <c r="M189" s="165"/>
      <c r="N189" s="165"/>
      <c r="O189" s="165"/>
      <c r="P189" s="165"/>
      <c r="Q189" s="165"/>
      <c r="R189" s="165"/>
      <c r="S189" s="165"/>
      <c r="T189" s="165"/>
      <c r="U189" s="165"/>
      <c r="V189" s="165"/>
      <c r="W189" s="165"/>
      <c r="X189" s="165" t="str">
        <f>IFERROR(__xludf.DUMMYFUNCTION("""COMPUTED_VALUE"""),"CC-INN-17.04")</f>
        <v>CC-INN-17.04</v>
      </c>
      <c r="Y189" s="285" t="str">
        <f>IFERROR(__xludf.DUMMYFUNCTION("""COMPUTED_VALUE"""),"Done")</f>
        <v>Done</v>
      </c>
      <c r="Z189" s="284">
        <f>IFERROR(__xludf.DUMMYFUNCTION("""COMPUTED_VALUE"""),45231.0)</f>
        <v>45231</v>
      </c>
      <c r="AA189" s="165" t="str">
        <f>IFERROR(__xludf.DUMMYFUNCTION("""COMPUTED_VALUE"""),"Naveen")</f>
        <v>Naveen</v>
      </c>
      <c r="AB189" s="165" t="str">
        <f>IFERROR(__xludf.DUMMYFUNCTION("""COMPUTED_VALUE"""),"Upload")</f>
        <v>Upload</v>
      </c>
      <c r="AC189" s="165"/>
      <c r="AD189" s="165"/>
      <c r="AE189" s="165"/>
      <c r="AF189" s="165"/>
      <c r="AG189" s="165"/>
      <c r="AH189" s="165"/>
      <c r="AI189" s="165"/>
      <c r="AJ189" s="165"/>
      <c r="AK189" s="165"/>
      <c r="AL189" s="165"/>
    </row>
    <row r="190">
      <c r="A190" s="165"/>
      <c r="B190" s="165"/>
      <c r="C190" s="165"/>
      <c r="D190" s="165"/>
      <c r="E190" s="292"/>
      <c r="F190" s="277"/>
      <c r="G190" s="165"/>
      <c r="H190" s="277"/>
      <c r="I190" s="277"/>
      <c r="J190" s="165"/>
      <c r="K190" s="165"/>
      <c r="L190" s="165"/>
      <c r="M190" s="165"/>
      <c r="N190" s="165"/>
      <c r="O190" s="165"/>
      <c r="P190" s="165"/>
      <c r="Q190" s="165"/>
      <c r="R190" s="165"/>
      <c r="S190" s="165"/>
      <c r="T190" s="165"/>
      <c r="U190" s="165"/>
      <c r="V190" s="165"/>
      <c r="W190" s="165"/>
      <c r="X190" s="165" t="str">
        <f>IFERROR(__xludf.DUMMYFUNCTION("""COMPUTED_VALUE"""),"PM-MVP-03.02")</f>
        <v>PM-MVP-03.02</v>
      </c>
      <c r="Y190" s="285" t="str">
        <f>IFERROR(__xludf.DUMMYFUNCTION("""COMPUTED_VALUE"""),"Done")</f>
        <v>Done</v>
      </c>
      <c r="Z190" s="284">
        <f>IFERROR(__xludf.DUMMYFUNCTION("""COMPUTED_VALUE"""),45231.0)</f>
        <v>45231</v>
      </c>
      <c r="AA190" s="165" t="str">
        <f>IFERROR(__xludf.DUMMYFUNCTION("""COMPUTED_VALUE"""),"Naveen")</f>
        <v>Naveen</v>
      </c>
      <c r="AB190" s="165" t="str">
        <f>IFERROR(__xludf.DUMMYFUNCTION("""COMPUTED_VALUE"""),"Flipkart Labels")</f>
        <v>Flipkart Labels</v>
      </c>
      <c r="AC190" s="165"/>
      <c r="AD190" s="165"/>
      <c r="AE190" s="165"/>
      <c r="AF190" s="165"/>
      <c r="AG190" s="165"/>
      <c r="AH190" s="165"/>
      <c r="AI190" s="165"/>
      <c r="AJ190" s="165"/>
      <c r="AK190" s="165"/>
      <c r="AL190" s="165"/>
    </row>
    <row r="191">
      <c r="A191" s="165"/>
      <c r="B191" s="165"/>
      <c r="C191" s="165"/>
      <c r="D191" s="165"/>
      <c r="E191" s="292"/>
      <c r="F191" s="277"/>
      <c r="G191" s="165"/>
      <c r="H191" s="277"/>
      <c r="I191" s="277"/>
      <c r="J191" s="165"/>
      <c r="K191" s="165"/>
      <c r="L191" s="165"/>
      <c r="M191" s="165"/>
      <c r="N191" s="165"/>
      <c r="O191" s="165"/>
      <c r="P191" s="165"/>
      <c r="Q191" s="165"/>
      <c r="R191" s="165"/>
      <c r="S191" s="165"/>
      <c r="T191" s="165"/>
      <c r="U191" s="165"/>
      <c r="V191" s="165"/>
      <c r="W191" s="165"/>
      <c r="X191" s="165" t="str">
        <f>IFERROR(__xludf.DUMMYFUNCTION("""COMPUTED_VALUE"""),"CC-MVP-36.07")</f>
        <v>CC-MVP-36.07</v>
      </c>
      <c r="Y191" s="285" t="str">
        <f>IFERROR(__xludf.DUMMYFUNCTION("""COMPUTED_VALUE"""),"Done")</f>
        <v>Done</v>
      </c>
      <c r="Z191" s="284">
        <f>IFERROR(__xludf.DUMMYFUNCTION("""COMPUTED_VALUE"""),45232.0)</f>
        <v>45232</v>
      </c>
      <c r="AA191" s="165" t="str">
        <f>IFERROR(__xludf.DUMMYFUNCTION("""COMPUTED_VALUE"""),"Talha")</f>
        <v>Talha</v>
      </c>
      <c r="AB191" s="165" t="str">
        <f>IFERROR(__xludf.DUMMYFUNCTION("""COMPUTED_VALUE"""),"Upload")</f>
        <v>Upload</v>
      </c>
      <c r="AC191" s="165"/>
      <c r="AD191" s="165"/>
      <c r="AE191" s="165"/>
      <c r="AF191" s="165"/>
      <c r="AG191" s="165"/>
      <c r="AH191" s="165"/>
      <c r="AI191" s="165"/>
      <c r="AJ191" s="165"/>
      <c r="AK191" s="165"/>
      <c r="AL191" s="165"/>
    </row>
    <row r="192">
      <c r="A192" s="165"/>
      <c r="B192" s="165"/>
      <c r="C192" s="165"/>
      <c r="D192" s="165"/>
      <c r="E192" s="292"/>
      <c r="F192" s="277"/>
      <c r="G192" s="165"/>
      <c r="H192" s="277"/>
      <c r="I192" s="277"/>
      <c r="J192" s="165"/>
      <c r="K192" s="165"/>
      <c r="L192" s="165"/>
      <c r="M192" s="165"/>
      <c r="N192" s="165"/>
      <c r="O192" s="165"/>
      <c r="P192" s="165"/>
      <c r="Q192" s="165"/>
      <c r="R192" s="165"/>
      <c r="S192" s="165"/>
      <c r="T192" s="165"/>
      <c r="U192" s="165"/>
      <c r="V192" s="165"/>
      <c r="W192" s="165"/>
      <c r="X192" s="165" t="str">
        <f>IFERROR(__xludf.DUMMYFUNCTION("""COMPUTED_VALUE"""),"CC-MVP-67.05")</f>
        <v>CC-MVP-67.05</v>
      </c>
      <c r="Y192" s="285" t="str">
        <f>IFERROR(__xludf.DUMMYFUNCTION("""COMPUTED_VALUE"""),"Done")</f>
        <v>Done</v>
      </c>
      <c r="Z192" s="284">
        <f>IFERROR(__xludf.DUMMYFUNCTION("""COMPUTED_VALUE"""),45232.0)</f>
        <v>45232</v>
      </c>
      <c r="AA192" s="165" t="str">
        <f>IFERROR(__xludf.DUMMYFUNCTION("""COMPUTED_VALUE"""),"Jayanth")</f>
        <v>Jayanth</v>
      </c>
      <c r="AB192" s="165" t="str">
        <f>IFERROR(__xludf.DUMMYFUNCTION("""COMPUTED_VALUE"""),"Edit")</f>
        <v>Edit</v>
      </c>
      <c r="AC192" s="165"/>
      <c r="AD192" s="165"/>
      <c r="AE192" s="165"/>
      <c r="AF192" s="165"/>
      <c r="AG192" s="165"/>
      <c r="AH192" s="165"/>
      <c r="AI192" s="165"/>
      <c r="AJ192" s="165"/>
      <c r="AK192" s="165"/>
      <c r="AL192" s="165"/>
    </row>
    <row r="193">
      <c r="A193" s="165"/>
      <c r="B193" s="165"/>
      <c r="C193" s="165"/>
      <c r="D193" s="165"/>
      <c r="E193" s="292"/>
      <c r="F193" s="277"/>
      <c r="G193" s="165"/>
      <c r="H193" s="277"/>
      <c r="I193" s="277"/>
      <c r="J193" s="165"/>
      <c r="K193" s="165"/>
      <c r="L193" s="165"/>
      <c r="M193" s="165"/>
      <c r="N193" s="165"/>
      <c r="O193" s="165"/>
      <c r="P193" s="165"/>
      <c r="Q193" s="165"/>
      <c r="R193" s="165"/>
      <c r="S193" s="165"/>
      <c r="T193" s="165"/>
      <c r="U193" s="165"/>
      <c r="V193" s="165"/>
      <c r="W193" s="165"/>
      <c r="X193" s="165" t="str">
        <f>IFERROR(__xludf.DUMMYFUNCTION("""COMPUTED_VALUE"""),"CC-MVP-24.03")</f>
        <v>CC-MVP-24.03</v>
      </c>
      <c r="Y193" s="285" t="str">
        <f>IFERROR(__xludf.DUMMYFUNCTION("""COMPUTED_VALUE"""),"Done")</f>
        <v>Done</v>
      </c>
      <c r="Z193" s="284">
        <f>IFERROR(__xludf.DUMMYFUNCTION("""COMPUTED_VALUE"""),45232.0)</f>
        <v>45232</v>
      </c>
      <c r="AA193" s="165" t="str">
        <f>IFERROR(__xludf.DUMMYFUNCTION("""COMPUTED_VALUE"""),"Nasser")</f>
        <v>Nasser</v>
      </c>
      <c r="AB193" s="165" t="str">
        <f>IFERROR(__xludf.DUMMYFUNCTION("""COMPUTED_VALUE"""),"Editor notes")</f>
        <v>Editor notes</v>
      </c>
      <c r="AC193" s="165"/>
      <c r="AD193" s="165"/>
      <c r="AE193" s="165"/>
      <c r="AF193" s="165"/>
      <c r="AG193" s="165"/>
      <c r="AH193" s="165"/>
      <c r="AI193" s="165"/>
      <c r="AJ193" s="165"/>
      <c r="AK193" s="165"/>
      <c r="AL193" s="165"/>
    </row>
    <row r="194">
      <c r="A194" s="165"/>
      <c r="B194" s="165"/>
      <c r="C194" s="165"/>
      <c r="D194" s="165"/>
      <c r="E194" s="292"/>
      <c r="F194" s="277"/>
      <c r="G194" s="165"/>
      <c r="H194" s="277"/>
      <c r="I194" s="277"/>
      <c r="J194" s="165"/>
      <c r="K194" s="165"/>
      <c r="L194" s="165"/>
      <c r="M194" s="165"/>
      <c r="N194" s="165"/>
      <c r="O194" s="165"/>
      <c r="P194" s="165"/>
      <c r="Q194" s="165"/>
      <c r="R194" s="165"/>
      <c r="S194" s="165"/>
      <c r="T194" s="165"/>
      <c r="U194" s="165"/>
      <c r="V194" s="165"/>
      <c r="W194" s="165"/>
      <c r="X194" s="165" t="str">
        <f>IFERROR(__xludf.DUMMYFUNCTION("""COMPUTED_VALUE"""),"CC-CTH-13.01")</f>
        <v>CC-CTH-13.01</v>
      </c>
      <c r="Y194" s="285" t="str">
        <f>IFERROR(__xludf.DUMMYFUNCTION("""COMPUTED_VALUE"""),"Done")</f>
        <v>Done</v>
      </c>
      <c r="Z194" s="284">
        <f>IFERROR(__xludf.DUMMYFUNCTION("""COMPUTED_VALUE"""),45232.0)</f>
        <v>45232</v>
      </c>
      <c r="AA194" s="165" t="str">
        <f>IFERROR(__xludf.DUMMYFUNCTION("""COMPUTED_VALUE"""),"Naveen")</f>
        <v>Naveen</v>
      </c>
      <c r="AB194" s="165" t="str">
        <f>IFERROR(__xludf.DUMMYFUNCTION("""COMPUTED_VALUE"""),"Script")</f>
        <v>Script</v>
      </c>
      <c r="AC194" s="165"/>
      <c r="AD194" s="165"/>
      <c r="AE194" s="165"/>
      <c r="AF194" s="165"/>
      <c r="AG194" s="165"/>
      <c r="AH194" s="165"/>
      <c r="AI194" s="165"/>
      <c r="AJ194" s="165"/>
      <c r="AK194" s="165"/>
      <c r="AL194" s="165"/>
    </row>
    <row r="195">
      <c r="A195" s="165"/>
      <c r="B195" s="165"/>
      <c r="C195" s="165"/>
      <c r="D195" s="165"/>
      <c r="E195" s="292"/>
      <c r="F195" s="277"/>
      <c r="G195" s="165"/>
      <c r="H195" s="277"/>
      <c r="I195" s="277"/>
      <c r="J195" s="165"/>
      <c r="K195" s="165"/>
      <c r="L195" s="165"/>
      <c r="M195" s="165"/>
      <c r="N195" s="165"/>
      <c r="O195" s="165"/>
      <c r="P195" s="165"/>
      <c r="Q195" s="165"/>
      <c r="R195" s="165"/>
      <c r="S195" s="165"/>
      <c r="T195" s="165"/>
      <c r="U195" s="165"/>
      <c r="V195" s="165"/>
      <c r="W195" s="165"/>
      <c r="X195" s="165" t="str">
        <f>IFERROR(__xludf.DUMMYFUNCTION("""COMPUTED_VALUE"""),"CC-CTH-13.02")</f>
        <v>CC-CTH-13.02</v>
      </c>
      <c r="Y195" s="285" t="str">
        <f>IFERROR(__xludf.DUMMYFUNCTION("""COMPUTED_VALUE"""),"Done")</f>
        <v>Done</v>
      </c>
      <c r="Z195" s="284">
        <f>IFERROR(__xludf.DUMMYFUNCTION("""COMPUTED_VALUE"""),45232.0)</f>
        <v>45232</v>
      </c>
      <c r="AA195" s="165" t="str">
        <f>IFERROR(__xludf.DUMMYFUNCTION("""COMPUTED_VALUE"""),"Talha")</f>
        <v>Talha</v>
      </c>
      <c r="AB195" s="165" t="str">
        <f>IFERROR(__xludf.DUMMYFUNCTION("""COMPUTED_VALUE"""),"Voiceover")</f>
        <v>Voiceover</v>
      </c>
      <c r="AC195" s="165"/>
      <c r="AD195" s="165"/>
      <c r="AE195" s="165"/>
      <c r="AF195" s="165"/>
      <c r="AG195" s="165"/>
      <c r="AH195" s="165"/>
      <c r="AI195" s="165"/>
      <c r="AJ195" s="165"/>
      <c r="AK195" s="165"/>
      <c r="AL195" s="165"/>
    </row>
    <row r="196">
      <c r="A196" s="165"/>
      <c r="B196" s="165"/>
      <c r="C196" s="165"/>
      <c r="D196" s="165"/>
      <c r="E196" s="292"/>
      <c r="F196" s="277"/>
      <c r="G196" s="165"/>
      <c r="H196" s="277"/>
      <c r="I196" s="277"/>
      <c r="J196" s="165"/>
      <c r="K196" s="165"/>
      <c r="L196" s="165"/>
      <c r="M196" s="165"/>
      <c r="N196" s="165"/>
      <c r="O196" s="165"/>
      <c r="P196" s="165"/>
      <c r="Q196" s="165"/>
      <c r="R196" s="165"/>
      <c r="S196" s="165"/>
      <c r="T196" s="165"/>
      <c r="U196" s="165"/>
      <c r="V196" s="165"/>
      <c r="W196" s="165"/>
      <c r="X196" s="165" t="str">
        <f>IFERROR(__xludf.DUMMYFUNCTION("""COMPUTED_VALUE"""),"CC-INN-19.05")</f>
        <v>CC-INN-19.05</v>
      </c>
      <c r="Y196" s="285" t="str">
        <f>IFERROR(__xludf.DUMMYFUNCTION("""COMPUTED_VALUE"""),"Done")</f>
        <v>Done</v>
      </c>
      <c r="Z196" s="284">
        <f>IFERROR(__xludf.DUMMYFUNCTION("""COMPUTED_VALUE"""),45232.0)</f>
        <v>45232</v>
      </c>
      <c r="AA196" s="165" t="str">
        <f>IFERROR(__xludf.DUMMYFUNCTION("""COMPUTED_VALUE"""),"Naveen")</f>
        <v>Naveen</v>
      </c>
      <c r="AB196" s="165" t="str">
        <f>IFERROR(__xludf.DUMMYFUNCTION("""COMPUTED_VALUE"""),"Edit")</f>
        <v>Edit</v>
      </c>
      <c r="AC196" s="165"/>
      <c r="AD196" s="165"/>
      <c r="AE196" s="165"/>
      <c r="AF196" s="165"/>
      <c r="AG196" s="165"/>
      <c r="AH196" s="165"/>
      <c r="AI196" s="165"/>
      <c r="AJ196" s="165"/>
      <c r="AK196" s="165"/>
      <c r="AL196" s="165"/>
    </row>
    <row r="197">
      <c r="A197" s="165"/>
      <c r="B197" s="165"/>
      <c r="C197" s="165"/>
      <c r="D197" s="165"/>
      <c r="E197" s="292"/>
      <c r="F197" s="277"/>
      <c r="G197" s="165"/>
      <c r="H197" s="277"/>
      <c r="I197" s="277"/>
      <c r="J197" s="165"/>
      <c r="K197" s="165"/>
      <c r="L197" s="165"/>
      <c r="M197" s="165"/>
      <c r="N197" s="165"/>
      <c r="O197" s="165"/>
      <c r="P197" s="165"/>
      <c r="Q197" s="165"/>
      <c r="R197" s="165"/>
      <c r="S197" s="165"/>
      <c r="T197" s="165"/>
      <c r="U197" s="165"/>
      <c r="V197" s="165"/>
      <c r="W197" s="165"/>
      <c r="X197" s="165" t="str">
        <f>IFERROR(__xludf.DUMMYFUNCTION("""COMPUTED_VALUE"""),"CC-INN-19.07")</f>
        <v>CC-INN-19.07</v>
      </c>
      <c r="Y197" s="285" t="str">
        <f>IFERROR(__xludf.DUMMYFUNCTION("""COMPUTED_VALUE"""),"Done")</f>
        <v>Done</v>
      </c>
      <c r="Z197" s="284">
        <f>IFERROR(__xludf.DUMMYFUNCTION("""COMPUTED_VALUE"""),45232.0)</f>
        <v>45232</v>
      </c>
      <c r="AA197" s="165"/>
      <c r="AB197" s="165" t="str">
        <f>IFERROR(__xludf.DUMMYFUNCTION("""COMPUTED_VALUE"""),"Upload")</f>
        <v>Upload</v>
      </c>
      <c r="AC197" s="165"/>
      <c r="AD197" s="165"/>
      <c r="AE197" s="165"/>
      <c r="AF197" s="165"/>
      <c r="AG197" s="165"/>
      <c r="AH197" s="165"/>
      <c r="AI197" s="165"/>
      <c r="AJ197" s="165"/>
      <c r="AK197" s="165"/>
      <c r="AL197" s="165"/>
    </row>
    <row r="198">
      <c r="A198" s="165"/>
      <c r="B198" s="165"/>
      <c r="C198" s="165"/>
      <c r="D198" s="165"/>
      <c r="E198" s="292"/>
      <c r="F198" s="277"/>
      <c r="G198" s="165"/>
      <c r="H198" s="277"/>
      <c r="I198" s="277"/>
      <c r="J198" s="165"/>
      <c r="K198" s="165"/>
      <c r="L198" s="165"/>
      <c r="M198" s="165"/>
      <c r="N198" s="165"/>
      <c r="O198" s="165"/>
      <c r="P198" s="165"/>
      <c r="Q198" s="165"/>
      <c r="R198" s="165"/>
      <c r="S198" s="165"/>
      <c r="T198" s="165"/>
      <c r="U198" s="165"/>
      <c r="V198" s="165"/>
      <c r="W198" s="165"/>
      <c r="X198" s="165" t="str">
        <f>IFERROR(__xludf.DUMMYFUNCTION("""COMPUTED_VALUE"""),"PM-MVP-03.01")</f>
        <v>PM-MVP-03.01</v>
      </c>
      <c r="Y198" s="285" t="str">
        <f>IFERROR(__xludf.DUMMYFUNCTION("""COMPUTED_VALUE"""),"Done")</f>
        <v>Done</v>
      </c>
      <c r="Z198" s="284">
        <f>IFERROR(__xludf.DUMMYFUNCTION("""COMPUTED_VALUE"""),45232.0)</f>
        <v>45232</v>
      </c>
      <c r="AA198" s="165" t="str">
        <f>IFERROR(__xludf.DUMMYFUNCTION("""COMPUTED_VALUE"""),"Nasser")</f>
        <v>Nasser</v>
      </c>
      <c r="AB198" s="165" t="str">
        <f>IFERROR(__xludf.DUMMYFUNCTION("""COMPUTED_VALUE"""),"IGDC Banners")</f>
        <v>IGDC Banners</v>
      </c>
      <c r="AC198" s="165"/>
      <c r="AD198" s="165"/>
      <c r="AE198" s="165"/>
      <c r="AF198" s="165"/>
      <c r="AG198" s="165"/>
      <c r="AH198" s="165"/>
      <c r="AI198" s="165"/>
      <c r="AJ198" s="165"/>
      <c r="AK198" s="165"/>
      <c r="AL198" s="165"/>
    </row>
    <row r="199">
      <c r="A199" s="165"/>
      <c r="B199" s="165"/>
      <c r="C199" s="165"/>
      <c r="D199" s="165"/>
      <c r="E199" s="292"/>
      <c r="F199" s="277"/>
      <c r="G199" s="165"/>
      <c r="H199" s="277"/>
      <c r="I199" s="277"/>
      <c r="J199" s="165"/>
      <c r="K199" s="165"/>
      <c r="L199" s="165"/>
      <c r="M199" s="165"/>
      <c r="N199" s="165"/>
      <c r="O199" s="165"/>
      <c r="P199" s="165"/>
      <c r="Q199" s="165"/>
      <c r="R199" s="165"/>
      <c r="S199" s="165"/>
      <c r="T199" s="165"/>
      <c r="U199" s="165"/>
      <c r="V199" s="165"/>
      <c r="W199" s="165"/>
      <c r="X199" s="165" t="str">
        <f>IFERROR(__xludf.DUMMYFUNCTION("""COMPUTED_VALUE"""),"CC-MVP-80.04")</f>
        <v>CC-MVP-80.04</v>
      </c>
      <c r="Y199" s="285" t="str">
        <f>IFERROR(__xludf.DUMMYFUNCTION("""COMPUTED_VALUE"""),"Done")</f>
        <v>Done</v>
      </c>
      <c r="Z199" s="284">
        <f>IFERROR(__xludf.DUMMYFUNCTION("""COMPUTED_VALUE"""),45233.0)</f>
        <v>45233</v>
      </c>
      <c r="AA199" s="165" t="str">
        <f>IFERROR(__xludf.DUMMYFUNCTION("""COMPUTED_VALUE"""),"Nasser")</f>
        <v>Nasser</v>
      </c>
      <c r="AB199" s="165" t="str">
        <f>IFERROR(__xludf.DUMMYFUNCTION("""COMPUTED_VALUE"""),"Upload")</f>
        <v>Upload</v>
      </c>
      <c r="AC199" s="165"/>
      <c r="AD199" s="165"/>
      <c r="AE199" s="165"/>
      <c r="AF199" s="165"/>
      <c r="AG199" s="165"/>
      <c r="AH199" s="165"/>
      <c r="AI199" s="165"/>
      <c r="AJ199" s="165"/>
      <c r="AK199" s="165"/>
      <c r="AL199" s="165"/>
    </row>
    <row r="200">
      <c r="A200" s="165"/>
      <c r="B200" s="165"/>
      <c r="C200" s="165"/>
      <c r="D200" s="165"/>
      <c r="E200" s="292"/>
      <c r="F200" s="277"/>
      <c r="G200" s="165"/>
      <c r="H200" s="277"/>
      <c r="I200" s="277"/>
      <c r="J200" s="165"/>
      <c r="K200" s="165"/>
      <c r="L200" s="165"/>
      <c r="M200" s="165"/>
      <c r="N200" s="165"/>
      <c r="O200" s="165"/>
      <c r="P200" s="165"/>
      <c r="Q200" s="165"/>
      <c r="R200" s="165"/>
      <c r="S200" s="165"/>
      <c r="T200" s="165"/>
      <c r="U200" s="165"/>
      <c r="V200" s="165"/>
      <c r="W200" s="165"/>
      <c r="X200" s="165" t="str">
        <f>IFERROR(__xludf.DUMMYFUNCTION("""COMPUTED_VALUE"""),"CC-MVP-67.06")</f>
        <v>CC-MVP-67.06</v>
      </c>
      <c r="Y200" s="285" t="str">
        <f>IFERROR(__xludf.DUMMYFUNCTION("""COMPUTED_VALUE"""),"Done")</f>
        <v>Done</v>
      </c>
      <c r="Z200" s="284">
        <f>IFERROR(__xludf.DUMMYFUNCTION("""COMPUTED_VALUE"""),45233.0)</f>
        <v>45233</v>
      </c>
      <c r="AA200" s="165" t="str">
        <f>IFERROR(__xludf.DUMMYFUNCTION("""COMPUTED_VALUE"""),"Nasser")</f>
        <v>Nasser</v>
      </c>
      <c r="AB200" s="165" t="str">
        <f>IFERROR(__xludf.DUMMYFUNCTION("""COMPUTED_VALUE"""),"Thumbnail")</f>
        <v>Thumbnail</v>
      </c>
      <c r="AC200" s="165"/>
      <c r="AD200" s="165"/>
      <c r="AE200" s="165"/>
      <c r="AF200" s="165"/>
      <c r="AG200" s="165"/>
      <c r="AH200" s="165"/>
      <c r="AI200" s="165"/>
      <c r="AJ200" s="165"/>
      <c r="AK200" s="165"/>
      <c r="AL200" s="165"/>
    </row>
    <row r="201">
      <c r="A201" s="165"/>
      <c r="B201" s="165"/>
      <c r="C201" s="165"/>
      <c r="D201" s="165"/>
      <c r="E201" s="292"/>
      <c r="F201" s="277"/>
      <c r="G201" s="165"/>
      <c r="H201" s="277"/>
      <c r="I201" s="277"/>
      <c r="J201" s="165"/>
      <c r="K201" s="165"/>
      <c r="L201" s="165"/>
      <c r="M201" s="165"/>
      <c r="N201" s="165"/>
      <c r="O201" s="165"/>
      <c r="P201" s="165"/>
      <c r="Q201" s="165"/>
      <c r="R201" s="165"/>
      <c r="S201" s="165"/>
      <c r="T201" s="165"/>
      <c r="U201" s="165"/>
      <c r="V201" s="165"/>
      <c r="W201" s="165"/>
      <c r="X201" s="165" t="str">
        <f>IFERROR(__xludf.DUMMYFUNCTION("""COMPUTED_VALUE"""),"CC-MVP-67.07")</f>
        <v>CC-MVP-67.07</v>
      </c>
      <c r="Y201" s="285" t="str">
        <f>IFERROR(__xludf.DUMMYFUNCTION("""COMPUTED_VALUE"""),"Done")</f>
        <v>Done</v>
      </c>
      <c r="Z201" s="284">
        <f>IFERROR(__xludf.DUMMYFUNCTION("""COMPUTED_VALUE"""),45233.0)</f>
        <v>45233</v>
      </c>
      <c r="AA201" s="165" t="str">
        <f>IFERROR(__xludf.DUMMYFUNCTION("""COMPUTED_VALUE"""),"Talha")</f>
        <v>Talha</v>
      </c>
      <c r="AB201" s="165" t="str">
        <f>IFERROR(__xludf.DUMMYFUNCTION("""COMPUTED_VALUE"""),"Upload")</f>
        <v>Upload</v>
      </c>
      <c r="AC201" s="165"/>
      <c r="AD201" s="165"/>
      <c r="AE201" s="165"/>
      <c r="AF201" s="165"/>
      <c r="AG201" s="165"/>
      <c r="AH201" s="165"/>
      <c r="AI201" s="165"/>
      <c r="AJ201" s="165"/>
      <c r="AK201" s="165"/>
      <c r="AL201" s="165"/>
    </row>
    <row r="202">
      <c r="A202" s="165"/>
      <c r="B202" s="165"/>
      <c r="C202" s="165"/>
      <c r="D202" s="165"/>
      <c r="E202" s="292"/>
      <c r="F202" s="277"/>
      <c r="G202" s="165"/>
      <c r="H202" s="277"/>
      <c r="I202" s="277"/>
      <c r="J202" s="165"/>
      <c r="K202" s="165"/>
      <c r="L202" s="165"/>
      <c r="M202" s="165"/>
      <c r="N202" s="165"/>
      <c r="O202" s="165"/>
      <c r="P202" s="165"/>
      <c r="Q202" s="165"/>
      <c r="R202" s="165"/>
      <c r="S202" s="165"/>
      <c r="T202" s="165"/>
      <c r="U202" s="165"/>
      <c r="V202" s="165"/>
      <c r="W202" s="165"/>
      <c r="X202" s="165" t="str">
        <f>IFERROR(__xludf.DUMMYFUNCTION("""COMPUTED_VALUE"""),"CC-MVP-87.02")</f>
        <v>CC-MVP-87.02</v>
      </c>
      <c r="Y202" s="285" t="str">
        <f>IFERROR(__xludf.DUMMYFUNCTION("""COMPUTED_VALUE"""),"Done")</f>
        <v>Done</v>
      </c>
      <c r="Z202" s="284">
        <f>IFERROR(__xludf.DUMMYFUNCTION("""COMPUTED_VALUE"""),45233.0)</f>
        <v>45233</v>
      </c>
      <c r="AA202" s="165" t="str">
        <f>IFERROR(__xludf.DUMMYFUNCTION("""COMPUTED_VALUE"""),"Talha")</f>
        <v>Talha</v>
      </c>
      <c r="AB202" s="165" t="str">
        <f>IFERROR(__xludf.DUMMYFUNCTION("""COMPUTED_VALUE"""),"Captions")</f>
        <v>Captions</v>
      </c>
      <c r="AC202" s="165"/>
      <c r="AD202" s="165"/>
      <c r="AE202" s="165"/>
      <c r="AF202" s="165"/>
      <c r="AG202" s="165"/>
      <c r="AH202" s="165"/>
      <c r="AI202" s="165"/>
      <c r="AJ202" s="165"/>
      <c r="AK202" s="165"/>
      <c r="AL202" s="165"/>
    </row>
    <row r="203">
      <c r="A203" s="165"/>
      <c r="B203" s="165"/>
      <c r="C203" s="165"/>
      <c r="D203" s="165"/>
      <c r="E203" s="292"/>
      <c r="F203" s="277"/>
      <c r="G203" s="165"/>
      <c r="H203" s="277"/>
      <c r="I203" s="277"/>
      <c r="J203" s="165"/>
      <c r="K203" s="165"/>
      <c r="L203" s="165"/>
      <c r="M203" s="165"/>
      <c r="N203" s="165"/>
      <c r="O203" s="165"/>
      <c r="P203" s="165"/>
      <c r="Q203" s="165"/>
      <c r="R203" s="165"/>
      <c r="S203" s="165"/>
      <c r="T203" s="165"/>
      <c r="U203" s="165"/>
      <c r="V203" s="165"/>
      <c r="W203" s="165"/>
      <c r="X203" s="165" t="str">
        <f>IFERROR(__xludf.DUMMYFUNCTION("""COMPUTED_VALUE"""),"CC-MVP-87.03")</f>
        <v>CC-MVP-87.03</v>
      </c>
      <c r="Y203" s="285" t="str">
        <f>IFERROR(__xludf.DUMMYFUNCTION("""COMPUTED_VALUE"""),"Done")</f>
        <v>Done</v>
      </c>
      <c r="Z203" s="284">
        <f>IFERROR(__xludf.DUMMYFUNCTION("""COMPUTED_VALUE"""),45233.0)</f>
        <v>45233</v>
      </c>
      <c r="AA203" s="165" t="str">
        <f>IFERROR(__xludf.DUMMYFUNCTION("""COMPUTED_VALUE"""),"Talha")</f>
        <v>Talha</v>
      </c>
      <c r="AB203" s="165" t="str">
        <f>IFERROR(__xludf.DUMMYFUNCTION("""COMPUTED_VALUE"""),"Talking Head")</f>
        <v>Talking Head</v>
      </c>
      <c r="AC203" s="165"/>
      <c r="AD203" s="165"/>
      <c r="AE203" s="165"/>
      <c r="AF203" s="165"/>
      <c r="AG203" s="165"/>
      <c r="AH203" s="165"/>
      <c r="AI203" s="165"/>
      <c r="AJ203" s="165"/>
      <c r="AK203" s="165"/>
      <c r="AL203" s="165"/>
    </row>
    <row r="204">
      <c r="A204" s="165"/>
      <c r="B204" s="165"/>
      <c r="C204" s="165"/>
      <c r="D204" s="165"/>
      <c r="E204" s="292"/>
      <c r="F204" s="277"/>
      <c r="G204" s="165"/>
      <c r="H204" s="277"/>
      <c r="I204" s="277"/>
      <c r="J204" s="165"/>
      <c r="K204" s="165"/>
      <c r="L204" s="165"/>
      <c r="M204" s="165"/>
      <c r="N204" s="165"/>
      <c r="O204" s="165"/>
      <c r="P204" s="165"/>
      <c r="Q204" s="165"/>
      <c r="R204" s="165"/>
      <c r="S204" s="165"/>
      <c r="T204" s="165"/>
      <c r="U204" s="165"/>
      <c r="V204" s="165"/>
      <c r="W204" s="165"/>
      <c r="X204" s="165" t="str">
        <f>IFERROR(__xludf.DUMMYFUNCTION("""COMPUTED_VALUE"""),"CC-MVP-72.01")</f>
        <v>CC-MVP-72.01</v>
      </c>
      <c r="Y204" s="285" t="str">
        <f>IFERROR(__xludf.DUMMYFUNCTION("""COMPUTED_VALUE"""),"Done")</f>
        <v>Done</v>
      </c>
      <c r="Z204" s="284">
        <f>IFERROR(__xludf.DUMMYFUNCTION("""COMPUTED_VALUE"""),45233.0)</f>
        <v>45233</v>
      </c>
      <c r="AA204" s="165" t="str">
        <f>IFERROR(__xludf.DUMMYFUNCTION("""COMPUTED_VALUE"""),"Naveen")</f>
        <v>Naveen</v>
      </c>
      <c r="AB204" s="165" t="str">
        <f>IFERROR(__xludf.DUMMYFUNCTION("""COMPUTED_VALUE"""),"Script")</f>
        <v>Script</v>
      </c>
      <c r="AC204" s="165"/>
      <c r="AD204" s="165"/>
      <c r="AE204" s="165"/>
      <c r="AF204" s="165"/>
      <c r="AG204" s="165"/>
      <c r="AH204" s="165"/>
      <c r="AI204" s="165"/>
      <c r="AJ204" s="165"/>
      <c r="AK204" s="165"/>
      <c r="AL204" s="165"/>
    </row>
    <row r="205">
      <c r="A205" s="165"/>
      <c r="B205" s="165"/>
      <c r="C205" s="165"/>
      <c r="D205" s="165"/>
      <c r="E205" s="292"/>
      <c r="F205" s="277"/>
      <c r="G205" s="165"/>
      <c r="H205" s="277"/>
      <c r="I205" s="277"/>
      <c r="J205" s="165"/>
      <c r="K205" s="165"/>
      <c r="L205" s="165"/>
      <c r="M205" s="165"/>
      <c r="N205" s="165"/>
      <c r="O205" s="165"/>
      <c r="P205" s="165"/>
      <c r="Q205" s="165"/>
      <c r="R205" s="165"/>
      <c r="S205" s="165"/>
      <c r="T205" s="165"/>
      <c r="U205" s="165"/>
      <c r="V205" s="165"/>
      <c r="W205" s="165"/>
      <c r="X205" s="165" t="str">
        <f>IFERROR(__xludf.DUMMYFUNCTION("""COMPUTED_VALUE"""),"CC-MVP-72.02")</f>
        <v>CC-MVP-72.02</v>
      </c>
      <c r="Y205" s="285" t="str">
        <f>IFERROR(__xludf.DUMMYFUNCTION("""COMPUTED_VALUE"""),"Done")</f>
        <v>Done</v>
      </c>
      <c r="Z205" s="284">
        <f>IFERROR(__xludf.DUMMYFUNCTION("""COMPUTED_VALUE"""),45233.0)</f>
        <v>45233</v>
      </c>
      <c r="AA205" s="165" t="str">
        <f>IFERROR(__xludf.DUMMYFUNCTION("""COMPUTED_VALUE"""),"Akhil")</f>
        <v>Akhil</v>
      </c>
      <c r="AB205" s="165" t="str">
        <f>IFERROR(__xludf.DUMMYFUNCTION("""COMPUTED_VALUE"""),"Shoot")</f>
        <v>Shoot</v>
      </c>
      <c r="AC205" s="165"/>
      <c r="AD205" s="165"/>
      <c r="AE205" s="165"/>
      <c r="AF205" s="165"/>
      <c r="AG205" s="165"/>
      <c r="AH205" s="165"/>
      <c r="AI205" s="165"/>
      <c r="AJ205" s="165"/>
      <c r="AK205" s="165"/>
      <c r="AL205" s="165"/>
    </row>
    <row r="206">
      <c r="A206" s="165"/>
      <c r="B206" s="165"/>
      <c r="C206" s="165"/>
      <c r="D206" s="165"/>
      <c r="E206" s="292"/>
      <c r="F206" s="277"/>
      <c r="G206" s="165"/>
      <c r="H206" s="277"/>
      <c r="I206" s="277"/>
      <c r="J206" s="165"/>
      <c r="K206" s="165"/>
      <c r="L206" s="165"/>
      <c r="M206" s="165"/>
      <c r="N206" s="165"/>
      <c r="O206" s="165"/>
      <c r="P206" s="165"/>
      <c r="Q206" s="165"/>
      <c r="R206" s="165"/>
      <c r="S206" s="165"/>
      <c r="T206" s="165"/>
      <c r="U206" s="165"/>
      <c r="V206" s="165"/>
      <c r="W206" s="165"/>
      <c r="X206" s="165" t="str">
        <f>IFERROR(__xludf.DUMMYFUNCTION("""COMPUTED_VALUE"""),"CC-MVP-77.02")</f>
        <v>CC-MVP-77.02</v>
      </c>
      <c r="Y206" s="285" t="str">
        <f>IFERROR(__xludf.DUMMYFUNCTION("""COMPUTED_VALUE"""),"Done")</f>
        <v>Done</v>
      </c>
      <c r="Z206" s="284">
        <f>IFERROR(__xludf.DUMMYFUNCTION("""COMPUTED_VALUE"""),45233.0)</f>
        <v>45233</v>
      </c>
      <c r="AA206" s="165" t="str">
        <f>IFERROR(__xludf.DUMMYFUNCTION("""COMPUTED_VALUE"""),"Akhil")</f>
        <v>Akhil</v>
      </c>
      <c r="AB206" s="165" t="str">
        <f>IFERROR(__xludf.DUMMYFUNCTION("""COMPUTED_VALUE"""),"Shoot")</f>
        <v>Shoot</v>
      </c>
      <c r="AC206" s="165"/>
      <c r="AD206" s="165"/>
      <c r="AE206" s="165"/>
      <c r="AF206" s="165"/>
      <c r="AG206" s="165"/>
      <c r="AH206" s="165"/>
      <c r="AI206" s="165"/>
      <c r="AJ206" s="165"/>
      <c r="AK206" s="165"/>
      <c r="AL206" s="165"/>
    </row>
    <row r="207">
      <c r="A207" s="165"/>
      <c r="B207" s="165"/>
      <c r="C207" s="165"/>
      <c r="D207" s="165"/>
      <c r="E207" s="292"/>
      <c r="F207" s="277"/>
      <c r="G207" s="165"/>
      <c r="H207" s="277"/>
      <c r="I207" s="277"/>
      <c r="J207" s="165"/>
      <c r="K207" s="165"/>
      <c r="L207" s="165"/>
      <c r="M207" s="165"/>
      <c r="N207" s="165"/>
      <c r="O207" s="165"/>
      <c r="P207" s="165"/>
      <c r="Q207" s="165"/>
      <c r="R207" s="165"/>
      <c r="S207" s="165"/>
      <c r="T207" s="165"/>
      <c r="U207" s="165"/>
      <c r="V207" s="165"/>
      <c r="W207" s="165"/>
      <c r="X207" s="165" t="str">
        <f>IFERROR(__xludf.DUMMYFUNCTION("""COMPUTED_VALUE"""),"CC-CTH-14.02")</f>
        <v>CC-CTH-14.02</v>
      </c>
      <c r="Y207" s="285" t="str">
        <f>IFERROR(__xludf.DUMMYFUNCTION("""COMPUTED_VALUE"""),"Done")</f>
        <v>Done</v>
      </c>
      <c r="Z207" s="284">
        <f>IFERROR(__xludf.DUMMYFUNCTION("""COMPUTED_VALUE"""),45233.0)</f>
        <v>45233</v>
      </c>
      <c r="AA207" s="165" t="str">
        <f>IFERROR(__xludf.DUMMYFUNCTION("""COMPUTED_VALUE"""),"Akhil")</f>
        <v>Akhil</v>
      </c>
      <c r="AB207" s="165" t="str">
        <f>IFERROR(__xludf.DUMMYFUNCTION("""COMPUTED_VALUE"""),"Shoot")</f>
        <v>Shoot</v>
      </c>
      <c r="AC207" s="165"/>
      <c r="AD207" s="165"/>
      <c r="AE207" s="165"/>
      <c r="AF207" s="165"/>
      <c r="AG207" s="165"/>
      <c r="AH207" s="165"/>
      <c r="AI207" s="165"/>
      <c r="AJ207" s="165"/>
      <c r="AK207" s="165"/>
      <c r="AL207" s="165"/>
    </row>
    <row r="208">
      <c r="A208" s="165"/>
      <c r="B208" s="165"/>
      <c r="C208" s="165"/>
      <c r="D208" s="165"/>
      <c r="E208" s="292"/>
      <c r="F208" s="277"/>
      <c r="G208" s="165"/>
      <c r="H208" s="277"/>
      <c r="I208" s="277"/>
      <c r="J208" s="165"/>
      <c r="K208" s="165"/>
      <c r="L208" s="165"/>
      <c r="M208" s="165"/>
      <c r="N208" s="165"/>
      <c r="O208" s="165"/>
      <c r="P208" s="165"/>
      <c r="Q208" s="165"/>
      <c r="R208" s="165"/>
      <c r="S208" s="165"/>
      <c r="T208" s="165"/>
      <c r="U208" s="165"/>
      <c r="V208" s="165"/>
      <c r="W208" s="165"/>
      <c r="X208" s="165" t="str">
        <f>IFERROR(__xludf.DUMMYFUNCTION("""COMPUTED_VALUE"""),"CC-CTH-14.05")</f>
        <v>CC-CTH-14.05</v>
      </c>
      <c r="Y208" s="285" t="str">
        <f>IFERROR(__xludf.DUMMYFUNCTION("""COMPUTED_VALUE"""),"Done")</f>
        <v>Done</v>
      </c>
      <c r="Z208" s="284">
        <f>IFERROR(__xludf.DUMMYFUNCTION("""COMPUTED_VALUE"""),45233.0)</f>
        <v>45233</v>
      </c>
      <c r="AA208" s="165" t="str">
        <f>IFERROR(__xludf.DUMMYFUNCTION("""COMPUTED_VALUE"""),"Akhil")</f>
        <v>Akhil</v>
      </c>
      <c r="AB208" s="165" t="str">
        <f>IFERROR(__xludf.DUMMYFUNCTION("""COMPUTED_VALUE"""),"Edit")</f>
        <v>Edit</v>
      </c>
      <c r="AC208" s="165"/>
      <c r="AD208" s="165"/>
      <c r="AE208" s="165"/>
      <c r="AF208" s="165"/>
      <c r="AG208" s="165"/>
      <c r="AH208" s="165"/>
      <c r="AI208" s="165"/>
      <c r="AJ208" s="165"/>
      <c r="AK208" s="165"/>
      <c r="AL208" s="165"/>
    </row>
    <row r="209">
      <c r="A209" s="165"/>
      <c r="B209" s="165"/>
      <c r="C209" s="165"/>
      <c r="D209" s="165"/>
      <c r="E209" s="292"/>
      <c r="F209" s="277"/>
      <c r="G209" s="165"/>
      <c r="H209" s="277"/>
      <c r="I209" s="277"/>
      <c r="J209" s="165"/>
      <c r="K209" s="165"/>
      <c r="L209" s="165"/>
      <c r="M209" s="165"/>
      <c r="N209" s="165"/>
      <c r="O209" s="165"/>
      <c r="P209" s="165"/>
      <c r="Q209" s="165"/>
      <c r="R209" s="165"/>
      <c r="S209" s="165"/>
      <c r="T209" s="165"/>
      <c r="U209" s="165"/>
      <c r="V209" s="165"/>
      <c r="W209" s="165"/>
      <c r="X209" s="165" t="str">
        <f>IFERROR(__xludf.DUMMYFUNCTION("""COMPUTED_VALUE"""),"CC-CTH-14.06")</f>
        <v>CC-CTH-14.06</v>
      </c>
      <c r="Y209" s="285" t="str">
        <f>IFERROR(__xludf.DUMMYFUNCTION("""COMPUTED_VALUE"""),"Done")</f>
        <v>Done</v>
      </c>
      <c r="Z209" s="284">
        <f>IFERROR(__xludf.DUMMYFUNCTION("""COMPUTED_VALUE"""),45233.0)</f>
        <v>45233</v>
      </c>
      <c r="AA209" s="165" t="str">
        <f>IFERROR(__xludf.DUMMYFUNCTION("""COMPUTED_VALUE"""),"Akhil")</f>
        <v>Akhil</v>
      </c>
      <c r="AB209" s="165" t="str">
        <f>IFERROR(__xludf.DUMMYFUNCTION("""COMPUTED_VALUE"""),"Benchmarks")</f>
        <v>Benchmarks</v>
      </c>
      <c r="AC209" s="165"/>
      <c r="AD209" s="165"/>
      <c r="AE209" s="165"/>
      <c r="AF209" s="165"/>
      <c r="AG209" s="165"/>
      <c r="AH209" s="165"/>
      <c r="AI209" s="165"/>
      <c r="AJ209" s="165"/>
      <c r="AK209" s="165"/>
      <c r="AL209" s="165"/>
    </row>
    <row r="210">
      <c r="A210" s="165"/>
      <c r="B210" s="165"/>
      <c r="C210" s="165"/>
      <c r="D210" s="165"/>
      <c r="E210" s="292"/>
      <c r="F210" s="277"/>
      <c r="G210" s="165"/>
      <c r="H210" s="277"/>
      <c r="I210" s="277"/>
      <c r="J210" s="165"/>
      <c r="K210" s="165"/>
      <c r="L210" s="165"/>
      <c r="M210" s="165"/>
      <c r="N210" s="165"/>
      <c r="O210" s="165"/>
      <c r="P210" s="165"/>
      <c r="Q210" s="165"/>
      <c r="R210" s="165"/>
      <c r="S210" s="165"/>
      <c r="T210" s="165"/>
      <c r="U210" s="165"/>
      <c r="V210" s="165"/>
      <c r="W210" s="165"/>
      <c r="X210" s="165" t="str">
        <f>IFERROR(__xludf.DUMMYFUNCTION("""COMPUTED_VALUE"""),"CC-INN-20.05")</f>
        <v>CC-INN-20.05</v>
      </c>
      <c r="Y210" s="285" t="str">
        <f>IFERROR(__xludf.DUMMYFUNCTION("""COMPUTED_VALUE"""),"Done")</f>
        <v>Done</v>
      </c>
      <c r="Z210" s="284">
        <f>IFERROR(__xludf.DUMMYFUNCTION("""COMPUTED_VALUE"""),45233.0)</f>
        <v>45233</v>
      </c>
      <c r="AA210" s="165"/>
      <c r="AB210" s="165" t="str">
        <f>IFERROR(__xludf.DUMMYFUNCTION("""COMPUTED_VALUE"""),"Edit")</f>
        <v>Edit</v>
      </c>
      <c r="AC210" s="165"/>
      <c r="AD210" s="165"/>
      <c r="AE210" s="165"/>
      <c r="AF210" s="165"/>
      <c r="AG210" s="165"/>
      <c r="AH210" s="165"/>
      <c r="AI210" s="165"/>
      <c r="AJ210" s="165"/>
      <c r="AK210" s="165"/>
      <c r="AL210" s="165"/>
    </row>
    <row r="211">
      <c r="A211" s="165"/>
      <c r="B211" s="165"/>
      <c r="C211" s="165"/>
      <c r="D211" s="165"/>
      <c r="E211" s="292"/>
      <c r="F211" s="277"/>
      <c r="G211" s="165"/>
      <c r="H211" s="277"/>
      <c r="I211" s="277"/>
      <c r="J211" s="165"/>
      <c r="K211" s="165"/>
      <c r="L211" s="165"/>
      <c r="M211" s="165"/>
      <c r="N211" s="165"/>
      <c r="O211" s="165"/>
      <c r="P211" s="165"/>
      <c r="Q211" s="165"/>
      <c r="R211" s="165"/>
      <c r="S211" s="165"/>
      <c r="T211" s="165"/>
      <c r="U211" s="165"/>
      <c r="V211" s="165"/>
      <c r="W211" s="165"/>
      <c r="X211" s="165" t="str">
        <f>IFERROR(__xludf.DUMMYFUNCTION("""COMPUTED_VALUE"""),"CC-INN-20.07")</f>
        <v>CC-INN-20.07</v>
      </c>
      <c r="Y211" s="285" t="str">
        <f>IFERROR(__xludf.DUMMYFUNCTION("""COMPUTED_VALUE"""),"Done")</f>
        <v>Done</v>
      </c>
      <c r="Z211" s="284">
        <f>IFERROR(__xludf.DUMMYFUNCTION("""COMPUTED_VALUE"""),45233.0)</f>
        <v>45233</v>
      </c>
      <c r="AA211" s="165"/>
      <c r="AB211" s="165" t="str">
        <f>IFERROR(__xludf.DUMMYFUNCTION("""COMPUTED_VALUE"""),"Upload")</f>
        <v>Upload</v>
      </c>
      <c r="AC211" s="165"/>
      <c r="AD211" s="165"/>
      <c r="AE211" s="165"/>
      <c r="AF211" s="165"/>
      <c r="AG211" s="165"/>
      <c r="AH211" s="165"/>
      <c r="AI211" s="165"/>
      <c r="AJ211" s="165"/>
      <c r="AK211" s="165"/>
      <c r="AL211" s="165"/>
    </row>
    <row r="212">
      <c r="A212" s="165"/>
      <c r="B212" s="165"/>
      <c r="C212" s="165"/>
      <c r="D212" s="165"/>
      <c r="E212" s="292"/>
      <c r="F212" s="277"/>
      <c r="G212" s="165"/>
      <c r="H212" s="277"/>
      <c r="I212" s="277"/>
      <c r="J212" s="165"/>
      <c r="K212" s="165"/>
      <c r="L212" s="165"/>
      <c r="M212" s="165"/>
      <c r="N212" s="165"/>
      <c r="O212" s="165"/>
      <c r="P212" s="165"/>
      <c r="Q212" s="165"/>
      <c r="R212" s="165"/>
      <c r="S212" s="165"/>
      <c r="T212" s="165"/>
      <c r="U212" s="165"/>
      <c r="V212" s="165"/>
      <c r="W212" s="165"/>
      <c r="X212" s="165" t="str">
        <f>IFERROR(__xludf.DUMMYFUNCTION("""COMPUTED_VALUE"""),"PM-EMR-10.01")</f>
        <v>PM-EMR-10.01</v>
      </c>
      <c r="Y212" s="285" t="str">
        <f>IFERROR(__xludf.DUMMYFUNCTION("""COMPUTED_VALUE"""),"Done")</f>
        <v>Done</v>
      </c>
      <c r="Z212" s="284">
        <f>IFERROR(__xludf.DUMMYFUNCTION("""COMPUTED_VALUE"""),45233.0)</f>
        <v>45233</v>
      </c>
      <c r="AA212" s="165" t="str">
        <f>IFERROR(__xludf.DUMMYFUNCTION("""COMPUTED_VALUE"""),"Nasser")</f>
        <v>Nasser</v>
      </c>
      <c r="AB212" s="165" t="str">
        <f>IFERROR(__xludf.DUMMYFUNCTION("""COMPUTED_VALUE"""),"Video 1")</f>
        <v>Video 1</v>
      </c>
      <c r="AC212" s="165"/>
      <c r="AD212" s="165"/>
      <c r="AE212" s="165"/>
      <c r="AF212" s="165"/>
      <c r="AG212" s="165"/>
      <c r="AH212" s="165"/>
      <c r="AI212" s="165"/>
      <c r="AJ212" s="165"/>
      <c r="AK212" s="165"/>
      <c r="AL212" s="165"/>
    </row>
    <row r="213">
      <c r="A213" s="165"/>
      <c r="B213" s="165"/>
      <c r="C213" s="165"/>
      <c r="D213" s="165"/>
      <c r="E213" s="292"/>
      <c r="F213" s="277"/>
      <c r="G213" s="165"/>
      <c r="H213" s="277"/>
      <c r="I213" s="277"/>
      <c r="J213" s="165"/>
      <c r="K213" s="165"/>
      <c r="L213" s="165"/>
      <c r="M213" s="165"/>
      <c r="N213" s="165"/>
      <c r="O213" s="165"/>
      <c r="P213" s="165"/>
      <c r="Q213" s="165"/>
      <c r="R213" s="165"/>
      <c r="S213" s="165"/>
      <c r="T213" s="165"/>
      <c r="U213" s="165"/>
      <c r="V213" s="165"/>
      <c r="W213" s="165"/>
      <c r="X213" s="165" t="str">
        <f>IFERROR(__xludf.DUMMYFUNCTION("""COMPUTED_VALUE"""),"CC-MVP-72.03")</f>
        <v>CC-MVP-72.03</v>
      </c>
      <c r="Y213" s="285" t="str">
        <f>IFERROR(__xludf.DUMMYFUNCTION("""COMPUTED_VALUE"""),"Done")</f>
        <v>Done</v>
      </c>
      <c r="Z213" s="284">
        <f>IFERROR(__xludf.DUMMYFUNCTION("""COMPUTED_VALUE"""),45234.0)</f>
        <v>45234</v>
      </c>
      <c r="AA213" s="165" t="str">
        <f>IFERROR(__xludf.DUMMYFUNCTION("""COMPUTED_VALUE"""),"Akhil")</f>
        <v>Akhil</v>
      </c>
      <c r="AB213" s="165" t="str">
        <f>IFERROR(__xludf.DUMMYFUNCTION("""COMPUTED_VALUE"""),"Edit")</f>
        <v>Edit</v>
      </c>
      <c r="AC213" s="165"/>
      <c r="AD213" s="165"/>
      <c r="AE213" s="165"/>
      <c r="AF213" s="165"/>
      <c r="AG213" s="165"/>
      <c r="AH213" s="165"/>
      <c r="AI213" s="165"/>
      <c r="AJ213" s="165"/>
      <c r="AK213" s="165"/>
      <c r="AL213" s="165"/>
    </row>
    <row r="214">
      <c r="A214" s="165"/>
      <c r="B214" s="165"/>
      <c r="C214" s="165"/>
      <c r="D214" s="165"/>
      <c r="E214" s="292"/>
      <c r="F214" s="277"/>
      <c r="G214" s="165"/>
      <c r="H214" s="277"/>
      <c r="I214" s="277"/>
      <c r="J214" s="165"/>
      <c r="K214" s="165"/>
      <c r="L214" s="165"/>
      <c r="M214" s="165"/>
      <c r="N214" s="165"/>
      <c r="O214" s="165"/>
      <c r="P214" s="165"/>
      <c r="Q214" s="165"/>
      <c r="R214" s="165"/>
      <c r="S214" s="165"/>
      <c r="T214" s="165"/>
      <c r="U214" s="165"/>
      <c r="V214" s="165"/>
      <c r="W214" s="165"/>
      <c r="X214" s="165" t="str">
        <f>IFERROR(__xludf.DUMMYFUNCTION("""COMPUTED_VALUE"""),"CC-MVP-92.02")</f>
        <v>CC-MVP-92.02</v>
      </c>
      <c r="Y214" s="285" t="str">
        <f>IFERROR(__xludf.DUMMYFUNCTION("""COMPUTED_VALUE"""),"Done")</f>
        <v>Done</v>
      </c>
      <c r="Z214" s="284">
        <f>IFERROR(__xludf.DUMMYFUNCTION("""COMPUTED_VALUE"""),45234.0)</f>
        <v>45234</v>
      </c>
      <c r="AA214" s="165" t="str">
        <f>IFERROR(__xludf.DUMMYFUNCTION("""COMPUTED_VALUE"""),"Akhil")</f>
        <v>Akhil</v>
      </c>
      <c r="AB214" s="165" t="str">
        <f>IFERROR(__xludf.DUMMYFUNCTION("""COMPUTED_VALUE"""),"Shoot")</f>
        <v>Shoot</v>
      </c>
      <c r="AC214" s="165"/>
      <c r="AD214" s="165"/>
      <c r="AE214" s="165"/>
      <c r="AF214" s="165"/>
      <c r="AG214" s="165"/>
      <c r="AH214" s="165"/>
      <c r="AI214" s="165"/>
      <c r="AJ214" s="165"/>
      <c r="AK214" s="165"/>
      <c r="AL214" s="165"/>
    </row>
    <row r="215">
      <c r="A215" s="165"/>
      <c r="B215" s="165"/>
      <c r="C215" s="165"/>
      <c r="D215" s="165"/>
      <c r="E215" s="292"/>
      <c r="F215" s="277"/>
      <c r="G215" s="165"/>
      <c r="H215" s="277"/>
      <c r="I215" s="277"/>
      <c r="J215" s="165"/>
      <c r="K215" s="165"/>
      <c r="L215" s="165"/>
      <c r="M215" s="165"/>
      <c r="N215" s="165"/>
      <c r="O215" s="165"/>
      <c r="P215" s="165"/>
      <c r="Q215" s="165"/>
      <c r="R215" s="165"/>
      <c r="S215" s="165"/>
      <c r="T215" s="165"/>
      <c r="U215" s="165"/>
      <c r="V215" s="165"/>
      <c r="W215" s="165"/>
      <c r="X215" s="165" t="str">
        <f>IFERROR(__xludf.DUMMYFUNCTION("""COMPUTED_VALUE"""),"CC-MVP-91.02")</f>
        <v>CC-MVP-91.02</v>
      </c>
      <c r="Y215" s="285" t="str">
        <f>IFERROR(__xludf.DUMMYFUNCTION("""COMPUTED_VALUE"""),"Done")</f>
        <v>Done</v>
      </c>
      <c r="Z215" s="284">
        <f>IFERROR(__xludf.DUMMYFUNCTION("""COMPUTED_VALUE"""),45234.0)</f>
        <v>45234</v>
      </c>
      <c r="AA215" s="165" t="str">
        <f>IFERROR(__xludf.DUMMYFUNCTION("""COMPUTED_VALUE"""),"Akhil")</f>
        <v>Akhil</v>
      </c>
      <c r="AB215" s="165" t="str">
        <f>IFERROR(__xludf.DUMMYFUNCTION("""COMPUTED_VALUE"""),"Shoot")</f>
        <v>Shoot</v>
      </c>
      <c r="AC215" s="165"/>
      <c r="AD215" s="165"/>
      <c r="AE215" s="165"/>
      <c r="AF215" s="165"/>
      <c r="AG215" s="165"/>
      <c r="AH215" s="165"/>
      <c r="AI215" s="165"/>
      <c r="AJ215" s="165"/>
      <c r="AK215" s="165"/>
      <c r="AL215" s="165"/>
    </row>
    <row r="216">
      <c r="A216" s="165"/>
      <c r="B216" s="165"/>
      <c r="C216" s="165"/>
      <c r="D216" s="165"/>
      <c r="E216" s="292"/>
      <c r="F216" s="277"/>
      <c r="G216" s="165"/>
      <c r="H216" s="277"/>
      <c r="I216" s="277"/>
      <c r="J216" s="165"/>
      <c r="K216" s="165"/>
      <c r="L216" s="165"/>
      <c r="M216" s="165"/>
      <c r="N216" s="165"/>
      <c r="O216" s="165"/>
      <c r="P216" s="165"/>
      <c r="Q216" s="165"/>
      <c r="R216" s="165"/>
      <c r="S216" s="165"/>
      <c r="T216" s="165"/>
      <c r="U216" s="165"/>
      <c r="V216" s="165"/>
      <c r="W216" s="165"/>
      <c r="X216" s="165" t="str">
        <f>IFERROR(__xludf.DUMMYFUNCTION("""COMPUTED_VALUE"""),"CC-INN-21.03")</f>
        <v>CC-INN-21.03</v>
      </c>
      <c r="Y216" s="285" t="str">
        <f>IFERROR(__xludf.DUMMYFUNCTION("""COMPUTED_VALUE"""),"Done")</f>
        <v>Done</v>
      </c>
      <c r="Z216" s="284">
        <f>IFERROR(__xludf.DUMMYFUNCTION("""COMPUTED_VALUE"""),45234.0)</f>
        <v>45234</v>
      </c>
      <c r="AA216" s="165" t="str">
        <f>IFERROR(__xludf.DUMMYFUNCTION("""COMPUTED_VALUE"""),"Naveen")</f>
        <v>Naveen</v>
      </c>
      <c r="AB216" s="165" t="str">
        <f>IFERROR(__xludf.DUMMYFUNCTION("""COMPUTED_VALUE"""),"Edit")</f>
        <v>Edit</v>
      </c>
      <c r="AC216" s="165"/>
      <c r="AD216" s="165"/>
      <c r="AE216" s="165"/>
      <c r="AF216" s="165"/>
      <c r="AG216" s="165"/>
      <c r="AH216" s="165"/>
      <c r="AI216" s="165"/>
      <c r="AJ216" s="165"/>
      <c r="AK216" s="165"/>
      <c r="AL216" s="165"/>
    </row>
    <row r="217">
      <c r="A217" s="165"/>
      <c r="B217" s="165"/>
      <c r="C217" s="165"/>
      <c r="D217" s="165"/>
      <c r="E217" s="292"/>
      <c r="F217" s="277"/>
      <c r="G217" s="165"/>
      <c r="H217" s="277"/>
      <c r="I217" s="277"/>
      <c r="J217" s="165"/>
      <c r="K217" s="165"/>
      <c r="L217" s="165"/>
      <c r="M217" s="165"/>
      <c r="N217" s="165"/>
      <c r="O217" s="165"/>
      <c r="P217" s="165"/>
      <c r="Q217" s="165"/>
      <c r="R217" s="165"/>
      <c r="S217" s="165"/>
      <c r="T217" s="165"/>
      <c r="U217" s="165"/>
      <c r="V217" s="165"/>
      <c r="W217" s="165"/>
      <c r="X217" s="165" t="str">
        <f>IFERROR(__xludf.DUMMYFUNCTION("""COMPUTED_VALUE"""),"CC-INN-21.04")</f>
        <v>CC-INN-21.04</v>
      </c>
      <c r="Y217" s="285" t="str">
        <f>IFERROR(__xludf.DUMMYFUNCTION("""COMPUTED_VALUE"""),"Done")</f>
        <v>Done</v>
      </c>
      <c r="Z217" s="284">
        <f>IFERROR(__xludf.DUMMYFUNCTION("""COMPUTED_VALUE"""),45234.0)</f>
        <v>45234</v>
      </c>
      <c r="AA217" s="165" t="str">
        <f>IFERROR(__xludf.DUMMYFUNCTION("""COMPUTED_VALUE"""),"Naveen")</f>
        <v>Naveen</v>
      </c>
      <c r="AB217" s="165" t="str">
        <f>IFERROR(__xludf.DUMMYFUNCTION("""COMPUTED_VALUE"""),"Upload")</f>
        <v>Upload</v>
      </c>
      <c r="AC217" s="165"/>
      <c r="AD217" s="165"/>
      <c r="AE217" s="165"/>
      <c r="AF217" s="165"/>
      <c r="AG217" s="165"/>
      <c r="AH217" s="165"/>
      <c r="AI217" s="165"/>
      <c r="AJ217" s="165"/>
      <c r="AK217" s="165"/>
      <c r="AL217" s="165"/>
    </row>
    <row r="218">
      <c r="A218" s="165"/>
      <c r="B218" s="165"/>
      <c r="C218" s="165"/>
      <c r="D218" s="165"/>
      <c r="E218" s="292"/>
      <c r="F218" s="277"/>
      <c r="G218" s="165"/>
      <c r="H218" s="277"/>
      <c r="I218" s="277"/>
      <c r="J218" s="165"/>
      <c r="K218" s="165"/>
      <c r="L218" s="165"/>
      <c r="M218" s="165"/>
      <c r="N218" s="165"/>
      <c r="O218" s="165"/>
      <c r="P218" s="165"/>
      <c r="Q218" s="165"/>
      <c r="R218" s="165"/>
      <c r="S218" s="165"/>
      <c r="T218" s="165"/>
      <c r="U218" s="165"/>
      <c r="V218" s="165"/>
      <c r="W218" s="165"/>
      <c r="X218" s="165" t="str">
        <f>IFERROR(__xludf.DUMMYFUNCTION("""COMPUTED_VALUE"""),"PM-MVP-03.03")</f>
        <v>PM-MVP-03.03</v>
      </c>
      <c r="Y218" s="285" t="str">
        <f>IFERROR(__xludf.DUMMYFUNCTION("""COMPUTED_VALUE"""),"Done")</f>
        <v>Done</v>
      </c>
      <c r="Z218" s="284">
        <f>IFERROR(__xludf.DUMMYFUNCTION("""COMPUTED_VALUE"""),45234.0)</f>
        <v>45234</v>
      </c>
      <c r="AA218" s="165" t="str">
        <f>IFERROR(__xludf.DUMMYFUNCTION("""COMPUTED_VALUE"""),"Talha")</f>
        <v>Talha</v>
      </c>
      <c r="AB218" s="165" t="str">
        <f>IFERROR(__xludf.DUMMYFUNCTION("""COMPUTED_VALUE"""),"Robin Wallpaper")</f>
        <v>Robin Wallpaper</v>
      </c>
      <c r="AC218" s="165"/>
      <c r="AD218" s="165"/>
      <c r="AE218" s="165"/>
      <c r="AF218" s="165"/>
      <c r="AG218" s="165"/>
      <c r="AH218" s="165"/>
      <c r="AI218" s="165"/>
      <c r="AJ218" s="165"/>
      <c r="AK218" s="165"/>
      <c r="AL218" s="165"/>
    </row>
    <row r="219">
      <c r="A219" s="165"/>
      <c r="B219" s="165"/>
      <c r="C219" s="165"/>
      <c r="D219" s="165"/>
      <c r="E219" s="292"/>
      <c r="F219" s="277"/>
      <c r="G219" s="165"/>
      <c r="H219" s="277"/>
      <c r="I219" s="277"/>
      <c r="J219" s="165"/>
      <c r="K219" s="165"/>
      <c r="L219" s="165"/>
      <c r="M219" s="165"/>
      <c r="N219" s="165"/>
      <c r="O219" s="165"/>
      <c r="P219" s="165"/>
      <c r="Q219" s="165"/>
      <c r="R219" s="165"/>
      <c r="S219" s="165"/>
      <c r="T219" s="165"/>
      <c r="U219" s="165"/>
      <c r="V219" s="165"/>
      <c r="W219" s="165"/>
      <c r="X219" s="165" t="str">
        <f>IFERROR(__xludf.DUMMYFUNCTION("""COMPUTED_VALUE"""),"CC-MVP-98.02")</f>
        <v>CC-MVP-98.02</v>
      </c>
      <c r="Y219" s="285" t="str">
        <f>IFERROR(__xludf.DUMMYFUNCTION("""COMPUTED_VALUE"""),"Done")</f>
        <v>Done</v>
      </c>
      <c r="Z219" s="284">
        <f>IFERROR(__xludf.DUMMYFUNCTION("""COMPUTED_VALUE"""),45235.0)</f>
        <v>45235</v>
      </c>
      <c r="AA219" s="165" t="str">
        <f>IFERROR(__xludf.DUMMYFUNCTION("""COMPUTED_VALUE"""),"Nasser")</f>
        <v>Nasser</v>
      </c>
      <c r="AB219" s="165" t="str">
        <f>IFERROR(__xludf.DUMMYFUNCTION("""COMPUTED_VALUE"""),"Edit")</f>
        <v>Edit</v>
      </c>
      <c r="AC219" s="165"/>
      <c r="AD219" s="165"/>
      <c r="AE219" s="165"/>
      <c r="AF219" s="165"/>
      <c r="AG219" s="165"/>
      <c r="AH219" s="165"/>
      <c r="AI219" s="165"/>
      <c r="AJ219" s="165"/>
      <c r="AK219" s="165"/>
      <c r="AL219" s="165"/>
    </row>
    <row r="220">
      <c r="A220" s="165"/>
      <c r="B220" s="165"/>
      <c r="C220" s="165"/>
      <c r="D220" s="165"/>
      <c r="E220" s="292"/>
      <c r="F220" s="277"/>
      <c r="G220" s="165"/>
      <c r="H220" s="277"/>
      <c r="I220" s="277"/>
      <c r="J220" s="165"/>
      <c r="K220" s="165"/>
      <c r="L220" s="165"/>
      <c r="M220" s="165"/>
      <c r="N220" s="165"/>
      <c r="O220" s="165"/>
      <c r="P220" s="165"/>
      <c r="Q220" s="165"/>
      <c r="R220" s="165"/>
      <c r="S220" s="165"/>
      <c r="T220" s="165"/>
      <c r="U220" s="165"/>
      <c r="V220" s="165"/>
      <c r="W220" s="165"/>
      <c r="X220" s="165" t="str">
        <f>IFERROR(__xludf.DUMMYFUNCTION("""COMPUTED_VALUE"""),"CC-MVP-98.04")</f>
        <v>CC-MVP-98.04</v>
      </c>
      <c r="Y220" s="285" t="str">
        <f>IFERROR(__xludf.DUMMYFUNCTION("""COMPUTED_VALUE"""),"Done")</f>
        <v>Done</v>
      </c>
      <c r="Z220" s="284">
        <f>IFERROR(__xludf.DUMMYFUNCTION("""COMPUTED_VALUE"""),45235.0)</f>
        <v>45235</v>
      </c>
      <c r="AA220" s="165" t="str">
        <f>IFERROR(__xludf.DUMMYFUNCTION("""COMPUTED_VALUE"""),"Tazeen")</f>
        <v>Tazeen</v>
      </c>
      <c r="AB220" s="165" t="str">
        <f>IFERROR(__xludf.DUMMYFUNCTION("""COMPUTED_VALUE"""),"Upload")</f>
        <v>Upload</v>
      </c>
      <c r="AC220" s="165"/>
      <c r="AD220" s="165"/>
      <c r="AE220" s="165"/>
      <c r="AF220" s="165"/>
      <c r="AG220" s="165"/>
      <c r="AH220" s="165"/>
      <c r="AI220" s="165"/>
      <c r="AJ220" s="165"/>
      <c r="AK220" s="165"/>
      <c r="AL220" s="165"/>
    </row>
    <row r="221">
      <c r="A221" s="165"/>
      <c r="B221" s="165"/>
      <c r="C221" s="165"/>
      <c r="D221" s="165"/>
      <c r="E221" s="292"/>
      <c r="F221" s="277"/>
      <c r="G221" s="165"/>
      <c r="H221" s="277"/>
      <c r="I221" s="277"/>
      <c r="J221" s="165"/>
      <c r="K221" s="165"/>
      <c r="L221" s="165"/>
      <c r="M221" s="165"/>
      <c r="N221" s="165"/>
      <c r="O221" s="165"/>
      <c r="P221" s="165"/>
      <c r="Q221" s="165"/>
      <c r="R221" s="165"/>
      <c r="S221" s="165"/>
      <c r="T221" s="165"/>
      <c r="U221" s="165"/>
      <c r="V221" s="165"/>
      <c r="W221" s="165"/>
      <c r="X221" s="165" t="str">
        <f>IFERROR(__xludf.DUMMYFUNCTION("""COMPUTED_VALUE"""),"CC-MVP-99.01")</f>
        <v>CC-MVP-99.01</v>
      </c>
      <c r="Y221" s="285" t="str">
        <f>IFERROR(__xludf.DUMMYFUNCTION("""COMPUTED_VALUE"""),"Done")</f>
        <v>Done</v>
      </c>
      <c r="Z221" s="284">
        <f>IFERROR(__xludf.DUMMYFUNCTION("""COMPUTED_VALUE"""),45235.0)</f>
        <v>45235</v>
      </c>
      <c r="AA221" s="165" t="str">
        <f>IFERROR(__xludf.DUMMYFUNCTION("""COMPUTED_VALUE"""),"Nasser")</f>
        <v>Nasser</v>
      </c>
      <c r="AB221" s="165" t="str">
        <f>IFERROR(__xludf.DUMMYFUNCTION("""COMPUTED_VALUE"""),"Script")</f>
        <v>Script</v>
      </c>
      <c r="AC221" s="165"/>
      <c r="AD221" s="165"/>
      <c r="AE221" s="165"/>
      <c r="AF221" s="165"/>
      <c r="AG221" s="165"/>
      <c r="AH221" s="165"/>
      <c r="AI221" s="165"/>
      <c r="AJ221" s="165"/>
      <c r="AK221" s="165"/>
      <c r="AL221" s="165"/>
    </row>
    <row r="222">
      <c r="A222" s="165"/>
      <c r="B222" s="165"/>
      <c r="C222" s="165"/>
      <c r="D222" s="165"/>
      <c r="E222" s="292"/>
      <c r="F222" s="277"/>
      <c r="G222" s="165"/>
      <c r="H222" s="277"/>
      <c r="I222" s="277"/>
      <c r="J222" s="165"/>
      <c r="K222" s="165"/>
      <c r="L222" s="165"/>
      <c r="M222" s="165"/>
      <c r="N222" s="165"/>
      <c r="O222" s="165"/>
      <c r="P222" s="165"/>
      <c r="Q222" s="165"/>
      <c r="R222" s="165"/>
      <c r="S222" s="165"/>
      <c r="T222" s="165"/>
      <c r="U222" s="165"/>
      <c r="V222" s="165"/>
      <c r="W222" s="165"/>
      <c r="X222" s="165" t="str">
        <f>IFERROR(__xludf.DUMMYFUNCTION("""COMPUTED_VALUE"""),"CC-MVP-87.05")</f>
        <v>CC-MVP-87.05</v>
      </c>
      <c r="Y222" s="285" t="str">
        <f>IFERROR(__xludf.DUMMYFUNCTION("""COMPUTED_VALUE"""),"Done")</f>
        <v>Done</v>
      </c>
      <c r="Z222" s="284">
        <f>IFERROR(__xludf.DUMMYFUNCTION("""COMPUTED_VALUE"""),45235.0)</f>
        <v>45235</v>
      </c>
      <c r="AA222" s="165" t="str">
        <f>IFERROR(__xludf.DUMMYFUNCTION("""COMPUTED_VALUE"""),"Talha")</f>
        <v>Talha</v>
      </c>
      <c r="AB222" s="165" t="str">
        <f>IFERROR(__xludf.DUMMYFUNCTION("""COMPUTED_VALUE"""),"Edit")</f>
        <v>Edit</v>
      </c>
      <c r="AC222" s="165"/>
      <c r="AD222" s="165"/>
      <c r="AE222" s="165"/>
      <c r="AF222" s="165"/>
      <c r="AG222" s="165"/>
      <c r="AH222" s="165"/>
      <c r="AI222" s="165"/>
      <c r="AJ222" s="165"/>
      <c r="AK222" s="165"/>
      <c r="AL222" s="165"/>
    </row>
    <row r="223">
      <c r="A223" s="165"/>
      <c r="B223" s="165"/>
      <c r="C223" s="165"/>
      <c r="D223" s="165"/>
      <c r="E223" s="292"/>
      <c r="F223" s="277"/>
      <c r="G223" s="165"/>
      <c r="H223" s="277"/>
      <c r="I223" s="277"/>
      <c r="J223" s="165"/>
      <c r="K223" s="165"/>
      <c r="L223" s="165"/>
      <c r="M223" s="165"/>
      <c r="N223" s="165"/>
      <c r="O223" s="165"/>
      <c r="P223" s="165"/>
      <c r="Q223" s="165"/>
      <c r="R223" s="165"/>
      <c r="S223" s="165"/>
      <c r="T223" s="165"/>
      <c r="U223" s="165"/>
      <c r="V223" s="165"/>
      <c r="W223" s="165"/>
      <c r="X223" s="165" t="str">
        <f>IFERROR(__xludf.DUMMYFUNCTION("""COMPUTED_VALUE"""),"CC-MVP-90.01")</f>
        <v>CC-MVP-90.01</v>
      </c>
      <c r="Y223" s="285" t="str">
        <f>IFERROR(__xludf.DUMMYFUNCTION("""COMPUTED_VALUE"""),"Done")</f>
        <v>Done</v>
      </c>
      <c r="Z223" s="284">
        <f>IFERROR(__xludf.DUMMYFUNCTION("""COMPUTED_VALUE"""),45235.0)</f>
        <v>45235</v>
      </c>
      <c r="AA223" s="165" t="str">
        <f>IFERROR(__xludf.DUMMYFUNCTION("""COMPUTED_VALUE"""),"Talha")</f>
        <v>Talha</v>
      </c>
      <c r="AB223" s="165" t="str">
        <f>IFERROR(__xludf.DUMMYFUNCTION("""COMPUTED_VALUE"""),"Captions")</f>
        <v>Captions</v>
      </c>
      <c r="AC223" s="165"/>
      <c r="AD223" s="165"/>
      <c r="AE223" s="165"/>
      <c r="AF223" s="165"/>
      <c r="AG223" s="165"/>
      <c r="AH223" s="165"/>
      <c r="AI223" s="165"/>
      <c r="AJ223" s="165"/>
      <c r="AK223" s="165"/>
      <c r="AL223" s="165"/>
    </row>
    <row r="224">
      <c r="A224" s="165"/>
      <c r="B224" s="165"/>
      <c r="C224" s="165"/>
      <c r="D224" s="165"/>
      <c r="E224" s="292"/>
      <c r="F224" s="277"/>
      <c r="G224" s="165"/>
      <c r="H224" s="277"/>
      <c r="I224" s="277"/>
      <c r="J224" s="165"/>
      <c r="K224" s="165"/>
      <c r="L224" s="165"/>
      <c r="M224" s="165"/>
      <c r="N224" s="165"/>
      <c r="O224" s="165"/>
      <c r="P224" s="165"/>
      <c r="Q224" s="165"/>
      <c r="R224" s="165"/>
      <c r="S224" s="165"/>
      <c r="T224" s="165"/>
      <c r="U224" s="165"/>
      <c r="V224" s="165"/>
      <c r="W224" s="165"/>
      <c r="X224" s="165" t="str">
        <f>IFERROR(__xludf.DUMMYFUNCTION("""COMPUTED_VALUE"""),"CC-MVP-81.02")</f>
        <v>CC-MVP-81.02</v>
      </c>
      <c r="Y224" s="285" t="str">
        <f>IFERROR(__xludf.DUMMYFUNCTION("""COMPUTED_VALUE"""),"Done")</f>
        <v>Done</v>
      </c>
      <c r="Z224" s="284">
        <f>IFERROR(__xludf.DUMMYFUNCTION("""COMPUTED_VALUE"""),45235.0)</f>
        <v>45235</v>
      </c>
      <c r="AA224" s="165" t="str">
        <f>IFERROR(__xludf.DUMMYFUNCTION("""COMPUTED_VALUE"""),"Akhil")</f>
        <v>Akhil</v>
      </c>
      <c r="AB224" s="165" t="str">
        <f>IFERROR(__xludf.DUMMYFUNCTION("""COMPUTED_VALUE"""),"Shoot")</f>
        <v>Shoot</v>
      </c>
      <c r="AC224" s="165"/>
      <c r="AD224" s="165"/>
      <c r="AE224" s="165"/>
      <c r="AF224" s="165"/>
      <c r="AG224" s="165"/>
      <c r="AH224" s="165"/>
      <c r="AI224" s="165"/>
      <c r="AJ224" s="165"/>
      <c r="AK224" s="165"/>
      <c r="AL224" s="165"/>
    </row>
    <row r="225">
      <c r="A225" s="165"/>
      <c r="B225" s="165"/>
      <c r="C225" s="165"/>
      <c r="D225" s="165"/>
      <c r="E225" s="292"/>
      <c r="F225" s="277"/>
      <c r="G225" s="165"/>
      <c r="H225" s="277"/>
      <c r="I225" s="277"/>
      <c r="J225" s="165"/>
      <c r="K225" s="165"/>
      <c r="L225" s="165"/>
      <c r="M225" s="165"/>
      <c r="N225" s="165"/>
      <c r="O225" s="165"/>
      <c r="P225" s="165"/>
      <c r="Q225" s="165"/>
      <c r="R225" s="165"/>
      <c r="S225" s="165"/>
      <c r="T225" s="165"/>
      <c r="U225" s="165"/>
      <c r="V225" s="165"/>
      <c r="W225" s="165"/>
      <c r="X225" s="165" t="str">
        <f>IFERROR(__xludf.DUMMYFUNCTION("""COMPUTED_VALUE"""),"CC-MVP-85.01")</f>
        <v>CC-MVP-85.01</v>
      </c>
      <c r="Y225" s="285" t="str">
        <f>IFERROR(__xludf.DUMMYFUNCTION("""COMPUTED_VALUE"""),"Done")</f>
        <v>Done</v>
      </c>
      <c r="Z225" s="284">
        <f>IFERROR(__xludf.DUMMYFUNCTION("""COMPUTED_VALUE"""),45235.0)</f>
        <v>45235</v>
      </c>
      <c r="AA225" s="165" t="str">
        <f>IFERROR(__xludf.DUMMYFUNCTION("""COMPUTED_VALUE"""),"Tazeen")</f>
        <v>Tazeen</v>
      </c>
      <c r="AB225" s="165" t="str">
        <f>IFERROR(__xludf.DUMMYFUNCTION("""COMPUTED_VALUE"""),"Script")</f>
        <v>Script</v>
      </c>
      <c r="AC225" s="165"/>
      <c r="AD225" s="165"/>
      <c r="AE225" s="165"/>
      <c r="AF225" s="165"/>
      <c r="AG225" s="165"/>
      <c r="AH225" s="165"/>
      <c r="AI225" s="165"/>
      <c r="AJ225" s="165"/>
      <c r="AK225" s="165"/>
      <c r="AL225" s="165"/>
    </row>
    <row r="226">
      <c r="A226" s="165"/>
      <c r="B226" s="165"/>
      <c r="C226" s="165"/>
      <c r="D226" s="165"/>
      <c r="E226" s="292"/>
      <c r="F226" s="277"/>
      <c r="G226" s="165"/>
      <c r="H226" s="277"/>
      <c r="I226" s="277"/>
      <c r="J226" s="165"/>
      <c r="K226" s="165"/>
      <c r="L226" s="165"/>
      <c r="M226" s="165"/>
      <c r="N226" s="165"/>
      <c r="O226" s="165"/>
      <c r="P226" s="165"/>
      <c r="Q226" s="165"/>
      <c r="R226" s="165"/>
      <c r="S226" s="165"/>
      <c r="T226" s="165"/>
      <c r="U226" s="165"/>
      <c r="V226" s="165"/>
      <c r="W226" s="165"/>
      <c r="X226" s="165" t="str">
        <f>IFERROR(__xludf.DUMMYFUNCTION("""COMPUTED_VALUE"""),"CC-INN-22.03")</f>
        <v>CC-INN-22.03</v>
      </c>
      <c r="Y226" s="285" t="str">
        <f>IFERROR(__xludf.DUMMYFUNCTION("""COMPUTED_VALUE"""),"Done")</f>
        <v>Done</v>
      </c>
      <c r="Z226" s="284">
        <f>IFERROR(__xludf.DUMMYFUNCTION("""COMPUTED_VALUE"""),45235.0)</f>
        <v>45235</v>
      </c>
      <c r="AA226" s="165"/>
      <c r="AB226" s="165" t="str">
        <f>IFERROR(__xludf.DUMMYFUNCTION("""COMPUTED_VALUE"""),"Edit")</f>
        <v>Edit</v>
      </c>
      <c r="AC226" s="165"/>
      <c r="AD226" s="165"/>
      <c r="AE226" s="165"/>
      <c r="AF226" s="165"/>
      <c r="AG226" s="165"/>
      <c r="AH226" s="165"/>
      <c r="AI226" s="165"/>
      <c r="AJ226" s="165"/>
      <c r="AK226" s="165"/>
      <c r="AL226" s="165"/>
    </row>
    <row r="227">
      <c r="A227" s="165"/>
      <c r="B227" s="165"/>
      <c r="C227" s="165"/>
      <c r="D227" s="165"/>
      <c r="E227" s="292"/>
      <c r="F227" s="277"/>
      <c r="G227" s="165"/>
      <c r="H227" s="277"/>
      <c r="I227" s="277"/>
      <c r="J227" s="165"/>
      <c r="K227" s="165"/>
      <c r="L227" s="165"/>
      <c r="M227" s="165"/>
      <c r="N227" s="165"/>
      <c r="O227" s="165"/>
      <c r="P227" s="165"/>
      <c r="Q227" s="165"/>
      <c r="R227" s="165"/>
      <c r="S227" s="165"/>
      <c r="T227" s="165"/>
      <c r="U227" s="165"/>
      <c r="V227" s="165"/>
      <c r="W227" s="165"/>
      <c r="X227" s="165" t="str">
        <f>IFERROR(__xludf.DUMMYFUNCTION("""COMPUTED_VALUE"""),"CC-INN-22.04")</f>
        <v>CC-INN-22.04</v>
      </c>
      <c r="Y227" s="285" t="str">
        <f>IFERROR(__xludf.DUMMYFUNCTION("""COMPUTED_VALUE"""),"Done")</f>
        <v>Done</v>
      </c>
      <c r="Z227" s="284">
        <f>IFERROR(__xludf.DUMMYFUNCTION("""COMPUTED_VALUE"""),45235.0)</f>
        <v>45235</v>
      </c>
      <c r="AA227" s="165"/>
      <c r="AB227" s="165" t="str">
        <f>IFERROR(__xludf.DUMMYFUNCTION("""COMPUTED_VALUE"""),"Upload")</f>
        <v>Upload</v>
      </c>
      <c r="AC227" s="165"/>
      <c r="AD227" s="165"/>
      <c r="AE227" s="165"/>
      <c r="AF227" s="165"/>
      <c r="AG227" s="165"/>
      <c r="AH227" s="165"/>
      <c r="AI227" s="165"/>
      <c r="AJ227" s="165"/>
      <c r="AK227" s="165"/>
      <c r="AL227" s="165"/>
    </row>
    <row r="228">
      <c r="A228" s="165"/>
      <c r="B228" s="165"/>
      <c r="C228" s="165"/>
      <c r="D228" s="165"/>
      <c r="E228" s="292"/>
      <c r="F228" s="277"/>
      <c r="G228" s="165"/>
      <c r="H228" s="277"/>
      <c r="I228" s="277"/>
      <c r="J228" s="165"/>
      <c r="K228" s="165"/>
      <c r="L228" s="165"/>
      <c r="M228" s="165"/>
      <c r="N228" s="165"/>
      <c r="O228" s="165"/>
      <c r="P228" s="165"/>
      <c r="Q228" s="165"/>
      <c r="R228" s="165"/>
      <c r="S228" s="165"/>
      <c r="T228" s="165"/>
      <c r="U228" s="165"/>
      <c r="V228" s="165"/>
      <c r="W228" s="165"/>
      <c r="X228" s="165" t="str">
        <f>IFERROR(__xludf.DUMMYFUNCTION("""COMPUTED_VALUE"""),"PM-PTS-01.06")</f>
        <v>PM-PTS-01.06</v>
      </c>
      <c r="Y228" s="285" t="str">
        <f>IFERROR(__xludf.DUMMYFUNCTION("""COMPUTED_VALUE"""),"On Hold")</f>
        <v>On Hold</v>
      </c>
      <c r="Z228" s="284">
        <f>IFERROR(__xludf.DUMMYFUNCTION("""COMPUTED_VALUE"""),45235.0)</f>
        <v>45235</v>
      </c>
      <c r="AA228" s="165" t="str">
        <f>IFERROR(__xludf.DUMMYFUNCTION("""COMPUTED_VALUE"""),"Nasser")</f>
        <v>Nasser</v>
      </c>
      <c r="AB228" s="165" t="str">
        <f>IFERROR(__xludf.DUMMYFUNCTION("""COMPUTED_VALUE"""),"WorkOS - Polish")</f>
        <v>WorkOS - Polish</v>
      </c>
      <c r="AC228" s="165"/>
      <c r="AD228" s="165"/>
      <c r="AE228" s="165"/>
      <c r="AF228" s="165"/>
      <c r="AG228" s="165"/>
      <c r="AH228" s="165"/>
      <c r="AI228" s="165"/>
      <c r="AJ228" s="165"/>
      <c r="AK228" s="165"/>
      <c r="AL228" s="165"/>
    </row>
    <row r="229">
      <c r="A229" s="165"/>
      <c r="B229" s="165"/>
      <c r="C229" s="165"/>
      <c r="D229" s="165"/>
      <c r="E229" s="292"/>
      <c r="F229" s="277"/>
      <c r="G229" s="165"/>
      <c r="H229" s="277"/>
      <c r="I229" s="277"/>
      <c r="J229" s="165"/>
      <c r="K229" s="165"/>
      <c r="L229" s="165"/>
      <c r="M229" s="165"/>
      <c r="N229" s="165"/>
      <c r="O229" s="165"/>
      <c r="P229" s="165"/>
      <c r="Q229" s="165"/>
      <c r="R229" s="165"/>
      <c r="S229" s="165"/>
      <c r="T229" s="165"/>
      <c r="U229" s="165"/>
      <c r="V229" s="165"/>
      <c r="W229" s="165"/>
      <c r="X229" s="165" t="str">
        <f>IFERROR(__xludf.DUMMYFUNCTION("""COMPUTED_VALUE"""),"CC-MVP-71.05")</f>
        <v>CC-MVP-71.05</v>
      </c>
      <c r="Y229" s="285" t="str">
        <f>IFERROR(__xludf.DUMMYFUNCTION("""COMPUTED_VALUE"""),"Done")</f>
        <v>Done</v>
      </c>
      <c r="Z229" s="284">
        <f>IFERROR(__xludf.DUMMYFUNCTION("""COMPUTED_VALUE"""),45236.0)</f>
        <v>45236</v>
      </c>
      <c r="AA229" s="165" t="str">
        <f>IFERROR(__xludf.DUMMYFUNCTION("""COMPUTED_VALUE"""),"Jayanth")</f>
        <v>Jayanth</v>
      </c>
      <c r="AB229" s="165" t="str">
        <f>IFERROR(__xludf.DUMMYFUNCTION("""COMPUTED_VALUE"""),"Edit")</f>
        <v>Edit</v>
      </c>
      <c r="AC229" s="165"/>
      <c r="AD229" s="165"/>
      <c r="AE229" s="165"/>
      <c r="AF229" s="165"/>
      <c r="AG229" s="165"/>
      <c r="AH229" s="165"/>
      <c r="AI229" s="165"/>
      <c r="AJ229" s="165"/>
      <c r="AK229" s="165"/>
      <c r="AL229" s="165"/>
    </row>
    <row r="230">
      <c r="A230" s="165"/>
      <c r="B230" s="165"/>
      <c r="C230" s="165"/>
      <c r="D230" s="165"/>
      <c r="E230" s="292"/>
      <c r="F230" s="277"/>
      <c r="G230" s="165"/>
      <c r="H230" s="277"/>
      <c r="I230" s="277"/>
      <c r="J230" s="165"/>
      <c r="K230" s="165"/>
      <c r="L230" s="165"/>
      <c r="M230" s="165"/>
      <c r="N230" s="165"/>
      <c r="O230" s="165"/>
      <c r="P230" s="165"/>
      <c r="Q230" s="165"/>
      <c r="R230" s="165"/>
      <c r="S230" s="165"/>
      <c r="T230" s="165"/>
      <c r="U230" s="165"/>
      <c r="V230" s="165"/>
      <c r="W230" s="165"/>
      <c r="X230" s="165" t="str">
        <f>IFERROR(__xludf.DUMMYFUNCTION("""COMPUTED_VALUE"""),"CC-MVP-71.06")</f>
        <v>CC-MVP-71.06</v>
      </c>
      <c r="Y230" s="285" t="str">
        <f>IFERROR(__xludf.DUMMYFUNCTION("""COMPUTED_VALUE"""),"Done")</f>
        <v>Done</v>
      </c>
      <c r="Z230" s="284">
        <f>IFERROR(__xludf.DUMMYFUNCTION("""COMPUTED_VALUE"""),45236.0)</f>
        <v>45236</v>
      </c>
      <c r="AA230" s="165" t="str">
        <f>IFERROR(__xludf.DUMMYFUNCTION("""COMPUTED_VALUE"""),"Naveen")</f>
        <v>Naveen</v>
      </c>
      <c r="AB230" s="165" t="str">
        <f>IFERROR(__xludf.DUMMYFUNCTION("""COMPUTED_VALUE"""),"Thumbnail")</f>
        <v>Thumbnail</v>
      </c>
      <c r="AC230" s="165"/>
      <c r="AD230" s="165"/>
      <c r="AE230" s="165"/>
      <c r="AF230" s="165"/>
      <c r="AG230" s="165"/>
      <c r="AH230" s="165"/>
      <c r="AI230" s="165"/>
      <c r="AJ230" s="165"/>
      <c r="AK230" s="165"/>
      <c r="AL230" s="165"/>
    </row>
    <row r="231">
      <c r="A231" s="165"/>
      <c r="B231" s="165"/>
      <c r="C231" s="165"/>
      <c r="D231" s="165"/>
      <c r="E231" s="292"/>
      <c r="F231" s="277"/>
      <c r="G231" s="165"/>
      <c r="H231" s="277"/>
      <c r="I231" s="277"/>
      <c r="J231" s="165"/>
      <c r="K231" s="165"/>
      <c r="L231" s="165"/>
      <c r="M231" s="165"/>
      <c r="N231" s="165"/>
      <c r="O231" s="165"/>
      <c r="P231" s="165"/>
      <c r="Q231" s="165"/>
      <c r="R231" s="165"/>
      <c r="S231" s="165"/>
      <c r="T231" s="165"/>
      <c r="U231" s="165"/>
      <c r="V231" s="165"/>
      <c r="W231" s="165"/>
      <c r="X231" s="165" t="str">
        <f>IFERROR(__xludf.DUMMYFUNCTION("""COMPUTED_VALUE"""),"CC-MVP-71.07")</f>
        <v>CC-MVP-71.07</v>
      </c>
      <c r="Y231" s="285" t="str">
        <f>IFERROR(__xludf.DUMMYFUNCTION("""COMPUTED_VALUE"""),"Done")</f>
        <v>Done</v>
      </c>
      <c r="Z231" s="284">
        <f>IFERROR(__xludf.DUMMYFUNCTION("""COMPUTED_VALUE"""),45236.0)</f>
        <v>45236</v>
      </c>
      <c r="AA231" s="165" t="str">
        <f>IFERROR(__xludf.DUMMYFUNCTION("""COMPUTED_VALUE"""),"Tazeen")</f>
        <v>Tazeen</v>
      </c>
      <c r="AB231" s="165" t="str">
        <f>IFERROR(__xludf.DUMMYFUNCTION("""COMPUTED_VALUE"""),"Upload")</f>
        <v>Upload</v>
      </c>
      <c r="AC231" s="165"/>
      <c r="AD231" s="165"/>
      <c r="AE231" s="165"/>
      <c r="AF231" s="165"/>
      <c r="AG231" s="165"/>
      <c r="AH231" s="165"/>
      <c r="AI231" s="165"/>
      <c r="AJ231" s="165"/>
      <c r="AK231" s="165"/>
      <c r="AL231" s="165"/>
    </row>
    <row r="232">
      <c r="A232" s="165"/>
      <c r="B232" s="165"/>
      <c r="C232" s="165"/>
      <c r="D232" s="165"/>
      <c r="E232" s="292"/>
      <c r="F232" s="277"/>
      <c r="G232" s="165"/>
      <c r="H232" s="277"/>
      <c r="I232" s="277"/>
      <c r="J232" s="165"/>
      <c r="K232" s="165"/>
      <c r="L232" s="165"/>
      <c r="M232" s="165"/>
      <c r="N232" s="165"/>
      <c r="O232" s="165"/>
      <c r="P232" s="165"/>
      <c r="Q232" s="165"/>
      <c r="R232" s="165"/>
      <c r="S232" s="165"/>
      <c r="T232" s="165"/>
      <c r="U232" s="165"/>
      <c r="V232" s="165"/>
      <c r="W232" s="165"/>
      <c r="X232" s="165" t="str">
        <f>IFERROR(__xludf.DUMMYFUNCTION("""COMPUTED_VALUE"""),"CC-MVP-99.04")</f>
        <v>CC-MVP-99.04</v>
      </c>
      <c r="Y232" s="285" t="str">
        <f>IFERROR(__xludf.DUMMYFUNCTION("""COMPUTED_VALUE"""),"Done")</f>
        <v>Done</v>
      </c>
      <c r="Z232" s="284">
        <f>IFERROR(__xludf.DUMMYFUNCTION("""COMPUTED_VALUE"""),45236.0)</f>
        <v>45236</v>
      </c>
      <c r="AA232" s="165" t="str">
        <f>IFERROR(__xludf.DUMMYFUNCTION("""COMPUTED_VALUE"""),"Nasser")</f>
        <v>Nasser</v>
      </c>
      <c r="AB232" s="165" t="str">
        <f>IFERROR(__xludf.DUMMYFUNCTION("""COMPUTED_VALUE"""),"Upload")</f>
        <v>Upload</v>
      </c>
      <c r="AC232" s="165"/>
      <c r="AD232" s="165"/>
      <c r="AE232" s="165"/>
      <c r="AF232" s="165"/>
      <c r="AG232" s="165"/>
      <c r="AH232" s="165"/>
      <c r="AI232" s="165"/>
      <c r="AJ232" s="165"/>
      <c r="AK232" s="165"/>
      <c r="AL232" s="165"/>
    </row>
    <row r="233">
      <c r="A233" s="165"/>
      <c r="B233" s="165"/>
      <c r="C233" s="165"/>
      <c r="D233" s="165"/>
      <c r="E233" s="292"/>
      <c r="F233" s="277"/>
      <c r="G233" s="165"/>
      <c r="H233" s="277"/>
      <c r="I233" s="277"/>
      <c r="J233" s="165"/>
      <c r="K233" s="165"/>
      <c r="L233" s="165"/>
      <c r="M233" s="165"/>
      <c r="N233" s="165"/>
      <c r="O233" s="165"/>
      <c r="P233" s="165"/>
      <c r="Q233" s="165"/>
      <c r="R233" s="165"/>
      <c r="S233" s="165"/>
      <c r="T233" s="165"/>
      <c r="U233" s="165"/>
      <c r="V233" s="165"/>
      <c r="W233" s="165"/>
      <c r="X233" s="165" t="str">
        <f>IFERROR(__xludf.DUMMYFUNCTION("""COMPUTED_VALUE"""),"CC-MVP-44.01")</f>
        <v>CC-MVP-44.01</v>
      </c>
      <c r="Y233" s="285" t="str">
        <f>IFERROR(__xludf.DUMMYFUNCTION("""COMPUTED_VALUE"""),"Done")</f>
        <v>Done</v>
      </c>
      <c r="Z233" s="284">
        <f>IFERROR(__xludf.DUMMYFUNCTION("""COMPUTED_VALUE"""),45236.0)</f>
        <v>45236</v>
      </c>
      <c r="AA233" s="165" t="str">
        <f>IFERROR(__xludf.DUMMYFUNCTION("""COMPUTED_VALUE"""),"Nasser")</f>
        <v>Nasser</v>
      </c>
      <c r="AB233" s="165" t="str">
        <f>IFERROR(__xludf.DUMMYFUNCTION("""COMPUTED_VALUE"""),"Script")</f>
        <v>Script</v>
      </c>
      <c r="AC233" s="165"/>
      <c r="AD233" s="165"/>
      <c r="AE233" s="165"/>
      <c r="AF233" s="165"/>
      <c r="AG233" s="165"/>
      <c r="AH233" s="165"/>
      <c r="AI233" s="165"/>
      <c r="AJ233" s="165"/>
      <c r="AK233" s="165"/>
      <c r="AL233" s="165"/>
    </row>
    <row r="234">
      <c r="A234" s="165"/>
      <c r="B234" s="165"/>
      <c r="C234" s="165"/>
      <c r="D234" s="165"/>
      <c r="E234" s="292"/>
      <c r="F234" s="277"/>
      <c r="G234" s="165"/>
      <c r="H234" s="277"/>
      <c r="I234" s="277"/>
      <c r="J234" s="165"/>
      <c r="K234" s="165"/>
      <c r="L234" s="165"/>
      <c r="M234" s="165"/>
      <c r="N234" s="165"/>
      <c r="O234" s="165"/>
      <c r="P234" s="165"/>
      <c r="Q234" s="165"/>
      <c r="R234" s="165"/>
      <c r="S234" s="165"/>
      <c r="T234" s="165"/>
      <c r="U234" s="165"/>
      <c r="V234" s="165"/>
      <c r="W234" s="165"/>
      <c r="X234" s="165" t="str">
        <f>IFERROR(__xludf.DUMMYFUNCTION("""COMPUTED_VALUE"""),"CC-MVP-87.06")</f>
        <v>CC-MVP-87.06</v>
      </c>
      <c r="Y234" s="285" t="str">
        <f>IFERROR(__xludf.DUMMYFUNCTION("""COMPUTED_VALUE"""),"Done")</f>
        <v>Done</v>
      </c>
      <c r="Z234" s="284">
        <f>IFERROR(__xludf.DUMMYFUNCTION("""COMPUTED_VALUE"""),45236.0)</f>
        <v>45236</v>
      </c>
      <c r="AA234" s="165" t="str">
        <f>IFERROR(__xludf.DUMMYFUNCTION("""COMPUTED_VALUE"""),"Nasser")</f>
        <v>Nasser</v>
      </c>
      <c r="AB234" s="165" t="str">
        <f>IFERROR(__xludf.DUMMYFUNCTION("""COMPUTED_VALUE"""),"Thumbnail")</f>
        <v>Thumbnail</v>
      </c>
      <c r="AC234" s="165"/>
      <c r="AD234" s="165"/>
      <c r="AE234" s="165"/>
      <c r="AF234" s="165"/>
      <c r="AG234" s="165"/>
      <c r="AH234" s="165"/>
      <c r="AI234" s="165"/>
      <c r="AJ234" s="165"/>
      <c r="AK234" s="165"/>
      <c r="AL234" s="165"/>
    </row>
    <row r="235">
      <c r="A235" s="165"/>
      <c r="B235" s="165"/>
      <c r="C235" s="165"/>
      <c r="D235" s="165"/>
      <c r="E235" s="292"/>
      <c r="F235" s="277"/>
      <c r="G235" s="165"/>
      <c r="H235" s="277"/>
      <c r="I235" s="277"/>
      <c r="J235" s="165"/>
      <c r="K235" s="165"/>
      <c r="L235" s="165"/>
      <c r="M235" s="165"/>
      <c r="N235" s="165"/>
      <c r="O235" s="165"/>
      <c r="P235" s="165"/>
      <c r="Q235" s="165"/>
      <c r="R235" s="165"/>
      <c r="S235" s="165"/>
      <c r="T235" s="165"/>
      <c r="U235" s="165"/>
      <c r="V235" s="165"/>
      <c r="W235" s="165"/>
      <c r="X235" s="165" t="str">
        <f>IFERROR(__xludf.DUMMYFUNCTION("""COMPUTED_VALUE"""),"CC-MVP-90.05")</f>
        <v>CC-MVP-90.05</v>
      </c>
      <c r="Y235" s="285" t="str">
        <f>IFERROR(__xludf.DUMMYFUNCTION("""COMPUTED_VALUE"""),"Done")</f>
        <v>Done</v>
      </c>
      <c r="Z235" s="284">
        <f>IFERROR(__xludf.DUMMYFUNCTION("""COMPUTED_VALUE"""),45236.0)</f>
        <v>45236</v>
      </c>
      <c r="AA235" s="165" t="str">
        <f>IFERROR(__xludf.DUMMYFUNCTION("""COMPUTED_VALUE"""),"Akhil")</f>
        <v>Akhil</v>
      </c>
      <c r="AB235" s="165" t="str">
        <f>IFERROR(__xludf.DUMMYFUNCTION("""COMPUTED_VALUE"""),"Edit")</f>
        <v>Edit</v>
      </c>
      <c r="AC235" s="165"/>
      <c r="AD235" s="165"/>
      <c r="AE235" s="165"/>
      <c r="AF235" s="165"/>
      <c r="AG235" s="165"/>
      <c r="AH235" s="165"/>
      <c r="AI235" s="165"/>
      <c r="AJ235" s="165"/>
      <c r="AK235" s="165"/>
      <c r="AL235" s="165"/>
    </row>
    <row r="236">
      <c r="A236" s="165"/>
      <c r="B236" s="165"/>
      <c r="C236" s="165"/>
      <c r="D236" s="165"/>
      <c r="E236" s="292"/>
      <c r="F236" s="277"/>
      <c r="G236" s="165"/>
      <c r="H236" s="277"/>
      <c r="I236" s="277"/>
      <c r="J236" s="165"/>
      <c r="K236" s="165"/>
      <c r="L236" s="165"/>
      <c r="M236" s="165"/>
      <c r="N236" s="165"/>
      <c r="O236" s="165"/>
      <c r="P236" s="165"/>
      <c r="Q236" s="165"/>
      <c r="R236" s="165"/>
      <c r="S236" s="165"/>
      <c r="T236" s="165"/>
      <c r="U236" s="165"/>
      <c r="V236" s="165"/>
      <c r="W236" s="165"/>
      <c r="X236" s="165" t="str">
        <f>IFERROR(__xludf.DUMMYFUNCTION("""COMPUTED_VALUE"""),"CC-MVP-64.01")</f>
        <v>CC-MVP-64.01</v>
      </c>
      <c r="Y236" s="285" t="str">
        <f>IFERROR(__xludf.DUMMYFUNCTION("""COMPUTED_VALUE"""),"Not Started")</f>
        <v>Not Started</v>
      </c>
      <c r="Z236" s="284">
        <f>IFERROR(__xludf.DUMMYFUNCTION("""COMPUTED_VALUE"""),45236.0)</f>
        <v>45236</v>
      </c>
      <c r="AA236" s="165" t="str">
        <f>IFERROR(__xludf.DUMMYFUNCTION("""COMPUTED_VALUE"""),"Ahmer")</f>
        <v>Ahmer</v>
      </c>
      <c r="AB236" s="165" t="str">
        <f>IFERROR(__xludf.DUMMYFUNCTION("""COMPUTED_VALUE"""),"Script")</f>
        <v>Script</v>
      </c>
      <c r="AC236" s="165"/>
      <c r="AD236" s="165"/>
      <c r="AE236" s="165"/>
      <c r="AF236" s="165"/>
      <c r="AG236" s="165"/>
      <c r="AH236" s="165"/>
      <c r="AI236" s="165"/>
      <c r="AJ236" s="165"/>
      <c r="AK236" s="165"/>
      <c r="AL236" s="165"/>
    </row>
    <row r="237">
      <c r="A237" s="165"/>
      <c r="B237" s="165"/>
      <c r="C237" s="165"/>
      <c r="D237" s="165"/>
      <c r="E237" s="292"/>
      <c r="F237" s="277"/>
      <c r="G237" s="165"/>
      <c r="H237" s="277"/>
      <c r="I237" s="277"/>
      <c r="J237" s="165"/>
      <c r="K237" s="165"/>
      <c r="L237" s="165"/>
      <c r="M237" s="165"/>
      <c r="N237" s="165"/>
      <c r="O237" s="165"/>
      <c r="P237" s="165"/>
      <c r="Q237" s="165"/>
      <c r="R237" s="165"/>
      <c r="S237" s="165"/>
      <c r="T237" s="165"/>
      <c r="U237" s="165"/>
      <c r="V237" s="165"/>
      <c r="W237" s="165"/>
      <c r="X237" s="165" t="str">
        <f>IFERROR(__xludf.DUMMYFUNCTION("""COMPUTED_VALUE"""),"CC-MVP-43.01")</f>
        <v>CC-MVP-43.01</v>
      </c>
      <c r="Y237" s="285" t="str">
        <f>IFERROR(__xludf.DUMMYFUNCTION("""COMPUTED_VALUE"""),"Done")</f>
        <v>Done</v>
      </c>
      <c r="Z237" s="284">
        <f>IFERROR(__xludf.DUMMYFUNCTION("""COMPUTED_VALUE"""),45236.0)</f>
        <v>45236</v>
      </c>
      <c r="AA237" s="165" t="str">
        <f>IFERROR(__xludf.DUMMYFUNCTION("""COMPUTED_VALUE"""),"Tazeen")</f>
        <v>Tazeen</v>
      </c>
      <c r="AB237" s="165" t="str">
        <f>IFERROR(__xludf.DUMMYFUNCTION("""COMPUTED_VALUE"""),"Script")</f>
        <v>Script</v>
      </c>
      <c r="AC237" s="165"/>
      <c r="AD237" s="165"/>
      <c r="AE237" s="165"/>
      <c r="AF237" s="165"/>
      <c r="AG237" s="165"/>
      <c r="AH237" s="165"/>
      <c r="AI237" s="165"/>
      <c r="AJ237" s="165"/>
      <c r="AK237" s="165"/>
      <c r="AL237" s="165"/>
    </row>
    <row r="238">
      <c r="A238" s="165"/>
      <c r="B238" s="165"/>
      <c r="C238" s="165"/>
      <c r="D238" s="165"/>
      <c r="E238" s="292"/>
      <c r="F238" s="277"/>
      <c r="G238" s="165"/>
      <c r="H238" s="277"/>
      <c r="I238" s="277"/>
      <c r="J238" s="165"/>
      <c r="K238" s="165"/>
      <c r="L238" s="165"/>
      <c r="M238" s="165"/>
      <c r="N238" s="165"/>
      <c r="O238" s="165"/>
      <c r="P238" s="165"/>
      <c r="Q238" s="165"/>
      <c r="R238" s="165"/>
      <c r="S238" s="165"/>
      <c r="T238" s="165"/>
      <c r="U238" s="165"/>
      <c r="V238" s="165"/>
      <c r="W238" s="165"/>
      <c r="X238" s="165" t="str">
        <f>IFERROR(__xludf.DUMMYFUNCTION("""COMPUTED_VALUE"""),"CC-MVP-97.02")</f>
        <v>CC-MVP-97.02</v>
      </c>
      <c r="Y238" s="285" t="str">
        <f>IFERROR(__xludf.DUMMYFUNCTION("""COMPUTED_VALUE"""),"Done")</f>
        <v>Done</v>
      </c>
      <c r="Z238" s="284">
        <f>IFERROR(__xludf.DUMMYFUNCTION("""COMPUTED_VALUE"""),45236.0)</f>
        <v>45236</v>
      </c>
      <c r="AA238" s="165" t="str">
        <f>IFERROR(__xludf.DUMMYFUNCTION("""COMPUTED_VALUE"""),"Akhil")</f>
        <v>Akhil</v>
      </c>
      <c r="AB238" s="165" t="str">
        <f>IFERROR(__xludf.DUMMYFUNCTION("""COMPUTED_VALUE"""),"Shoot")</f>
        <v>Shoot</v>
      </c>
      <c r="AC238" s="165"/>
      <c r="AD238" s="165"/>
      <c r="AE238" s="165"/>
      <c r="AF238" s="165"/>
      <c r="AG238" s="165"/>
      <c r="AH238" s="165"/>
      <c r="AI238" s="165"/>
      <c r="AJ238" s="165"/>
      <c r="AK238" s="165"/>
      <c r="AL238" s="165"/>
    </row>
    <row r="239">
      <c r="A239" s="165"/>
      <c r="B239" s="165"/>
      <c r="C239" s="165"/>
      <c r="D239" s="165"/>
      <c r="E239" s="292"/>
      <c r="F239" s="277"/>
      <c r="G239" s="165"/>
      <c r="H239" s="277"/>
      <c r="I239" s="277"/>
      <c r="J239" s="165"/>
      <c r="K239" s="165"/>
      <c r="L239" s="165"/>
      <c r="M239" s="165"/>
      <c r="N239" s="165"/>
      <c r="O239" s="165"/>
      <c r="P239" s="165"/>
      <c r="Q239" s="165"/>
      <c r="R239" s="165"/>
      <c r="S239" s="165"/>
      <c r="T239" s="165"/>
      <c r="U239" s="165"/>
      <c r="V239" s="165"/>
      <c r="W239" s="165"/>
      <c r="X239" s="165" t="str">
        <f>IFERROR(__xludf.DUMMYFUNCTION("""COMPUTED_VALUE"""),"CC-MVP-109.01")</f>
        <v>CC-MVP-109.01</v>
      </c>
      <c r="Y239" s="285" t="str">
        <f>IFERROR(__xludf.DUMMYFUNCTION("""COMPUTED_VALUE"""),"Done")</f>
        <v>Done</v>
      </c>
      <c r="Z239" s="284">
        <f>IFERROR(__xludf.DUMMYFUNCTION("""COMPUTED_VALUE"""),45236.0)</f>
        <v>45236</v>
      </c>
      <c r="AA239" s="165" t="str">
        <f>IFERROR(__xludf.DUMMYFUNCTION("""COMPUTED_VALUE"""),"Akhil")</f>
        <v>Akhil</v>
      </c>
      <c r="AB239" s="165" t="str">
        <f>IFERROR(__xludf.DUMMYFUNCTION("""COMPUTED_VALUE"""),"Shoot")</f>
        <v>Shoot</v>
      </c>
      <c r="AC239" s="165"/>
      <c r="AD239" s="165"/>
      <c r="AE239" s="165"/>
      <c r="AF239" s="165"/>
      <c r="AG239" s="165"/>
      <c r="AH239" s="165"/>
      <c r="AI239" s="165"/>
      <c r="AJ239" s="165"/>
      <c r="AK239" s="165"/>
      <c r="AL239" s="165"/>
    </row>
    <row r="240">
      <c r="A240" s="165"/>
      <c r="B240" s="165"/>
      <c r="C240" s="165"/>
      <c r="D240" s="165"/>
      <c r="E240" s="292"/>
      <c r="F240" s="277"/>
      <c r="G240" s="165"/>
      <c r="H240" s="277"/>
      <c r="I240" s="277"/>
      <c r="J240" s="165"/>
      <c r="K240" s="165"/>
      <c r="L240" s="165"/>
      <c r="M240" s="165"/>
      <c r="N240" s="165"/>
      <c r="O240" s="165"/>
      <c r="P240" s="165"/>
      <c r="Q240" s="165"/>
      <c r="R240" s="165"/>
      <c r="S240" s="165"/>
      <c r="T240" s="165"/>
      <c r="U240" s="165"/>
      <c r="V240" s="165"/>
      <c r="W240" s="165"/>
      <c r="X240" s="165" t="str">
        <f>IFERROR(__xludf.DUMMYFUNCTION("""COMPUTED_VALUE"""),"CC-CTH-17.01")</f>
        <v>CC-CTH-17.01</v>
      </c>
      <c r="Y240" s="285" t="str">
        <f>IFERROR(__xludf.DUMMYFUNCTION("""COMPUTED_VALUE"""),"Not Started")</f>
        <v>Not Started</v>
      </c>
      <c r="Z240" s="284">
        <f>IFERROR(__xludf.DUMMYFUNCTION("""COMPUTED_VALUE"""),45236.0)</f>
        <v>45236</v>
      </c>
      <c r="AA240" s="165"/>
      <c r="AB240" s="165" t="str">
        <f>IFERROR(__xludf.DUMMYFUNCTION("""COMPUTED_VALUE"""),"Script")</f>
        <v>Script</v>
      </c>
      <c r="AC240" s="165"/>
      <c r="AD240" s="165"/>
      <c r="AE240" s="165"/>
      <c r="AF240" s="165"/>
      <c r="AG240" s="165"/>
      <c r="AH240" s="165"/>
      <c r="AI240" s="165"/>
      <c r="AJ240" s="165"/>
      <c r="AK240" s="165"/>
      <c r="AL240" s="165"/>
    </row>
    <row r="241">
      <c r="A241" s="165"/>
      <c r="B241" s="165"/>
      <c r="C241" s="165"/>
      <c r="D241" s="165"/>
      <c r="E241" s="292"/>
      <c r="F241" s="277"/>
      <c r="G241" s="165"/>
      <c r="H241" s="277"/>
      <c r="I241" s="277"/>
      <c r="J241" s="165"/>
      <c r="K241" s="165"/>
      <c r="L241" s="165"/>
      <c r="M241" s="165"/>
      <c r="N241" s="165"/>
      <c r="O241" s="165"/>
      <c r="P241" s="165"/>
      <c r="Q241" s="165"/>
      <c r="R241" s="165"/>
      <c r="S241" s="165"/>
      <c r="T241" s="165"/>
      <c r="U241" s="165"/>
      <c r="V241" s="165"/>
      <c r="W241" s="165"/>
      <c r="X241" s="165" t="str">
        <f>IFERROR(__xludf.DUMMYFUNCTION("""COMPUTED_VALUE"""),"CC-CTH-17.02")</f>
        <v>CC-CTH-17.02</v>
      </c>
      <c r="Y241" s="285" t="str">
        <f>IFERROR(__xludf.DUMMYFUNCTION("""COMPUTED_VALUE"""),"Not Started")</f>
        <v>Not Started</v>
      </c>
      <c r="Z241" s="284">
        <f>IFERROR(__xludf.DUMMYFUNCTION("""COMPUTED_VALUE"""),45236.0)</f>
        <v>45236</v>
      </c>
      <c r="AA241" s="165"/>
      <c r="AB241" s="165" t="str">
        <f>IFERROR(__xludf.DUMMYFUNCTION("""COMPUTED_VALUE"""),"Shoot")</f>
        <v>Shoot</v>
      </c>
      <c r="AC241" s="165"/>
      <c r="AD241" s="165"/>
      <c r="AE241" s="165"/>
      <c r="AF241" s="165"/>
      <c r="AG241" s="165"/>
      <c r="AH241" s="165"/>
      <c r="AI241" s="165"/>
      <c r="AJ241" s="165"/>
      <c r="AK241" s="165"/>
      <c r="AL241" s="165"/>
    </row>
    <row r="242">
      <c r="A242" s="165"/>
      <c r="B242" s="165"/>
      <c r="C242" s="165"/>
      <c r="D242" s="165"/>
      <c r="E242" s="292"/>
      <c r="F242" s="277"/>
      <c r="G242" s="165"/>
      <c r="H242" s="277"/>
      <c r="I242" s="277"/>
      <c r="J242" s="165"/>
      <c r="K242" s="165"/>
      <c r="L242" s="165"/>
      <c r="M242" s="165"/>
      <c r="N242" s="165"/>
      <c r="O242" s="165"/>
      <c r="P242" s="165"/>
      <c r="Q242" s="165"/>
      <c r="R242" s="165"/>
      <c r="S242" s="165"/>
      <c r="T242" s="165"/>
      <c r="U242" s="165"/>
      <c r="V242" s="165"/>
      <c r="W242" s="165"/>
      <c r="X242" s="165" t="str">
        <f>IFERROR(__xludf.DUMMYFUNCTION("""COMPUTED_VALUE"""),"CC-CTH-17.04")</f>
        <v>CC-CTH-17.04</v>
      </c>
      <c r="Y242" s="285" t="str">
        <f>IFERROR(__xludf.DUMMYFUNCTION("""COMPUTED_VALUE"""),"Not Started")</f>
        <v>Not Started</v>
      </c>
      <c r="Z242" s="284">
        <f>IFERROR(__xludf.DUMMYFUNCTION("""COMPUTED_VALUE"""),45236.0)</f>
        <v>45236</v>
      </c>
      <c r="AA242" s="165"/>
      <c r="AB242" s="165" t="str">
        <f>IFERROR(__xludf.DUMMYFUNCTION("""COMPUTED_VALUE"""),"Editor Notes")</f>
        <v>Editor Notes</v>
      </c>
      <c r="AC242" s="165"/>
      <c r="AD242" s="165"/>
      <c r="AE242" s="165"/>
      <c r="AF242" s="165"/>
      <c r="AG242" s="165"/>
      <c r="AH242" s="165"/>
      <c r="AI242" s="165"/>
      <c r="AJ242" s="165"/>
      <c r="AK242" s="165"/>
      <c r="AL242" s="165"/>
    </row>
    <row r="243">
      <c r="A243" s="165"/>
      <c r="B243" s="165"/>
      <c r="C243" s="165"/>
      <c r="D243" s="165"/>
      <c r="E243" s="292"/>
      <c r="F243" s="277"/>
      <c r="G243" s="165"/>
      <c r="H243" s="277"/>
      <c r="I243" s="277"/>
      <c r="J243" s="165"/>
      <c r="K243" s="165"/>
      <c r="L243" s="165"/>
      <c r="M243" s="165"/>
      <c r="N243" s="165"/>
      <c r="O243" s="165"/>
      <c r="P243" s="165"/>
      <c r="Q243" s="165"/>
      <c r="R243" s="165"/>
      <c r="S243" s="165"/>
      <c r="T243" s="165"/>
      <c r="U243" s="165"/>
      <c r="V243" s="165"/>
      <c r="W243" s="165"/>
      <c r="X243" s="165" t="str">
        <f>IFERROR(__xludf.DUMMYFUNCTION("""COMPUTED_VALUE"""),"CC-CTH-17.05")</f>
        <v>CC-CTH-17.05</v>
      </c>
      <c r="Y243" s="285" t="str">
        <f>IFERROR(__xludf.DUMMYFUNCTION("""COMPUTED_VALUE"""),"Not Started")</f>
        <v>Not Started</v>
      </c>
      <c r="Z243" s="284">
        <f>IFERROR(__xludf.DUMMYFUNCTION("""COMPUTED_VALUE"""),45236.0)</f>
        <v>45236</v>
      </c>
      <c r="AA243" s="165"/>
      <c r="AB243" s="165" t="str">
        <f>IFERROR(__xludf.DUMMYFUNCTION("""COMPUTED_VALUE"""),"Edit")</f>
        <v>Edit</v>
      </c>
      <c r="AC243" s="165"/>
      <c r="AD243" s="165"/>
      <c r="AE243" s="165"/>
      <c r="AF243" s="165"/>
      <c r="AG243" s="165"/>
      <c r="AH243" s="165"/>
      <c r="AI243" s="165"/>
      <c r="AJ243" s="165"/>
      <c r="AK243" s="165"/>
      <c r="AL243" s="165"/>
    </row>
    <row r="244">
      <c r="A244" s="165"/>
      <c r="B244" s="165"/>
      <c r="C244" s="165"/>
      <c r="D244" s="165"/>
      <c r="E244" s="292"/>
      <c r="F244" s="277"/>
      <c r="G244" s="165"/>
      <c r="H244" s="277"/>
      <c r="I244" s="277"/>
      <c r="J244" s="165"/>
      <c r="K244" s="165"/>
      <c r="L244" s="165"/>
      <c r="M244" s="165"/>
      <c r="N244" s="165"/>
      <c r="O244" s="165"/>
      <c r="P244" s="165"/>
      <c r="Q244" s="165"/>
      <c r="R244" s="165"/>
      <c r="S244" s="165"/>
      <c r="T244" s="165"/>
      <c r="U244" s="165"/>
      <c r="V244" s="165"/>
      <c r="W244" s="165"/>
      <c r="X244" s="165" t="str">
        <f>IFERROR(__xludf.DUMMYFUNCTION("""COMPUTED_VALUE"""),"CC-INN-26.03")</f>
        <v>CC-INN-26.03</v>
      </c>
      <c r="Y244" s="285" t="str">
        <f>IFERROR(__xludf.DUMMYFUNCTION("""COMPUTED_VALUE"""),"Done")</f>
        <v>Done</v>
      </c>
      <c r="Z244" s="284">
        <f>IFERROR(__xludf.DUMMYFUNCTION("""COMPUTED_VALUE"""),45236.0)</f>
        <v>45236</v>
      </c>
      <c r="AA244" s="165" t="str">
        <f>IFERROR(__xludf.DUMMYFUNCTION("""COMPUTED_VALUE"""),"Naveen")</f>
        <v>Naveen</v>
      </c>
      <c r="AB244" s="165" t="str">
        <f>IFERROR(__xludf.DUMMYFUNCTION("""COMPUTED_VALUE"""),"Edit")</f>
        <v>Edit</v>
      </c>
      <c r="AC244" s="165"/>
      <c r="AD244" s="165"/>
      <c r="AE244" s="165"/>
      <c r="AF244" s="165"/>
      <c r="AG244" s="165"/>
      <c r="AH244" s="165"/>
      <c r="AI244" s="165"/>
      <c r="AJ244" s="165"/>
      <c r="AK244" s="165"/>
      <c r="AL244" s="165"/>
    </row>
    <row r="245">
      <c r="A245" s="165"/>
      <c r="B245" s="165"/>
      <c r="C245" s="165"/>
      <c r="D245" s="165"/>
      <c r="E245" s="292"/>
      <c r="F245" s="277"/>
      <c r="G245" s="165"/>
      <c r="H245" s="277"/>
      <c r="I245" s="277"/>
      <c r="J245" s="165"/>
      <c r="K245" s="165"/>
      <c r="L245" s="165"/>
      <c r="M245" s="165"/>
      <c r="N245" s="165"/>
      <c r="O245" s="165"/>
      <c r="P245" s="165"/>
      <c r="Q245" s="165"/>
      <c r="R245" s="165"/>
      <c r="S245" s="165"/>
      <c r="T245" s="165"/>
      <c r="U245" s="165"/>
      <c r="V245" s="165"/>
      <c r="W245" s="165"/>
      <c r="X245" s="165" t="str">
        <f>IFERROR(__xludf.DUMMYFUNCTION("""COMPUTED_VALUE"""),"PM-MAC-01.04")</f>
        <v>PM-MAC-01.04</v>
      </c>
      <c r="Y245" s="285" t="str">
        <f>IFERROR(__xludf.DUMMYFUNCTION("""COMPUTED_VALUE"""),"Done")</f>
        <v>Done</v>
      </c>
      <c r="Z245" s="284">
        <f>IFERROR(__xludf.DUMMYFUNCTION("""COMPUTED_VALUE"""),45236.0)</f>
        <v>45236</v>
      </c>
      <c r="AA245" s="165" t="str">
        <f>IFERROR(__xludf.DUMMYFUNCTION("""COMPUTED_VALUE"""),"Naveen")</f>
        <v>Naveen</v>
      </c>
      <c r="AB245" s="165" t="str">
        <f>IFERROR(__xludf.DUMMYFUNCTION("""COMPUTED_VALUE"""),"Receipt Design")</f>
        <v>Receipt Design</v>
      </c>
      <c r="AC245" s="165"/>
      <c r="AD245" s="165"/>
      <c r="AE245" s="165"/>
      <c r="AF245" s="165"/>
      <c r="AG245" s="165"/>
      <c r="AH245" s="165"/>
      <c r="AI245" s="165"/>
      <c r="AJ245" s="165"/>
      <c r="AK245" s="165"/>
      <c r="AL245" s="165"/>
    </row>
    <row r="246">
      <c r="A246" s="165"/>
      <c r="B246" s="165"/>
      <c r="C246" s="165"/>
      <c r="D246" s="165"/>
      <c r="E246" s="292"/>
      <c r="F246" s="277"/>
      <c r="G246" s="165"/>
      <c r="H246" s="277"/>
      <c r="I246" s="277"/>
      <c r="J246" s="165"/>
      <c r="K246" s="165"/>
      <c r="L246" s="165"/>
      <c r="M246" s="165"/>
      <c r="N246" s="165"/>
      <c r="O246" s="165"/>
      <c r="P246" s="165"/>
      <c r="Q246" s="165"/>
      <c r="R246" s="165"/>
      <c r="S246" s="165"/>
      <c r="T246" s="165"/>
      <c r="U246" s="165"/>
      <c r="V246" s="165"/>
      <c r="W246" s="165"/>
      <c r="X246" s="165" t="str">
        <f>IFERROR(__xludf.DUMMYFUNCTION("""COMPUTED_VALUE"""),"PM-INN-01.03")</f>
        <v>PM-INN-01.03</v>
      </c>
      <c r="Y246" s="285" t="str">
        <f>IFERROR(__xludf.DUMMYFUNCTION("""COMPUTED_VALUE"""),"Done")</f>
        <v>Done</v>
      </c>
      <c r="Z246" s="284">
        <f>IFERROR(__xludf.DUMMYFUNCTION("""COMPUTED_VALUE"""),45236.0)</f>
        <v>45236</v>
      </c>
      <c r="AA246" s="165" t="str">
        <f>IFERROR(__xludf.DUMMYFUNCTION("""COMPUTED_VALUE"""),"Naveen")</f>
        <v>Naveen</v>
      </c>
      <c r="AB246" s="165" t="str">
        <f>IFERROR(__xludf.DUMMYFUNCTION("""COMPUTED_VALUE"""),"Subtask 3")</f>
        <v>Subtask 3</v>
      </c>
      <c r="AC246" s="165"/>
      <c r="AD246" s="165"/>
      <c r="AE246" s="165"/>
      <c r="AF246" s="165"/>
      <c r="AG246" s="165"/>
      <c r="AH246" s="165"/>
      <c r="AI246" s="165"/>
      <c r="AJ246" s="165"/>
      <c r="AK246" s="165"/>
      <c r="AL246" s="165"/>
    </row>
    <row r="247">
      <c r="A247" s="165"/>
      <c r="B247" s="165"/>
      <c r="C247" s="165"/>
      <c r="D247" s="165"/>
      <c r="E247" s="292"/>
      <c r="F247" s="277"/>
      <c r="G247" s="165"/>
      <c r="H247" s="277"/>
      <c r="I247" s="277"/>
      <c r="J247" s="165"/>
      <c r="K247" s="165"/>
      <c r="L247" s="165"/>
      <c r="M247" s="165"/>
      <c r="N247" s="165"/>
      <c r="O247" s="165"/>
      <c r="P247" s="165"/>
      <c r="Q247" s="165"/>
      <c r="R247" s="165"/>
      <c r="S247" s="165"/>
      <c r="T247" s="165"/>
      <c r="U247" s="165"/>
      <c r="V247" s="165"/>
      <c r="W247" s="165"/>
      <c r="X247" s="165" t="str">
        <f>IFERROR(__xludf.DUMMYFUNCTION("""COMPUTED_VALUE"""),"PM-MVP-03.04")</f>
        <v>PM-MVP-03.04</v>
      </c>
      <c r="Y247" s="285" t="str">
        <f>IFERROR(__xludf.DUMMYFUNCTION("""COMPUTED_VALUE"""),"Done")</f>
        <v>Done</v>
      </c>
      <c r="Z247" s="284">
        <f>IFERROR(__xludf.DUMMYFUNCTION("""COMPUTED_VALUE"""),45236.0)</f>
        <v>45236</v>
      </c>
      <c r="AA247" s="165" t="str">
        <f>IFERROR(__xludf.DUMMYFUNCTION("""COMPUTED_VALUE"""),"Nasser")</f>
        <v>Nasser</v>
      </c>
      <c r="AB247" s="165" t="str">
        <f>IFERROR(__xludf.DUMMYFUNCTION("""COMPUTED_VALUE"""),"EDM Design")</f>
        <v>EDM Design</v>
      </c>
      <c r="AC247" s="165"/>
      <c r="AD247" s="165"/>
      <c r="AE247" s="165"/>
      <c r="AF247" s="165"/>
      <c r="AG247" s="165"/>
      <c r="AH247" s="165"/>
      <c r="AI247" s="165"/>
      <c r="AJ247" s="165"/>
      <c r="AK247" s="165"/>
      <c r="AL247" s="165"/>
    </row>
    <row r="248">
      <c r="A248" s="165"/>
      <c r="B248" s="165"/>
      <c r="C248" s="165"/>
      <c r="D248" s="165"/>
      <c r="E248" s="292"/>
      <c r="F248" s="277"/>
      <c r="G248" s="165"/>
      <c r="H248" s="277"/>
      <c r="I248" s="277"/>
      <c r="J248" s="165"/>
      <c r="K248" s="165"/>
      <c r="L248" s="165"/>
      <c r="M248" s="165"/>
      <c r="N248" s="165"/>
      <c r="O248" s="165"/>
      <c r="P248" s="165"/>
      <c r="Q248" s="165"/>
      <c r="R248" s="165"/>
      <c r="S248" s="165"/>
      <c r="T248" s="165"/>
      <c r="U248" s="165"/>
      <c r="V248" s="165"/>
      <c r="W248" s="165"/>
      <c r="X248" s="165" t="str">
        <f>IFERROR(__xludf.DUMMYFUNCTION("""COMPUTED_VALUE"""),"PM-PTS-05.13")</f>
        <v>PM-PTS-05.13</v>
      </c>
      <c r="Y248" s="285" t="str">
        <f>IFERROR(__xludf.DUMMYFUNCTION("""COMPUTED_VALUE"""),"Done")</f>
        <v>Done</v>
      </c>
      <c r="Z248" s="284">
        <f>IFERROR(__xludf.DUMMYFUNCTION("""COMPUTED_VALUE"""),45236.0)</f>
        <v>45236</v>
      </c>
      <c r="AA248" s="165" t="str">
        <f>IFERROR(__xludf.DUMMYFUNCTION("""COMPUTED_VALUE"""),"Jayanth")</f>
        <v>Jayanth</v>
      </c>
      <c r="AB248" s="165" t="str">
        <f>IFERROR(__xludf.DUMMYFUNCTION("""COMPUTED_VALUE"""),"Aditya sample")</f>
        <v>Aditya sample</v>
      </c>
      <c r="AC248" s="165"/>
      <c r="AD248" s="165"/>
      <c r="AE248" s="165"/>
      <c r="AF248" s="165"/>
      <c r="AG248" s="165"/>
      <c r="AH248" s="165"/>
      <c r="AI248" s="165"/>
      <c r="AJ248" s="165"/>
      <c r="AK248" s="165"/>
      <c r="AL248" s="165"/>
    </row>
    <row r="249">
      <c r="A249" s="165"/>
      <c r="B249" s="165"/>
      <c r="C249" s="165"/>
      <c r="D249" s="165"/>
      <c r="E249" s="292"/>
      <c r="F249" s="277"/>
      <c r="G249" s="165"/>
      <c r="H249" s="277"/>
      <c r="I249" s="277"/>
      <c r="J249" s="165"/>
      <c r="K249" s="165"/>
      <c r="L249" s="165"/>
      <c r="M249" s="165"/>
      <c r="N249" s="165"/>
      <c r="O249" s="165"/>
      <c r="P249" s="165"/>
      <c r="Q249" s="165"/>
      <c r="R249" s="165"/>
      <c r="S249" s="165"/>
      <c r="T249" s="165"/>
      <c r="U249" s="165"/>
      <c r="V249" s="165"/>
      <c r="W249" s="165"/>
      <c r="X249" s="165" t="str">
        <f>IFERROR(__xludf.DUMMYFUNCTION("""COMPUTED_VALUE"""),"PM-PTS-03.06")</f>
        <v>PM-PTS-03.06</v>
      </c>
      <c r="Y249" s="285" t="str">
        <f>IFERROR(__xludf.DUMMYFUNCTION("""COMPUTED_VALUE"""),"In Review")</f>
        <v>In Review</v>
      </c>
      <c r="Z249" s="284">
        <f>IFERROR(__xludf.DUMMYFUNCTION("""COMPUTED_VALUE"""),45236.0)</f>
        <v>45236</v>
      </c>
      <c r="AA249" s="165" t="str">
        <f>IFERROR(__xludf.DUMMYFUNCTION("""COMPUTED_VALUE"""),"Nasser")</f>
        <v>Nasser</v>
      </c>
      <c r="AB249" s="165" t="str">
        <f>IFERROR(__xludf.DUMMYFUNCTION("""COMPUTED_VALUE"""),"Finalise")</f>
        <v>Finalise</v>
      </c>
      <c r="AC249" s="165"/>
      <c r="AD249" s="165"/>
      <c r="AE249" s="165"/>
      <c r="AF249" s="165"/>
      <c r="AG249" s="165"/>
      <c r="AH249" s="165"/>
      <c r="AI249" s="165"/>
      <c r="AJ249" s="165"/>
      <c r="AK249" s="165"/>
      <c r="AL249" s="165"/>
    </row>
    <row r="250">
      <c r="A250" s="165"/>
      <c r="B250" s="165"/>
      <c r="C250" s="165"/>
      <c r="D250" s="165"/>
      <c r="E250" s="292"/>
      <c r="F250" s="277"/>
      <c r="G250" s="165"/>
      <c r="H250" s="277"/>
      <c r="I250" s="277"/>
      <c r="J250" s="165"/>
      <c r="K250" s="165"/>
      <c r="L250" s="165"/>
      <c r="M250" s="165"/>
      <c r="N250" s="165"/>
      <c r="O250" s="165"/>
      <c r="P250" s="165"/>
      <c r="Q250" s="165"/>
      <c r="R250" s="165"/>
      <c r="S250" s="165"/>
      <c r="T250" s="165"/>
      <c r="U250" s="165"/>
      <c r="V250" s="165"/>
      <c r="W250" s="165"/>
      <c r="X250" s="165" t="str">
        <f>IFERROR(__xludf.DUMMYFUNCTION("""COMPUTED_VALUE"""),"CC-MVP-44.02")</f>
        <v>CC-MVP-44.02</v>
      </c>
      <c r="Y250" s="285" t="str">
        <f>IFERROR(__xludf.DUMMYFUNCTION("""COMPUTED_VALUE"""),"Done")</f>
        <v>Done</v>
      </c>
      <c r="Z250" s="284">
        <f>IFERROR(__xludf.DUMMYFUNCTION("""COMPUTED_VALUE"""),45237.0)</f>
        <v>45237</v>
      </c>
      <c r="AA250" s="165" t="str">
        <f>IFERROR(__xludf.DUMMYFUNCTION("""COMPUTED_VALUE"""),"Talha")</f>
        <v>Talha</v>
      </c>
      <c r="AB250" s="165" t="str">
        <f>IFERROR(__xludf.DUMMYFUNCTION("""COMPUTED_VALUE"""),"Voiceover")</f>
        <v>Voiceover</v>
      </c>
      <c r="AC250" s="165"/>
      <c r="AD250" s="165"/>
      <c r="AE250" s="165"/>
      <c r="AF250" s="165"/>
      <c r="AG250" s="165"/>
      <c r="AH250" s="165"/>
      <c r="AI250" s="165"/>
      <c r="AJ250" s="165"/>
      <c r="AK250" s="165"/>
      <c r="AL250" s="165"/>
    </row>
    <row r="251">
      <c r="A251" s="165"/>
      <c r="B251" s="165"/>
      <c r="C251" s="165"/>
      <c r="D251" s="165"/>
      <c r="E251" s="292"/>
      <c r="F251" s="277"/>
      <c r="G251" s="165"/>
      <c r="H251" s="277"/>
      <c r="I251" s="277"/>
      <c r="J251" s="165"/>
      <c r="K251" s="165"/>
      <c r="L251" s="165"/>
      <c r="M251" s="165"/>
      <c r="N251" s="165"/>
      <c r="O251" s="165"/>
      <c r="P251" s="165"/>
      <c r="Q251" s="165"/>
      <c r="R251" s="165"/>
      <c r="S251" s="165"/>
      <c r="T251" s="165"/>
      <c r="U251" s="165"/>
      <c r="V251" s="165"/>
      <c r="W251" s="165"/>
      <c r="X251" s="165" t="str">
        <f>IFERROR(__xludf.DUMMYFUNCTION("""COMPUTED_VALUE"""),"CC-MVP-44.05")</f>
        <v>CC-MVP-44.05</v>
      </c>
      <c r="Y251" s="285" t="str">
        <f>IFERROR(__xludf.DUMMYFUNCTION("""COMPUTED_VALUE"""),"Done")</f>
        <v>Done</v>
      </c>
      <c r="Z251" s="284">
        <f>IFERROR(__xludf.DUMMYFUNCTION("""COMPUTED_VALUE"""),45237.0)</f>
        <v>45237</v>
      </c>
      <c r="AA251" s="165" t="str">
        <f>IFERROR(__xludf.DUMMYFUNCTION("""COMPUTED_VALUE"""),"Tazeen")</f>
        <v>Tazeen</v>
      </c>
      <c r="AB251" s="165" t="str">
        <f>IFERROR(__xludf.DUMMYFUNCTION("""COMPUTED_VALUE"""),"Edit")</f>
        <v>Edit</v>
      </c>
      <c r="AC251" s="165"/>
      <c r="AD251" s="165"/>
      <c r="AE251" s="165"/>
      <c r="AF251" s="165"/>
      <c r="AG251" s="165"/>
      <c r="AH251" s="165"/>
      <c r="AI251" s="165"/>
      <c r="AJ251" s="165"/>
      <c r="AK251" s="165"/>
      <c r="AL251" s="165"/>
    </row>
    <row r="252">
      <c r="A252" s="165"/>
      <c r="B252" s="165"/>
      <c r="C252" s="165"/>
      <c r="D252" s="165"/>
      <c r="E252" s="292"/>
      <c r="F252" s="277"/>
      <c r="G252" s="165"/>
      <c r="H252" s="277"/>
      <c r="I252" s="277"/>
      <c r="J252" s="165"/>
      <c r="K252" s="165"/>
      <c r="L252" s="165"/>
      <c r="M252" s="165"/>
      <c r="N252" s="165"/>
      <c r="O252" s="165"/>
      <c r="P252" s="165"/>
      <c r="Q252" s="165"/>
      <c r="R252" s="165"/>
      <c r="S252" s="165"/>
      <c r="T252" s="165"/>
      <c r="U252" s="165"/>
      <c r="V252" s="165"/>
      <c r="W252" s="165"/>
      <c r="X252" s="165" t="str">
        <f>IFERROR(__xludf.DUMMYFUNCTION("""COMPUTED_VALUE"""),"CC-MVP-44.06")</f>
        <v>CC-MVP-44.06</v>
      </c>
      <c r="Y252" s="285" t="str">
        <f>IFERROR(__xludf.DUMMYFUNCTION("""COMPUTED_VALUE"""),"Done")</f>
        <v>Done</v>
      </c>
      <c r="Z252" s="284">
        <f>IFERROR(__xludf.DUMMYFUNCTION("""COMPUTED_VALUE"""),45237.0)</f>
        <v>45237</v>
      </c>
      <c r="AA252" s="165" t="str">
        <f>IFERROR(__xludf.DUMMYFUNCTION("""COMPUTED_VALUE"""),"Naveen")</f>
        <v>Naveen</v>
      </c>
      <c r="AB252" s="165" t="str">
        <f>IFERROR(__xludf.DUMMYFUNCTION("""COMPUTED_VALUE"""),"Thumbnail")</f>
        <v>Thumbnail</v>
      </c>
      <c r="AC252" s="165"/>
      <c r="AD252" s="165"/>
      <c r="AE252" s="165"/>
      <c r="AF252" s="165"/>
      <c r="AG252" s="165"/>
      <c r="AH252" s="165"/>
      <c r="AI252" s="165"/>
      <c r="AJ252" s="165"/>
      <c r="AK252" s="165"/>
      <c r="AL252" s="165"/>
    </row>
    <row r="253">
      <c r="A253" s="165"/>
      <c r="B253" s="165"/>
      <c r="C253" s="165"/>
      <c r="D253" s="165"/>
      <c r="E253" s="292"/>
      <c r="F253" s="277"/>
      <c r="G253" s="165"/>
      <c r="H253" s="277"/>
      <c r="I253" s="277"/>
      <c r="J253" s="165"/>
      <c r="K253" s="165"/>
      <c r="L253" s="165"/>
      <c r="M253" s="165"/>
      <c r="N253" s="165"/>
      <c r="O253" s="165"/>
      <c r="P253" s="165"/>
      <c r="Q253" s="165"/>
      <c r="R253" s="165"/>
      <c r="S253" s="165"/>
      <c r="T253" s="165"/>
      <c r="U253" s="165"/>
      <c r="V253" s="165"/>
      <c r="W253" s="165"/>
      <c r="X253" s="165" t="str">
        <f>IFERROR(__xludf.DUMMYFUNCTION("""COMPUTED_VALUE"""),"CC-MVP-87.07")</f>
        <v>CC-MVP-87.07</v>
      </c>
      <c r="Y253" s="285" t="str">
        <f>IFERROR(__xludf.DUMMYFUNCTION("""COMPUTED_VALUE"""),"Done")</f>
        <v>Done</v>
      </c>
      <c r="Z253" s="284">
        <f>IFERROR(__xludf.DUMMYFUNCTION("""COMPUTED_VALUE"""),45237.0)</f>
        <v>45237</v>
      </c>
      <c r="AA253" s="165" t="str">
        <f>IFERROR(__xludf.DUMMYFUNCTION("""COMPUTED_VALUE"""),"Talha")</f>
        <v>Talha</v>
      </c>
      <c r="AB253" s="165" t="str">
        <f>IFERROR(__xludf.DUMMYFUNCTION("""COMPUTED_VALUE"""),"Upload")</f>
        <v>Upload</v>
      </c>
      <c r="AC253" s="165"/>
      <c r="AD253" s="165"/>
      <c r="AE253" s="165"/>
      <c r="AF253" s="165"/>
      <c r="AG253" s="165"/>
      <c r="AH253" s="165"/>
      <c r="AI253" s="165"/>
      <c r="AJ253" s="165"/>
      <c r="AK253" s="165"/>
      <c r="AL253" s="165"/>
    </row>
    <row r="254">
      <c r="A254" s="165"/>
      <c r="B254" s="165"/>
      <c r="C254" s="165"/>
      <c r="D254" s="165"/>
      <c r="E254" s="292"/>
      <c r="F254" s="277"/>
      <c r="G254" s="165"/>
      <c r="H254" s="277"/>
      <c r="I254" s="277"/>
      <c r="J254" s="165"/>
      <c r="K254" s="165"/>
      <c r="L254" s="165"/>
      <c r="M254" s="165"/>
      <c r="N254" s="165"/>
      <c r="O254" s="165"/>
      <c r="P254" s="165"/>
      <c r="Q254" s="165"/>
      <c r="R254" s="165"/>
      <c r="S254" s="165"/>
      <c r="T254" s="165"/>
      <c r="U254" s="165"/>
      <c r="V254" s="165"/>
      <c r="W254" s="165"/>
      <c r="X254" s="165" t="str">
        <f>IFERROR(__xludf.DUMMYFUNCTION("""COMPUTED_VALUE"""),"CC-MVP-88.01")</f>
        <v>CC-MVP-88.01</v>
      </c>
      <c r="Y254" s="285" t="str">
        <f>IFERROR(__xludf.DUMMYFUNCTION("""COMPUTED_VALUE"""),"Done")</f>
        <v>Done</v>
      </c>
      <c r="Z254" s="284">
        <f>IFERROR(__xludf.DUMMYFUNCTION("""COMPUTED_VALUE"""),45237.0)</f>
        <v>45237</v>
      </c>
      <c r="AA254" s="165" t="str">
        <f>IFERROR(__xludf.DUMMYFUNCTION("""COMPUTED_VALUE"""),"Talha")</f>
        <v>Talha</v>
      </c>
      <c r="AB254" s="165" t="str">
        <f>IFERROR(__xludf.DUMMYFUNCTION("""COMPUTED_VALUE"""),"Edit ")</f>
        <v>Edit </v>
      </c>
      <c r="AC254" s="165"/>
      <c r="AD254" s="165"/>
      <c r="AE254" s="165"/>
      <c r="AF254" s="165"/>
      <c r="AG254" s="165"/>
      <c r="AH254" s="165"/>
      <c r="AI254" s="165"/>
      <c r="AJ254" s="165"/>
      <c r="AK254" s="165"/>
      <c r="AL254" s="165"/>
    </row>
    <row r="255">
      <c r="A255" s="165"/>
      <c r="B255" s="165"/>
      <c r="C255" s="165"/>
      <c r="D255" s="165"/>
      <c r="E255" s="292"/>
      <c r="F255" s="277"/>
      <c r="G255" s="165"/>
      <c r="H255" s="277"/>
      <c r="I255" s="277"/>
      <c r="J255" s="165"/>
      <c r="K255" s="165"/>
      <c r="L255" s="165"/>
      <c r="M255" s="165"/>
      <c r="N255" s="165"/>
      <c r="O255" s="165"/>
      <c r="P255" s="165"/>
      <c r="Q255" s="165"/>
      <c r="R255" s="165"/>
      <c r="S255" s="165"/>
      <c r="T255" s="165"/>
      <c r="U255" s="165"/>
      <c r="V255" s="165"/>
      <c r="W255" s="165"/>
      <c r="X255" s="165" t="str">
        <f>IFERROR(__xludf.DUMMYFUNCTION("""COMPUTED_VALUE"""),"CC-MVP-88.02")</f>
        <v>CC-MVP-88.02</v>
      </c>
      <c r="Y255" s="285" t="str">
        <f>IFERROR(__xludf.DUMMYFUNCTION("""COMPUTED_VALUE"""),"Done")</f>
        <v>Done</v>
      </c>
      <c r="Z255" s="284">
        <f>IFERROR(__xludf.DUMMYFUNCTION("""COMPUTED_VALUE"""),45237.0)</f>
        <v>45237</v>
      </c>
      <c r="AA255" s="165" t="str">
        <f>IFERROR(__xludf.DUMMYFUNCTION("""COMPUTED_VALUE"""),"Akhil")</f>
        <v>Akhil</v>
      </c>
      <c r="AB255" s="165" t="str">
        <f>IFERROR(__xludf.DUMMYFUNCTION("""COMPUTED_VALUE"""),"Thumbnail ")</f>
        <v>Thumbnail </v>
      </c>
      <c r="AC255" s="165"/>
      <c r="AD255" s="165"/>
      <c r="AE255" s="165"/>
      <c r="AF255" s="165"/>
      <c r="AG255" s="165"/>
      <c r="AH255" s="165"/>
      <c r="AI255" s="165"/>
      <c r="AJ255" s="165"/>
      <c r="AK255" s="165"/>
      <c r="AL255" s="165"/>
    </row>
    <row r="256">
      <c r="A256" s="165"/>
      <c r="B256" s="165"/>
      <c r="C256" s="165"/>
      <c r="D256" s="165"/>
      <c r="E256" s="292"/>
      <c r="F256" s="277"/>
      <c r="G256" s="165"/>
      <c r="H256" s="277"/>
      <c r="I256" s="277"/>
      <c r="J256" s="165"/>
      <c r="K256" s="165"/>
      <c r="L256" s="165"/>
      <c r="M256" s="165"/>
      <c r="N256" s="165"/>
      <c r="O256" s="165"/>
      <c r="P256" s="165"/>
      <c r="Q256" s="165"/>
      <c r="R256" s="165"/>
      <c r="S256" s="165"/>
      <c r="T256" s="165"/>
      <c r="U256" s="165"/>
      <c r="V256" s="165"/>
      <c r="W256" s="165"/>
      <c r="X256" s="165" t="str">
        <f>IFERROR(__xludf.DUMMYFUNCTION("""COMPUTED_VALUE"""),"CC-MVP-88.04")</f>
        <v>CC-MVP-88.04</v>
      </c>
      <c r="Y256" s="285" t="str">
        <f>IFERROR(__xludf.DUMMYFUNCTION("""COMPUTED_VALUE"""),"Done")</f>
        <v>Done</v>
      </c>
      <c r="Z256" s="284">
        <f>IFERROR(__xludf.DUMMYFUNCTION("""COMPUTED_VALUE"""),45237.0)</f>
        <v>45237</v>
      </c>
      <c r="AA256" s="165" t="str">
        <f>IFERROR(__xludf.DUMMYFUNCTION("""COMPUTED_VALUE"""),"Talha")</f>
        <v>Talha</v>
      </c>
      <c r="AB256" s="165" t="str">
        <f>IFERROR(__xludf.DUMMYFUNCTION("""COMPUTED_VALUE"""),"Upload")</f>
        <v>Upload</v>
      </c>
      <c r="AC256" s="165"/>
      <c r="AD256" s="165"/>
      <c r="AE256" s="165"/>
      <c r="AF256" s="165"/>
      <c r="AG256" s="165"/>
      <c r="AH256" s="165"/>
      <c r="AI256" s="165"/>
      <c r="AJ256" s="165"/>
      <c r="AK256" s="165"/>
      <c r="AL256" s="165"/>
    </row>
    <row r="257">
      <c r="A257" s="165"/>
      <c r="B257" s="165"/>
      <c r="C257" s="165"/>
      <c r="D257" s="165"/>
      <c r="E257" s="292"/>
      <c r="F257" s="277"/>
      <c r="G257" s="165"/>
      <c r="H257" s="277"/>
      <c r="I257" s="277"/>
      <c r="J257" s="165"/>
      <c r="K257" s="165"/>
      <c r="L257" s="165"/>
      <c r="M257" s="165"/>
      <c r="N257" s="165"/>
      <c r="O257" s="165"/>
      <c r="P257" s="165"/>
      <c r="Q257" s="165"/>
      <c r="R257" s="165"/>
      <c r="S257" s="165"/>
      <c r="T257" s="165"/>
      <c r="U257" s="165"/>
      <c r="V257" s="165"/>
      <c r="W257" s="165"/>
      <c r="X257" s="165" t="str">
        <f>IFERROR(__xludf.DUMMYFUNCTION("""COMPUTED_VALUE"""),"CC-MVP-66.01")</f>
        <v>CC-MVP-66.01</v>
      </c>
      <c r="Y257" s="285" t="str">
        <f>IFERROR(__xludf.DUMMYFUNCTION("""COMPUTED_VALUE"""),"Done")</f>
        <v>Done</v>
      </c>
      <c r="Z257" s="284">
        <f>IFERROR(__xludf.DUMMYFUNCTION("""COMPUTED_VALUE"""),45237.0)</f>
        <v>45237</v>
      </c>
      <c r="AA257" s="165" t="str">
        <f>IFERROR(__xludf.DUMMYFUNCTION("""COMPUTED_VALUE"""),"Nasser")</f>
        <v>Nasser</v>
      </c>
      <c r="AB257" s="165" t="str">
        <f>IFERROR(__xludf.DUMMYFUNCTION("""COMPUTED_VALUE"""),"Script")</f>
        <v>Script</v>
      </c>
      <c r="AC257" s="165"/>
      <c r="AD257" s="165"/>
      <c r="AE257" s="165"/>
      <c r="AF257" s="165"/>
      <c r="AG257" s="165"/>
      <c r="AH257" s="165"/>
      <c r="AI257" s="165"/>
      <c r="AJ257" s="165"/>
      <c r="AK257" s="165"/>
      <c r="AL257" s="165"/>
    </row>
    <row r="258">
      <c r="A258" s="165"/>
      <c r="B258" s="165"/>
      <c r="C258" s="165"/>
      <c r="D258" s="165"/>
      <c r="E258" s="292"/>
      <c r="F258" s="277"/>
      <c r="G258" s="165"/>
      <c r="H258" s="277"/>
      <c r="I258" s="277"/>
      <c r="J258" s="165"/>
      <c r="K258" s="165"/>
      <c r="L258" s="165"/>
      <c r="M258" s="165"/>
      <c r="N258" s="165"/>
      <c r="O258" s="165"/>
      <c r="P258" s="165"/>
      <c r="Q258" s="165"/>
      <c r="R258" s="165"/>
      <c r="S258" s="165"/>
      <c r="T258" s="165"/>
      <c r="U258" s="165"/>
      <c r="V258" s="165"/>
      <c r="W258" s="165"/>
      <c r="X258" s="165" t="str">
        <f>IFERROR(__xludf.DUMMYFUNCTION("""COMPUTED_VALUE"""),"CC-MVP-66.02")</f>
        <v>CC-MVP-66.02</v>
      </c>
      <c r="Y258" s="285" t="str">
        <f>IFERROR(__xludf.DUMMYFUNCTION("""COMPUTED_VALUE"""),"Done")</f>
        <v>Done</v>
      </c>
      <c r="Z258" s="284">
        <f>IFERROR(__xludf.DUMMYFUNCTION("""COMPUTED_VALUE"""),45237.0)</f>
        <v>45237</v>
      </c>
      <c r="AA258" s="165" t="str">
        <f>IFERROR(__xludf.DUMMYFUNCTION("""COMPUTED_VALUE"""),"Naveen")</f>
        <v>Naveen</v>
      </c>
      <c r="AB258" s="165" t="str">
        <f>IFERROR(__xludf.DUMMYFUNCTION("""COMPUTED_VALUE"""),"Shoot (Fractal North)")</f>
        <v>Shoot (Fractal North)</v>
      </c>
      <c r="AC258" s="165"/>
      <c r="AD258" s="165"/>
      <c r="AE258" s="165"/>
      <c r="AF258" s="165"/>
      <c r="AG258" s="165"/>
      <c r="AH258" s="165"/>
      <c r="AI258" s="165"/>
      <c r="AJ258" s="165"/>
      <c r="AK258" s="165"/>
      <c r="AL258" s="165"/>
    </row>
    <row r="259">
      <c r="A259" s="165"/>
      <c r="B259" s="165"/>
      <c r="C259" s="165"/>
      <c r="D259" s="165"/>
      <c r="E259" s="292"/>
      <c r="F259" s="277"/>
      <c r="G259" s="165"/>
      <c r="H259" s="277"/>
      <c r="I259" s="277"/>
      <c r="J259" s="165"/>
      <c r="K259" s="165"/>
      <c r="L259" s="165"/>
      <c r="M259" s="165"/>
      <c r="N259" s="165"/>
      <c r="O259" s="165"/>
      <c r="P259" s="165"/>
      <c r="Q259" s="165"/>
      <c r="R259" s="165"/>
      <c r="S259" s="165"/>
      <c r="T259" s="165"/>
      <c r="U259" s="165"/>
      <c r="V259" s="165"/>
      <c r="W259" s="165"/>
      <c r="X259" s="165" t="str">
        <f>IFERROR(__xludf.DUMMYFUNCTION("""COMPUTED_VALUE"""),"CC-MVP-82.01")</f>
        <v>CC-MVP-82.01</v>
      </c>
      <c r="Y259" s="285" t="str">
        <f>IFERROR(__xludf.DUMMYFUNCTION("""COMPUTED_VALUE"""),"Not Started")</f>
        <v>Not Started</v>
      </c>
      <c r="Z259" s="284">
        <f>IFERROR(__xludf.DUMMYFUNCTION("""COMPUTED_VALUE"""),45237.0)</f>
        <v>45237</v>
      </c>
      <c r="AA259" s="165"/>
      <c r="AB259" s="165" t="str">
        <f>IFERROR(__xludf.DUMMYFUNCTION("""COMPUTED_VALUE"""),"Script")</f>
        <v>Script</v>
      </c>
      <c r="AC259" s="165"/>
      <c r="AD259" s="165"/>
      <c r="AE259" s="165"/>
      <c r="AF259" s="165"/>
      <c r="AG259" s="165"/>
      <c r="AH259" s="165"/>
      <c r="AI259" s="165"/>
      <c r="AJ259" s="165"/>
      <c r="AK259" s="165"/>
      <c r="AL259" s="165"/>
    </row>
    <row r="260">
      <c r="A260" s="165"/>
      <c r="B260" s="165"/>
      <c r="C260" s="165"/>
      <c r="D260" s="165"/>
      <c r="E260" s="292"/>
      <c r="F260" s="277"/>
      <c r="G260" s="165"/>
      <c r="H260" s="277"/>
      <c r="I260" s="277"/>
      <c r="J260" s="165"/>
      <c r="K260" s="165"/>
      <c r="L260" s="165"/>
      <c r="M260" s="165"/>
      <c r="N260" s="165"/>
      <c r="O260" s="165"/>
      <c r="P260" s="165"/>
      <c r="Q260" s="165"/>
      <c r="R260" s="165"/>
      <c r="S260" s="165"/>
      <c r="T260" s="165"/>
      <c r="U260" s="165"/>
      <c r="V260" s="165"/>
      <c r="W260" s="165"/>
      <c r="X260" s="165" t="str">
        <f>IFERROR(__xludf.DUMMYFUNCTION("""COMPUTED_VALUE"""),"CC-CTH-12.01")</f>
        <v>CC-CTH-12.01</v>
      </c>
      <c r="Y260" s="285" t="str">
        <f>IFERROR(__xludf.DUMMYFUNCTION("""COMPUTED_VALUE"""),"Done")</f>
        <v>Done</v>
      </c>
      <c r="Z260" s="284">
        <f>IFERROR(__xludf.DUMMYFUNCTION("""COMPUTED_VALUE"""),45237.0)</f>
        <v>45237</v>
      </c>
      <c r="AA260" s="165" t="str">
        <f>IFERROR(__xludf.DUMMYFUNCTION("""COMPUTED_VALUE"""),"Naveen")</f>
        <v>Naveen</v>
      </c>
      <c r="AB260" s="165" t="str">
        <f>IFERROR(__xludf.DUMMYFUNCTION("""COMPUTED_VALUE"""),"Script")</f>
        <v>Script</v>
      </c>
      <c r="AC260" s="165"/>
      <c r="AD260" s="165"/>
      <c r="AE260" s="165"/>
      <c r="AF260" s="165"/>
      <c r="AG260" s="165"/>
      <c r="AH260" s="165"/>
      <c r="AI260" s="165"/>
      <c r="AJ260" s="165"/>
      <c r="AK260" s="165"/>
      <c r="AL260" s="165"/>
    </row>
    <row r="261">
      <c r="A261" s="165"/>
      <c r="B261" s="165"/>
      <c r="C261" s="165"/>
      <c r="D261" s="165"/>
      <c r="E261" s="292"/>
      <c r="F261" s="277"/>
      <c r="G261" s="165"/>
      <c r="H261" s="277"/>
      <c r="I261" s="277"/>
      <c r="J261" s="165"/>
      <c r="K261" s="165"/>
      <c r="L261" s="165"/>
      <c r="M261" s="165"/>
      <c r="N261" s="165"/>
      <c r="O261" s="165"/>
      <c r="P261" s="165"/>
      <c r="Q261" s="165"/>
      <c r="R261" s="165"/>
      <c r="S261" s="165"/>
      <c r="T261" s="165"/>
      <c r="U261" s="165"/>
      <c r="V261" s="165"/>
      <c r="W261" s="165"/>
      <c r="X261" s="165" t="str">
        <f>IFERROR(__xludf.DUMMYFUNCTION("""COMPUTED_VALUE"""),"CC-CTH-10.05")</f>
        <v>CC-CTH-10.05</v>
      </c>
      <c r="Y261" s="285" t="str">
        <f>IFERROR(__xludf.DUMMYFUNCTION("""COMPUTED_VALUE"""),"Done")</f>
        <v>Done</v>
      </c>
      <c r="Z261" s="284">
        <f>IFERROR(__xludf.DUMMYFUNCTION("""COMPUTED_VALUE"""),45237.0)</f>
        <v>45237</v>
      </c>
      <c r="AA261" s="165" t="str">
        <f>IFERROR(__xludf.DUMMYFUNCTION("""COMPUTED_VALUE"""),"Naveen")</f>
        <v>Naveen</v>
      </c>
      <c r="AB261" s="165" t="str">
        <f>IFERROR(__xludf.DUMMYFUNCTION("""COMPUTED_VALUE"""),"Re-Script")</f>
        <v>Re-Script</v>
      </c>
      <c r="AC261" s="165"/>
      <c r="AD261" s="165"/>
      <c r="AE261" s="165"/>
      <c r="AF261" s="165"/>
      <c r="AG261" s="165"/>
      <c r="AH261" s="165"/>
      <c r="AI261" s="165"/>
      <c r="AJ261" s="165"/>
      <c r="AK261" s="165"/>
      <c r="AL261" s="165"/>
    </row>
    <row r="262">
      <c r="A262" s="165"/>
      <c r="B262" s="165"/>
      <c r="C262" s="165"/>
      <c r="D262" s="165"/>
      <c r="E262" s="292"/>
      <c r="F262" s="277"/>
      <c r="G262" s="165"/>
      <c r="H262" s="277"/>
      <c r="I262" s="277"/>
      <c r="J262" s="165"/>
      <c r="K262" s="165"/>
      <c r="L262" s="165"/>
      <c r="M262" s="165"/>
      <c r="N262" s="165"/>
      <c r="O262" s="165"/>
      <c r="P262" s="165"/>
      <c r="Q262" s="165"/>
      <c r="R262" s="165"/>
      <c r="S262" s="165"/>
      <c r="T262" s="165"/>
      <c r="U262" s="165"/>
      <c r="V262" s="165"/>
      <c r="W262" s="165"/>
      <c r="X262" s="165" t="str">
        <f>IFERROR(__xludf.DUMMYFUNCTION("""COMPUTED_VALUE"""),"CC-INN-23.03")</f>
        <v>CC-INN-23.03</v>
      </c>
      <c r="Y262" s="285" t="str">
        <f>IFERROR(__xludf.DUMMYFUNCTION("""COMPUTED_VALUE"""),"Done")</f>
        <v>Done</v>
      </c>
      <c r="Z262" s="284">
        <f>IFERROR(__xludf.DUMMYFUNCTION("""COMPUTED_VALUE"""),45237.0)</f>
        <v>45237</v>
      </c>
      <c r="AA262" s="165" t="str">
        <f>IFERROR(__xludf.DUMMYFUNCTION("""COMPUTED_VALUE"""),"Naveen")</f>
        <v>Naveen</v>
      </c>
      <c r="AB262" s="165" t="str">
        <f>IFERROR(__xludf.DUMMYFUNCTION("""COMPUTED_VALUE"""),"Edit")</f>
        <v>Edit</v>
      </c>
      <c r="AC262" s="165"/>
      <c r="AD262" s="165"/>
      <c r="AE262" s="165"/>
      <c r="AF262" s="165"/>
      <c r="AG262" s="165"/>
      <c r="AH262" s="165"/>
      <c r="AI262" s="165"/>
      <c r="AJ262" s="165"/>
      <c r="AK262" s="165"/>
      <c r="AL262" s="165"/>
    </row>
    <row r="263">
      <c r="A263" s="165"/>
      <c r="B263" s="165"/>
      <c r="C263" s="165"/>
      <c r="D263" s="165"/>
      <c r="E263" s="292"/>
      <c r="F263" s="277"/>
      <c r="G263" s="165"/>
      <c r="H263" s="277"/>
      <c r="I263" s="277"/>
      <c r="J263" s="165"/>
      <c r="K263" s="165"/>
      <c r="L263" s="165"/>
      <c r="M263" s="165"/>
      <c r="N263" s="165"/>
      <c r="O263" s="165"/>
      <c r="P263" s="165"/>
      <c r="Q263" s="165"/>
      <c r="R263" s="165"/>
      <c r="S263" s="165"/>
      <c r="T263" s="165"/>
      <c r="U263" s="165"/>
      <c r="V263" s="165"/>
      <c r="W263" s="165"/>
      <c r="X263" s="165" t="str">
        <f>IFERROR(__xludf.DUMMYFUNCTION("""COMPUTED_VALUE"""),"CC-INN-23.04")</f>
        <v>CC-INN-23.04</v>
      </c>
      <c r="Y263" s="285" t="str">
        <f>IFERROR(__xludf.DUMMYFUNCTION("""COMPUTED_VALUE"""),"Done")</f>
        <v>Done</v>
      </c>
      <c r="Z263" s="284">
        <f>IFERROR(__xludf.DUMMYFUNCTION("""COMPUTED_VALUE"""),45237.0)</f>
        <v>45237</v>
      </c>
      <c r="AA263" s="165" t="str">
        <f>IFERROR(__xludf.DUMMYFUNCTION("""COMPUTED_VALUE"""),"Naveen")</f>
        <v>Naveen</v>
      </c>
      <c r="AB263" s="165" t="str">
        <f>IFERROR(__xludf.DUMMYFUNCTION("""COMPUTED_VALUE"""),"Upload")</f>
        <v>Upload</v>
      </c>
      <c r="AC263" s="165"/>
      <c r="AD263" s="165"/>
      <c r="AE263" s="165"/>
      <c r="AF263" s="165"/>
      <c r="AG263" s="165"/>
      <c r="AH263" s="165"/>
      <c r="AI263" s="165"/>
      <c r="AJ263" s="165"/>
      <c r="AK263" s="165"/>
      <c r="AL263" s="165"/>
    </row>
    <row r="264">
      <c r="A264" s="165"/>
      <c r="B264" s="165"/>
      <c r="C264" s="165"/>
      <c r="D264" s="165"/>
      <c r="E264" s="292"/>
      <c r="F264" s="277"/>
      <c r="G264" s="165"/>
      <c r="H264" s="277"/>
      <c r="I264" s="277"/>
      <c r="J264" s="165"/>
      <c r="K264" s="165"/>
      <c r="L264" s="165"/>
      <c r="M264" s="165"/>
      <c r="N264" s="165"/>
      <c r="O264" s="165"/>
      <c r="P264" s="165"/>
      <c r="Q264" s="165"/>
      <c r="R264" s="165"/>
      <c r="S264" s="165"/>
      <c r="T264" s="165"/>
      <c r="U264" s="165"/>
      <c r="V264" s="165"/>
      <c r="W264" s="165"/>
      <c r="X264" s="165" t="str">
        <f>IFERROR(__xludf.DUMMYFUNCTION("""COMPUTED_VALUE"""),"CC-INN-29.01")</f>
        <v>CC-INN-29.01</v>
      </c>
      <c r="Y264" s="285" t="str">
        <f>IFERROR(__xludf.DUMMYFUNCTION("""COMPUTED_VALUE"""),"Done")</f>
        <v>Done</v>
      </c>
      <c r="Z264" s="284">
        <f>IFERROR(__xludf.DUMMYFUNCTION("""COMPUTED_VALUE"""),45237.0)</f>
        <v>45237</v>
      </c>
      <c r="AA264" s="165" t="str">
        <f>IFERROR(__xludf.DUMMYFUNCTION("""COMPUTED_VALUE"""),"Naveen")</f>
        <v>Naveen</v>
      </c>
      <c r="AB264" s="165" t="str">
        <f>IFERROR(__xludf.DUMMYFUNCTION("""COMPUTED_VALUE"""),"Reword")</f>
        <v>Reword</v>
      </c>
      <c r="AC264" s="165"/>
      <c r="AD264" s="165"/>
      <c r="AE264" s="165"/>
      <c r="AF264" s="165"/>
      <c r="AG264" s="165"/>
      <c r="AH264" s="165"/>
      <c r="AI264" s="165"/>
      <c r="AJ264" s="165"/>
      <c r="AK264" s="165"/>
      <c r="AL264" s="165"/>
    </row>
    <row r="265">
      <c r="A265" s="165"/>
      <c r="B265" s="165"/>
      <c r="C265" s="165"/>
      <c r="D265" s="165"/>
      <c r="E265" s="292"/>
      <c r="F265" s="277"/>
      <c r="G265" s="165"/>
      <c r="H265" s="277"/>
      <c r="I265" s="277"/>
      <c r="J265" s="165"/>
      <c r="K265" s="165"/>
      <c r="L265" s="165"/>
      <c r="M265" s="165"/>
      <c r="N265" s="165"/>
      <c r="O265" s="165"/>
      <c r="P265" s="165"/>
      <c r="Q265" s="165"/>
      <c r="R265" s="165"/>
      <c r="S265" s="165"/>
      <c r="T265" s="165"/>
      <c r="U265" s="165"/>
      <c r="V265" s="165"/>
      <c r="W265" s="165"/>
      <c r="X265" s="165" t="str">
        <f>IFERROR(__xludf.DUMMYFUNCTION("""COMPUTED_VALUE"""),"PM-PTS-08.01")</f>
        <v>PM-PTS-08.01</v>
      </c>
      <c r="Y265" s="285" t="str">
        <f>IFERROR(__xludf.DUMMYFUNCTION("""COMPUTED_VALUE"""),"On Hold")</f>
        <v>On Hold</v>
      </c>
      <c r="Z265" s="284">
        <f>IFERROR(__xludf.DUMMYFUNCTION("""COMPUTED_VALUE"""),45237.0)</f>
        <v>45237</v>
      </c>
      <c r="AA265" s="165" t="str">
        <f>IFERROR(__xludf.DUMMYFUNCTION("""COMPUTED_VALUE"""),"Freelancer")</f>
        <v>Freelancer</v>
      </c>
      <c r="AB265" s="165" t="str">
        <f>IFERROR(__xludf.DUMMYFUNCTION("""COMPUTED_VALUE"""),"Script")</f>
        <v>Script</v>
      </c>
      <c r="AC265" s="165"/>
      <c r="AD265" s="165"/>
      <c r="AE265" s="165"/>
      <c r="AF265" s="165"/>
      <c r="AG265" s="165"/>
      <c r="AH265" s="165"/>
      <c r="AI265" s="165"/>
      <c r="AJ265" s="165"/>
      <c r="AK265" s="165"/>
      <c r="AL265" s="165"/>
    </row>
    <row r="266">
      <c r="A266" s="165"/>
      <c r="B266" s="165"/>
      <c r="C266" s="165"/>
      <c r="D266" s="165"/>
      <c r="E266" s="292"/>
      <c r="F266" s="277"/>
      <c r="G266" s="165"/>
      <c r="H266" s="277"/>
      <c r="I266" s="277"/>
      <c r="J266" s="165"/>
      <c r="K266" s="165"/>
      <c r="L266" s="165"/>
      <c r="M266" s="165"/>
      <c r="N266" s="165"/>
      <c r="O266" s="165"/>
      <c r="P266" s="165"/>
      <c r="Q266" s="165"/>
      <c r="R266" s="165"/>
      <c r="S266" s="165"/>
      <c r="T266" s="165"/>
      <c r="U266" s="165"/>
      <c r="V266" s="165"/>
      <c r="W266" s="165"/>
      <c r="X266" s="165" t="str">
        <f>IFERROR(__xludf.DUMMYFUNCTION("""COMPUTED_VALUE"""),"CC-MVP-44.07")</f>
        <v>CC-MVP-44.07</v>
      </c>
      <c r="Y266" s="285" t="str">
        <f>IFERROR(__xludf.DUMMYFUNCTION("""COMPUTED_VALUE"""),"Done")</f>
        <v>Done</v>
      </c>
      <c r="Z266" s="284">
        <f>IFERROR(__xludf.DUMMYFUNCTION("""COMPUTED_VALUE"""),45238.0)</f>
        <v>45238</v>
      </c>
      <c r="AA266" s="165" t="str">
        <f>IFERROR(__xludf.DUMMYFUNCTION("""COMPUTED_VALUE"""),"Talha")</f>
        <v>Talha</v>
      </c>
      <c r="AB266" s="165" t="str">
        <f>IFERROR(__xludf.DUMMYFUNCTION("""COMPUTED_VALUE"""),"Upload")</f>
        <v>Upload</v>
      </c>
      <c r="AC266" s="165"/>
      <c r="AD266" s="165"/>
      <c r="AE266" s="165"/>
      <c r="AF266" s="165"/>
      <c r="AG266" s="165"/>
      <c r="AH266" s="165"/>
      <c r="AI266" s="165"/>
      <c r="AJ266" s="165"/>
      <c r="AK266" s="165"/>
      <c r="AL266" s="165"/>
    </row>
    <row r="267">
      <c r="A267" s="165"/>
      <c r="B267" s="165"/>
      <c r="C267" s="165"/>
      <c r="D267" s="165"/>
      <c r="E267" s="292"/>
      <c r="F267" s="277"/>
      <c r="G267" s="165"/>
      <c r="H267" s="277"/>
      <c r="I267" s="277"/>
      <c r="J267" s="165"/>
      <c r="K267" s="165"/>
      <c r="L267" s="165"/>
      <c r="M267" s="165"/>
      <c r="N267" s="165"/>
      <c r="O267" s="165"/>
      <c r="P267" s="165"/>
      <c r="Q267" s="165"/>
      <c r="R267" s="165"/>
      <c r="S267" s="165"/>
      <c r="T267" s="165"/>
      <c r="U267" s="165"/>
      <c r="V267" s="165"/>
      <c r="W267" s="165"/>
      <c r="X267" s="165" t="str">
        <f>IFERROR(__xludf.DUMMYFUNCTION("""COMPUTED_VALUE"""),"CC-MVP-88.03")</f>
        <v>CC-MVP-88.03</v>
      </c>
      <c r="Y267" s="285" t="str">
        <f>IFERROR(__xludf.DUMMYFUNCTION("""COMPUTED_VALUE"""),"Done")</f>
        <v>Done</v>
      </c>
      <c r="Z267" s="284">
        <f>IFERROR(__xludf.DUMMYFUNCTION("""COMPUTED_VALUE"""),45238.0)</f>
        <v>45238</v>
      </c>
      <c r="AA267" s="165" t="str">
        <f>IFERROR(__xludf.DUMMYFUNCTION("""COMPUTED_VALUE"""),"Akhil")</f>
        <v>Akhil</v>
      </c>
      <c r="AB267" s="165" t="str">
        <f>IFERROR(__xludf.DUMMYFUNCTION("""COMPUTED_VALUE"""),"YT Video Thumbnail")</f>
        <v>YT Video Thumbnail</v>
      </c>
      <c r="AC267" s="165"/>
      <c r="AD267" s="165"/>
      <c r="AE267" s="165"/>
      <c r="AF267" s="165"/>
      <c r="AG267" s="165"/>
      <c r="AH267" s="165"/>
      <c r="AI267" s="165"/>
      <c r="AJ267" s="165"/>
      <c r="AK267" s="165"/>
      <c r="AL267" s="165"/>
    </row>
    <row r="268">
      <c r="A268" s="165"/>
      <c r="B268" s="165"/>
      <c r="C268" s="165"/>
      <c r="D268" s="165"/>
      <c r="E268" s="292"/>
      <c r="F268" s="277"/>
      <c r="G268" s="165"/>
      <c r="H268" s="277"/>
      <c r="I268" s="277"/>
      <c r="J268" s="165"/>
      <c r="K268" s="165"/>
      <c r="L268" s="165"/>
      <c r="M268" s="165"/>
      <c r="N268" s="165"/>
      <c r="O268" s="165"/>
      <c r="P268" s="165"/>
      <c r="Q268" s="165"/>
      <c r="R268" s="165"/>
      <c r="S268" s="165"/>
      <c r="T268" s="165"/>
      <c r="U268" s="165"/>
      <c r="V268" s="165"/>
      <c r="W268" s="165"/>
      <c r="X268" s="165" t="str">
        <f>IFERROR(__xludf.DUMMYFUNCTION("""COMPUTED_VALUE"""),"CC-MVP-90.06")</f>
        <v>CC-MVP-90.06</v>
      </c>
      <c r="Y268" s="285" t="str">
        <f>IFERROR(__xludf.DUMMYFUNCTION("""COMPUTED_VALUE"""),"Done")</f>
        <v>Done</v>
      </c>
      <c r="Z268" s="284">
        <f>IFERROR(__xludf.DUMMYFUNCTION("""COMPUTED_VALUE"""),45238.0)</f>
        <v>45238</v>
      </c>
      <c r="AA268" s="165" t="str">
        <f>IFERROR(__xludf.DUMMYFUNCTION("""COMPUTED_VALUE"""),"Akhil")</f>
        <v>Akhil</v>
      </c>
      <c r="AB268" s="165" t="str">
        <f>IFERROR(__xludf.DUMMYFUNCTION("""COMPUTED_VALUE"""),"Thumbnail")</f>
        <v>Thumbnail</v>
      </c>
      <c r="AC268" s="165"/>
      <c r="AD268" s="165"/>
      <c r="AE268" s="165"/>
      <c r="AF268" s="165"/>
      <c r="AG268" s="165"/>
      <c r="AH268" s="165"/>
      <c r="AI268" s="165"/>
      <c r="AJ268" s="165"/>
      <c r="AK268" s="165"/>
      <c r="AL268" s="165"/>
    </row>
    <row r="269">
      <c r="A269" s="165"/>
      <c r="B269" s="165"/>
      <c r="C269" s="165"/>
      <c r="D269" s="165"/>
      <c r="E269" s="292"/>
      <c r="F269" s="277"/>
      <c r="G269" s="165"/>
      <c r="H269" s="277"/>
      <c r="I269" s="277"/>
      <c r="J269" s="165"/>
      <c r="K269" s="165"/>
      <c r="L269" s="165"/>
      <c r="M269" s="165"/>
      <c r="N269" s="165"/>
      <c r="O269" s="165"/>
      <c r="P269" s="165"/>
      <c r="Q269" s="165"/>
      <c r="R269" s="165"/>
      <c r="S269" s="165"/>
      <c r="T269" s="165"/>
      <c r="U269" s="165"/>
      <c r="V269" s="165"/>
      <c r="W269" s="165"/>
      <c r="X269" s="165" t="str">
        <f>IFERROR(__xludf.DUMMYFUNCTION("""COMPUTED_VALUE"""),"CC-MVP-90.07")</f>
        <v>CC-MVP-90.07</v>
      </c>
      <c r="Y269" s="285" t="str">
        <f>IFERROR(__xludf.DUMMYFUNCTION("""COMPUTED_VALUE"""),"Done")</f>
        <v>Done</v>
      </c>
      <c r="Z269" s="284">
        <f>IFERROR(__xludf.DUMMYFUNCTION("""COMPUTED_VALUE"""),45238.0)</f>
        <v>45238</v>
      </c>
      <c r="AA269" s="165" t="str">
        <f>IFERROR(__xludf.DUMMYFUNCTION("""COMPUTED_VALUE"""),"Talha")</f>
        <v>Talha</v>
      </c>
      <c r="AB269" s="165" t="str">
        <f>IFERROR(__xludf.DUMMYFUNCTION("""COMPUTED_VALUE"""),"Upload")</f>
        <v>Upload</v>
      </c>
      <c r="AC269" s="165"/>
      <c r="AD269" s="165"/>
      <c r="AE269" s="165"/>
      <c r="AF269" s="165"/>
      <c r="AG269" s="165"/>
      <c r="AH269" s="165"/>
      <c r="AI269" s="165"/>
      <c r="AJ269" s="165"/>
      <c r="AK269" s="165"/>
      <c r="AL269" s="165"/>
    </row>
    <row r="270">
      <c r="A270" s="165"/>
      <c r="B270" s="165"/>
      <c r="C270" s="165"/>
      <c r="D270" s="165"/>
      <c r="E270" s="292"/>
      <c r="F270" s="277"/>
      <c r="G270" s="165"/>
      <c r="H270" s="277"/>
      <c r="I270" s="277"/>
      <c r="J270" s="165"/>
      <c r="K270" s="165"/>
      <c r="L270" s="165"/>
      <c r="M270" s="165"/>
      <c r="N270" s="165"/>
      <c r="O270" s="165"/>
      <c r="P270" s="165"/>
      <c r="Q270" s="165"/>
      <c r="R270" s="165"/>
      <c r="S270" s="165"/>
      <c r="T270" s="165"/>
      <c r="U270" s="165"/>
      <c r="V270" s="165"/>
      <c r="W270" s="165"/>
      <c r="X270" s="165" t="str">
        <f>IFERROR(__xludf.DUMMYFUNCTION("""COMPUTED_VALUE"""),"CC-MVP-100.04")</f>
        <v>CC-MVP-100.04</v>
      </c>
      <c r="Y270" s="285" t="str">
        <f>IFERROR(__xludf.DUMMYFUNCTION("""COMPUTED_VALUE"""),"Done")</f>
        <v>Done</v>
      </c>
      <c r="Z270" s="284">
        <f>IFERROR(__xludf.DUMMYFUNCTION("""COMPUTED_VALUE"""),45238.0)</f>
        <v>45238</v>
      </c>
      <c r="AA270" s="165" t="str">
        <f>IFERROR(__xludf.DUMMYFUNCTION("""COMPUTED_VALUE"""),"Nasser")</f>
        <v>Nasser</v>
      </c>
      <c r="AB270" s="165" t="str">
        <f>IFERROR(__xludf.DUMMYFUNCTION("""COMPUTED_VALUE"""),"Upload")</f>
        <v>Upload</v>
      </c>
      <c r="AC270" s="165"/>
      <c r="AD270" s="165"/>
      <c r="AE270" s="165"/>
      <c r="AF270" s="165"/>
      <c r="AG270" s="165"/>
      <c r="AH270" s="165"/>
      <c r="AI270" s="165"/>
      <c r="AJ270" s="165"/>
      <c r="AK270" s="165"/>
      <c r="AL270" s="165"/>
    </row>
    <row r="271">
      <c r="A271" s="165"/>
      <c r="B271" s="165"/>
      <c r="C271" s="165"/>
      <c r="D271" s="165"/>
      <c r="E271" s="292"/>
      <c r="F271" s="277"/>
      <c r="G271" s="165"/>
      <c r="H271" s="277"/>
      <c r="I271" s="277"/>
      <c r="J271" s="165"/>
      <c r="K271" s="165"/>
      <c r="L271" s="165"/>
      <c r="M271" s="165"/>
      <c r="N271" s="165"/>
      <c r="O271" s="165"/>
      <c r="P271" s="165"/>
      <c r="Q271" s="165"/>
      <c r="R271" s="165"/>
      <c r="S271" s="165"/>
      <c r="T271" s="165"/>
      <c r="U271" s="165"/>
      <c r="V271" s="165"/>
      <c r="W271" s="165"/>
      <c r="X271" s="165" t="str">
        <f>IFERROR(__xludf.DUMMYFUNCTION("""COMPUTED_VALUE"""),"CC-MVP-72.04")</f>
        <v>CC-MVP-72.04</v>
      </c>
      <c r="Y271" s="285" t="str">
        <f>IFERROR(__xludf.DUMMYFUNCTION("""COMPUTED_VALUE"""),"Done")</f>
        <v>Done</v>
      </c>
      <c r="Z271" s="284">
        <f>IFERROR(__xludf.DUMMYFUNCTION("""COMPUTED_VALUE"""),45238.0)</f>
        <v>45238</v>
      </c>
      <c r="AA271" s="165" t="str">
        <f>IFERROR(__xludf.DUMMYFUNCTION("""COMPUTED_VALUE"""),"Talha")</f>
        <v>Talha</v>
      </c>
      <c r="AB271" s="165" t="str">
        <f>IFERROR(__xludf.DUMMYFUNCTION("""COMPUTED_VALUE"""),"Upload")</f>
        <v>Upload</v>
      </c>
      <c r="AC271" s="165"/>
      <c r="AD271" s="165"/>
      <c r="AE271" s="165"/>
      <c r="AF271" s="165"/>
      <c r="AG271" s="165"/>
      <c r="AH271" s="165"/>
      <c r="AI271" s="165"/>
      <c r="AJ271" s="165"/>
      <c r="AK271" s="165"/>
      <c r="AL271" s="165"/>
    </row>
    <row r="272">
      <c r="A272" s="165"/>
      <c r="B272" s="165"/>
      <c r="C272" s="165"/>
      <c r="D272" s="165"/>
      <c r="E272" s="292"/>
      <c r="F272" s="277"/>
      <c r="G272" s="165"/>
      <c r="H272" s="277"/>
      <c r="I272" s="277"/>
      <c r="J272" s="165"/>
      <c r="K272" s="165"/>
      <c r="L272" s="165"/>
      <c r="M272" s="165"/>
      <c r="N272" s="165"/>
      <c r="O272" s="165"/>
      <c r="P272" s="165"/>
      <c r="Q272" s="165"/>
      <c r="R272" s="165"/>
      <c r="S272" s="165"/>
      <c r="T272" s="165"/>
      <c r="U272" s="165"/>
      <c r="V272" s="165"/>
      <c r="W272" s="165"/>
      <c r="X272" s="165" t="str">
        <f>IFERROR(__xludf.DUMMYFUNCTION("""COMPUTED_VALUE"""),"CC-MVP-105.04")</f>
        <v>CC-MVP-105.04</v>
      </c>
      <c r="Y272" s="285" t="str">
        <f>IFERROR(__xludf.DUMMYFUNCTION("""COMPUTED_VALUE"""),"Done")</f>
        <v>Done</v>
      </c>
      <c r="Z272" s="284">
        <f>IFERROR(__xludf.DUMMYFUNCTION("""COMPUTED_VALUE"""),45238.0)</f>
        <v>45238</v>
      </c>
      <c r="AA272" s="165" t="str">
        <f>IFERROR(__xludf.DUMMYFUNCTION("""COMPUTED_VALUE"""),"Nasser")</f>
        <v>Nasser</v>
      </c>
      <c r="AB272" s="165" t="str">
        <f>IFERROR(__xludf.DUMMYFUNCTION("""COMPUTED_VALUE"""),"Upload")</f>
        <v>Upload</v>
      </c>
      <c r="AC272" s="165"/>
      <c r="AD272" s="165"/>
      <c r="AE272" s="165"/>
      <c r="AF272" s="165"/>
      <c r="AG272" s="165"/>
      <c r="AH272" s="165"/>
      <c r="AI272" s="165"/>
      <c r="AJ272" s="165"/>
      <c r="AK272" s="165"/>
      <c r="AL272" s="165"/>
    </row>
    <row r="273">
      <c r="A273" s="165"/>
      <c r="B273" s="165"/>
      <c r="C273" s="165"/>
      <c r="D273" s="165"/>
      <c r="E273" s="292"/>
      <c r="F273" s="277"/>
      <c r="G273" s="165"/>
      <c r="H273" s="277"/>
      <c r="I273" s="277"/>
      <c r="J273" s="165"/>
      <c r="K273" s="165"/>
      <c r="L273" s="165"/>
      <c r="M273" s="165"/>
      <c r="N273" s="165"/>
      <c r="O273" s="165"/>
      <c r="P273" s="165"/>
      <c r="Q273" s="165"/>
      <c r="R273" s="165"/>
      <c r="S273" s="165"/>
      <c r="T273" s="165"/>
      <c r="U273" s="165"/>
      <c r="V273" s="165"/>
      <c r="W273" s="165"/>
      <c r="X273" s="165" t="str">
        <f>IFERROR(__xludf.DUMMYFUNCTION("""COMPUTED_VALUE"""),"CC-MVP-66.04")</f>
        <v>CC-MVP-66.04</v>
      </c>
      <c r="Y273" s="285" t="str">
        <f>IFERROR(__xludf.DUMMYFUNCTION("""COMPUTED_VALUE"""),"Done")</f>
        <v>Done</v>
      </c>
      <c r="Z273" s="284">
        <f>IFERROR(__xludf.DUMMYFUNCTION("""COMPUTED_VALUE"""),45238.0)</f>
        <v>45238</v>
      </c>
      <c r="AA273" s="165" t="str">
        <f>IFERROR(__xludf.DUMMYFUNCTION("""COMPUTED_VALUE"""),"Tazeen")</f>
        <v>Tazeen</v>
      </c>
      <c r="AB273" s="165" t="str">
        <f>IFERROR(__xludf.DUMMYFUNCTION("""COMPUTED_VALUE"""),"Editor Notes")</f>
        <v>Editor Notes</v>
      </c>
      <c r="AC273" s="165"/>
      <c r="AD273" s="165"/>
      <c r="AE273" s="165"/>
      <c r="AF273" s="165"/>
      <c r="AG273" s="165"/>
      <c r="AH273" s="165"/>
      <c r="AI273" s="165"/>
      <c r="AJ273" s="165"/>
      <c r="AK273" s="165"/>
      <c r="AL273" s="165"/>
    </row>
    <row r="274">
      <c r="A274" s="165"/>
      <c r="B274" s="165"/>
      <c r="C274" s="165"/>
      <c r="D274" s="165"/>
      <c r="E274" s="292"/>
      <c r="F274" s="277"/>
      <c r="G274" s="165"/>
      <c r="H274" s="277"/>
      <c r="I274" s="277"/>
      <c r="J274" s="165"/>
      <c r="K274" s="165"/>
      <c r="L274" s="165"/>
      <c r="M274" s="165"/>
      <c r="N274" s="165"/>
      <c r="O274" s="165"/>
      <c r="P274" s="165"/>
      <c r="Q274" s="165"/>
      <c r="R274" s="165"/>
      <c r="S274" s="165"/>
      <c r="T274" s="165"/>
      <c r="U274" s="165"/>
      <c r="V274" s="165"/>
      <c r="W274" s="165"/>
      <c r="X274" s="165" t="str">
        <f>IFERROR(__xludf.DUMMYFUNCTION("""COMPUTED_VALUE"""),"CC-MVP-92.01")</f>
        <v>CC-MVP-92.01</v>
      </c>
      <c r="Y274" s="285" t="str">
        <f>IFERROR(__xludf.DUMMYFUNCTION("""COMPUTED_VALUE"""),"Done")</f>
        <v>Done</v>
      </c>
      <c r="Z274" s="284">
        <f>IFERROR(__xludf.DUMMYFUNCTION("""COMPUTED_VALUE"""),45238.0)</f>
        <v>45238</v>
      </c>
      <c r="AA274" s="165" t="str">
        <f>IFERROR(__xludf.DUMMYFUNCTION("""COMPUTED_VALUE"""),"Naveen")</f>
        <v>Naveen</v>
      </c>
      <c r="AB274" s="165" t="str">
        <f>IFERROR(__xludf.DUMMYFUNCTION("""COMPUTED_VALUE"""),"Script")</f>
        <v>Script</v>
      </c>
      <c r="AC274" s="165"/>
      <c r="AD274" s="165"/>
      <c r="AE274" s="165"/>
      <c r="AF274" s="165"/>
      <c r="AG274" s="165"/>
      <c r="AH274" s="165"/>
      <c r="AI274" s="165"/>
      <c r="AJ274" s="165"/>
      <c r="AK274" s="165"/>
      <c r="AL274" s="165"/>
    </row>
    <row r="275">
      <c r="A275" s="165"/>
      <c r="B275" s="165"/>
      <c r="C275" s="165"/>
      <c r="D275" s="165"/>
      <c r="E275" s="292"/>
      <c r="F275" s="277"/>
      <c r="G275" s="165"/>
      <c r="H275" s="277"/>
      <c r="I275" s="277"/>
      <c r="J275" s="165"/>
      <c r="K275" s="165"/>
      <c r="L275" s="165"/>
      <c r="M275" s="165"/>
      <c r="N275" s="165"/>
      <c r="O275" s="165"/>
      <c r="P275" s="165"/>
      <c r="Q275" s="165"/>
      <c r="R275" s="165"/>
      <c r="S275" s="165"/>
      <c r="T275" s="165"/>
      <c r="U275" s="165"/>
      <c r="V275" s="165"/>
      <c r="W275" s="165"/>
      <c r="X275" s="165" t="str">
        <f>IFERROR(__xludf.DUMMYFUNCTION("""COMPUTED_VALUE"""),"CC-MVP-77.04")</f>
        <v>CC-MVP-77.04</v>
      </c>
      <c r="Y275" s="285" t="str">
        <f>IFERROR(__xludf.DUMMYFUNCTION("""COMPUTED_VALUE"""),"Done")</f>
        <v>Done</v>
      </c>
      <c r="Z275" s="284">
        <f>IFERROR(__xludf.DUMMYFUNCTION("""COMPUTED_VALUE"""),45238.0)</f>
        <v>45238</v>
      </c>
      <c r="AA275" s="165" t="str">
        <f>IFERROR(__xludf.DUMMYFUNCTION("""COMPUTED_VALUE"""),"Tazeen")</f>
        <v>Tazeen</v>
      </c>
      <c r="AB275" s="165" t="str">
        <f>IFERROR(__xludf.DUMMYFUNCTION("""COMPUTED_VALUE"""),"Editor Notes")</f>
        <v>Editor Notes</v>
      </c>
      <c r="AC275" s="165"/>
      <c r="AD275" s="165"/>
      <c r="AE275" s="165"/>
      <c r="AF275" s="165"/>
      <c r="AG275" s="165"/>
      <c r="AH275" s="165"/>
      <c r="AI275" s="165"/>
      <c r="AJ275" s="165"/>
      <c r="AK275" s="165"/>
      <c r="AL275" s="165"/>
    </row>
    <row r="276">
      <c r="A276" s="165"/>
      <c r="B276" s="165"/>
      <c r="C276" s="165"/>
      <c r="D276" s="165"/>
      <c r="E276" s="292"/>
      <c r="F276" s="277"/>
      <c r="G276" s="165"/>
      <c r="H276" s="277"/>
      <c r="I276" s="277"/>
      <c r="J276" s="165"/>
      <c r="K276" s="165"/>
      <c r="L276" s="165"/>
      <c r="M276" s="165"/>
      <c r="N276" s="165"/>
      <c r="O276" s="165"/>
      <c r="P276" s="165"/>
      <c r="Q276" s="165"/>
      <c r="R276" s="165"/>
      <c r="S276" s="165"/>
      <c r="T276" s="165"/>
      <c r="U276" s="165"/>
      <c r="V276" s="165"/>
      <c r="W276" s="165"/>
      <c r="X276" s="165" t="str">
        <f>IFERROR(__xludf.DUMMYFUNCTION("""COMPUTED_VALUE"""),"CC-MVP-77.05")</f>
        <v>CC-MVP-77.05</v>
      </c>
      <c r="Y276" s="285" t="str">
        <f>IFERROR(__xludf.DUMMYFUNCTION("""COMPUTED_VALUE"""),"Not Started")</f>
        <v>Not Started</v>
      </c>
      <c r="Z276" s="284">
        <f>IFERROR(__xludf.DUMMYFUNCTION("""COMPUTED_VALUE"""),45238.0)</f>
        <v>45238</v>
      </c>
      <c r="AA276" s="165" t="str">
        <f>IFERROR(__xludf.DUMMYFUNCTION("""COMPUTED_VALUE"""),"Freelancer")</f>
        <v>Freelancer</v>
      </c>
      <c r="AB276" s="165" t="str">
        <f>IFERROR(__xludf.DUMMYFUNCTION("""COMPUTED_VALUE"""),"Edit")</f>
        <v>Edit</v>
      </c>
      <c r="AC276" s="165"/>
      <c r="AD276" s="165"/>
      <c r="AE276" s="165"/>
      <c r="AF276" s="165"/>
      <c r="AG276" s="165"/>
      <c r="AH276" s="165"/>
      <c r="AI276" s="165"/>
      <c r="AJ276" s="165"/>
      <c r="AK276" s="165"/>
      <c r="AL276" s="165"/>
    </row>
    <row r="277">
      <c r="A277" s="165"/>
      <c r="B277" s="165"/>
      <c r="C277" s="165"/>
      <c r="D277" s="165"/>
      <c r="E277" s="292"/>
      <c r="F277" s="277"/>
      <c r="G277" s="165"/>
      <c r="H277" s="277"/>
      <c r="I277" s="277"/>
      <c r="J277" s="165"/>
      <c r="K277" s="165"/>
      <c r="L277" s="165"/>
      <c r="M277" s="165"/>
      <c r="N277" s="165"/>
      <c r="O277" s="165"/>
      <c r="P277" s="165"/>
      <c r="Q277" s="165"/>
      <c r="R277" s="165"/>
      <c r="S277" s="165"/>
      <c r="T277" s="165"/>
      <c r="U277" s="165"/>
      <c r="V277" s="165"/>
      <c r="W277" s="165"/>
      <c r="X277" s="165" t="str">
        <f>IFERROR(__xludf.DUMMYFUNCTION("""COMPUTED_VALUE"""),"CC-MVP-76.05")</f>
        <v>CC-MVP-76.05</v>
      </c>
      <c r="Y277" s="285" t="str">
        <f>IFERROR(__xludf.DUMMYFUNCTION("""COMPUTED_VALUE"""),"Done")</f>
        <v>Done</v>
      </c>
      <c r="Z277" s="284">
        <f>IFERROR(__xludf.DUMMYFUNCTION("""COMPUTED_VALUE"""),45238.0)</f>
        <v>45238</v>
      </c>
      <c r="AA277" s="165" t="str">
        <f>IFERROR(__xludf.DUMMYFUNCTION("""COMPUTED_VALUE"""),"Akhil")</f>
        <v>Akhil</v>
      </c>
      <c r="AB277" s="165" t="str">
        <f>IFERROR(__xludf.DUMMYFUNCTION("""COMPUTED_VALUE"""),"Shoot")</f>
        <v>Shoot</v>
      </c>
      <c r="AC277" s="165"/>
      <c r="AD277" s="165"/>
      <c r="AE277" s="165"/>
      <c r="AF277" s="165"/>
      <c r="AG277" s="165"/>
      <c r="AH277" s="165"/>
      <c r="AI277" s="165"/>
      <c r="AJ277" s="165"/>
      <c r="AK277" s="165"/>
      <c r="AL277" s="165"/>
    </row>
    <row r="278">
      <c r="A278" s="165"/>
      <c r="B278" s="165"/>
      <c r="C278" s="165"/>
      <c r="D278" s="165"/>
      <c r="E278" s="292"/>
      <c r="F278" s="277"/>
      <c r="G278" s="165"/>
      <c r="H278" s="277"/>
      <c r="I278" s="277"/>
      <c r="J278" s="165"/>
      <c r="K278" s="165"/>
      <c r="L278" s="165"/>
      <c r="M278" s="165"/>
      <c r="N278" s="165"/>
      <c r="O278" s="165"/>
      <c r="P278" s="165"/>
      <c r="Q278" s="165"/>
      <c r="R278" s="165"/>
      <c r="S278" s="165"/>
      <c r="T278" s="165"/>
      <c r="U278" s="165"/>
      <c r="V278" s="165"/>
      <c r="W278" s="165"/>
      <c r="X278" s="165" t="str">
        <f>IFERROR(__xludf.DUMMYFUNCTION("""COMPUTED_VALUE"""),"CC-MVP-82.02")</f>
        <v>CC-MVP-82.02</v>
      </c>
      <c r="Y278" s="285" t="str">
        <f>IFERROR(__xludf.DUMMYFUNCTION("""COMPUTED_VALUE"""),"Not Started")</f>
        <v>Not Started</v>
      </c>
      <c r="Z278" s="284">
        <f>IFERROR(__xludf.DUMMYFUNCTION("""COMPUTED_VALUE"""),45238.0)</f>
        <v>45238</v>
      </c>
      <c r="AA278" s="165"/>
      <c r="AB278" s="165" t="str">
        <f>IFERROR(__xludf.DUMMYFUNCTION("""COMPUTED_VALUE"""),"Shoot")</f>
        <v>Shoot</v>
      </c>
      <c r="AC278" s="165"/>
      <c r="AD278" s="165"/>
      <c r="AE278" s="165"/>
      <c r="AF278" s="165"/>
      <c r="AG278" s="165"/>
      <c r="AH278" s="165"/>
      <c r="AI278" s="165"/>
      <c r="AJ278" s="165"/>
      <c r="AK278" s="165"/>
      <c r="AL278" s="165"/>
    </row>
    <row r="279">
      <c r="A279" s="165"/>
      <c r="B279" s="165"/>
      <c r="C279" s="165"/>
      <c r="D279" s="165"/>
      <c r="E279" s="292"/>
      <c r="F279" s="277"/>
      <c r="G279" s="165"/>
      <c r="H279" s="277"/>
      <c r="I279" s="277"/>
      <c r="J279" s="165"/>
      <c r="K279" s="165"/>
      <c r="L279" s="165"/>
      <c r="M279" s="165"/>
      <c r="N279" s="165"/>
      <c r="O279" s="165"/>
      <c r="P279" s="165"/>
      <c r="Q279" s="165"/>
      <c r="R279" s="165"/>
      <c r="S279" s="165"/>
      <c r="T279" s="165"/>
      <c r="U279" s="165"/>
      <c r="V279" s="165"/>
      <c r="W279" s="165"/>
      <c r="X279" s="165" t="str">
        <f>IFERROR(__xludf.DUMMYFUNCTION("""COMPUTED_VALUE"""),"CC-PTS-10.01")</f>
        <v>CC-PTS-10.01</v>
      </c>
      <c r="Y279" s="285" t="str">
        <f>IFERROR(__xludf.DUMMYFUNCTION("""COMPUTED_VALUE"""),"Not Started")</f>
        <v>Not Started</v>
      </c>
      <c r="Z279" s="284">
        <f>IFERROR(__xludf.DUMMYFUNCTION("""COMPUTED_VALUE"""),45238.0)</f>
        <v>45238</v>
      </c>
      <c r="AA279" s="165"/>
      <c r="AB279" s="165" t="str">
        <f>IFERROR(__xludf.DUMMYFUNCTION("""COMPUTED_VALUE"""),"Script")</f>
        <v>Script</v>
      </c>
      <c r="AC279" s="165"/>
      <c r="AD279" s="165"/>
      <c r="AE279" s="165"/>
      <c r="AF279" s="165"/>
      <c r="AG279" s="165"/>
      <c r="AH279" s="165"/>
      <c r="AI279" s="165"/>
      <c r="AJ279" s="165"/>
      <c r="AK279" s="165"/>
      <c r="AL279" s="165"/>
    </row>
    <row r="280">
      <c r="A280" s="165"/>
      <c r="B280" s="165"/>
      <c r="C280" s="165"/>
      <c r="D280" s="165"/>
      <c r="E280" s="292"/>
      <c r="F280" s="277"/>
      <c r="G280" s="165"/>
      <c r="H280" s="277"/>
      <c r="I280" s="277"/>
      <c r="J280" s="165"/>
      <c r="K280" s="165"/>
      <c r="L280" s="165"/>
      <c r="M280" s="165"/>
      <c r="N280" s="165"/>
      <c r="O280" s="165"/>
      <c r="P280" s="165"/>
      <c r="Q280" s="165"/>
      <c r="R280" s="165"/>
      <c r="S280" s="165"/>
      <c r="T280" s="165"/>
      <c r="U280" s="165"/>
      <c r="V280" s="165"/>
      <c r="W280" s="165"/>
      <c r="X280" s="165" t="str">
        <f>IFERROR(__xludf.DUMMYFUNCTION("""COMPUTED_VALUE"""),"CC-CTH-14.07")</f>
        <v>CC-CTH-14.07</v>
      </c>
      <c r="Y280" s="285" t="str">
        <f>IFERROR(__xludf.DUMMYFUNCTION("""COMPUTED_VALUE"""),"Done")</f>
        <v>Done</v>
      </c>
      <c r="Z280" s="284">
        <f>IFERROR(__xludf.DUMMYFUNCTION("""COMPUTED_VALUE"""),45238.0)</f>
        <v>45238</v>
      </c>
      <c r="AA280" s="165" t="str">
        <f>IFERROR(__xludf.DUMMYFUNCTION("""COMPUTED_VALUE"""),"Talha")</f>
        <v>Talha</v>
      </c>
      <c r="AB280" s="165" t="str">
        <f>IFERROR(__xludf.DUMMYFUNCTION("""COMPUTED_VALUE"""),"Upload")</f>
        <v>Upload</v>
      </c>
      <c r="AC280" s="165"/>
      <c r="AD280" s="165"/>
      <c r="AE280" s="165"/>
      <c r="AF280" s="165"/>
      <c r="AG280" s="165"/>
      <c r="AH280" s="165"/>
      <c r="AI280" s="165"/>
      <c r="AJ280" s="165"/>
      <c r="AK280" s="165"/>
      <c r="AL280" s="165"/>
    </row>
    <row r="281">
      <c r="A281" s="165"/>
      <c r="B281" s="165"/>
      <c r="C281" s="165"/>
      <c r="D281" s="165"/>
      <c r="E281" s="292"/>
      <c r="F281" s="277"/>
      <c r="G281" s="165"/>
      <c r="H281" s="277"/>
      <c r="I281" s="277"/>
      <c r="J281" s="165"/>
      <c r="K281" s="165"/>
      <c r="L281" s="165"/>
      <c r="M281" s="165"/>
      <c r="N281" s="165"/>
      <c r="O281" s="165"/>
      <c r="P281" s="165"/>
      <c r="Q281" s="165"/>
      <c r="R281" s="165"/>
      <c r="S281" s="165"/>
      <c r="T281" s="165"/>
      <c r="U281" s="165"/>
      <c r="V281" s="165"/>
      <c r="W281" s="165"/>
      <c r="X281" s="165" t="str">
        <f>IFERROR(__xludf.DUMMYFUNCTION("""COMPUTED_VALUE"""),"CC-CTH-12.02")</f>
        <v>CC-CTH-12.02</v>
      </c>
      <c r="Y281" s="285" t="str">
        <f>IFERROR(__xludf.DUMMYFUNCTION("""COMPUTED_VALUE"""),"Done")</f>
        <v>Done</v>
      </c>
      <c r="Z281" s="284">
        <f>IFERROR(__xludf.DUMMYFUNCTION("""COMPUTED_VALUE"""),45238.0)</f>
        <v>45238</v>
      </c>
      <c r="AA281" s="165" t="str">
        <f>IFERROR(__xludf.DUMMYFUNCTION("""COMPUTED_VALUE"""),"Talha")</f>
        <v>Talha</v>
      </c>
      <c r="AB281" s="165" t="str">
        <f>IFERROR(__xludf.DUMMYFUNCTION("""COMPUTED_VALUE"""),"Voiceover")</f>
        <v>Voiceover</v>
      </c>
      <c r="AC281" s="165"/>
      <c r="AD281" s="165"/>
      <c r="AE281" s="165"/>
      <c r="AF281" s="165"/>
      <c r="AG281" s="165"/>
      <c r="AH281" s="165"/>
      <c r="AI281" s="165"/>
      <c r="AJ281" s="165"/>
      <c r="AK281" s="165"/>
      <c r="AL281" s="165"/>
    </row>
    <row r="282">
      <c r="A282" s="165"/>
      <c r="B282" s="165"/>
      <c r="C282" s="165"/>
      <c r="D282" s="165"/>
      <c r="E282" s="292"/>
      <c r="F282" s="277"/>
      <c r="G282" s="165"/>
      <c r="H282" s="277"/>
      <c r="I282" s="277"/>
      <c r="J282" s="165"/>
      <c r="K282" s="165"/>
      <c r="L282" s="165"/>
      <c r="M282" s="165"/>
      <c r="N282" s="165"/>
      <c r="O282" s="165"/>
      <c r="P282" s="165"/>
      <c r="Q282" s="165"/>
      <c r="R282" s="165"/>
      <c r="S282" s="165"/>
      <c r="T282" s="165"/>
      <c r="U282" s="165"/>
      <c r="V282" s="165"/>
      <c r="W282" s="165"/>
      <c r="X282" s="165" t="str">
        <f>IFERROR(__xludf.DUMMYFUNCTION("""COMPUTED_VALUE"""),"CC-CTH-10.04")</f>
        <v>CC-CTH-10.04</v>
      </c>
      <c r="Y282" s="285" t="str">
        <f>IFERROR(__xludf.DUMMYFUNCTION("""COMPUTED_VALUE"""),"Done")</f>
        <v>Done</v>
      </c>
      <c r="Z282" s="284">
        <f>IFERROR(__xludf.DUMMYFUNCTION("""COMPUTED_VALUE"""),45238.0)</f>
        <v>45238</v>
      </c>
      <c r="AA282" s="165" t="str">
        <f>IFERROR(__xludf.DUMMYFUNCTION("""COMPUTED_VALUE"""),"Talha")</f>
        <v>Talha</v>
      </c>
      <c r="AB282" s="165" t="str">
        <f>IFERROR(__xludf.DUMMYFUNCTION("""COMPUTED_VALUE"""),"Voiceover")</f>
        <v>Voiceover</v>
      </c>
      <c r="AC282" s="165"/>
      <c r="AD282" s="165"/>
      <c r="AE282" s="165"/>
      <c r="AF282" s="165"/>
      <c r="AG282" s="165"/>
      <c r="AH282" s="165"/>
      <c r="AI282" s="165"/>
      <c r="AJ282" s="165"/>
      <c r="AK282" s="165"/>
      <c r="AL282" s="165"/>
    </row>
    <row r="283">
      <c r="A283" s="165"/>
      <c r="B283" s="165"/>
      <c r="C283" s="165"/>
      <c r="D283" s="165"/>
      <c r="E283" s="292"/>
      <c r="F283" s="277"/>
      <c r="G283" s="165"/>
      <c r="H283" s="277"/>
      <c r="I283" s="277"/>
      <c r="J283" s="165"/>
      <c r="K283" s="165"/>
      <c r="L283" s="165"/>
      <c r="M283" s="165"/>
      <c r="N283" s="165"/>
      <c r="O283" s="165"/>
      <c r="P283" s="165"/>
      <c r="Q283" s="165"/>
      <c r="R283" s="165"/>
      <c r="S283" s="165"/>
      <c r="T283" s="165"/>
      <c r="U283" s="165"/>
      <c r="V283" s="165"/>
      <c r="W283" s="165"/>
      <c r="X283" s="165" t="str">
        <f>IFERROR(__xludf.DUMMYFUNCTION("""COMPUTED_VALUE"""),"CC-CTH-15.06")</f>
        <v>CC-CTH-15.06</v>
      </c>
      <c r="Y283" s="285" t="str">
        <f>IFERROR(__xludf.DUMMYFUNCTION("""COMPUTED_VALUE"""),"Done")</f>
        <v>Done</v>
      </c>
      <c r="Z283" s="284">
        <f>IFERROR(__xludf.DUMMYFUNCTION("""COMPUTED_VALUE"""),45238.0)</f>
        <v>45238</v>
      </c>
      <c r="AA283" s="165" t="str">
        <f>IFERROR(__xludf.DUMMYFUNCTION("""COMPUTED_VALUE"""),"Talha")</f>
        <v>Talha</v>
      </c>
      <c r="AB283" s="165" t="str">
        <f>IFERROR(__xludf.DUMMYFUNCTION("""COMPUTED_VALUE"""),"Caption")</f>
        <v>Caption</v>
      </c>
      <c r="AC283" s="165"/>
      <c r="AD283" s="165"/>
      <c r="AE283" s="165"/>
      <c r="AF283" s="165"/>
      <c r="AG283" s="165"/>
      <c r="AH283" s="165"/>
      <c r="AI283" s="165"/>
      <c r="AJ283" s="165"/>
      <c r="AK283" s="165"/>
      <c r="AL283" s="165"/>
    </row>
    <row r="284">
      <c r="A284" s="165"/>
      <c r="B284" s="165"/>
      <c r="C284" s="165"/>
      <c r="D284" s="165"/>
      <c r="E284" s="292"/>
      <c r="F284" s="277"/>
      <c r="G284" s="165"/>
      <c r="H284" s="277"/>
      <c r="I284" s="277"/>
      <c r="J284" s="165"/>
      <c r="K284" s="165"/>
      <c r="L284" s="165"/>
      <c r="M284" s="165"/>
      <c r="N284" s="165"/>
      <c r="O284" s="165"/>
      <c r="P284" s="165"/>
      <c r="Q284" s="165"/>
      <c r="R284" s="165"/>
      <c r="S284" s="165"/>
      <c r="T284" s="165"/>
      <c r="U284" s="165"/>
      <c r="V284" s="165"/>
      <c r="W284" s="165"/>
      <c r="X284" s="165" t="str">
        <f>IFERROR(__xludf.DUMMYFUNCTION("""COMPUTED_VALUE"""),"CC-INN-26.04")</f>
        <v>CC-INN-26.04</v>
      </c>
      <c r="Y284" s="285" t="str">
        <f>IFERROR(__xludf.DUMMYFUNCTION("""COMPUTED_VALUE"""),"Done")</f>
        <v>Done</v>
      </c>
      <c r="Z284" s="284">
        <f>IFERROR(__xludf.DUMMYFUNCTION("""COMPUTED_VALUE"""),45238.0)</f>
        <v>45238</v>
      </c>
      <c r="AA284" s="165" t="str">
        <f>IFERROR(__xludf.DUMMYFUNCTION("""COMPUTED_VALUE"""),"Naveen")</f>
        <v>Naveen</v>
      </c>
      <c r="AB284" s="165" t="str">
        <f>IFERROR(__xludf.DUMMYFUNCTION("""COMPUTED_VALUE"""),"Upload")</f>
        <v>Upload</v>
      </c>
      <c r="AC284" s="165"/>
      <c r="AD284" s="165"/>
      <c r="AE284" s="165"/>
      <c r="AF284" s="165"/>
      <c r="AG284" s="165"/>
      <c r="AH284" s="165"/>
      <c r="AI284" s="165"/>
      <c r="AJ284" s="165"/>
      <c r="AK284" s="165"/>
      <c r="AL284" s="165"/>
    </row>
    <row r="285">
      <c r="A285" s="165"/>
      <c r="B285" s="165"/>
      <c r="C285" s="165"/>
      <c r="D285" s="165"/>
      <c r="E285" s="292"/>
      <c r="F285" s="277"/>
      <c r="G285" s="165"/>
      <c r="H285" s="277"/>
      <c r="I285" s="277"/>
      <c r="J285" s="165"/>
      <c r="K285" s="165"/>
      <c r="L285" s="165"/>
      <c r="M285" s="165"/>
      <c r="N285" s="165"/>
      <c r="O285" s="165"/>
      <c r="P285" s="165"/>
      <c r="Q285" s="165"/>
      <c r="R285" s="165"/>
      <c r="S285" s="165"/>
      <c r="T285" s="165"/>
      <c r="U285" s="165"/>
      <c r="V285" s="165"/>
      <c r="W285" s="165"/>
      <c r="X285" s="165" t="str">
        <f>IFERROR(__xludf.DUMMYFUNCTION("""COMPUTED_VALUE"""),"PM-TNM-01.04")</f>
        <v>PM-TNM-01.04</v>
      </c>
      <c r="Y285" s="285" t="str">
        <f>IFERROR(__xludf.DUMMYFUNCTION("""COMPUTED_VALUE"""),"Not Started")</f>
        <v>Not Started</v>
      </c>
      <c r="Z285" s="284">
        <f>IFERROR(__xludf.DUMMYFUNCTION("""COMPUTED_VALUE"""),45238.0)</f>
        <v>45238</v>
      </c>
      <c r="AA285" s="165" t="str">
        <f>IFERROR(__xludf.DUMMYFUNCTION("""COMPUTED_VALUE"""),"Nasser")</f>
        <v>Nasser</v>
      </c>
      <c r="AB285" s="165" t="str">
        <f>IFERROR(__xludf.DUMMYFUNCTION("""COMPUTED_VALUE"""),"Quote")</f>
        <v>Quote</v>
      </c>
      <c r="AC285" s="165"/>
      <c r="AD285" s="165"/>
      <c r="AE285" s="165"/>
      <c r="AF285" s="165"/>
      <c r="AG285" s="165"/>
      <c r="AH285" s="165"/>
      <c r="AI285" s="165"/>
      <c r="AJ285" s="165"/>
      <c r="AK285" s="165"/>
      <c r="AL285" s="165"/>
    </row>
    <row r="286">
      <c r="A286" s="165"/>
      <c r="B286" s="165"/>
      <c r="C286" s="165"/>
      <c r="D286" s="165"/>
      <c r="E286" s="292"/>
      <c r="F286" s="277"/>
      <c r="G286" s="165"/>
      <c r="H286" s="277"/>
      <c r="I286" s="277"/>
      <c r="J286" s="165"/>
      <c r="K286" s="165"/>
      <c r="L286" s="165"/>
      <c r="M286" s="165"/>
      <c r="N286" s="165"/>
      <c r="O286" s="165"/>
      <c r="P286" s="165"/>
      <c r="Q286" s="165"/>
      <c r="R286" s="165"/>
      <c r="S286" s="165"/>
      <c r="T286" s="165"/>
      <c r="U286" s="165"/>
      <c r="V286" s="165"/>
      <c r="W286" s="165"/>
      <c r="X286" s="165" t="str">
        <f>IFERROR(__xludf.DUMMYFUNCTION("""COMPUTED_VALUE"""),"PM-EMR-10.02")</f>
        <v>PM-EMR-10.02</v>
      </c>
      <c r="Y286" s="285" t="str">
        <f>IFERROR(__xludf.DUMMYFUNCTION("""COMPUTED_VALUE"""),"In Review")</f>
        <v>In Review</v>
      </c>
      <c r="Z286" s="284">
        <f>IFERROR(__xludf.DUMMYFUNCTION("""COMPUTED_VALUE"""),45238.0)</f>
        <v>45238</v>
      </c>
      <c r="AA286" s="165" t="str">
        <f>IFERROR(__xludf.DUMMYFUNCTION("""COMPUTED_VALUE"""),"Nasser")</f>
        <v>Nasser</v>
      </c>
      <c r="AB286" s="165" t="str">
        <f>IFERROR(__xludf.DUMMYFUNCTION("""COMPUTED_VALUE"""),"Video 2")</f>
        <v>Video 2</v>
      </c>
      <c r="AC286" s="165"/>
      <c r="AD286" s="165"/>
      <c r="AE286" s="165"/>
      <c r="AF286" s="165"/>
      <c r="AG286" s="165"/>
      <c r="AH286" s="165"/>
      <c r="AI286" s="165"/>
      <c r="AJ286" s="165"/>
      <c r="AK286" s="165"/>
      <c r="AL286" s="165"/>
    </row>
    <row r="287">
      <c r="A287" s="165"/>
      <c r="B287" s="165"/>
      <c r="C287" s="165"/>
      <c r="D287" s="165"/>
      <c r="E287" s="292"/>
      <c r="F287" s="277"/>
      <c r="G287" s="165"/>
      <c r="H287" s="277"/>
      <c r="I287" s="277"/>
      <c r="J287" s="165"/>
      <c r="K287" s="165"/>
      <c r="L287" s="165"/>
      <c r="M287" s="165"/>
      <c r="N287" s="165"/>
      <c r="O287" s="165"/>
      <c r="P287" s="165"/>
      <c r="Q287" s="165"/>
      <c r="R287" s="165"/>
      <c r="S287" s="165"/>
      <c r="T287" s="165"/>
      <c r="U287" s="165"/>
      <c r="V287" s="165"/>
      <c r="W287" s="165"/>
      <c r="X287" s="165" t="str">
        <f>IFERROR(__xludf.DUMMYFUNCTION("""COMPUTED_VALUE"""),"PM-PTS-01.01")</f>
        <v>PM-PTS-01.01</v>
      </c>
      <c r="Y287" s="285" t="str">
        <f>IFERROR(__xludf.DUMMYFUNCTION("""COMPUTED_VALUE"""),"In Review")</f>
        <v>In Review</v>
      </c>
      <c r="Z287" s="284">
        <f>IFERROR(__xludf.DUMMYFUNCTION("""COMPUTED_VALUE"""),45238.0)</f>
        <v>45238</v>
      </c>
      <c r="AA287" s="165" t="str">
        <f>IFERROR(__xludf.DUMMYFUNCTION("""COMPUTED_VALUE"""),"Nasser")</f>
        <v>Nasser</v>
      </c>
      <c r="AB287" s="165" t="str">
        <f>IFERROR(__xludf.DUMMYFUNCTION("""COMPUTED_VALUE"""),"Shares Agreement")</f>
        <v>Shares Agreement</v>
      </c>
      <c r="AC287" s="165"/>
      <c r="AD287" s="165"/>
      <c r="AE287" s="165"/>
      <c r="AF287" s="165"/>
      <c r="AG287" s="165"/>
      <c r="AH287" s="165"/>
      <c r="AI287" s="165"/>
      <c r="AJ287" s="165"/>
      <c r="AK287" s="165"/>
      <c r="AL287" s="165"/>
    </row>
    <row r="288">
      <c r="A288" s="165"/>
      <c r="B288" s="165"/>
      <c r="C288" s="165"/>
      <c r="D288" s="165"/>
      <c r="E288" s="292"/>
      <c r="F288" s="277"/>
      <c r="G288" s="165"/>
      <c r="H288" s="277"/>
      <c r="I288" s="277"/>
      <c r="J288" s="165"/>
      <c r="K288" s="165"/>
      <c r="L288" s="165"/>
      <c r="M288" s="165"/>
      <c r="N288" s="165"/>
      <c r="O288" s="165"/>
      <c r="P288" s="165"/>
      <c r="Q288" s="165"/>
      <c r="R288" s="165"/>
      <c r="S288" s="165"/>
      <c r="T288" s="165"/>
      <c r="U288" s="165"/>
      <c r="V288" s="165"/>
      <c r="W288" s="165"/>
      <c r="X288" s="165" t="str">
        <f>IFERROR(__xludf.DUMMYFUNCTION("""COMPUTED_VALUE"""),"PM-MVP-04.07")</f>
        <v>PM-MVP-04.07</v>
      </c>
      <c r="Y288" s="285" t="str">
        <f>IFERROR(__xludf.DUMMYFUNCTION("""COMPUTED_VALUE"""),"Not Started")</f>
        <v>Not Started</v>
      </c>
      <c r="Z288" s="284">
        <f>IFERROR(__xludf.DUMMYFUNCTION("""COMPUTED_VALUE"""),45238.0)</f>
        <v>45238</v>
      </c>
      <c r="AA288" s="165" t="str">
        <f>IFERROR(__xludf.DUMMYFUNCTION("""COMPUTED_VALUE"""),"Naveen")</f>
        <v>Naveen</v>
      </c>
      <c r="AB288" s="165" t="str">
        <f>IFERROR(__xludf.DUMMYFUNCTION("""COMPUTED_VALUE"""),"Deliver")</f>
        <v>Deliver</v>
      </c>
      <c r="AC288" s="165"/>
      <c r="AD288" s="165"/>
      <c r="AE288" s="165"/>
      <c r="AF288" s="165"/>
      <c r="AG288" s="165"/>
      <c r="AH288" s="165"/>
      <c r="AI288" s="165"/>
      <c r="AJ288" s="165"/>
      <c r="AK288" s="165"/>
      <c r="AL288" s="165"/>
    </row>
    <row r="289">
      <c r="A289" s="165"/>
      <c r="B289" s="165"/>
      <c r="C289" s="165"/>
      <c r="D289" s="165"/>
      <c r="E289" s="292"/>
      <c r="F289" s="277"/>
      <c r="G289" s="165"/>
      <c r="H289" s="277"/>
      <c r="I289" s="277"/>
      <c r="J289" s="165"/>
      <c r="K289" s="165"/>
      <c r="L289" s="165"/>
      <c r="M289" s="165"/>
      <c r="N289" s="165"/>
      <c r="O289" s="165"/>
      <c r="P289" s="165"/>
      <c r="Q289" s="165"/>
      <c r="R289" s="165"/>
      <c r="S289" s="165"/>
      <c r="T289" s="165"/>
      <c r="U289" s="165"/>
      <c r="V289" s="165"/>
      <c r="W289" s="165"/>
      <c r="X289" s="165" t="str">
        <f>IFERROR(__xludf.DUMMYFUNCTION("""COMPUTED_VALUE"""),"CC-MVP-64.04")</f>
        <v>CC-MVP-64.04</v>
      </c>
      <c r="Y289" s="285" t="str">
        <f>IFERROR(__xludf.DUMMYFUNCTION("""COMPUTED_VALUE"""),"Not Started")</f>
        <v>Not Started</v>
      </c>
      <c r="Z289" s="284">
        <f>IFERROR(__xludf.DUMMYFUNCTION("""COMPUTED_VALUE"""),45239.0)</f>
        <v>45239</v>
      </c>
      <c r="AA289" s="165" t="str">
        <f>IFERROR(__xludf.DUMMYFUNCTION("""COMPUTED_VALUE"""),"Nasser")</f>
        <v>Nasser</v>
      </c>
      <c r="AB289" s="165" t="str">
        <f>IFERROR(__xludf.DUMMYFUNCTION("""COMPUTED_VALUE"""),"Upload")</f>
        <v>Upload</v>
      </c>
      <c r="AC289" s="165"/>
      <c r="AD289" s="165"/>
      <c r="AE289" s="165"/>
      <c r="AF289" s="165"/>
      <c r="AG289" s="165"/>
      <c r="AH289" s="165"/>
      <c r="AI289" s="165"/>
      <c r="AJ289" s="165"/>
      <c r="AK289" s="165"/>
      <c r="AL289" s="165"/>
    </row>
    <row r="290">
      <c r="A290" s="165"/>
      <c r="B290" s="165"/>
      <c r="C290" s="165"/>
      <c r="D290" s="165"/>
      <c r="E290" s="292"/>
      <c r="F290" s="277"/>
      <c r="G290" s="165"/>
      <c r="H290" s="277"/>
      <c r="I290" s="277"/>
      <c r="J290" s="165"/>
      <c r="K290" s="165"/>
      <c r="L290" s="165"/>
      <c r="M290" s="165"/>
      <c r="N290" s="165"/>
      <c r="O290" s="165"/>
      <c r="P290" s="165"/>
      <c r="Q290" s="165"/>
      <c r="R290" s="165"/>
      <c r="S290" s="165"/>
      <c r="T290" s="165"/>
      <c r="U290" s="165"/>
      <c r="V290" s="165"/>
      <c r="W290" s="165"/>
      <c r="X290" s="165" t="str">
        <f>IFERROR(__xludf.DUMMYFUNCTION("""COMPUTED_VALUE"""),"CC-MVP-66.05")</f>
        <v>CC-MVP-66.05</v>
      </c>
      <c r="Y290" s="285" t="str">
        <f>IFERROR(__xludf.DUMMYFUNCTION("""COMPUTED_VALUE"""),"Done")</f>
        <v>Done</v>
      </c>
      <c r="Z290" s="284">
        <f>IFERROR(__xludf.DUMMYFUNCTION("""COMPUTED_VALUE"""),45239.0)</f>
        <v>45239</v>
      </c>
      <c r="AA290" s="165" t="str">
        <f>IFERROR(__xludf.DUMMYFUNCTION("""COMPUTED_VALUE"""),"Jayanth")</f>
        <v>Jayanth</v>
      </c>
      <c r="AB290" s="165" t="str">
        <f>IFERROR(__xludf.DUMMYFUNCTION("""COMPUTED_VALUE"""),"Edit")</f>
        <v>Edit</v>
      </c>
      <c r="AC290" s="165"/>
      <c r="AD290" s="165"/>
      <c r="AE290" s="165"/>
      <c r="AF290" s="165"/>
      <c r="AG290" s="165"/>
      <c r="AH290" s="165"/>
      <c r="AI290" s="165"/>
      <c r="AJ290" s="165"/>
      <c r="AK290" s="165"/>
      <c r="AL290" s="165"/>
    </row>
    <row r="291">
      <c r="A291" s="165"/>
      <c r="B291" s="165"/>
      <c r="C291" s="165"/>
      <c r="D291" s="165"/>
      <c r="E291" s="292"/>
      <c r="F291" s="277"/>
      <c r="G291" s="165"/>
      <c r="H291" s="277"/>
      <c r="I291" s="277"/>
      <c r="J291" s="165"/>
      <c r="K291" s="165"/>
      <c r="L291" s="165"/>
      <c r="M291" s="165"/>
      <c r="N291" s="165"/>
      <c r="O291" s="165"/>
      <c r="P291" s="165"/>
      <c r="Q291" s="165"/>
      <c r="R291" s="165"/>
      <c r="S291" s="165"/>
      <c r="T291" s="165"/>
      <c r="U291" s="165"/>
      <c r="V291" s="165"/>
      <c r="W291" s="165"/>
      <c r="X291" s="165" t="str">
        <f>IFERROR(__xludf.DUMMYFUNCTION("""COMPUTED_VALUE"""),"CC-MVP-66.06")</f>
        <v>CC-MVP-66.06</v>
      </c>
      <c r="Y291" s="285" t="str">
        <f>IFERROR(__xludf.DUMMYFUNCTION("""COMPUTED_VALUE"""),"Done")</f>
        <v>Done</v>
      </c>
      <c r="Z291" s="284">
        <f>IFERROR(__xludf.DUMMYFUNCTION("""COMPUTED_VALUE"""),45239.0)</f>
        <v>45239</v>
      </c>
      <c r="AA291" s="165" t="str">
        <f>IFERROR(__xludf.DUMMYFUNCTION("""COMPUTED_VALUE"""),"Naveen")</f>
        <v>Naveen</v>
      </c>
      <c r="AB291" s="165" t="str">
        <f>IFERROR(__xludf.DUMMYFUNCTION("""COMPUTED_VALUE"""),"Thumbnail")</f>
        <v>Thumbnail</v>
      </c>
      <c r="AC291" s="165"/>
      <c r="AD291" s="165"/>
      <c r="AE291" s="165"/>
      <c r="AF291" s="165"/>
      <c r="AG291" s="165"/>
      <c r="AH291" s="165"/>
      <c r="AI291" s="165"/>
      <c r="AJ291" s="165"/>
      <c r="AK291" s="165"/>
      <c r="AL291" s="165"/>
    </row>
    <row r="292">
      <c r="A292" s="165"/>
      <c r="B292" s="165"/>
      <c r="C292" s="165"/>
      <c r="D292" s="165"/>
      <c r="E292" s="292"/>
      <c r="F292" s="277"/>
      <c r="G292" s="165"/>
      <c r="H292" s="277"/>
      <c r="I292" s="277"/>
      <c r="J292" s="165"/>
      <c r="K292" s="165"/>
      <c r="L292" s="165"/>
      <c r="M292" s="165"/>
      <c r="N292" s="165"/>
      <c r="O292" s="165"/>
      <c r="P292" s="165"/>
      <c r="Q292" s="165"/>
      <c r="R292" s="165"/>
      <c r="S292" s="165"/>
      <c r="T292" s="165"/>
      <c r="U292" s="165"/>
      <c r="V292" s="165"/>
      <c r="W292" s="165"/>
      <c r="X292" s="165" t="str">
        <f>IFERROR(__xludf.DUMMYFUNCTION("""COMPUTED_VALUE"""),"CC-MVP-66.07")</f>
        <v>CC-MVP-66.07</v>
      </c>
      <c r="Y292" s="285" t="str">
        <f>IFERROR(__xludf.DUMMYFUNCTION("""COMPUTED_VALUE"""),"Done")</f>
        <v>Done</v>
      </c>
      <c r="Z292" s="284">
        <f>IFERROR(__xludf.DUMMYFUNCTION("""COMPUTED_VALUE"""),45239.0)</f>
        <v>45239</v>
      </c>
      <c r="AA292" s="165" t="str">
        <f>IFERROR(__xludf.DUMMYFUNCTION("""COMPUTED_VALUE"""),"Tazeen")</f>
        <v>Tazeen</v>
      </c>
      <c r="AB292" s="165" t="str">
        <f>IFERROR(__xludf.DUMMYFUNCTION("""COMPUTED_VALUE"""),"Upload")</f>
        <v>Upload</v>
      </c>
      <c r="AC292" s="165"/>
      <c r="AD292" s="165"/>
      <c r="AE292" s="165"/>
      <c r="AF292" s="165"/>
      <c r="AG292" s="165"/>
      <c r="AH292" s="165"/>
      <c r="AI292" s="165"/>
      <c r="AJ292" s="165"/>
      <c r="AK292" s="165"/>
      <c r="AL292" s="165"/>
    </row>
    <row r="293">
      <c r="A293" s="165"/>
      <c r="B293" s="165"/>
      <c r="C293" s="165"/>
      <c r="D293" s="165"/>
      <c r="E293" s="292"/>
      <c r="F293" s="277"/>
      <c r="G293" s="165"/>
      <c r="H293" s="277"/>
      <c r="I293" s="277"/>
      <c r="J293" s="165"/>
      <c r="K293" s="165"/>
      <c r="L293" s="165"/>
      <c r="M293" s="165"/>
      <c r="N293" s="165"/>
      <c r="O293" s="165"/>
      <c r="P293" s="165"/>
      <c r="Q293" s="165"/>
      <c r="R293" s="165"/>
      <c r="S293" s="165"/>
      <c r="T293" s="165"/>
      <c r="U293" s="165"/>
      <c r="V293" s="165"/>
      <c r="W293" s="165"/>
      <c r="X293" s="165" t="str">
        <f>IFERROR(__xludf.DUMMYFUNCTION("""COMPUTED_VALUE"""),"CC-MVP-92.03")</f>
        <v>CC-MVP-92.03</v>
      </c>
      <c r="Y293" s="285" t="str">
        <f>IFERROR(__xludf.DUMMYFUNCTION("""COMPUTED_VALUE"""),"Done")</f>
        <v>Done</v>
      </c>
      <c r="Z293" s="284">
        <f>IFERROR(__xludf.DUMMYFUNCTION("""COMPUTED_VALUE"""),45239.0)</f>
        <v>45239</v>
      </c>
      <c r="AA293" s="165" t="str">
        <f>IFERROR(__xludf.DUMMYFUNCTION("""COMPUTED_VALUE"""),"Akhil")</f>
        <v>Akhil</v>
      </c>
      <c r="AB293" s="165" t="str">
        <f>IFERROR(__xludf.DUMMYFUNCTION("""COMPUTED_VALUE"""),"Edit")</f>
        <v>Edit</v>
      </c>
      <c r="AC293" s="165"/>
      <c r="AD293" s="165"/>
      <c r="AE293" s="165"/>
      <c r="AF293" s="165"/>
      <c r="AG293" s="165"/>
      <c r="AH293" s="165"/>
      <c r="AI293" s="165"/>
      <c r="AJ293" s="165"/>
      <c r="AK293" s="165"/>
      <c r="AL293" s="165"/>
    </row>
    <row r="294">
      <c r="A294" s="165"/>
      <c r="B294" s="165"/>
      <c r="C294" s="165"/>
      <c r="D294" s="165"/>
      <c r="E294" s="292"/>
      <c r="F294" s="277"/>
      <c r="G294" s="165"/>
      <c r="H294" s="277"/>
      <c r="I294" s="277"/>
      <c r="J294" s="165"/>
      <c r="K294" s="165"/>
      <c r="L294" s="165"/>
      <c r="M294" s="165"/>
      <c r="N294" s="165"/>
      <c r="O294" s="165"/>
      <c r="P294" s="165"/>
      <c r="Q294" s="165"/>
      <c r="R294" s="165"/>
      <c r="S294" s="165"/>
      <c r="T294" s="165"/>
      <c r="U294" s="165"/>
      <c r="V294" s="165"/>
      <c r="W294" s="165"/>
      <c r="X294" s="165" t="str">
        <f>IFERROR(__xludf.DUMMYFUNCTION("""COMPUTED_VALUE"""),"CC-MVP-92.04")</f>
        <v>CC-MVP-92.04</v>
      </c>
      <c r="Y294" s="285" t="str">
        <f>IFERROR(__xludf.DUMMYFUNCTION("""COMPUTED_VALUE"""),"Done")</f>
        <v>Done</v>
      </c>
      <c r="Z294" s="284">
        <f>IFERROR(__xludf.DUMMYFUNCTION("""COMPUTED_VALUE"""),45239.0)</f>
        <v>45239</v>
      </c>
      <c r="AA294" s="165" t="str">
        <f>IFERROR(__xludf.DUMMYFUNCTION("""COMPUTED_VALUE"""),"Talha")</f>
        <v>Talha</v>
      </c>
      <c r="AB294" s="165" t="str">
        <f>IFERROR(__xludf.DUMMYFUNCTION("""COMPUTED_VALUE"""),"Upload")</f>
        <v>Upload</v>
      </c>
      <c r="AC294" s="165"/>
      <c r="AD294" s="165"/>
      <c r="AE294" s="165"/>
      <c r="AF294" s="165"/>
      <c r="AG294" s="165"/>
      <c r="AH294" s="165"/>
      <c r="AI294" s="165"/>
      <c r="AJ294" s="165"/>
      <c r="AK294" s="165"/>
      <c r="AL294" s="165"/>
    </row>
    <row r="295">
      <c r="A295" s="165"/>
      <c r="B295" s="165"/>
      <c r="C295" s="165"/>
      <c r="D295" s="165"/>
      <c r="E295" s="292"/>
      <c r="F295" s="277"/>
      <c r="G295" s="165"/>
      <c r="H295" s="277"/>
      <c r="I295" s="277"/>
      <c r="J295" s="165"/>
      <c r="K295" s="165"/>
      <c r="L295" s="165"/>
      <c r="M295" s="165"/>
      <c r="N295" s="165"/>
      <c r="O295" s="165"/>
      <c r="P295" s="165"/>
      <c r="Q295" s="165"/>
      <c r="R295" s="165"/>
      <c r="S295" s="165"/>
      <c r="T295" s="165"/>
      <c r="U295" s="165"/>
      <c r="V295" s="165"/>
      <c r="W295" s="165"/>
      <c r="X295" s="165" t="str">
        <f>IFERROR(__xludf.DUMMYFUNCTION("""COMPUTED_VALUE"""),"CC-MVP-76.01")</f>
        <v>CC-MVP-76.01</v>
      </c>
      <c r="Y295" s="285" t="str">
        <f>IFERROR(__xludf.DUMMYFUNCTION("""COMPUTED_VALUE"""),"Done")</f>
        <v>Done</v>
      </c>
      <c r="Z295" s="284">
        <f>IFERROR(__xludf.DUMMYFUNCTION("""COMPUTED_VALUE"""),45239.0)</f>
        <v>45239</v>
      </c>
      <c r="AA295" s="165" t="str">
        <f>IFERROR(__xludf.DUMMYFUNCTION("""COMPUTED_VALUE"""),"Nasser")</f>
        <v>Nasser</v>
      </c>
      <c r="AB295" s="165" t="str">
        <f>IFERROR(__xludf.DUMMYFUNCTION("""COMPUTED_VALUE"""),"Script")</f>
        <v>Script</v>
      </c>
      <c r="AC295" s="165"/>
      <c r="AD295" s="165"/>
      <c r="AE295" s="165"/>
      <c r="AF295" s="165"/>
      <c r="AG295" s="165"/>
      <c r="AH295" s="165"/>
      <c r="AI295" s="165"/>
      <c r="AJ295" s="165"/>
      <c r="AK295" s="165"/>
      <c r="AL295" s="165"/>
    </row>
    <row r="296">
      <c r="A296" s="165"/>
      <c r="B296" s="165"/>
      <c r="C296" s="165"/>
      <c r="D296" s="165"/>
      <c r="E296" s="292"/>
      <c r="F296" s="277"/>
      <c r="G296" s="165"/>
      <c r="H296" s="277"/>
      <c r="I296" s="277"/>
      <c r="J296" s="165"/>
      <c r="K296" s="165"/>
      <c r="L296" s="165"/>
      <c r="M296" s="165"/>
      <c r="N296" s="165"/>
      <c r="O296" s="165"/>
      <c r="P296" s="165"/>
      <c r="Q296" s="165"/>
      <c r="R296" s="165"/>
      <c r="S296" s="165"/>
      <c r="T296" s="165"/>
      <c r="U296" s="165"/>
      <c r="V296" s="165"/>
      <c r="W296" s="165"/>
      <c r="X296" s="165" t="str">
        <f>IFERROR(__xludf.DUMMYFUNCTION("""COMPUTED_VALUE"""),"CC-MVP-82.03")</f>
        <v>CC-MVP-82.03</v>
      </c>
      <c r="Y296" s="285" t="str">
        <f>IFERROR(__xludf.DUMMYFUNCTION("""COMPUTED_VALUE"""),"Not Started")</f>
        <v>Not Started</v>
      </c>
      <c r="Z296" s="284">
        <f>IFERROR(__xludf.DUMMYFUNCTION("""COMPUTED_VALUE"""),45239.0)</f>
        <v>45239</v>
      </c>
      <c r="AA296" s="165"/>
      <c r="AB296" s="165" t="str">
        <f>IFERROR(__xludf.DUMMYFUNCTION("""COMPUTED_VALUE"""),"Timeline")</f>
        <v>Timeline</v>
      </c>
      <c r="AC296" s="165"/>
      <c r="AD296" s="165"/>
      <c r="AE296" s="165"/>
      <c r="AF296" s="165"/>
      <c r="AG296" s="165"/>
      <c r="AH296" s="165"/>
      <c r="AI296" s="165"/>
      <c r="AJ296" s="165"/>
      <c r="AK296" s="165"/>
      <c r="AL296" s="165"/>
    </row>
    <row r="297">
      <c r="A297" s="165"/>
      <c r="B297" s="165"/>
      <c r="C297" s="165"/>
      <c r="D297" s="165"/>
      <c r="E297" s="292"/>
      <c r="F297" s="277"/>
      <c r="G297" s="165"/>
      <c r="H297" s="277"/>
      <c r="I297" s="277"/>
      <c r="J297" s="165"/>
      <c r="K297" s="165"/>
      <c r="L297" s="165"/>
      <c r="M297" s="165"/>
      <c r="N297" s="165"/>
      <c r="O297" s="165"/>
      <c r="P297" s="165"/>
      <c r="Q297" s="165"/>
      <c r="R297" s="165"/>
      <c r="S297" s="165"/>
      <c r="T297" s="165"/>
      <c r="U297" s="165"/>
      <c r="V297" s="165"/>
      <c r="W297" s="165"/>
      <c r="X297" s="165" t="str">
        <f>IFERROR(__xludf.DUMMYFUNCTION("""COMPUTED_VALUE"""),"CC-MVP-83.01")</f>
        <v>CC-MVP-83.01</v>
      </c>
      <c r="Y297" s="285" t="str">
        <f>IFERROR(__xludf.DUMMYFUNCTION("""COMPUTED_VALUE"""),"Not Started")</f>
        <v>Not Started</v>
      </c>
      <c r="Z297" s="284">
        <f>IFERROR(__xludf.DUMMYFUNCTION("""COMPUTED_VALUE"""),45239.0)</f>
        <v>45239</v>
      </c>
      <c r="AA297" s="165"/>
      <c r="AB297" s="165" t="str">
        <f>IFERROR(__xludf.DUMMYFUNCTION("""COMPUTED_VALUE"""),"Script")</f>
        <v>Script</v>
      </c>
      <c r="AC297" s="165"/>
      <c r="AD297" s="165"/>
      <c r="AE297" s="165"/>
      <c r="AF297" s="165"/>
      <c r="AG297" s="165"/>
      <c r="AH297" s="165"/>
      <c r="AI297" s="165"/>
      <c r="AJ297" s="165"/>
      <c r="AK297" s="165"/>
      <c r="AL297" s="165"/>
    </row>
    <row r="298">
      <c r="A298" s="165"/>
      <c r="B298" s="165"/>
      <c r="C298" s="165"/>
      <c r="D298" s="165"/>
      <c r="E298" s="292"/>
      <c r="F298" s="277"/>
      <c r="G298" s="165"/>
      <c r="H298" s="277"/>
      <c r="I298" s="277"/>
      <c r="J298" s="165"/>
      <c r="K298" s="165"/>
      <c r="L298" s="165"/>
      <c r="M298" s="165"/>
      <c r="N298" s="165"/>
      <c r="O298" s="165"/>
      <c r="P298" s="165"/>
      <c r="Q298" s="165"/>
      <c r="R298" s="165"/>
      <c r="S298" s="165"/>
      <c r="T298" s="165"/>
      <c r="U298" s="165"/>
      <c r="V298" s="165"/>
      <c r="W298" s="165"/>
      <c r="X298" s="165" t="str">
        <f>IFERROR(__xludf.DUMMYFUNCTION("""COMPUTED_VALUE"""),"CC-PTS-10.06")</f>
        <v>CC-PTS-10.06</v>
      </c>
      <c r="Y298" s="285" t="str">
        <f>IFERROR(__xludf.DUMMYFUNCTION("""COMPUTED_VALUE"""),"Not Started")</f>
        <v>Not Started</v>
      </c>
      <c r="Z298" s="284">
        <f>IFERROR(__xludf.DUMMYFUNCTION("""COMPUTED_VALUE"""),45239.0)</f>
        <v>45239</v>
      </c>
      <c r="AA298" s="165"/>
      <c r="AB298" s="165" t="str">
        <f>IFERROR(__xludf.DUMMYFUNCTION("""COMPUTED_VALUE"""),"Thumbnail")</f>
        <v>Thumbnail</v>
      </c>
      <c r="AC298" s="165"/>
      <c r="AD298" s="165"/>
      <c r="AE298" s="165"/>
      <c r="AF298" s="165"/>
      <c r="AG298" s="165"/>
      <c r="AH298" s="165"/>
      <c r="AI298" s="165"/>
      <c r="AJ298" s="165"/>
      <c r="AK298" s="165"/>
      <c r="AL298" s="165"/>
    </row>
    <row r="299">
      <c r="A299" s="165"/>
      <c r="B299" s="165"/>
      <c r="C299" s="165"/>
      <c r="D299" s="165"/>
      <c r="E299" s="292"/>
      <c r="F299" s="277"/>
      <c r="G299" s="165"/>
      <c r="H299" s="277"/>
      <c r="I299" s="277"/>
      <c r="J299" s="165"/>
      <c r="K299" s="165"/>
      <c r="L299" s="165"/>
      <c r="M299" s="165"/>
      <c r="N299" s="165"/>
      <c r="O299" s="165"/>
      <c r="P299" s="165"/>
      <c r="Q299" s="165"/>
      <c r="R299" s="165"/>
      <c r="S299" s="165"/>
      <c r="T299" s="165"/>
      <c r="U299" s="165"/>
      <c r="V299" s="165"/>
      <c r="W299" s="165"/>
      <c r="X299" s="165" t="str">
        <f>IFERROR(__xludf.DUMMYFUNCTION("""COMPUTED_VALUE"""),"CC-CTH-12.05")</f>
        <v>CC-CTH-12.05</v>
      </c>
      <c r="Y299" s="285" t="str">
        <f>IFERROR(__xludf.DUMMYFUNCTION("""COMPUTED_VALUE"""),"Done")</f>
        <v>Done</v>
      </c>
      <c r="Z299" s="284">
        <f>IFERROR(__xludf.DUMMYFUNCTION("""COMPUTED_VALUE"""),45239.0)</f>
        <v>45239</v>
      </c>
      <c r="AA299" s="165" t="str">
        <f>IFERROR(__xludf.DUMMYFUNCTION("""COMPUTED_VALUE"""),"Talha")</f>
        <v>Talha</v>
      </c>
      <c r="AB299" s="165" t="str">
        <f>IFERROR(__xludf.DUMMYFUNCTION("""COMPUTED_VALUE"""),"Edit")</f>
        <v>Edit</v>
      </c>
      <c r="AC299" s="165"/>
      <c r="AD299" s="165"/>
      <c r="AE299" s="165"/>
      <c r="AF299" s="165"/>
      <c r="AG299" s="165"/>
      <c r="AH299" s="165"/>
      <c r="AI299" s="165"/>
      <c r="AJ299" s="165"/>
      <c r="AK299" s="165"/>
      <c r="AL299" s="165"/>
    </row>
    <row r="300">
      <c r="A300" s="165"/>
      <c r="B300" s="165"/>
      <c r="C300" s="165"/>
      <c r="D300" s="165"/>
      <c r="E300" s="292"/>
      <c r="F300" s="277"/>
      <c r="G300" s="165"/>
      <c r="H300" s="277"/>
      <c r="I300" s="277"/>
      <c r="J300" s="165"/>
      <c r="K300" s="165"/>
      <c r="L300" s="165"/>
      <c r="M300" s="165"/>
      <c r="N300" s="165"/>
      <c r="O300" s="165"/>
      <c r="P300" s="165"/>
      <c r="Q300" s="165"/>
      <c r="R300" s="165"/>
      <c r="S300" s="165"/>
      <c r="T300" s="165"/>
      <c r="U300" s="165"/>
      <c r="V300" s="165"/>
      <c r="W300" s="165"/>
      <c r="X300" s="165" t="str">
        <f>IFERROR(__xludf.DUMMYFUNCTION("""COMPUTED_VALUE"""),"CC-CTH-12.06")</f>
        <v>CC-CTH-12.06</v>
      </c>
      <c r="Y300" s="285" t="str">
        <f>IFERROR(__xludf.DUMMYFUNCTION("""COMPUTED_VALUE"""),"Done")</f>
        <v>Done</v>
      </c>
      <c r="Z300" s="284">
        <f>IFERROR(__xludf.DUMMYFUNCTION("""COMPUTED_VALUE"""),45239.0)</f>
        <v>45239</v>
      </c>
      <c r="AA300" s="165" t="str">
        <f>IFERROR(__xludf.DUMMYFUNCTION("""COMPUTED_VALUE"""),"Nasser")</f>
        <v>Nasser</v>
      </c>
      <c r="AB300" s="165" t="str">
        <f>IFERROR(__xludf.DUMMYFUNCTION("""COMPUTED_VALUE"""),"Report")</f>
        <v>Report</v>
      </c>
      <c r="AC300" s="165"/>
      <c r="AD300" s="165"/>
      <c r="AE300" s="165"/>
      <c r="AF300" s="165"/>
      <c r="AG300" s="165"/>
      <c r="AH300" s="165"/>
      <c r="AI300" s="165"/>
      <c r="AJ300" s="165"/>
      <c r="AK300" s="165"/>
      <c r="AL300" s="165"/>
    </row>
    <row r="301">
      <c r="A301" s="165"/>
      <c r="B301" s="165"/>
      <c r="C301" s="165"/>
      <c r="D301" s="165"/>
      <c r="E301" s="292"/>
      <c r="F301" s="277"/>
      <c r="G301" s="165"/>
      <c r="H301" s="277"/>
      <c r="I301" s="277"/>
      <c r="J301" s="165"/>
      <c r="K301" s="165"/>
      <c r="L301" s="165"/>
      <c r="M301" s="165"/>
      <c r="N301" s="165"/>
      <c r="O301" s="165"/>
      <c r="P301" s="165"/>
      <c r="Q301" s="165"/>
      <c r="R301" s="165"/>
      <c r="S301" s="165"/>
      <c r="T301" s="165"/>
      <c r="U301" s="165"/>
      <c r="V301" s="165"/>
      <c r="W301" s="165"/>
      <c r="X301" s="165" t="str">
        <f>IFERROR(__xludf.DUMMYFUNCTION("""COMPUTED_VALUE"""),"CC-CTH-12.07")</f>
        <v>CC-CTH-12.07</v>
      </c>
      <c r="Y301" s="285" t="str">
        <f>IFERROR(__xludf.DUMMYFUNCTION("""COMPUTED_VALUE"""),"Done")</f>
        <v>Done</v>
      </c>
      <c r="Z301" s="284">
        <f>IFERROR(__xludf.DUMMYFUNCTION("""COMPUTED_VALUE"""),45239.0)</f>
        <v>45239</v>
      </c>
      <c r="AA301" s="165" t="str">
        <f>IFERROR(__xludf.DUMMYFUNCTION("""COMPUTED_VALUE"""),"Talha")</f>
        <v>Talha</v>
      </c>
      <c r="AB301" s="165" t="str">
        <f>IFERROR(__xludf.DUMMYFUNCTION("""COMPUTED_VALUE"""),"Upload")</f>
        <v>Upload</v>
      </c>
      <c r="AC301" s="165"/>
      <c r="AD301" s="165"/>
      <c r="AE301" s="165"/>
      <c r="AF301" s="165"/>
      <c r="AG301" s="165"/>
      <c r="AH301" s="165"/>
      <c r="AI301" s="165"/>
      <c r="AJ301" s="165"/>
      <c r="AK301" s="165"/>
      <c r="AL301" s="165"/>
    </row>
    <row r="302">
      <c r="A302" s="165"/>
      <c r="B302" s="165"/>
      <c r="C302" s="165"/>
      <c r="D302" s="165"/>
      <c r="E302" s="292"/>
      <c r="F302" s="277"/>
      <c r="G302" s="165"/>
      <c r="H302" s="277"/>
      <c r="I302" s="277"/>
      <c r="J302" s="165"/>
      <c r="K302" s="165"/>
      <c r="L302" s="165"/>
      <c r="M302" s="165"/>
      <c r="N302" s="165"/>
      <c r="O302" s="165"/>
      <c r="P302" s="165"/>
      <c r="Q302" s="165"/>
      <c r="R302" s="165"/>
      <c r="S302" s="165"/>
      <c r="T302" s="165"/>
      <c r="U302" s="165"/>
      <c r="V302" s="165"/>
      <c r="W302" s="165"/>
      <c r="X302" s="165" t="str">
        <f>IFERROR(__xludf.DUMMYFUNCTION("""COMPUTED_VALUE"""),"CC-CTH-16.01")</f>
        <v>CC-CTH-16.01</v>
      </c>
      <c r="Y302" s="285" t="str">
        <f>IFERROR(__xludf.DUMMYFUNCTION("""COMPUTED_VALUE"""),"Done")</f>
        <v>Done</v>
      </c>
      <c r="Z302" s="284">
        <f>IFERROR(__xludf.DUMMYFUNCTION("""COMPUTED_VALUE"""),45239.0)</f>
        <v>45239</v>
      </c>
      <c r="AA302" s="165" t="str">
        <f>IFERROR(__xludf.DUMMYFUNCTION("""COMPUTED_VALUE"""),"Akhil")</f>
        <v>Akhil</v>
      </c>
      <c r="AB302" s="165" t="str">
        <f>IFERROR(__xludf.DUMMYFUNCTION("""COMPUTED_VALUE"""),"Draft")</f>
        <v>Draft</v>
      </c>
      <c r="AC302" s="165"/>
      <c r="AD302" s="165"/>
      <c r="AE302" s="165"/>
      <c r="AF302" s="165"/>
      <c r="AG302" s="165"/>
      <c r="AH302" s="165"/>
      <c r="AI302" s="165"/>
      <c r="AJ302" s="165"/>
      <c r="AK302" s="165"/>
      <c r="AL302" s="165"/>
    </row>
    <row r="303">
      <c r="A303" s="165"/>
      <c r="B303" s="165"/>
      <c r="C303" s="165"/>
      <c r="D303" s="165"/>
      <c r="E303" s="292"/>
      <c r="F303" s="277"/>
      <c r="G303" s="165"/>
      <c r="H303" s="277"/>
      <c r="I303" s="277"/>
      <c r="J303" s="165"/>
      <c r="K303" s="165"/>
      <c r="L303" s="165"/>
      <c r="M303" s="165"/>
      <c r="N303" s="165"/>
      <c r="O303" s="165"/>
      <c r="P303" s="165"/>
      <c r="Q303" s="165"/>
      <c r="R303" s="165"/>
      <c r="S303" s="165"/>
      <c r="T303" s="165"/>
      <c r="U303" s="165"/>
      <c r="V303" s="165"/>
      <c r="W303" s="165"/>
      <c r="X303" s="165" t="str">
        <f>IFERROR(__xludf.DUMMYFUNCTION("""COMPUTED_VALUE"""),"CC-INN-30.03")</f>
        <v>CC-INN-30.03</v>
      </c>
      <c r="Y303" s="285" t="str">
        <f>IFERROR(__xludf.DUMMYFUNCTION("""COMPUTED_VALUE"""),"Done")</f>
        <v>Done</v>
      </c>
      <c r="Z303" s="284">
        <f>IFERROR(__xludf.DUMMYFUNCTION("""COMPUTED_VALUE"""),45239.0)</f>
        <v>45239</v>
      </c>
      <c r="AA303" s="165"/>
      <c r="AB303" s="165" t="str">
        <f>IFERROR(__xludf.DUMMYFUNCTION("""COMPUTED_VALUE"""),"Edit")</f>
        <v>Edit</v>
      </c>
      <c r="AC303" s="165"/>
      <c r="AD303" s="165"/>
      <c r="AE303" s="165"/>
      <c r="AF303" s="165"/>
      <c r="AG303" s="165"/>
      <c r="AH303" s="165"/>
      <c r="AI303" s="165"/>
      <c r="AJ303" s="165"/>
      <c r="AK303" s="165"/>
      <c r="AL303" s="165"/>
    </row>
    <row r="304">
      <c r="A304" s="165"/>
      <c r="B304" s="165"/>
      <c r="C304" s="165"/>
      <c r="D304" s="165"/>
      <c r="E304" s="292"/>
      <c r="F304" s="277"/>
      <c r="G304" s="165"/>
      <c r="H304" s="277"/>
      <c r="I304" s="277"/>
      <c r="J304" s="165"/>
      <c r="K304" s="165"/>
      <c r="L304" s="165"/>
      <c r="M304" s="165"/>
      <c r="N304" s="165"/>
      <c r="O304" s="165"/>
      <c r="P304" s="165"/>
      <c r="Q304" s="165"/>
      <c r="R304" s="165"/>
      <c r="S304" s="165"/>
      <c r="T304" s="165"/>
      <c r="U304" s="165"/>
      <c r="V304" s="165"/>
      <c r="W304" s="165"/>
      <c r="X304" s="165" t="str">
        <f>IFERROR(__xludf.DUMMYFUNCTION("""COMPUTED_VALUE"""),"CC-INN-30.04")</f>
        <v>CC-INN-30.04</v>
      </c>
      <c r="Y304" s="285" t="str">
        <f>IFERROR(__xludf.DUMMYFUNCTION("""COMPUTED_VALUE"""),"Done")</f>
        <v>Done</v>
      </c>
      <c r="Z304" s="284">
        <f>IFERROR(__xludf.DUMMYFUNCTION("""COMPUTED_VALUE"""),45239.0)</f>
        <v>45239</v>
      </c>
      <c r="AA304" s="165"/>
      <c r="AB304" s="165" t="str">
        <f>IFERROR(__xludf.DUMMYFUNCTION("""COMPUTED_VALUE"""),"Upload")</f>
        <v>Upload</v>
      </c>
      <c r="AC304" s="165"/>
      <c r="AD304" s="165"/>
      <c r="AE304" s="165"/>
      <c r="AF304" s="165"/>
      <c r="AG304" s="165"/>
      <c r="AH304" s="165"/>
      <c r="AI304" s="165"/>
      <c r="AJ304" s="165"/>
      <c r="AK304" s="165"/>
      <c r="AL304" s="165"/>
    </row>
    <row r="305">
      <c r="A305" s="165"/>
      <c r="B305" s="165"/>
      <c r="C305" s="165"/>
      <c r="D305" s="165"/>
      <c r="E305" s="292"/>
      <c r="F305" s="277"/>
      <c r="G305" s="165"/>
      <c r="H305" s="277"/>
      <c r="I305" s="277"/>
      <c r="J305" s="165"/>
      <c r="K305" s="165"/>
      <c r="L305" s="165"/>
      <c r="M305" s="165"/>
      <c r="N305" s="165"/>
      <c r="O305" s="165"/>
      <c r="P305" s="165"/>
      <c r="Q305" s="165"/>
      <c r="R305" s="165"/>
      <c r="S305" s="165"/>
      <c r="T305" s="165"/>
      <c r="U305" s="165"/>
      <c r="V305" s="165"/>
      <c r="W305" s="165"/>
      <c r="X305" s="165" t="str">
        <f>IFERROR(__xludf.DUMMYFUNCTION("""COMPUTED_VALUE"""),"CC-INN-32.03")</f>
        <v>CC-INN-32.03</v>
      </c>
      <c r="Y305" s="285" t="str">
        <f>IFERROR(__xludf.DUMMYFUNCTION("""COMPUTED_VALUE"""),"Done")</f>
        <v>Done</v>
      </c>
      <c r="Z305" s="284">
        <f>IFERROR(__xludf.DUMMYFUNCTION("""COMPUTED_VALUE"""),45239.0)</f>
        <v>45239</v>
      </c>
      <c r="AA305" s="165" t="str">
        <f>IFERROR(__xludf.DUMMYFUNCTION("""COMPUTED_VALUE"""),"Naveen")</f>
        <v>Naveen</v>
      </c>
      <c r="AB305" s="165" t="str">
        <f>IFERROR(__xludf.DUMMYFUNCTION("""COMPUTED_VALUE"""),"Edit")</f>
        <v>Edit</v>
      </c>
      <c r="AC305" s="165"/>
      <c r="AD305" s="165"/>
      <c r="AE305" s="165"/>
      <c r="AF305" s="165"/>
      <c r="AG305" s="165"/>
      <c r="AH305" s="165"/>
      <c r="AI305" s="165"/>
      <c r="AJ305" s="165"/>
      <c r="AK305" s="165"/>
      <c r="AL305" s="165"/>
    </row>
    <row r="306">
      <c r="A306" s="165"/>
      <c r="B306" s="165"/>
      <c r="C306" s="165"/>
      <c r="D306" s="165"/>
      <c r="E306" s="292"/>
      <c r="F306" s="277"/>
      <c r="G306" s="165"/>
      <c r="H306" s="277"/>
      <c r="I306" s="277"/>
      <c r="J306" s="165"/>
      <c r="K306" s="165"/>
      <c r="L306" s="165"/>
      <c r="M306" s="165"/>
      <c r="N306" s="165"/>
      <c r="O306" s="165"/>
      <c r="P306" s="165"/>
      <c r="Q306" s="165"/>
      <c r="R306" s="165"/>
      <c r="S306" s="165"/>
      <c r="T306" s="165"/>
      <c r="U306" s="165"/>
      <c r="V306" s="165"/>
      <c r="W306" s="165"/>
      <c r="X306" s="165" t="str">
        <f>IFERROR(__xludf.DUMMYFUNCTION("""COMPUTED_VALUE"""),"CC-INN-32.04")</f>
        <v>CC-INN-32.04</v>
      </c>
      <c r="Y306" s="285" t="str">
        <f>IFERROR(__xludf.DUMMYFUNCTION("""COMPUTED_VALUE"""),"Done")</f>
        <v>Done</v>
      </c>
      <c r="Z306" s="284">
        <f>IFERROR(__xludf.DUMMYFUNCTION("""COMPUTED_VALUE"""),45239.0)</f>
        <v>45239</v>
      </c>
      <c r="AA306" s="165" t="str">
        <f>IFERROR(__xludf.DUMMYFUNCTION("""COMPUTED_VALUE"""),"Naveen")</f>
        <v>Naveen</v>
      </c>
      <c r="AB306" s="165" t="str">
        <f>IFERROR(__xludf.DUMMYFUNCTION("""COMPUTED_VALUE"""),"Upload")</f>
        <v>Upload</v>
      </c>
      <c r="AC306" s="165"/>
      <c r="AD306" s="165"/>
      <c r="AE306" s="165"/>
      <c r="AF306" s="165"/>
      <c r="AG306" s="165"/>
      <c r="AH306" s="165"/>
      <c r="AI306" s="165"/>
      <c r="AJ306" s="165"/>
      <c r="AK306" s="165"/>
      <c r="AL306" s="165"/>
    </row>
    <row r="307">
      <c r="A307" s="165"/>
      <c r="B307" s="165"/>
      <c r="C307" s="165"/>
      <c r="D307" s="165"/>
      <c r="E307" s="292"/>
      <c r="F307" s="277"/>
      <c r="G307" s="165"/>
      <c r="H307" s="277"/>
      <c r="I307" s="277"/>
      <c r="J307" s="165"/>
      <c r="K307" s="165"/>
      <c r="L307" s="165"/>
      <c r="M307" s="165"/>
      <c r="N307" s="165"/>
      <c r="O307" s="165"/>
      <c r="P307" s="165"/>
      <c r="Q307" s="165"/>
      <c r="R307" s="165"/>
      <c r="S307" s="165"/>
      <c r="T307" s="165"/>
      <c r="U307" s="165"/>
      <c r="V307" s="165"/>
      <c r="W307" s="165"/>
      <c r="X307" s="165" t="str">
        <f>IFERROR(__xludf.DUMMYFUNCTION("""COMPUTED_VALUE"""),"CC-INN-29.02")</f>
        <v>CC-INN-29.02</v>
      </c>
      <c r="Y307" s="285" t="str">
        <f>IFERROR(__xludf.DUMMYFUNCTION("""COMPUTED_VALUE"""),"Done")</f>
        <v>Done</v>
      </c>
      <c r="Z307" s="284">
        <f>IFERROR(__xludf.DUMMYFUNCTION("""COMPUTED_VALUE"""),45239.0)</f>
        <v>45239</v>
      </c>
      <c r="AA307" s="165" t="str">
        <f>IFERROR(__xludf.DUMMYFUNCTION("""COMPUTED_VALUE"""),"Akhil")</f>
        <v>Akhil</v>
      </c>
      <c r="AB307" s="165" t="str">
        <f>IFERROR(__xludf.DUMMYFUNCTION("""COMPUTED_VALUE"""),"Shoot &amp; VO")</f>
        <v>Shoot &amp; VO</v>
      </c>
      <c r="AC307" s="165"/>
      <c r="AD307" s="165"/>
      <c r="AE307" s="165"/>
      <c r="AF307" s="165"/>
      <c r="AG307" s="165"/>
      <c r="AH307" s="165"/>
      <c r="AI307" s="165"/>
      <c r="AJ307" s="165"/>
      <c r="AK307" s="165"/>
      <c r="AL307" s="165"/>
    </row>
    <row r="308">
      <c r="A308" s="165"/>
      <c r="B308" s="165"/>
      <c r="C308" s="165"/>
      <c r="D308" s="165"/>
      <c r="E308" s="292"/>
      <c r="F308" s="277"/>
      <c r="G308" s="165"/>
      <c r="H308" s="277"/>
      <c r="I308" s="277"/>
      <c r="J308" s="165"/>
      <c r="K308" s="165"/>
      <c r="L308" s="165"/>
      <c r="M308" s="165"/>
      <c r="N308" s="165"/>
      <c r="O308" s="165"/>
      <c r="P308" s="165"/>
      <c r="Q308" s="165"/>
      <c r="R308" s="165"/>
      <c r="S308" s="165"/>
      <c r="T308" s="165"/>
      <c r="U308" s="165"/>
      <c r="V308" s="165"/>
      <c r="W308" s="165"/>
      <c r="X308" s="165" t="str">
        <f>IFERROR(__xludf.DUMMYFUNCTION("""COMPUTED_VALUE"""),"CC-INN-29.03")</f>
        <v>CC-INN-29.03</v>
      </c>
      <c r="Y308" s="285" t="str">
        <f>IFERROR(__xludf.DUMMYFUNCTION("""COMPUTED_VALUE"""),"Done")</f>
        <v>Done</v>
      </c>
      <c r="Z308" s="284">
        <f>IFERROR(__xludf.DUMMYFUNCTION("""COMPUTED_VALUE"""),45239.0)</f>
        <v>45239</v>
      </c>
      <c r="AA308" s="165" t="str">
        <f>IFERROR(__xludf.DUMMYFUNCTION("""COMPUTED_VALUE"""),"Naveen")</f>
        <v>Naveen</v>
      </c>
      <c r="AB308" s="165" t="str">
        <f>IFERROR(__xludf.DUMMYFUNCTION("""COMPUTED_VALUE"""),"Edit")</f>
        <v>Edit</v>
      </c>
      <c r="AC308" s="165"/>
      <c r="AD308" s="165"/>
      <c r="AE308" s="165"/>
      <c r="AF308" s="165"/>
      <c r="AG308" s="165"/>
      <c r="AH308" s="165"/>
      <c r="AI308" s="165"/>
      <c r="AJ308" s="165"/>
      <c r="AK308" s="165"/>
      <c r="AL308" s="165"/>
    </row>
    <row r="309">
      <c r="A309" s="165"/>
      <c r="B309" s="165"/>
      <c r="C309" s="165"/>
      <c r="D309" s="165"/>
      <c r="E309" s="292"/>
      <c r="F309" s="277"/>
      <c r="G309" s="165"/>
      <c r="H309" s="277"/>
      <c r="I309" s="277"/>
      <c r="J309" s="165"/>
      <c r="K309" s="165"/>
      <c r="L309" s="165"/>
      <c r="M309" s="165"/>
      <c r="N309" s="165"/>
      <c r="O309" s="165"/>
      <c r="P309" s="165"/>
      <c r="Q309" s="165"/>
      <c r="R309" s="165"/>
      <c r="S309" s="165"/>
      <c r="T309" s="165"/>
      <c r="U309" s="165"/>
      <c r="V309" s="165"/>
      <c r="W309" s="165"/>
      <c r="X309" s="165" t="str">
        <f>IFERROR(__xludf.DUMMYFUNCTION("""COMPUTED_VALUE"""),"CC-INN-27.02")</f>
        <v>CC-INN-27.02</v>
      </c>
      <c r="Y309" s="285" t="str">
        <f>IFERROR(__xludf.DUMMYFUNCTION("""COMPUTED_VALUE"""),"Done")</f>
        <v>Done</v>
      </c>
      <c r="Z309" s="284">
        <f>IFERROR(__xludf.DUMMYFUNCTION("""COMPUTED_VALUE"""),45239.0)</f>
        <v>45239</v>
      </c>
      <c r="AA309" s="165" t="str">
        <f>IFERROR(__xludf.DUMMYFUNCTION("""COMPUTED_VALUE"""),"Akhil")</f>
        <v>Akhil</v>
      </c>
      <c r="AB309" s="165" t="str">
        <f>IFERROR(__xludf.DUMMYFUNCTION("""COMPUTED_VALUE"""),"Voiceover")</f>
        <v>Voiceover</v>
      </c>
      <c r="AC309" s="165"/>
      <c r="AD309" s="165"/>
      <c r="AE309" s="165"/>
      <c r="AF309" s="165"/>
      <c r="AG309" s="165"/>
      <c r="AH309" s="165"/>
      <c r="AI309" s="165"/>
      <c r="AJ309" s="165"/>
      <c r="AK309" s="165"/>
      <c r="AL309" s="165"/>
    </row>
    <row r="310">
      <c r="A310" s="165"/>
      <c r="B310" s="165"/>
      <c r="C310" s="165"/>
      <c r="D310" s="165"/>
      <c r="E310" s="292"/>
      <c r="F310" s="277"/>
      <c r="G310" s="165"/>
      <c r="H310" s="277"/>
      <c r="I310" s="277"/>
      <c r="J310" s="165"/>
      <c r="K310" s="165"/>
      <c r="L310" s="165"/>
      <c r="M310" s="165"/>
      <c r="N310" s="165"/>
      <c r="O310" s="165"/>
      <c r="P310" s="165"/>
      <c r="Q310" s="165"/>
      <c r="R310" s="165"/>
      <c r="S310" s="165"/>
      <c r="T310" s="165"/>
      <c r="U310" s="165"/>
      <c r="V310" s="165"/>
      <c r="W310" s="165"/>
      <c r="X310" s="165" t="str">
        <f>IFERROR(__xludf.DUMMYFUNCTION("""COMPUTED_VALUE"""),"CC-INN-31.03")</f>
        <v>CC-INN-31.03</v>
      </c>
      <c r="Y310" s="285" t="str">
        <f>IFERROR(__xludf.DUMMYFUNCTION("""COMPUTED_VALUE"""),"Not Started")</f>
        <v>Not Started</v>
      </c>
      <c r="Z310" s="284">
        <f>IFERROR(__xludf.DUMMYFUNCTION("""COMPUTED_VALUE"""),45239.0)</f>
        <v>45239</v>
      </c>
      <c r="AA310" s="165"/>
      <c r="AB310" s="165" t="str">
        <f>IFERROR(__xludf.DUMMYFUNCTION("""COMPUTED_VALUE"""),"Edit")</f>
        <v>Edit</v>
      </c>
      <c r="AC310" s="165"/>
      <c r="AD310" s="165"/>
      <c r="AE310" s="165"/>
      <c r="AF310" s="165"/>
      <c r="AG310" s="165"/>
      <c r="AH310" s="165"/>
      <c r="AI310" s="165"/>
      <c r="AJ310" s="165"/>
      <c r="AK310" s="165"/>
      <c r="AL310" s="165"/>
    </row>
    <row r="311">
      <c r="A311" s="165"/>
      <c r="B311" s="165"/>
      <c r="C311" s="165"/>
      <c r="D311" s="165"/>
      <c r="E311" s="292"/>
      <c r="F311" s="277"/>
      <c r="G311" s="165"/>
      <c r="H311" s="277"/>
      <c r="I311" s="277"/>
      <c r="J311" s="165"/>
      <c r="K311" s="165"/>
      <c r="L311" s="165"/>
      <c r="M311" s="165"/>
      <c r="N311" s="165"/>
      <c r="O311" s="165"/>
      <c r="P311" s="165"/>
      <c r="Q311" s="165"/>
      <c r="R311" s="165"/>
      <c r="S311" s="165"/>
      <c r="T311" s="165"/>
      <c r="U311" s="165"/>
      <c r="V311" s="165"/>
      <c r="W311" s="165"/>
      <c r="X311" s="165" t="str">
        <f>IFERROR(__xludf.DUMMYFUNCTION("""COMPUTED_VALUE"""),"CC-INN-31.04")</f>
        <v>CC-INN-31.04</v>
      </c>
      <c r="Y311" s="285" t="str">
        <f>IFERROR(__xludf.DUMMYFUNCTION("""COMPUTED_VALUE"""),"Not Started")</f>
        <v>Not Started</v>
      </c>
      <c r="Z311" s="284">
        <f>IFERROR(__xludf.DUMMYFUNCTION("""COMPUTED_VALUE"""),45239.0)</f>
        <v>45239</v>
      </c>
      <c r="AA311" s="165"/>
      <c r="AB311" s="165" t="str">
        <f>IFERROR(__xludf.DUMMYFUNCTION("""COMPUTED_VALUE"""),"Upload")</f>
        <v>Upload</v>
      </c>
      <c r="AC311" s="165"/>
      <c r="AD311" s="165"/>
      <c r="AE311" s="165"/>
      <c r="AF311" s="165"/>
      <c r="AG311" s="165"/>
      <c r="AH311" s="165"/>
      <c r="AI311" s="165"/>
      <c r="AJ311" s="165"/>
      <c r="AK311" s="165"/>
      <c r="AL311" s="165"/>
    </row>
    <row r="312">
      <c r="A312" s="165"/>
      <c r="B312" s="165"/>
      <c r="C312" s="165"/>
      <c r="D312" s="165"/>
      <c r="E312" s="292"/>
      <c r="F312" s="277"/>
      <c r="G312" s="165"/>
      <c r="H312" s="277"/>
      <c r="I312" s="277"/>
      <c r="J312" s="165"/>
      <c r="K312" s="165"/>
      <c r="L312" s="165"/>
      <c r="M312" s="165"/>
      <c r="N312" s="165"/>
      <c r="O312" s="165"/>
      <c r="P312" s="165"/>
      <c r="Q312" s="165"/>
      <c r="R312" s="165"/>
      <c r="S312" s="165"/>
      <c r="T312" s="165"/>
      <c r="U312" s="165"/>
      <c r="V312" s="165"/>
      <c r="W312" s="165"/>
      <c r="X312" s="165" t="str">
        <f>IFERROR(__xludf.DUMMYFUNCTION("""COMPUTED_VALUE"""),"PM-NVI-03.07")</f>
        <v>PM-NVI-03.07</v>
      </c>
      <c r="Y312" s="285" t="str">
        <f>IFERROR(__xludf.DUMMYFUNCTION("""COMPUTED_VALUE"""),"Not Started")</f>
        <v>Not Started</v>
      </c>
      <c r="Z312" s="284">
        <f>IFERROR(__xludf.DUMMYFUNCTION("""COMPUTED_VALUE"""),45239.0)</f>
        <v>45239</v>
      </c>
      <c r="AA312" s="165" t="str">
        <f>IFERROR(__xludf.DUMMYFUNCTION("""COMPUTED_VALUE"""),"Naveen")</f>
        <v>Naveen</v>
      </c>
      <c r="AB312" s="165" t="str">
        <f>IFERROR(__xludf.DUMMYFUNCTION("""COMPUTED_VALUE"""),"ACER RTX 3050")</f>
        <v>ACER RTX 3050</v>
      </c>
      <c r="AC312" s="165"/>
      <c r="AD312" s="165"/>
      <c r="AE312" s="165"/>
      <c r="AF312" s="165"/>
      <c r="AG312" s="165"/>
      <c r="AH312" s="165"/>
      <c r="AI312" s="165"/>
      <c r="AJ312" s="165"/>
      <c r="AK312" s="165"/>
      <c r="AL312" s="165"/>
    </row>
    <row r="313">
      <c r="A313" s="165"/>
      <c r="B313" s="165"/>
      <c r="C313" s="165"/>
      <c r="D313" s="165"/>
      <c r="E313" s="292"/>
      <c r="F313" s="277"/>
      <c r="G313" s="165"/>
      <c r="H313" s="277"/>
      <c r="I313" s="277"/>
      <c r="J313" s="165"/>
      <c r="K313" s="165"/>
      <c r="L313" s="165"/>
      <c r="M313" s="165"/>
      <c r="N313" s="165"/>
      <c r="O313" s="165"/>
      <c r="P313" s="165"/>
      <c r="Q313" s="165"/>
      <c r="R313" s="165"/>
      <c r="S313" s="165"/>
      <c r="T313" s="165"/>
      <c r="U313" s="165"/>
      <c r="V313" s="165"/>
      <c r="W313" s="165"/>
      <c r="X313" s="165" t="str">
        <f>IFERROR(__xludf.DUMMYFUNCTION("""COMPUTED_VALUE"""),"PM-INN-01.04")</f>
        <v>PM-INN-01.04</v>
      </c>
      <c r="Y313" s="285" t="str">
        <f>IFERROR(__xludf.DUMMYFUNCTION("""COMPUTED_VALUE"""),"Done")</f>
        <v>Done</v>
      </c>
      <c r="Z313" s="284">
        <f>IFERROR(__xludf.DUMMYFUNCTION("""COMPUTED_VALUE"""),45239.0)</f>
        <v>45239</v>
      </c>
      <c r="AA313" s="165" t="str">
        <f>IFERROR(__xludf.DUMMYFUNCTION("""COMPUTED_VALUE"""),"Naveen")</f>
        <v>Naveen</v>
      </c>
      <c r="AB313" s="165" t="str">
        <f>IFERROR(__xludf.DUMMYFUNCTION("""COMPUTED_VALUE"""),"Landing Pages")</f>
        <v>Landing Pages</v>
      </c>
      <c r="AC313" s="165"/>
      <c r="AD313" s="165"/>
      <c r="AE313" s="165"/>
      <c r="AF313" s="165"/>
      <c r="AG313" s="165"/>
      <c r="AH313" s="165"/>
      <c r="AI313" s="165"/>
      <c r="AJ313" s="165"/>
      <c r="AK313" s="165"/>
      <c r="AL313" s="165"/>
    </row>
    <row r="314">
      <c r="A314" s="165"/>
      <c r="B314" s="165"/>
      <c r="C314" s="165"/>
      <c r="D314" s="165"/>
      <c r="E314" s="292"/>
      <c r="F314" s="277"/>
      <c r="G314" s="165"/>
      <c r="H314" s="277"/>
      <c r="I314" s="277"/>
      <c r="J314" s="165"/>
      <c r="K314" s="165"/>
      <c r="L314" s="165"/>
      <c r="M314" s="165"/>
      <c r="N314" s="165"/>
      <c r="O314" s="165"/>
      <c r="P314" s="165"/>
      <c r="Q314" s="165"/>
      <c r="R314" s="165"/>
      <c r="S314" s="165"/>
      <c r="T314" s="165"/>
      <c r="U314" s="165"/>
      <c r="V314" s="165"/>
      <c r="W314" s="165"/>
      <c r="X314" s="165" t="str">
        <f>IFERROR(__xludf.DUMMYFUNCTION("""COMPUTED_VALUE"""),"PM-MVP-03.08")</f>
        <v>PM-MVP-03.08</v>
      </c>
      <c r="Y314" s="285" t="str">
        <f>IFERROR(__xludf.DUMMYFUNCTION("""COMPUTED_VALUE"""),"Done")</f>
        <v>Done</v>
      </c>
      <c r="Z314" s="284">
        <f>IFERROR(__xludf.DUMMYFUNCTION("""COMPUTED_VALUE"""),45239.0)</f>
        <v>45239</v>
      </c>
      <c r="AA314" s="165" t="str">
        <f>IFERROR(__xludf.DUMMYFUNCTION("""COMPUTED_VALUE"""),"Akhil")</f>
        <v>Akhil</v>
      </c>
      <c r="AB314" s="165" t="str">
        <f>IFERROR(__xludf.DUMMYFUNCTION("""COMPUTED_VALUE"""),"Diwali Visiting Card")</f>
        <v>Diwali Visiting Card</v>
      </c>
      <c r="AC314" s="165"/>
      <c r="AD314" s="165"/>
      <c r="AE314" s="165"/>
      <c r="AF314" s="165"/>
      <c r="AG314" s="165"/>
      <c r="AH314" s="165"/>
      <c r="AI314" s="165"/>
      <c r="AJ314" s="165"/>
      <c r="AK314" s="165"/>
      <c r="AL314" s="165"/>
    </row>
    <row r="315">
      <c r="A315" s="165"/>
      <c r="B315" s="165"/>
      <c r="C315" s="165"/>
      <c r="D315" s="165"/>
      <c r="E315" s="292"/>
      <c r="F315" s="277"/>
      <c r="G315" s="165"/>
      <c r="H315" s="277"/>
      <c r="I315" s="277"/>
      <c r="J315" s="165"/>
      <c r="K315" s="165"/>
      <c r="L315" s="165"/>
      <c r="M315" s="165"/>
      <c r="N315" s="165"/>
      <c r="O315" s="165"/>
      <c r="P315" s="165"/>
      <c r="Q315" s="165"/>
      <c r="R315" s="165"/>
      <c r="S315" s="165"/>
      <c r="T315" s="165"/>
      <c r="U315" s="165"/>
      <c r="V315" s="165"/>
      <c r="W315" s="165"/>
      <c r="X315" s="165" t="str">
        <f>IFERROR(__xludf.DUMMYFUNCTION("""COMPUTED_VALUE"""),"PM-PTS-07.05")</f>
        <v>PM-PTS-07.05</v>
      </c>
      <c r="Y315" s="285" t="str">
        <f>IFERROR(__xludf.DUMMYFUNCTION("""COMPUTED_VALUE"""),"Done")</f>
        <v>Done</v>
      </c>
      <c r="Z315" s="284">
        <f>IFERROR(__xludf.DUMMYFUNCTION("""COMPUTED_VALUE"""),45239.0)</f>
        <v>45239</v>
      </c>
      <c r="AA315" s="165" t="str">
        <f>IFERROR(__xludf.DUMMYFUNCTION("""COMPUTED_VALUE"""),"Talha")</f>
        <v>Talha</v>
      </c>
      <c r="AB315" s="165" t="str">
        <f>IFERROR(__xludf.DUMMYFUNCTION("""COMPUTED_VALUE"""),"Re-Script")</f>
        <v>Re-Script</v>
      </c>
      <c r="AC315" s="165"/>
      <c r="AD315" s="165"/>
      <c r="AE315" s="165"/>
      <c r="AF315" s="165"/>
      <c r="AG315" s="165"/>
      <c r="AH315" s="165"/>
      <c r="AI315" s="165"/>
      <c r="AJ315" s="165"/>
      <c r="AK315" s="165"/>
      <c r="AL315" s="165"/>
    </row>
    <row r="316">
      <c r="A316" s="165"/>
      <c r="B316" s="165"/>
      <c r="C316" s="165"/>
      <c r="D316" s="165"/>
      <c r="E316" s="292"/>
      <c r="F316" s="277"/>
      <c r="G316" s="165"/>
      <c r="H316" s="277"/>
      <c r="I316" s="277"/>
      <c r="J316" s="165"/>
      <c r="K316" s="165"/>
      <c r="L316" s="165"/>
      <c r="M316" s="165"/>
      <c r="N316" s="165"/>
      <c r="O316" s="165"/>
      <c r="P316" s="165"/>
      <c r="Q316" s="165"/>
      <c r="R316" s="165"/>
      <c r="S316" s="165"/>
      <c r="T316" s="165"/>
      <c r="U316" s="165"/>
      <c r="V316" s="165"/>
      <c r="W316" s="165"/>
      <c r="X316" s="165" t="str">
        <f>IFERROR(__xludf.DUMMYFUNCTION("""COMPUTED_VALUE"""),"PM-PTS-05.14")</f>
        <v>PM-PTS-05.14</v>
      </c>
      <c r="Y316" s="285" t="str">
        <f>IFERROR(__xludf.DUMMYFUNCTION("""COMPUTED_VALUE"""),"In Review")</f>
        <v>In Review</v>
      </c>
      <c r="Z316" s="284">
        <f>IFERROR(__xludf.DUMMYFUNCTION("""COMPUTED_VALUE"""),45239.0)</f>
        <v>45239</v>
      </c>
      <c r="AA316" s="165" t="str">
        <f>IFERROR(__xludf.DUMMYFUNCTION("""COMPUTED_VALUE"""),"Nasser")</f>
        <v>Nasser</v>
      </c>
      <c r="AB316" s="165" t="str">
        <f>IFERROR(__xludf.DUMMYFUNCTION("""COMPUTED_VALUE"""),"Huston sample")</f>
        <v>Huston sample</v>
      </c>
      <c r="AC316" s="165"/>
      <c r="AD316" s="165"/>
      <c r="AE316" s="165"/>
      <c r="AF316" s="165"/>
      <c r="AG316" s="165"/>
      <c r="AH316" s="165"/>
      <c r="AI316" s="165"/>
      <c r="AJ316" s="165"/>
      <c r="AK316" s="165"/>
      <c r="AL316" s="165"/>
    </row>
    <row r="317">
      <c r="A317" s="165"/>
      <c r="B317" s="165"/>
      <c r="C317" s="165"/>
      <c r="D317" s="165"/>
      <c r="E317" s="292"/>
      <c r="F317" s="277"/>
      <c r="G317" s="165"/>
      <c r="H317" s="277"/>
      <c r="I317" s="277"/>
      <c r="J317" s="165"/>
      <c r="K317" s="165"/>
      <c r="L317" s="165"/>
      <c r="M317" s="165"/>
      <c r="N317" s="165"/>
      <c r="O317" s="165"/>
      <c r="P317" s="165"/>
      <c r="Q317" s="165"/>
      <c r="R317" s="165"/>
      <c r="S317" s="165"/>
      <c r="T317" s="165"/>
      <c r="U317" s="165"/>
      <c r="V317" s="165"/>
      <c r="W317" s="165"/>
      <c r="X317" s="165" t="str">
        <f>IFERROR(__xludf.DUMMYFUNCTION("""COMPUTED_VALUE"""),"PM-PTS-09.01")</f>
        <v>PM-PTS-09.01</v>
      </c>
      <c r="Y317" s="285" t="str">
        <f>IFERROR(__xludf.DUMMYFUNCTION("""COMPUTED_VALUE"""),"Not Started")</f>
        <v>Not Started</v>
      </c>
      <c r="Z317" s="284">
        <f>IFERROR(__xludf.DUMMYFUNCTION("""COMPUTED_VALUE"""),45239.0)</f>
        <v>45239</v>
      </c>
      <c r="AA317" s="165"/>
      <c r="AB317" s="165" t="str">
        <f>IFERROR(__xludf.DUMMYFUNCTION("""COMPUTED_VALUE"""),"Script")</f>
        <v>Script</v>
      </c>
      <c r="AC317" s="165"/>
      <c r="AD317" s="165"/>
      <c r="AE317" s="165"/>
      <c r="AF317" s="165"/>
      <c r="AG317" s="165"/>
      <c r="AH317" s="165"/>
      <c r="AI317" s="165"/>
      <c r="AJ317" s="165"/>
      <c r="AK317" s="165"/>
      <c r="AL317" s="165"/>
    </row>
    <row r="318">
      <c r="A318" s="165"/>
      <c r="B318" s="165"/>
      <c r="C318" s="165"/>
      <c r="D318" s="165"/>
      <c r="E318" s="292"/>
      <c r="F318" s="277"/>
      <c r="G318" s="165"/>
      <c r="H318" s="277"/>
      <c r="I318" s="277"/>
      <c r="J318" s="165"/>
      <c r="K318" s="165"/>
      <c r="L318" s="165"/>
      <c r="M318" s="165"/>
      <c r="N318" s="165"/>
      <c r="O318" s="165"/>
      <c r="P318" s="165"/>
      <c r="Q318" s="165"/>
      <c r="R318" s="165"/>
      <c r="S318" s="165"/>
      <c r="T318" s="165"/>
      <c r="U318" s="165"/>
      <c r="V318" s="165"/>
      <c r="W318" s="165"/>
      <c r="X318" s="165" t="str">
        <f>IFERROR(__xludf.DUMMYFUNCTION("""COMPUTED_VALUE"""),"CC-MVP-101.04")</f>
        <v>CC-MVP-101.04</v>
      </c>
      <c r="Y318" s="285" t="str">
        <f>IFERROR(__xludf.DUMMYFUNCTION("""COMPUTED_VALUE"""),"Done")</f>
        <v>Done</v>
      </c>
      <c r="Z318" s="284">
        <f>IFERROR(__xludf.DUMMYFUNCTION("""COMPUTED_VALUE"""),45240.0)</f>
        <v>45240</v>
      </c>
      <c r="AA318" s="165" t="str">
        <f>IFERROR(__xludf.DUMMYFUNCTION("""COMPUTED_VALUE"""),"Nasser")</f>
        <v>Nasser</v>
      </c>
      <c r="AB318" s="165" t="str">
        <f>IFERROR(__xludf.DUMMYFUNCTION("""COMPUTED_VALUE"""),"Upload")</f>
        <v>Upload</v>
      </c>
      <c r="AC318" s="165"/>
      <c r="AD318" s="165"/>
      <c r="AE318" s="165"/>
      <c r="AF318" s="165"/>
      <c r="AG318" s="165"/>
      <c r="AH318" s="165"/>
      <c r="AI318" s="165"/>
      <c r="AJ318" s="165"/>
      <c r="AK318" s="165"/>
      <c r="AL318" s="165"/>
    </row>
    <row r="319">
      <c r="A319" s="165"/>
      <c r="B319" s="165"/>
      <c r="C319" s="165"/>
      <c r="D319" s="165"/>
      <c r="E319" s="292"/>
      <c r="F319" s="277"/>
      <c r="G319" s="165"/>
      <c r="H319" s="277"/>
      <c r="I319" s="277"/>
      <c r="J319" s="165"/>
      <c r="K319" s="165"/>
      <c r="L319" s="165"/>
      <c r="M319" s="165"/>
      <c r="N319" s="165"/>
      <c r="O319" s="165"/>
      <c r="P319" s="165"/>
      <c r="Q319" s="165"/>
      <c r="R319" s="165"/>
      <c r="S319" s="165"/>
      <c r="T319" s="165"/>
      <c r="U319" s="165"/>
      <c r="V319" s="165"/>
      <c r="W319" s="165"/>
      <c r="X319" s="165" t="str">
        <f>IFERROR(__xludf.DUMMYFUNCTION("""COMPUTED_VALUE"""),"CC-MVP-43.02")</f>
        <v>CC-MVP-43.02</v>
      </c>
      <c r="Y319" s="285" t="str">
        <f>IFERROR(__xludf.DUMMYFUNCTION("""COMPUTED_VALUE"""),"Done")</f>
        <v>Done</v>
      </c>
      <c r="Z319" s="284">
        <f>IFERROR(__xludf.DUMMYFUNCTION("""COMPUTED_VALUE"""),45240.0)</f>
        <v>45240</v>
      </c>
      <c r="AA319" s="165" t="str">
        <f>IFERROR(__xludf.DUMMYFUNCTION("""COMPUTED_VALUE"""),"Akhil")</f>
        <v>Akhil</v>
      </c>
      <c r="AB319" s="165" t="str">
        <f>IFERROR(__xludf.DUMMYFUNCTION("""COMPUTED_VALUE"""),"Shoot")</f>
        <v>Shoot</v>
      </c>
      <c r="AC319" s="165"/>
      <c r="AD319" s="165"/>
      <c r="AE319" s="165"/>
      <c r="AF319" s="165"/>
      <c r="AG319" s="165"/>
      <c r="AH319" s="165"/>
      <c r="AI319" s="165"/>
      <c r="AJ319" s="165"/>
      <c r="AK319" s="165"/>
      <c r="AL319" s="165"/>
    </row>
    <row r="320">
      <c r="A320" s="165"/>
      <c r="B320" s="165"/>
      <c r="C320" s="165"/>
      <c r="D320" s="165"/>
      <c r="E320" s="292"/>
      <c r="F320" s="277"/>
      <c r="G320" s="165"/>
      <c r="H320" s="277"/>
      <c r="I320" s="277"/>
      <c r="J320" s="165"/>
      <c r="K320" s="165"/>
      <c r="L320" s="165"/>
      <c r="M320" s="165"/>
      <c r="N320" s="165"/>
      <c r="O320" s="165"/>
      <c r="P320" s="165"/>
      <c r="Q320" s="165"/>
      <c r="R320" s="165"/>
      <c r="S320" s="165"/>
      <c r="T320" s="165"/>
      <c r="U320" s="165"/>
      <c r="V320" s="165"/>
      <c r="W320" s="165"/>
      <c r="X320" s="165" t="str">
        <f>IFERROR(__xludf.DUMMYFUNCTION("""COMPUTED_VALUE"""),"CC-MVP-43.05")</f>
        <v>CC-MVP-43.05</v>
      </c>
      <c r="Y320" s="285" t="str">
        <f>IFERROR(__xludf.DUMMYFUNCTION("""COMPUTED_VALUE"""),"Working On it")</f>
        <v>Working On it</v>
      </c>
      <c r="Z320" s="284">
        <f>IFERROR(__xludf.DUMMYFUNCTION("""COMPUTED_VALUE"""),45240.0)</f>
        <v>45240</v>
      </c>
      <c r="AA320" s="165" t="str">
        <f>IFERROR(__xludf.DUMMYFUNCTION("""COMPUTED_VALUE"""),"Tazeen")</f>
        <v>Tazeen</v>
      </c>
      <c r="AB320" s="165" t="str">
        <f>IFERROR(__xludf.DUMMYFUNCTION("""COMPUTED_VALUE"""),"Edit")</f>
        <v>Edit</v>
      </c>
      <c r="AC320" s="165"/>
      <c r="AD320" s="165"/>
      <c r="AE320" s="165"/>
      <c r="AF320" s="165"/>
      <c r="AG320" s="165"/>
      <c r="AH320" s="165"/>
      <c r="AI320" s="165"/>
      <c r="AJ320" s="165"/>
      <c r="AK320" s="165"/>
      <c r="AL320" s="165"/>
    </row>
    <row r="321">
      <c r="A321" s="165"/>
      <c r="B321" s="165"/>
      <c r="C321" s="165"/>
      <c r="D321" s="165"/>
      <c r="E321" s="292"/>
      <c r="F321" s="277"/>
      <c r="G321" s="165"/>
      <c r="H321" s="277"/>
      <c r="I321" s="277"/>
      <c r="J321" s="165"/>
      <c r="K321" s="165"/>
      <c r="L321" s="165"/>
      <c r="M321" s="165"/>
      <c r="N321" s="165"/>
      <c r="O321" s="165"/>
      <c r="P321" s="165"/>
      <c r="Q321" s="165"/>
      <c r="R321" s="165"/>
      <c r="S321" s="165"/>
      <c r="T321" s="165"/>
      <c r="U321" s="165"/>
      <c r="V321" s="165"/>
      <c r="W321" s="165"/>
      <c r="X321" s="165" t="str">
        <f>IFERROR(__xludf.DUMMYFUNCTION("""COMPUTED_VALUE"""),"CC-MVP-43.06")</f>
        <v>CC-MVP-43.06</v>
      </c>
      <c r="Y321" s="285" t="str">
        <f>IFERROR(__xludf.DUMMYFUNCTION("""COMPUTED_VALUE"""),"Not Started")</f>
        <v>Not Started</v>
      </c>
      <c r="Z321" s="284">
        <f>IFERROR(__xludf.DUMMYFUNCTION("""COMPUTED_VALUE"""),45240.0)</f>
        <v>45240</v>
      </c>
      <c r="AA321" s="165" t="str">
        <f>IFERROR(__xludf.DUMMYFUNCTION("""COMPUTED_VALUE"""),"Tazeen")</f>
        <v>Tazeen</v>
      </c>
      <c r="AB321" s="165" t="str">
        <f>IFERROR(__xludf.DUMMYFUNCTION("""COMPUTED_VALUE"""),"Thumbnail")</f>
        <v>Thumbnail</v>
      </c>
      <c r="AC321" s="165"/>
      <c r="AD321" s="165"/>
      <c r="AE321" s="165"/>
      <c r="AF321" s="165"/>
      <c r="AG321" s="165"/>
      <c r="AH321" s="165"/>
      <c r="AI321" s="165"/>
      <c r="AJ321" s="165"/>
      <c r="AK321" s="165"/>
      <c r="AL321" s="165"/>
    </row>
    <row r="322">
      <c r="A322" s="165"/>
      <c r="B322" s="165"/>
      <c r="C322" s="165"/>
      <c r="D322" s="165"/>
      <c r="E322" s="292"/>
      <c r="F322" s="277"/>
      <c r="G322" s="165"/>
      <c r="H322" s="277"/>
      <c r="I322" s="277"/>
      <c r="J322" s="165"/>
      <c r="K322" s="165"/>
      <c r="L322" s="165"/>
      <c r="M322" s="165"/>
      <c r="N322" s="165"/>
      <c r="O322" s="165"/>
      <c r="P322" s="165"/>
      <c r="Q322" s="165"/>
      <c r="R322" s="165"/>
      <c r="S322" s="165"/>
      <c r="T322" s="165"/>
      <c r="U322" s="165"/>
      <c r="V322" s="165"/>
      <c r="W322" s="165"/>
      <c r="X322" s="165" t="str">
        <f>IFERROR(__xludf.DUMMYFUNCTION("""COMPUTED_VALUE"""),"CC-MVP-43.07")</f>
        <v>CC-MVP-43.07</v>
      </c>
      <c r="Y322" s="285" t="str">
        <f>IFERROR(__xludf.DUMMYFUNCTION("""COMPUTED_VALUE"""),"Not Started")</f>
        <v>Not Started</v>
      </c>
      <c r="Z322" s="284">
        <f>IFERROR(__xludf.DUMMYFUNCTION("""COMPUTED_VALUE"""),45240.0)</f>
        <v>45240</v>
      </c>
      <c r="AA322" s="165" t="str">
        <f>IFERROR(__xludf.DUMMYFUNCTION("""COMPUTED_VALUE"""),"Tazeen")</f>
        <v>Tazeen</v>
      </c>
      <c r="AB322" s="165" t="str">
        <f>IFERROR(__xludf.DUMMYFUNCTION("""COMPUTED_VALUE"""),"Upload")</f>
        <v>Upload</v>
      </c>
      <c r="AC322" s="165"/>
      <c r="AD322" s="165"/>
      <c r="AE322" s="165"/>
      <c r="AF322" s="165"/>
      <c r="AG322" s="165"/>
      <c r="AH322" s="165"/>
      <c r="AI322" s="165"/>
      <c r="AJ322" s="165"/>
      <c r="AK322" s="165"/>
      <c r="AL322" s="165"/>
    </row>
    <row r="323">
      <c r="A323" s="165"/>
      <c r="B323" s="165"/>
      <c r="C323" s="165"/>
      <c r="D323" s="165"/>
      <c r="E323" s="292"/>
      <c r="F323" s="277"/>
      <c r="G323" s="165"/>
      <c r="H323" s="277"/>
      <c r="I323" s="277"/>
      <c r="J323" s="165"/>
      <c r="K323" s="165"/>
      <c r="L323" s="165"/>
      <c r="M323" s="165"/>
      <c r="N323" s="165"/>
      <c r="O323" s="165"/>
      <c r="P323" s="165"/>
      <c r="Q323" s="165"/>
      <c r="R323" s="165"/>
      <c r="S323" s="165"/>
      <c r="T323" s="165"/>
      <c r="U323" s="165"/>
      <c r="V323" s="165"/>
      <c r="W323" s="165"/>
      <c r="X323" s="165" t="str">
        <f>IFERROR(__xludf.DUMMYFUNCTION("""COMPUTED_VALUE"""),"CC-MVP-106.01")</f>
        <v>CC-MVP-106.01</v>
      </c>
      <c r="Y323" s="285" t="str">
        <f>IFERROR(__xludf.DUMMYFUNCTION("""COMPUTED_VALUE"""),"Not Started")</f>
        <v>Not Started</v>
      </c>
      <c r="Z323" s="284">
        <f>IFERROR(__xludf.DUMMYFUNCTION("""COMPUTED_VALUE"""),45240.0)</f>
        <v>45240</v>
      </c>
      <c r="AA323" s="165" t="str">
        <f>IFERROR(__xludf.DUMMYFUNCTION("""COMPUTED_VALUE"""),"Jayanth")</f>
        <v>Jayanth</v>
      </c>
      <c r="AB323" s="165" t="str">
        <f>IFERROR(__xludf.DUMMYFUNCTION("""COMPUTED_VALUE"""),"Script")</f>
        <v>Script</v>
      </c>
      <c r="AC323" s="165"/>
      <c r="AD323" s="165"/>
      <c r="AE323" s="165"/>
      <c r="AF323" s="165"/>
      <c r="AG323" s="165"/>
      <c r="AH323" s="165"/>
      <c r="AI323" s="165"/>
      <c r="AJ323" s="165"/>
      <c r="AK323" s="165"/>
      <c r="AL323" s="165"/>
    </row>
    <row r="324">
      <c r="A324" s="165"/>
      <c r="B324" s="165"/>
      <c r="C324" s="165"/>
      <c r="D324" s="165"/>
      <c r="E324" s="292"/>
      <c r="F324" s="277"/>
      <c r="G324" s="165"/>
      <c r="H324" s="277"/>
      <c r="I324" s="277"/>
      <c r="J324" s="165"/>
      <c r="K324" s="165"/>
      <c r="L324" s="165"/>
      <c r="M324" s="165"/>
      <c r="N324" s="165"/>
      <c r="O324" s="165"/>
      <c r="P324" s="165"/>
      <c r="Q324" s="165"/>
      <c r="R324" s="165"/>
      <c r="S324" s="165"/>
      <c r="T324" s="165"/>
      <c r="U324" s="165"/>
      <c r="V324" s="165"/>
      <c r="W324" s="165"/>
      <c r="X324" s="165" t="str">
        <f>IFERROR(__xludf.DUMMYFUNCTION("""COMPUTED_VALUE"""),"CC-MVP-115.03")</f>
        <v>CC-MVP-115.03</v>
      </c>
      <c r="Y324" s="285" t="str">
        <f>IFERROR(__xludf.DUMMYFUNCTION("""COMPUTED_VALUE"""),"Done")</f>
        <v>Done</v>
      </c>
      <c r="Z324" s="284">
        <f>IFERROR(__xludf.DUMMYFUNCTION("""COMPUTED_VALUE"""),45240.0)</f>
        <v>45240</v>
      </c>
      <c r="AA324" s="165" t="str">
        <f>IFERROR(__xludf.DUMMYFUNCTION("""COMPUTED_VALUE"""),"Akhil")</f>
        <v>Akhil</v>
      </c>
      <c r="AB324" s="165" t="str">
        <f>IFERROR(__xludf.DUMMYFUNCTION("""COMPUTED_VALUE"""),"Edit")</f>
        <v>Edit</v>
      </c>
      <c r="AC324" s="165"/>
      <c r="AD324" s="165"/>
      <c r="AE324" s="165"/>
      <c r="AF324" s="165"/>
      <c r="AG324" s="165"/>
      <c r="AH324" s="165"/>
      <c r="AI324" s="165"/>
      <c r="AJ324" s="165"/>
      <c r="AK324" s="165"/>
      <c r="AL324" s="165"/>
    </row>
    <row r="325">
      <c r="A325" s="165"/>
      <c r="B325" s="165"/>
      <c r="C325" s="165"/>
      <c r="D325" s="165"/>
      <c r="E325" s="292"/>
      <c r="F325" s="277"/>
      <c r="G325" s="165"/>
      <c r="H325" s="277"/>
      <c r="I325" s="277"/>
      <c r="J325" s="165"/>
      <c r="K325" s="165"/>
      <c r="L325" s="165"/>
      <c r="M325" s="165"/>
      <c r="N325" s="165"/>
      <c r="O325" s="165"/>
      <c r="P325" s="165"/>
      <c r="Q325" s="165"/>
      <c r="R325" s="165"/>
      <c r="S325" s="165"/>
      <c r="T325" s="165"/>
      <c r="U325" s="165"/>
      <c r="V325" s="165"/>
      <c r="W325" s="165"/>
      <c r="X325" s="165" t="str">
        <f>IFERROR(__xludf.DUMMYFUNCTION("""COMPUTED_VALUE"""),"CC-MVP-94.01")</f>
        <v>CC-MVP-94.01</v>
      </c>
      <c r="Y325" s="285" t="str">
        <f>IFERROR(__xludf.DUMMYFUNCTION("""COMPUTED_VALUE"""),"Not Started")</f>
        <v>Not Started</v>
      </c>
      <c r="Z325" s="284">
        <f>IFERROR(__xludf.DUMMYFUNCTION("""COMPUTED_VALUE"""),45240.0)</f>
        <v>45240</v>
      </c>
      <c r="AA325" s="165" t="str">
        <f>IFERROR(__xludf.DUMMYFUNCTION("""COMPUTED_VALUE"""),"Ahmer")</f>
        <v>Ahmer</v>
      </c>
      <c r="AB325" s="165" t="str">
        <f>IFERROR(__xludf.DUMMYFUNCTION("""COMPUTED_VALUE"""),"Script")</f>
        <v>Script</v>
      </c>
      <c r="AC325" s="165"/>
      <c r="AD325" s="165"/>
      <c r="AE325" s="165"/>
      <c r="AF325" s="165"/>
      <c r="AG325" s="165"/>
      <c r="AH325" s="165"/>
      <c r="AI325" s="165"/>
      <c r="AJ325" s="165"/>
      <c r="AK325" s="165"/>
      <c r="AL325" s="165"/>
    </row>
    <row r="326">
      <c r="A326" s="165"/>
      <c r="B326" s="165"/>
      <c r="C326" s="165"/>
      <c r="D326" s="165"/>
      <c r="E326" s="292"/>
      <c r="F326" s="277"/>
      <c r="G326" s="165"/>
      <c r="H326" s="277"/>
      <c r="I326" s="277"/>
      <c r="J326" s="165"/>
      <c r="K326" s="165"/>
      <c r="L326" s="165"/>
      <c r="M326" s="165"/>
      <c r="N326" s="165"/>
      <c r="O326" s="165"/>
      <c r="P326" s="165"/>
      <c r="Q326" s="165"/>
      <c r="R326" s="165"/>
      <c r="S326" s="165"/>
      <c r="T326" s="165"/>
      <c r="U326" s="165"/>
      <c r="V326" s="165"/>
      <c r="W326" s="165"/>
      <c r="X326" s="165" t="str">
        <f>IFERROR(__xludf.DUMMYFUNCTION("""COMPUTED_VALUE"""),"CC-MVP-82.04")</f>
        <v>CC-MVP-82.04</v>
      </c>
      <c r="Y326" s="285" t="str">
        <f>IFERROR(__xludf.DUMMYFUNCTION("""COMPUTED_VALUE"""),"Not Started")</f>
        <v>Not Started</v>
      </c>
      <c r="Z326" s="284">
        <f>IFERROR(__xludf.DUMMYFUNCTION("""COMPUTED_VALUE"""),45240.0)</f>
        <v>45240</v>
      </c>
      <c r="AA326" s="165"/>
      <c r="AB326" s="165" t="str">
        <f>IFERROR(__xludf.DUMMYFUNCTION("""COMPUTED_VALUE"""),"Editor Notes")</f>
        <v>Editor Notes</v>
      </c>
      <c r="AC326" s="165"/>
      <c r="AD326" s="165"/>
      <c r="AE326" s="165"/>
      <c r="AF326" s="165"/>
      <c r="AG326" s="165"/>
      <c r="AH326" s="165"/>
      <c r="AI326" s="165"/>
      <c r="AJ326" s="165"/>
      <c r="AK326" s="165"/>
      <c r="AL326" s="165"/>
    </row>
    <row r="327">
      <c r="A327" s="165"/>
      <c r="B327" s="165"/>
      <c r="C327" s="165"/>
      <c r="D327" s="165"/>
      <c r="E327" s="292"/>
      <c r="F327" s="277"/>
      <c r="G327" s="165"/>
      <c r="H327" s="277"/>
      <c r="I327" s="277"/>
      <c r="J327" s="165"/>
      <c r="K327" s="165"/>
      <c r="L327" s="165"/>
      <c r="M327" s="165"/>
      <c r="N327" s="165"/>
      <c r="O327" s="165"/>
      <c r="P327" s="165"/>
      <c r="Q327" s="165"/>
      <c r="R327" s="165"/>
      <c r="S327" s="165"/>
      <c r="T327" s="165"/>
      <c r="U327" s="165"/>
      <c r="V327" s="165"/>
      <c r="W327" s="165"/>
      <c r="X327" s="165" t="str">
        <f>IFERROR(__xludf.DUMMYFUNCTION("""COMPUTED_VALUE"""),"CC-MVP-24.04")</f>
        <v>CC-MVP-24.04</v>
      </c>
      <c r="Y327" s="285" t="str">
        <f>IFERROR(__xludf.DUMMYFUNCTION("""COMPUTED_VALUE"""),"Done")</f>
        <v>Done</v>
      </c>
      <c r="Z327" s="284">
        <f>IFERROR(__xludf.DUMMYFUNCTION("""COMPUTED_VALUE"""),45240.0)</f>
        <v>45240</v>
      </c>
      <c r="AA327" s="165" t="str">
        <f>IFERROR(__xludf.DUMMYFUNCTION("""COMPUTED_VALUE"""),"Naveen")</f>
        <v>Naveen</v>
      </c>
      <c r="AB327" s="165" t="str">
        <f>IFERROR(__xludf.DUMMYFUNCTION("""COMPUTED_VALUE"""),"Benchmarks")</f>
        <v>Benchmarks</v>
      </c>
      <c r="AC327" s="165"/>
      <c r="AD327" s="165"/>
      <c r="AE327" s="165"/>
      <c r="AF327" s="165"/>
      <c r="AG327" s="165"/>
      <c r="AH327" s="165"/>
      <c r="AI327" s="165"/>
      <c r="AJ327" s="165"/>
      <c r="AK327" s="165"/>
      <c r="AL327" s="165"/>
    </row>
    <row r="328">
      <c r="A328" s="165"/>
      <c r="B328" s="165"/>
      <c r="C328" s="165"/>
      <c r="D328" s="165"/>
      <c r="E328" s="292"/>
      <c r="F328" s="277"/>
      <c r="G328" s="165"/>
      <c r="H328" s="277"/>
      <c r="I328" s="277"/>
      <c r="J328" s="165"/>
      <c r="K328" s="165"/>
      <c r="L328" s="165"/>
      <c r="M328" s="165"/>
      <c r="N328" s="165"/>
      <c r="O328" s="165"/>
      <c r="P328" s="165"/>
      <c r="Q328" s="165"/>
      <c r="R328" s="165"/>
      <c r="S328" s="165"/>
      <c r="T328" s="165"/>
      <c r="U328" s="165"/>
      <c r="V328" s="165"/>
      <c r="W328" s="165"/>
      <c r="X328" s="165" t="str">
        <f>IFERROR(__xludf.DUMMYFUNCTION("""COMPUTED_VALUE"""),"CC-MVP-24.05")</f>
        <v>CC-MVP-24.05</v>
      </c>
      <c r="Y328" s="285" t="str">
        <f>IFERROR(__xludf.DUMMYFUNCTION("""COMPUTED_VALUE"""),"On Hold")</f>
        <v>On Hold</v>
      </c>
      <c r="Z328" s="284">
        <f>IFERROR(__xludf.DUMMYFUNCTION("""COMPUTED_VALUE"""),45240.0)</f>
        <v>45240</v>
      </c>
      <c r="AA328" s="165" t="str">
        <f>IFERROR(__xludf.DUMMYFUNCTION("""COMPUTED_VALUE"""),"Jayanth")</f>
        <v>Jayanth</v>
      </c>
      <c r="AB328" s="165" t="str">
        <f>IFERROR(__xludf.DUMMYFUNCTION("""COMPUTED_VALUE"""),"Edit")</f>
        <v>Edit</v>
      </c>
      <c r="AC328" s="165"/>
      <c r="AD328" s="165"/>
      <c r="AE328" s="165"/>
      <c r="AF328" s="165"/>
      <c r="AG328" s="165"/>
      <c r="AH328" s="165"/>
      <c r="AI328" s="165"/>
      <c r="AJ328" s="165"/>
      <c r="AK328" s="165"/>
      <c r="AL328" s="165"/>
    </row>
    <row r="329">
      <c r="A329" s="165"/>
      <c r="B329" s="165"/>
      <c r="C329" s="165"/>
      <c r="D329" s="165"/>
      <c r="E329" s="292"/>
      <c r="F329" s="277"/>
      <c r="G329" s="165"/>
      <c r="H329" s="277"/>
      <c r="I329" s="277"/>
      <c r="J329" s="165"/>
      <c r="K329" s="165"/>
      <c r="L329" s="165"/>
      <c r="M329" s="165"/>
      <c r="N329" s="165"/>
      <c r="O329" s="165"/>
      <c r="P329" s="165"/>
      <c r="Q329" s="165"/>
      <c r="R329" s="165"/>
      <c r="S329" s="165"/>
      <c r="T329" s="165"/>
      <c r="U329" s="165"/>
      <c r="V329" s="165"/>
      <c r="W329" s="165"/>
      <c r="X329" s="165" t="str">
        <f>IFERROR(__xludf.DUMMYFUNCTION("""COMPUTED_VALUE"""),"CC-MVP-83.02")</f>
        <v>CC-MVP-83.02</v>
      </c>
      <c r="Y329" s="285" t="str">
        <f>IFERROR(__xludf.DUMMYFUNCTION("""COMPUTED_VALUE"""),"Not Started")</f>
        <v>Not Started</v>
      </c>
      <c r="Z329" s="284">
        <f>IFERROR(__xludf.DUMMYFUNCTION("""COMPUTED_VALUE"""),45240.0)</f>
        <v>45240</v>
      </c>
      <c r="AA329" s="165"/>
      <c r="AB329" s="165" t="str">
        <f>IFERROR(__xludf.DUMMYFUNCTION("""COMPUTED_VALUE"""),"Shoot")</f>
        <v>Shoot</v>
      </c>
      <c r="AC329" s="165"/>
      <c r="AD329" s="165"/>
      <c r="AE329" s="165"/>
      <c r="AF329" s="165"/>
      <c r="AG329" s="165"/>
      <c r="AH329" s="165"/>
      <c r="AI329" s="165"/>
      <c r="AJ329" s="165"/>
      <c r="AK329" s="165"/>
      <c r="AL329" s="165"/>
    </row>
    <row r="330">
      <c r="A330" s="165"/>
      <c r="B330" s="165"/>
      <c r="C330" s="165"/>
      <c r="D330" s="165"/>
      <c r="E330" s="292"/>
      <c r="F330" s="277"/>
      <c r="G330" s="165"/>
      <c r="H330" s="277"/>
      <c r="I330" s="277"/>
      <c r="J330" s="165"/>
      <c r="K330" s="165"/>
      <c r="L330" s="165"/>
      <c r="M330" s="165"/>
      <c r="N330" s="165"/>
      <c r="O330" s="165"/>
      <c r="P330" s="165"/>
      <c r="Q330" s="165"/>
      <c r="R330" s="165"/>
      <c r="S330" s="165"/>
      <c r="T330" s="165"/>
      <c r="U330" s="165"/>
      <c r="V330" s="165"/>
      <c r="W330" s="165"/>
      <c r="X330" s="165" t="str">
        <f>IFERROR(__xludf.DUMMYFUNCTION("""COMPUTED_VALUE"""),"CC-MVP-89.04")</f>
        <v>CC-MVP-89.04</v>
      </c>
      <c r="Y330" s="285" t="str">
        <f>IFERROR(__xludf.DUMMYFUNCTION("""COMPUTED_VALUE"""),"Not Started")</f>
        <v>Not Started</v>
      </c>
      <c r="Z330" s="284">
        <f>IFERROR(__xludf.DUMMYFUNCTION("""COMPUTED_VALUE"""),45240.0)</f>
        <v>45240</v>
      </c>
      <c r="AA330" s="165" t="str">
        <f>IFERROR(__xludf.DUMMYFUNCTION("""COMPUTED_VALUE"""),"Talha")</f>
        <v>Talha</v>
      </c>
      <c r="AB330" s="165" t="str">
        <f>IFERROR(__xludf.DUMMYFUNCTION("""COMPUTED_VALUE"""),"Edit")</f>
        <v>Edit</v>
      </c>
      <c r="AC330" s="165"/>
      <c r="AD330" s="165"/>
      <c r="AE330" s="165"/>
      <c r="AF330" s="165"/>
      <c r="AG330" s="165"/>
      <c r="AH330" s="165"/>
      <c r="AI330" s="165"/>
      <c r="AJ330" s="165"/>
      <c r="AK330" s="165"/>
      <c r="AL330" s="165"/>
    </row>
    <row r="331">
      <c r="A331" s="165"/>
      <c r="B331" s="165"/>
      <c r="C331" s="165"/>
      <c r="D331" s="165"/>
      <c r="E331" s="292"/>
      <c r="F331" s="277"/>
      <c r="G331" s="165"/>
      <c r="H331" s="277"/>
      <c r="I331" s="277"/>
      <c r="J331" s="165"/>
      <c r="K331" s="165"/>
      <c r="L331" s="165"/>
      <c r="M331" s="165"/>
      <c r="N331" s="165"/>
      <c r="O331" s="165"/>
      <c r="P331" s="165"/>
      <c r="Q331" s="165"/>
      <c r="R331" s="165"/>
      <c r="S331" s="165"/>
      <c r="T331" s="165"/>
      <c r="U331" s="165"/>
      <c r="V331" s="165"/>
      <c r="W331" s="165"/>
      <c r="X331" s="165" t="str">
        <f>IFERROR(__xludf.DUMMYFUNCTION("""COMPUTED_VALUE"""),"CC-MVP-113.02")</f>
        <v>CC-MVP-113.02</v>
      </c>
      <c r="Y331" s="285" t="str">
        <f>IFERROR(__xludf.DUMMYFUNCTION("""COMPUTED_VALUE"""),"In Review")</f>
        <v>In Review</v>
      </c>
      <c r="Z331" s="284">
        <f>IFERROR(__xludf.DUMMYFUNCTION("""COMPUTED_VALUE"""),45240.0)</f>
        <v>45240</v>
      </c>
      <c r="AA331" s="165" t="str">
        <f>IFERROR(__xludf.DUMMYFUNCTION("""COMPUTED_VALUE"""),"Akhil")</f>
        <v>Akhil</v>
      </c>
      <c r="AB331" s="165" t="str">
        <f>IFERROR(__xludf.DUMMYFUNCTION("""COMPUTED_VALUE"""),"Shoot")</f>
        <v>Shoot</v>
      </c>
      <c r="AC331" s="165"/>
      <c r="AD331" s="165"/>
      <c r="AE331" s="165"/>
      <c r="AF331" s="165"/>
      <c r="AG331" s="165"/>
      <c r="AH331" s="165"/>
      <c r="AI331" s="165"/>
      <c r="AJ331" s="165"/>
      <c r="AK331" s="165"/>
      <c r="AL331" s="165"/>
    </row>
    <row r="332">
      <c r="A332" s="165"/>
      <c r="B332" s="165"/>
      <c r="C332" s="165"/>
      <c r="D332" s="165"/>
      <c r="E332" s="292"/>
      <c r="F332" s="277"/>
      <c r="G332" s="165"/>
      <c r="H332" s="277"/>
      <c r="I332" s="277"/>
      <c r="J332" s="165"/>
      <c r="K332" s="165"/>
      <c r="L332" s="165"/>
      <c r="M332" s="165"/>
      <c r="N332" s="165"/>
      <c r="O332" s="165"/>
      <c r="P332" s="165"/>
      <c r="Q332" s="165"/>
      <c r="R332" s="165"/>
      <c r="S332" s="165"/>
      <c r="T332" s="165"/>
      <c r="U332" s="165"/>
      <c r="V332" s="165"/>
      <c r="W332" s="165"/>
      <c r="X332" s="165" t="str">
        <f>IFERROR(__xludf.DUMMYFUNCTION("""COMPUTED_VALUE"""),"CC-MVP-116.01")</f>
        <v>CC-MVP-116.01</v>
      </c>
      <c r="Y332" s="285" t="str">
        <f>IFERROR(__xludf.DUMMYFUNCTION("""COMPUTED_VALUE"""),"Done")</f>
        <v>Done</v>
      </c>
      <c r="Z332" s="284">
        <f>IFERROR(__xludf.DUMMYFUNCTION("""COMPUTED_VALUE"""),45240.0)</f>
        <v>45240</v>
      </c>
      <c r="AA332" s="165" t="str">
        <f>IFERROR(__xludf.DUMMYFUNCTION("""COMPUTED_VALUE"""),"Nasser")</f>
        <v>Nasser</v>
      </c>
      <c r="AB332" s="165" t="str">
        <f>IFERROR(__xludf.DUMMYFUNCTION("""COMPUTED_VALUE"""),"Script")</f>
        <v>Script</v>
      </c>
      <c r="AC332" s="165"/>
      <c r="AD332" s="165"/>
      <c r="AE332" s="165"/>
      <c r="AF332" s="165"/>
      <c r="AG332" s="165"/>
      <c r="AH332" s="165"/>
      <c r="AI332" s="165"/>
      <c r="AJ332" s="165"/>
      <c r="AK332" s="165"/>
      <c r="AL332" s="165"/>
    </row>
    <row r="333">
      <c r="A333" s="165"/>
      <c r="B333" s="165"/>
      <c r="C333" s="165"/>
      <c r="D333" s="165"/>
      <c r="E333" s="292"/>
      <c r="F333" s="277"/>
      <c r="G333" s="165"/>
      <c r="H333" s="277"/>
      <c r="I333" s="277"/>
      <c r="J333" s="165"/>
      <c r="K333" s="165"/>
      <c r="L333" s="165"/>
      <c r="M333" s="165"/>
      <c r="N333" s="165"/>
      <c r="O333" s="165"/>
      <c r="P333" s="165"/>
      <c r="Q333" s="165"/>
      <c r="R333" s="165"/>
      <c r="S333" s="165"/>
      <c r="T333" s="165"/>
      <c r="U333" s="165"/>
      <c r="V333" s="165"/>
      <c r="W333" s="165"/>
      <c r="X333" s="165" t="str">
        <f>IFERROR(__xludf.DUMMYFUNCTION("""COMPUTED_VALUE"""),"CC-MVP-116.02")</f>
        <v>CC-MVP-116.02</v>
      </c>
      <c r="Y333" s="285" t="str">
        <f>IFERROR(__xludf.DUMMYFUNCTION("""COMPUTED_VALUE"""),"In Review")</f>
        <v>In Review</v>
      </c>
      <c r="Z333" s="284">
        <f>IFERROR(__xludf.DUMMYFUNCTION("""COMPUTED_VALUE"""),45240.0)</f>
        <v>45240</v>
      </c>
      <c r="AA333" s="165" t="str">
        <f>IFERROR(__xludf.DUMMYFUNCTION("""COMPUTED_VALUE"""),"Akhil")</f>
        <v>Akhil</v>
      </c>
      <c r="AB333" s="165" t="str">
        <f>IFERROR(__xludf.DUMMYFUNCTION("""COMPUTED_VALUE"""),"Shoot")</f>
        <v>Shoot</v>
      </c>
      <c r="AC333" s="165"/>
      <c r="AD333" s="165"/>
      <c r="AE333" s="165"/>
      <c r="AF333" s="165"/>
      <c r="AG333" s="165"/>
      <c r="AH333" s="165"/>
      <c r="AI333" s="165"/>
      <c r="AJ333" s="165"/>
      <c r="AK333" s="165"/>
      <c r="AL333" s="165"/>
    </row>
    <row r="334">
      <c r="A334" s="165"/>
      <c r="B334" s="165"/>
      <c r="C334" s="165"/>
      <c r="D334" s="165"/>
      <c r="E334" s="292"/>
      <c r="F334" s="277"/>
      <c r="G334" s="165"/>
      <c r="H334" s="277"/>
      <c r="I334" s="277"/>
      <c r="J334" s="165"/>
      <c r="K334" s="165"/>
      <c r="L334" s="165"/>
      <c r="M334" s="165"/>
      <c r="N334" s="165"/>
      <c r="O334" s="165"/>
      <c r="P334" s="165"/>
      <c r="Q334" s="165"/>
      <c r="R334" s="165"/>
      <c r="S334" s="165"/>
      <c r="T334" s="165"/>
      <c r="U334" s="165"/>
      <c r="V334" s="165"/>
      <c r="W334" s="165"/>
      <c r="X334" s="165" t="str">
        <f>IFERROR(__xludf.DUMMYFUNCTION("""COMPUTED_VALUE"""),"CC-MVP-117.02")</f>
        <v>CC-MVP-117.02</v>
      </c>
      <c r="Y334" s="285" t="str">
        <f>IFERROR(__xludf.DUMMYFUNCTION("""COMPUTED_VALUE"""),"Not Started")</f>
        <v>Not Started</v>
      </c>
      <c r="Z334" s="284">
        <f>IFERROR(__xludf.DUMMYFUNCTION("""COMPUTED_VALUE"""),45240.0)</f>
        <v>45240</v>
      </c>
      <c r="AA334" s="165" t="str">
        <f>IFERROR(__xludf.DUMMYFUNCTION("""COMPUTED_VALUE"""),"Akhil")</f>
        <v>Akhil</v>
      </c>
      <c r="AB334" s="165" t="str">
        <f>IFERROR(__xludf.DUMMYFUNCTION("""COMPUTED_VALUE"""),"B-Roll Shoot")</f>
        <v>B-Roll Shoot</v>
      </c>
      <c r="AC334" s="165"/>
      <c r="AD334" s="165"/>
      <c r="AE334" s="165"/>
      <c r="AF334" s="165"/>
      <c r="AG334" s="165"/>
      <c r="AH334" s="165"/>
      <c r="AI334" s="165"/>
      <c r="AJ334" s="165"/>
      <c r="AK334" s="165"/>
      <c r="AL334" s="165"/>
    </row>
    <row r="335">
      <c r="A335" s="165"/>
      <c r="B335" s="165"/>
      <c r="C335" s="165"/>
      <c r="D335" s="165"/>
      <c r="E335" s="292"/>
      <c r="F335" s="277"/>
      <c r="G335" s="165"/>
      <c r="H335" s="277"/>
      <c r="I335" s="277"/>
      <c r="J335" s="165"/>
      <c r="K335" s="165"/>
      <c r="L335" s="165"/>
      <c r="M335" s="165"/>
      <c r="N335" s="165"/>
      <c r="O335" s="165"/>
      <c r="P335" s="165"/>
      <c r="Q335" s="165"/>
      <c r="R335" s="165"/>
      <c r="S335" s="165"/>
      <c r="T335" s="165"/>
      <c r="U335" s="165"/>
      <c r="V335" s="165"/>
      <c r="W335" s="165"/>
      <c r="X335" s="165" t="str">
        <f>IFERROR(__xludf.DUMMYFUNCTION("""COMPUTED_VALUE"""),"CC-MVP-118.01")</f>
        <v>CC-MVP-118.01</v>
      </c>
      <c r="Y335" s="285" t="str">
        <f>IFERROR(__xludf.DUMMYFUNCTION("""COMPUTED_VALUE"""),"Not Started")</f>
        <v>Not Started</v>
      </c>
      <c r="Z335" s="284">
        <f>IFERROR(__xludf.DUMMYFUNCTION("""COMPUTED_VALUE"""),45240.0)</f>
        <v>45240</v>
      </c>
      <c r="AA335" s="165"/>
      <c r="AB335" s="165" t="str">
        <f>IFERROR(__xludf.DUMMYFUNCTION("""COMPUTED_VALUE"""),"Script")</f>
        <v>Script</v>
      </c>
      <c r="AC335" s="165"/>
      <c r="AD335" s="165"/>
      <c r="AE335" s="165"/>
      <c r="AF335" s="165"/>
      <c r="AG335" s="165"/>
      <c r="AH335" s="165"/>
      <c r="AI335" s="165"/>
      <c r="AJ335" s="165"/>
      <c r="AK335" s="165"/>
      <c r="AL335" s="165"/>
    </row>
    <row r="336">
      <c r="A336" s="165"/>
      <c r="B336" s="165"/>
      <c r="C336" s="165"/>
      <c r="D336" s="165"/>
      <c r="E336" s="292"/>
      <c r="F336" s="277"/>
      <c r="G336" s="165"/>
      <c r="H336" s="277"/>
      <c r="I336" s="277"/>
      <c r="J336" s="165"/>
      <c r="K336" s="165"/>
      <c r="L336" s="165"/>
      <c r="M336" s="165"/>
      <c r="N336" s="165"/>
      <c r="O336" s="165"/>
      <c r="P336" s="165"/>
      <c r="Q336" s="165"/>
      <c r="R336" s="165"/>
      <c r="S336" s="165"/>
      <c r="T336" s="165"/>
      <c r="U336" s="165"/>
      <c r="V336" s="165"/>
      <c r="W336" s="165"/>
      <c r="X336" s="165" t="str">
        <f>IFERROR(__xludf.DUMMYFUNCTION("""COMPUTED_VALUE"""),"CC-PTS-10.07")</f>
        <v>CC-PTS-10.07</v>
      </c>
      <c r="Y336" s="285" t="str">
        <f>IFERROR(__xludf.DUMMYFUNCTION("""COMPUTED_VALUE"""),"Not Started")</f>
        <v>Not Started</v>
      </c>
      <c r="Z336" s="284">
        <f>IFERROR(__xludf.DUMMYFUNCTION("""COMPUTED_VALUE"""),45240.0)</f>
        <v>45240</v>
      </c>
      <c r="AA336" s="165"/>
      <c r="AB336" s="165" t="str">
        <f>IFERROR(__xludf.DUMMYFUNCTION("""COMPUTED_VALUE"""),"Upload")</f>
        <v>Upload</v>
      </c>
      <c r="AC336" s="165"/>
      <c r="AD336" s="165"/>
      <c r="AE336" s="165"/>
      <c r="AF336" s="165"/>
      <c r="AG336" s="165"/>
      <c r="AH336" s="165"/>
      <c r="AI336" s="165"/>
      <c r="AJ336" s="165"/>
      <c r="AK336" s="165"/>
      <c r="AL336" s="165"/>
    </row>
    <row r="337">
      <c r="A337" s="165"/>
      <c r="B337" s="165"/>
      <c r="C337" s="165"/>
      <c r="D337" s="165"/>
      <c r="E337" s="292"/>
      <c r="F337" s="277"/>
      <c r="G337" s="165"/>
      <c r="H337" s="277"/>
      <c r="I337" s="277"/>
      <c r="J337" s="165"/>
      <c r="K337" s="165"/>
      <c r="L337" s="165"/>
      <c r="M337" s="165"/>
      <c r="N337" s="165"/>
      <c r="O337" s="165"/>
      <c r="P337" s="165"/>
      <c r="Q337" s="165"/>
      <c r="R337" s="165"/>
      <c r="S337" s="165"/>
      <c r="T337" s="165"/>
      <c r="U337" s="165"/>
      <c r="V337" s="165"/>
      <c r="W337" s="165"/>
      <c r="X337" s="165" t="str">
        <f>IFERROR(__xludf.DUMMYFUNCTION("""COMPUTED_VALUE"""),"CC-NVI-13.01")</f>
        <v>CC-NVI-13.01</v>
      </c>
      <c r="Y337" s="285" t="str">
        <f>IFERROR(__xludf.DUMMYFUNCTION("""COMPUTED_VALUE"""),"Not Started")</f>
        <v>Not Started</v>
      </c>
      <c r="Z337" s="284">
        <f>IFERROR(__xludf.DUMMYFUNCTION("""COMPUTED_VALUE"""),45240.0)</f>
        <v>45240</v>
      </c>
      <c r="AA337" s="165" t="str">
        <f>IFERROR(__xludf.DUMMYFUNCTION("""COMPUTED_VALUE"""),"Naveen")</f>
        <v>Naveen</v>
      </c>
      <c r="AB337" s="165" t="str">
        <f>IFERROR(__xludf.DUMMYFUNCTION("""COMPUTED_VALUE"""),"Script")</f>
        <v>Script</v>
      </c>
      <c r="AC337" s="165"/>
      <c r="AD337" s="165"/>
      <c r="AE337" s="165"/>
      <c r="AF337" s="165"/>
      <c r="AG337" s="165"/>
      <c r="AH337" s="165"/>
      <c r="AI337" s="165"/>
      <c r="AJ337" s="165"/>
      <c r="AK337" s="165"/>
      <c r="AL337" s="165"/>
    </row>
    <row r="338">
      <c r="A338" s="165"/>
      <c r="B338" s="165"/>
      <c r="C338" s="165"/>
      <c r="D338" s="165"/>
      <c r="E338" s="292"/>
      <c r="F338" s="277"/>
      <c r="G338" s="165"/>
      <c r="H338" s="277"/>
      <c r="I338" s="277"/>
      <c r="J338" s="165"/>
      <c r="K338" s="165"/>
      <c r="L338" s="165"/>
      <c r="M338" s="165"/>
      <c r="N338" s="165"/>
      <c r="O338" s="165"/>
      <c r="P338" s="165"/>
      <c r="Q338" s="165"/>
      <c r="R338" s="165"/>
      <c r="S338" s="165"/>
      <c r="T338" s="165"/>
      <c r="U338" s="165"/>
      <c r="V338" s="165"/>
      <c r="W338" s="165"/>
      <c r="X338" s="165" t="str">
        <f>IFERROR(__xludf.DUMMYFUNCTION("""COMPUTED_VALUE"""),"CC-NVI-14.01")</f>
        <v>CC-NVI-14.01</v>
      </c>
      <c r="Y338" s="285" t="str">
        <f>IFERROR(__xludf.DUMMYFUNCTION("""COMPUTED_VALUE"""),"Not Started")</f>
        <v>Not Started</v>
      </c>
      <c r="Z338" s="284">
        <f>IFERROR(__xludf.DUMMYFUNCTION("""COMPUTED_VALUE"""),45240.0)</f>
        <v>45240</v>
      </c>
      <c r="AA338" s="165" t="str">
        <f>IFERROR(__xludf.DUMMYFUNCTION("""COMPUTED_VALUE"""),"Naveen")</f>
        <v>Naveen</v>
      </c>
      <c r="AB338" s="165" t="str">
        <f>IFERROR(__xludf.DUMMYFUNCTION("""COMPUTED_VALUE"""),"Script")</f>
        <v>Script</v>
      </c>
      <c r="AC338" s="165"/>
      <c r="AD338" s="165"/>
      <c r="AE338" s="165"/>
      <c r="AF338" s="165"/>
      <c r="AG338" s="165"/>
      <c r="AH338" s="165"/>
      <c r="AI338" s="165"/>
      <c r="AJ338" s="165"/>
      <c r="AK338" s="165"/>
      <c r="AL338" s="165"/>
    </row>
    <row r="339">
      <c r="A339" s="165"/>
      <c r="B339" s="165"/>
      <c r="C339" s="165"/>
      <c r="D339" s="165"/>
      <c r="E339" s="292"/>
      <c r="F339" s="277"/>
      <c r="G339" s="165"/>
      <c r="H339" s="277"/>
      <c r="I339" s="277"/>
      <c r="J339" s="165"/>
      <c r="K339" s="165"/>
      <c r="L339" s="165"/>
      <c r="M339" s="165"/>
      <c r="N339" s="165"/>
      <c r="O339" s="165"/>
      <c r="P339" s="165"/>
      <c r="Q339" s="165"/>
      <c r="R339" s="165"/>
      <c r="S339" s="165"/>
      <c r="T339" s="165"/>
      <c r="U339" s="165"/>
      <c r="V339" s="165"/>
      <c r="W339" s="165"/>
      <c r="X339" s="165" t="str">
        <f>IFERROR(__xludf.DUMMYFUNCTION("""COMPUTED_VALUE"""),"CC-CTH-10.05")</f>
        <v>CC-CTH-10.05</v>
      </c>
      <c r="Y339" s="285" t="str">
        <f>IFERROR(__xludf.DUMMYFUNCTION("""COMPUTED_VALUE"""),"Done")</f>
        <v>Done</v>
      </c>
      <c r="Z339" s="284">
        <f>IFERROR(__xludf.DUMMYFUNCTION("""COMPUTED_VALUE"""),45240.0)</f>
        <v>45240</v>
      </c>
      <c r="AA339" s="165" t="str">
        <f>IFERROR(__xludf.DUMMYFUNCTION("""COMPUTED_VALUE"""),"Talha")</f>
        <v>Talha</v>
      </c>
      <c r="AB339" s="165" t="str">
        <f>IFERROR(__xludf.DUMMYFUNCTION("""COMPUTED_VALUE"""),"Screenrecord")</f>
        <v>Screenrecord</v>
      </c>
      <c r="AC339" s="165"/>
      <c r="AD339" s="165"/>
      <c r="AE339" s="165"/>
      <c r="AF339" s="165"/>
      <c r="AG339" s="165"/>
      <c r="AH339" s="165"/>
      <c r="AI339" s="165"/>
      <c r="AJ339" s="165"/>
      <c r="AK339" s="165"/>
      <c r="AL339" s="165"/>
    </row>
    <row r="340">
      <c r="A340" s="165"/>
      <c r="B340" s="165"/>
      <c r="C340" s="165"/>
      <c r="D340" s="165"/>
      <c r="E340" s="292"/>
      <c r="F340" s="277"/>
      <c r="G340" s="165"/>
      <c r="H340" s="277"/>
      <c r="I340" s="277"/>
      <c r="J340" s="165"/>
      <c r="K340" s="165"/>
      <c r="L340" s="165"/>
      <c r="M340" s="165"/>
      <c r="N340" s="165"/>
      <c r="O340" s="165"/>
      <c r="P340" s="165"/>
      <c r="Q340" s="165"/>
      <c r="R340" s="165"/>
      <c r="S340" s="165"/>
      <c r="T340" s="165"/>
      <c r="U340" s="165"/>
      <c r="V340" s="165"/>
      <c r="W340" s="165"/>
      <c r="X340" s="165" t="str">
        <f>IFERROR(__xludf.DUMMYFUNCTION("""COMPUTED_VALUE"""),"CC-CTH-10.06")</f>
        <v>CC-CTH-10.06</v>
      </c>
      <c r="Y340" s="285" t="str">
        <f>IFERROR(__xludf.DUMMYFUNCTION("""COMPUTED_VALUE"""),"In Review")</f>
        <v>In Review</v>
      </c>
      <c r="Z340" s="284">
        <f>IFERROR(__xludf.DUMMYFUNCTION("""COMPUTED_VALUE"""),45240.0)</f>
        <v>45240</v>
      </c>
      <c r="AA340" s="165" t="str">
        <f>IFERROR(__xludf.DUMMYFUNCTION("""COMPUTED_VALUE"""),"Talha")</f>
        <v>Talha</v>
      </c>
      <c r="AB340" s="165" t="str">
        <f>IFERROR(__xludf.DUMMYFUNCTION("""COMPUTED_VALUE"""),"Edit")</f>
        <v>Edit</v>
      </c>
      <c r="AC340" s="165"/>
      <c r="AD340" s="165"/>
      <c r="AE340" s="165"/>
      <c r="AF340" s="165"/>
      <c r="AG340" s="165"/>
      <c r="AH340" s="165"/>
      <c r="AI340" s="165"/>
      <c r="AJ340" s="165"/>
      <c r="AK340" s="165"/>
      <c r="AL340" s="165"/>
    </row>
    <row r="341">
      <c r="A341" s="165"/>
      <c r="B341" s="165"/>
      <c r="C341" s="165"/>
      <c r="D341" s="165"/>
      <c r="E341" s="292"/>
      <c r="F341" s="277"/>
      <c r="G341" s="165"/>
      <c r="H341" s="277"/>
      <c r="I341" s="277"/>
      <c r="J341" s="165"/>
      <c r="K341" s="165"/>
      <c r="L341" s="165"/>
      <c r="M341" s="165"/>
      <c r="N341" s="165"/>
      <c r="O341" s="165"/>
      <c r="P341" s="165"/>
      <c r="Q341" s="165"/>
      <c r="R341" s="165"/>
      <c r="S341" s="165"/>
      <c r="T341" s="165"/>
      <c r="U341" s="165"/>
      <c r="V341" s="165"/>
      <c r="W341" s="165"/>
      <c r="X341" s="165" t="str">
        <f>IFERROR(__xludf.DUMMYFUNCTION("""COMPUTED_VALUE"""),"CC-CTH-16.03")</f>
        <v>CC-CTH-16.03</v>
      </c>
      <c r="Y341" s="285" t="str">
        <f>IFERROR(__xludf.DUMMYFUNCTION("""COMPUTED_VALUE"""),"Done")</f>
        <v>Done</v>
      </c>
      <c r="Z341" s="284">
        <f>IFERROR(__xludf.DUMMYFUNCTION("""COMPUTED_VALUE"""),45240.0)</f>
        <v>45240</v>
      </c>
      <c r="AA341" s="165" t="str">
        <f>IFERROR(__xludf.DUMMYFUNCTION("""COMPUTED_VALUE"""),"Talha")</f>
        <v>Talha</v>
      </c>
      <c r="AB341" s="165" t="str">
        <f>IFERROR(__xludf.DUMMYFUNCTION("""COMPUTED_VALUE"""),"Captions")</f>
        <v>Captions</v>
      </c>
      <c r="AC341" s="165"/>
      <c r="AD341" s="165"/>
      <c r="AE341" s="165"/>
      <c r="AF341" s="165"/>
      <c r="AG341" s="165"/>
      <c r="AH341" s="165"/>
      <c r="AI341" s="165"/>
      <c r="AJ341" s="165"/>
      <c r="AK341" s="165"/>
      <c r="AL341" s="165"/>
    </row>
    <row r="342">
      <c r="A342" s="165"/>
      <c r="B342" s="165"/>
      <c r="C342" s="165"/>
      <c r="D342" s="165"/>
      <c r="E342" s="292"/>
      <c r="F342" s="277"/>
      <c r="G342" s="165"/>
      <c r="H342" s="277"/>
      <c r="I342" s="277"/>
      <c r="J342" s="165"/>
      <c r="K342" s="165"/>
      <c r="L342" s="165"/>
      <c r="M342" s="165"/>
      <c r="N342" s="165"/>
      <c r="O342" s="165"/>
      <c r="P342" s="165"/>
      <c r="Q342" s="165"/>
      <c r="R342" s="165"/>
      <c r="S342" s="165"/>
      <c r="T342" s="165"/>
      <c r="U342" s="165"/>
      <c r="V342" s="165"/>
      <c r="W342" s="165"/>
      <c r="X342" s="165" t="str">
        <f>IFERROR(__xludf.DUMMYFUNCTION("""COMPUTED_VALUE"""),"CC-CTH-15.05")</f>
        <v>CC-CTH-15.05</v>
      </c>
      <c r="Y342" s="285" t="str">
        <f>IFERROR(__xludf.DUMMYFUNCTION("""COMPUTED_VALUE"""),"In Review")</f>
        <v>In Review</v>
      </c>
      <c r="Z342" s="284">
        <f>IFERROR(__xludf.DUMMYFUNCTION("""COMPUTED_VALUE"""),45240.0)</f>
        <v>45240</v>
      </c>
      <c r="AA342" s="165" t="str">
        <f>IFERROR(__xludf.DUMMYFUNCTION("""COMPUTED_VALUE"""),"Talha")</f>
        <v>Talha</v>
      </c>
      <c r="AB342" s="165" t="str">
        <f>IFERROR(__xludf.DUMMYFUNCTION("""COMPUTED_VALUE"""),"Edit")</f>
        <v>Edit</v>
      </c>
      <c r="AC342" s="165"/>
      <c r="AD342" s="165"/>
      <c r="AE342" s="165"/>
      <c r="AF342" s="165"/>
      <c r="AG342" s="165"/>
      <c r="AH342" s="165"/>
      <c r="AI342" s="165"/>
      <c r="AJ342" s="165"/>
      <c r="AK342" s="165"/>
      <c r="AL342" s="165"/>
    </row>
    <row r="343">
      <c r="A343" s="165"/>
      <c r="B343" s="165"/>
      <c r="C343" s="165"/>
      <c r="D343" s="165"/>
      <c r="E343" s="292"/>
      <c r="F343" s="277"/>
      <c r="G343" s="165"/>
      <c r="H343" s="277"/>
      <c r="I343" s="277"/>
      <c r="J343" s="165"/>
      <c r="K343" s="165"/>
      <c r="L343" s="165"/>
      <c r="M343" s="165"/>
      <c r="N343" s="165"/>
      <c r="O343" s="165"/>
      <c r="P343" s="165"/>
      <c r="Q343" s="165"/>
      <c r="R343" s="165"/>
      <c r="S343" s="165"/>
      <c r="T343" s="165"/>
      <c r="U343" s="165"/>
      <c r="V343" s="165"/>
      <c r="W343" s="165"/>
      <c r="X343" s="165" t="str">
        <f>IFERROR(__xludf.DUMMYFUNCTION("""COMPUTED_VALUE"""),"CC-CTH-13.03")</f>
        <v>CC-CTH-13.03</v>
      </c>
      <c r="Y343" s="285" t="str">
        <f>IFERROR(__xludf.DUMMYFUNCTION("""COMPUTED_VALUE"""),"In Review")</f>
        <v>In Review</v>
      </c>
      <c r="Z343" s="284">
        <f>IFERROR(__xludf.DUMMYFUNCTION("""COMPUTED_VALUE"""),45240.0)</f>
        <v>45240</v>
      </c>
      <c r="AA343" s="165" t="str">
        <f>IFERROR(__xludf.DUMMYFUNCTION("""COMPUTED_VALUE"""),"Akhil")</f>
        <v>Akhil</v>
      </c>
      <c r="AB343" s="165" t="str">
        <f>IFERROR(__xludf.DUMMYFUNCTION("""COMPUTED_VALUE"""),"Edit")</f>
        <v>Edit</v>
      </c>
      <c r="AC343" s="165"/>
      <c r="AD343" s="165"/>
      <c r="AE343" s="165"/>
      <c r="AF343" s="165"/>
      <c r="AG343" s="165"/>
      <c r="AH343" s="165"/>
      <c r="AI343" s="165"/>
      <c r="AJ343" s="165"/>
      <c r="AK343" s="165"/>
      <c r="AL343" s="165"/>
    </row>
    <row r="344">
      <c r="A344" s="165"/>
      <c r="B344" s="165"/>
      <c r="C344" s="165"/>
      <c r="D344" s="165"/>
      <c r="E344" s="292"/>
      <c r="F344" s="277"/>
      <c r="G344" s="165"/>
      <c r="H344" s="277"/>
      <c r="I344" s="277"/>
      <c r="J344" s="165"/>
      <c r="K344" s="165"/>
      <c r="L344" s="165"/>
      <c r="M344" s="165"/>
      <c r="N344" s="165"/>
      <c r="O344" s="165"/>
      <c r="P344" s="165"/>
      <c r="Q344" s="165"/>
      <c r="R344" s="165"/>
      <c r="S344" s="165"/>
      <c r="T344" s="165"/>
      <c r="U344" s="165"/>
      <c r="V344" s="165"/>
      <c r="W344" s="165"/>
      <c r="X344" s="165" t="str">
        <f>IFERROR(__xludf.DUMMYFUNCTION("""COMPUTED_VALUE"""),"CC-MAC-12.03")</f>
        <v>CC-MAC-12.03</v>
      </c>
      <c r="Y344" s="285" t="str">
        <f>IFERROR(__xludf.DUMMYFUNCTION("""COMPUTED_VALUE"""),"In Review")</f>
        <v>In Review</v>
      </c>
      <c r="Z344" s="284">
        <f>IFERROR(__xludf.DUMMYFUNCTION("""COMPUTED_VALUE"""),45240.0)</f>
        <v>45240</v>
      </c>
      <c r="AA344" s="165" t="str">
        <f>IFERROR(__xludf.DUMMYFUNCTION("""COMPUTED_VALUE"""),"Akhil")</f>
        <v>Akhil</v>
      </c>
      <c r="AB344" s="165" t="str">
        <f>IFERROR(__xludf.DUMMYFUNCTION("""COMPUTED_VALUE"""),"Edit")</f>
        <v>Edit</v>
      </c>
      <c r="AC344" s="165"/>
      <c r="AD344" s="165"/>
      <c r="AE344" s="165"/>
      <c r="AF344" s="165"/>
      <c r="AG344" s="165"/>
      <c r="AH344" s="165"/>
      <c r="AI344" s="165"/>
      <c r="AJ344" s="165"/>
      <c r="AK344" s="165"/>
      <c r="AL344" s="165"/>
    </row>
    <row r="345">
      <c r="A345" s="165"/>
      <c r="B345" s="165"/>
      <c r="C345" s="165"/>
      <c r="D345" s="165"/>
      <c r="E345" s="292"/>
      <c r="F345" s="277"/>
      <c r="G345" s="165"/>
      <c r="H345" s="277"/>
      <c r="I345" s="277"/>
      <c r="J345" s="165"/>
      <c r="K345" s="165"/>
      <c r="L345" s="165"/>
      <c r="M345" s="165"/>
      <c r="N345" s="165"/>
      <c r="O345" s="165"/>
      <c r="P345" s="165"/>
      <c r="Q345" s="165"/>
      <c r="R345" s="165"/>
      <c r="S345" s="165"/>
      <c r="T345" s="165"/>
      <c r="U345" s="165"/>
      <c r="V345" s="165"/>
      <c r="W345" s="165"/>
      <c r="X345" s="165" t="str">
        <f>IFERROR(__xludf.DUMMYFUNCTION("""COMPUTED_VALUE"""),"CC-INN-29.04")</f>
        <v>CC-INN-29.04</v>
      </c>
      <c r="Y345" s="285" t="str">
        <f>IFERROR(__xludf.DUMMYFUNCTION("""COMPUTED_VALUE"""),"Done")</f>
        <v>Done</v>
      </c>
      <c r="Z345" s="284">
        <f>IFERROR(__xludf.DUMMYFUNCTION("""COMPUTED_VALUE"""),45240.0)</f>
        <v>45240</v>
      </c>
      <c r="AA345" s="165" t="str">
        <f>IFERROR(__xludf.DUMMYFUNCTION("""COMPUTED_VALUE"""),"Naveen")</f>
        <v>Naveen</v>
      </c>
      <c r="AB345" s="165" t="str">
        <f>IFERROR(__xludf.DUMMYFUNCTION("""COMPUTED_VALUE"""),"Upload")</f>
        <v>Upload</v>
      </c>
      <c r="AC345" s="165"/>
      <c r="AD345" s="165"/>
      <c r="AE345" s="165"/>
      <c r="AF345" s="165"/>
      <c r="AG345" s="165"/>
      <c r="AH345" s="165"/>
      <c r="AI345" s="165"/>
      <c r="AJ345" s="165"/>
      <c r="AK345" s="165"/>
      <c r="AL345" s="165"/>
    </row>
    <row r="346">
      <c r="A346" s="165"/>
      <c r="B346" s="165"/>
      <c r="C346" s="165"/>
      <c r="D346" s="165"/>
      <c r="E346" s="292"/>
      <c r="F346" s="277"/>
      <c r="G346" s="165"/>
      <c r="H346" s="277"/>
      <c r="I346" s="277"/>
      <c r="J346" s="165"/>
      <c r="K346" s="165"/>
      <c r="L346" s="165"/>
      <c r="M346" s="165"/>
      <c r="N346" s="165"/>
      <c r="O346" s="165"/>
      <c r="P346" s="165"/>
      <c r="Q346" s="165"/>
      <c r="R346" s="165"/>
      <c r="S346" s="165"/>
      <c r="T346" s="165"/>
      <c r="U346" s="165"/>
      <c r="V346" s="165"/>
      <c r="W346" s="165"/>
      <c r="X346" s="165" t="str">
        <f>IFERROR(__xludf.DUMMYFUNCTION("""COMPUTED_VALUE"""),"CC-INN-28.03")</f>
        <v>CC-INN-28.03</v>
      </c>
      <c r="Y346" s="285" t="str">
        <f>IFERROR(__xludf.DUMMYFUNCTION("""COMPUTED_VALUE"""),"In Review")</f>
        <v>In Review</v>
      </c>
      <c r="Z346" s="284">
        <f>IFERROR(__xludf.DUMMYFUNCTION("""COMPUTED_VALUE"""),45240.0)</f>
        <v>45240</v>
      </c>
      <c r="AA346" s="165" t="str">
        <f>IFERROR(__xludf.DUMMYFUNCTION("""COMPUTED_VALUE"""),"Akhil")</f>
        <v>Akhil</v>
      </c>
      <c r="AB346" s="165" t="str">
        <f>IFERROR(__xludf.DUMMYFUNCTION("""COMPUTED_VALUE"""),"Edit")</f>
        <v>Edit</v>
      </c>
      <c r="AC346" s="165"/>
      <c r="AD346" s="165"/>
      <c r="AE346" s="165"/>
      <c r="AF346" s="165"/>
      <c r="AG346" s="165"/>
      <c r="AH346" s="165"/>
      <c r="AI346" s="165"/>
      <c r="AJ346" s="165"/>
      <c r="AK346" s="165"/>
      <c r="AL346" s="165"/>
    </row>
    <row r="347">
      <c r="A347" s="165"/>
      <c r="B347" s="165"/>
      <c r="C347" s="165"/>
      <c r="D347" s="165"/>
      <c r="E347" s="292"/>
      <c r="F347" s="277"/>
      <c r="G347" s="165"/>
      <c r="H347" s="277"/>
      <c r="I347" s="277"/>
      <c r="J347" s="165"/>
      <c r="K347" s="165"/>
      <c r="L347" s="165"/>
      <c r="M347" s="165"/>
      <c r="N347" s="165"/>
      <c r="O347" s="165"/>
      <c r="P347" s="165"/>
      <c r="Q347" s="165"/>
      <c r="R347" s="165"/>
      <c r="S347" s="165"/>
      <c r="T347" s="165"/>
      <c r="U347" s="165"/>
      <c r="V347" s="165"/>
      <c r="W347" s="165"/>
      <c r="X347" s="165" t="str">
        <f>IFERROR(__xludf.DUMMYFUNCTION("""COMPUTED_VALUE"""),"CC-INN-27.01")</f>
        <v>CC-INN-27.01</v>
      </c>
      <c r="Y347" s="285" t="str">
        <f>IFERROR(__xludf.DUMMYFUNCTION("""COMPUTED_VALUE"""),"Done")</f>
        <v>Done</v>
      </c>
      <c r="Z347" s="284">
        <f>IFERROR(__xludf.DUMMYFUNCTION("""COMPUTED_VALUE"""),45240.0)</f>
        <v>45240</v>
      </c>
      <c r="AA347" s="165" t="str">
        <f>IFERROR(__xludf.DUMMYFUNCTION("""COMPUTED_VALUE"""),"Tazeen")</f>
        <v>Tazeen</v>
      </c>
      <c r="AB347" s="165" t="str">
        <f>IFERROR(__xludf.DUMMYFUNCTION("""COMPUTED_VALUE"""),"Script")</f>
        <v>Script</v>
      </c>
      <c r="AC347" s="165"/>
      <c r="AD347" s="165"/>
      <c r="AE347" s="165"/>
      <c r="AF347" s="165"/>
      <c r="AG347" s="165"/>
      <c r="AH347" s="165"/>
      <c r="AI347" s="165"/>
      <c r="AJ347" s="165"/>
      <c r="AK347" s="165"/>
      <c r="AL347" s="165"/>
    </row>
    <row r="348">
      <c r="A348" s="165"/>
      <c r="B348" s="165"/>
      <c r="C348" s="165"/>
      <c r="D348" s="165"/>
      <c r="E348" s="292"/>
      <c r="F348" s="277"/>
      <c r="G348" s="165"/>
      <c r="H348" s="277"/>
      <c r="I348" s="277"/>
      <c r="J348" s="165"/>
      <c r="K348" s="165"/>
      <c r="L348" s="165"/>
      <c r="M348" s="165"/>
      <c r="N348" s="165"/>
      <c r="O348" s="165"/>
      <c r="P348" s="165"/>
      <c r="Q348" s="165"/>
      <c r="R348" s="165"/>
      <c r="S348" s="165"/>
      <c r="T348" s="165"/>
      <c r="U348" s="165"/>
      <c r="V348" s="165"/>
      <c r="W348" s="165"/>
      <c r="X348" s="165" t="str">
        <f>IFERROR(__xludf.DUMMYFUNCTION("""COMPUTED_VALUE"""),"PM-MVP-03.07")</f>
        <v>PM-MVP-03.07</v>
      </c>
      <c r="Y348" s="285" t="str">
        <f>IFERROR(__xludf.DUMMYFUNCTION("""COMPUTED_VALUE"""),"In Review")</f>
        <v>In Review</v>
      </c>
      <c r="Z348" s="284">
        <f>IFERROR(__xludf.DUMMYFUNCTION("""COMPUTED_VALUE"""),45240.0)</f>
        <v>45240</v>
      </c>
      <c r="AA348" s="165" t="str">
        <f>IFERROR(__xludf.DUMMYFUNCTION("""COMPUTED_VALUE"""),"Naveen")</f>
        <v>Naveen</v>
      </c>
      <c r="AB348" s="165" t="str">
        <f>IFERROR(__xludf.DUMMYFUNCTION("""COMPUTED_VALUE"""),"NCR Diwali Post")</f>
        <v>NCR Diwali Post</v>
      </c>
      <c r="AC348" s="165"/>
      <c r="AD348" s="165"/>
      <c r="AE348" s="165"/>
      <c r="AF348" s="165"/>
      <c r="AG348" s="165"/>
      <c r="AH348" s="165"/>
      <c r="AI348" s="165"/>
      <c r="AJ348" s="165"/>
      <c r="AK348" s="165"/>
      <c r="AL348" s="165"/>
    </row>
    <row r="349">
      <c r="A349" s="165"/>
      <c r="B349" s="165"/>
      <c r="C349" s="165"/>
      <c r="D349" s="165"/>
      <c r="E349" s="292"/>
      <c r="F349" s="277"/>
      <c r="G349" s="165"/>
      <c r="H349" s="277"/>
      <c r="I349" s="277"/>
      <c r="J349" s="165"/>
      <c r="K349" s="165"/>
      <c r="L349" s="165"/>
      <c r="M349" s="165"/>
      <c r="N349" s="165"/>
      <c r="O349" s="165"/>
      <c r="P349" s="165"/>
      <c r="Q349" s="165"/>
      <c r="R349" s="165"/>
      <c r="S349" s="165"/>
      <c r="T349" s="165"/>
      <c r="U349" s="165"/>
      <c r="V349" s="165"/>
      <c r="W349" s="165"/>
      <c r="X349" s="165" t="str">
        <f>IFERROR(__xludf.DUMMYFUNCTION("""COMPUTED_VALUE"""),"PM-PTS-06.01")</f>
        <v>PM-PTS-06.01</v>
      </c>
      <c r="Y349" s="285" t="str">
        <f>IFERROR(__xludf.DUMMYFUNCTION("""COMPUTED_VALUE"""),"On Hold")</f>
        <v>On Hold</v>
      </c>
      <c r="Z349" s="284">
        <f>IFERROR(__xludf.DUMMYFUNCTION("""COMPUTED_VALUE"""),45240.0)</f>
        <v>45240</v>
      </c>
      <c r="AA349" s="165" t="str">
        <f>IFERROR(__xludf.DUMMYFUNCTION("""COMPUTED_VALUE"""),"Nasser")</f>
        <v>Nasser</v>
      </c>
      <c r="AB349" s="165" t="str">
        <f>IFERROR(__xludf.DUMMYFUNCTION("""COMPUTED_VALUE"""),"Script")</f>
        <v>Script</v>
      </c>
      <c r="AC349" s="165"/>
      <c r="AD349" s="165"/>
      <c r="AE349" s="165"/>
      <c r="AF349" s="165"/>
      <c r="AG349" s="165"/>
      <c r="AH349" s="165"/>
      <c r="AI349" s="165"/>
      <c r="AJ349" s="165"/>
      <c r="AK349" s="165"/>
      <c r="AL349" s="165"/>
    </row>
    <row r="350">
      <c r="A350" s="165"/>
      <c r="B350" s="165"/>
      <c r="C350" s="165"/>
      <c r="D350" s="165"/>
      <c r="E350" s="292"/>
      <c r="F350" s="277"/>
      <c r="G350" s="165"/>
      <c r="H350" s="277"/>
      <c r="I350" s="277"/>
      <c r="J350" s="165"/>
      <c r="K350" s="165"/>
      <c r="L350" s="165"/>
      <c r="M350" s="165"/>
      <c r="N350" s="165"/>
      <c r="O350" s="165"/>
      <c r="P350" s="165"/>
      <c r="Q350" s="165"/>
      <c r="R350" s="165"/>
      <c r="S350" s="165"/>
      <c r="T350" s="165"/>
      <c r="U350" s="165"/>
      <c r="V350" s="165"/>
      <c r="W350" s="165"/>
      <c r="X350" s="165" t="str">
        <f>IFERROR(__xludf.DUMMYFUNCTION("""COMPUTED_VALUE"""),"PM-PTS-07.04")</f>
        <v>PM-PTS-07.04</v>
      </c>
      <c r="Y350" s="285" t="str">
        <f>IFERROR(__xludf.DUMMYFUNCTION("""COMPUTED_VALUE"""),"Not Started")</f>
        <v>Not Started</v>
      </c>
      <c r="Z350" s="284">
        <f>IFERROR(__xludf.DUMMYFUNCTION("""COMPUTED_VALUE"""),45240.0)</f>
        <v>45240</v>
      </c>
      <c r="AA350" s="165" t="str">
        <f>IFERROR(__xludf.DUMMYFUNCTION("""COMPUTED_VALUE"""),"Akhil")</f>
        <v>Akhil</v>
      </c>
      <c r="AB350" s="165" t="str">
        <f>IFERROR(__xludf.DUMMYFUNCTION("""COMPUTED_VALUE"""),"Shoot")</f>
        <v>Shoot</v>
      </c>
      <c r="AC350" s="165"/>
      <c r="AD350" s="165"/>
      <c r="AE350" s="165"/>
      <c r="AF350" s="165"/>
      <c r="AG350" s="165"/>
      <c r="AH350" s="165"/>
      <c r="AI350" s="165"/>
      <c r="AJ350" s="165"/>
      <c r="AK350" s="165"/>
      <c r="AL350" s="165"/>
    </row>
    <row r="351">
      <c r="A351" s="165"/>
      <c r="B351" s="165"/>
      <c r="C351" s="165"/>
      <c r="D351" s="165"/>
      <c r="E351" s="292"/>
      <c r="F351" s="277"/>
      <c r="G351" s="165"/>
      <c r="H351" s="277"/>
      <c r="I351" s="277"/>
      <c r="J351" s="165"/>
      <c r="K351" s="165"/>
      <c r="L351" s="165"/>
      <c r="M351" s="165"/>
      <c r="N351" s="165"/>
      <c r="O351" s="165"/>
      <c r="P351" s="165"/>
      <c r="Q351" s="165"/>
      <c r="R351" s="165"/>
      <c r="S351" s="165"/>
      <c r="T351" s="165"/>
      <c r="U351" s="165"/>
      <c r="V351" s="165"/>
      <c r="W351" s="165"/>
      <c r="X351" s="165" t="str">
        <f>IFERROR(__xludf.DUMMYFUNCTION("""COMPUTED_VALUE"""),"PM-PTS-07.06")</f>
        <v>PM-PTS-07.06</v>
      </c>
      <c r="Y351" s="285" t="str">
        <f>IFERROR(__xludf.DUMMYFUNCTION("""COMPUTED_VALUE"""),"On Hold")</f>
        <v>On Hold</v>
      </c>
      <c r="Z351" s="284">
        <f>IFERROR(__xludf.DUMMYFUNCTION("""COMPUTED_VALUE"""),45240.0)</f>
        <v>45240</v>
      </c>
      <c r="AA351" s="165" t="str">
        <f>IFERROR(__xludf.DUMMYFUNCTION("""COMPUTED_VALUE"""),"Nasser")</f>
        <v>Nasser</v>
      </c>
      <c r="AB351" s="165" t="str">
        <f>IFERROR(__xludf.DUMMYFUNCTION("""COMPUTED_VALUE"""),"Finalise")</f>
        <v>Finalise</v>
      </c>
      <c r="AC351" s="165"/>
      <c r="AD351" s="165"/>
      <c r="AE351" s="165"/>
      <c r="AF351" s="165"/>
      <c r="AG351" s="165"/>
      <c r="AH351" s="165"/>
      <c r="AI351" s="165"/>
      <c r="AJ351" s="165"/>
      <c r="AK351" s="165"/>
      <c r="AL351" s="165"/>
    </row>
    <row r="352">
      <c r="A352" s="165"/>
      <c r="B352" s="165"/>
      <c r="C352" s="165"/>
      <c r="D352" s="165"/>
      <c r="E352" s="292"/>
      <c r="F352" s="277"/>
      <c r="G352" s="165"/>
      <c r="H352" s="277"/>
      <c r="I352" s="277"/>
      <c r="J352" s="165"/>
      <c r="K352" s="165"/>
      <c r="L352" s="165"/>
      <c r="M352" s="165"/>
      <c r="N352" s="165"/>
      <c r="O352" s="165"/>
      <c r="P352" s="165"/>
      <c r="Q352" s="165"/>
      <c r="R352" s="165"/>
      <c r="S352" s="165"/>
      <c r="T352" s="165"/>
      <c r="U352" s="165"/>
      <c r="V352" s="165"/>
      <c r="W352" s="165"/>
      <c r="X352" s="165" t="str">
        <f>IFERROR(__xludf.DUMMYFUNCTION("""COMPUTED_VALUE"""),"PM-PTS-08.02")</f>
        <v>PM-PTS-08.02</v>
      </c>
      <c r="Y352" s="285" t="str">
        <f>IFERROR(__xludf.DUMMYFUNCTION("""COMPUTED_VALUE"""),"On Hold")</f>
        <v>On Hold</v>
      </c>
      <c r="Z352" s="284">
        <f>IFERROR(__xludf.DUMMYFUNCTION("""COMPUTED_VALUE"""),45240.0)</f>
        <v>45240</v>
      </c>
      <c r="AA352" s="165" t="str">
        <f>IFERROR(__xludf.DUMMYFUNCTION("""COMPUTED_VALUE"""),"Jayanth")</f>
        <v>Jayanth</v>
      </c>
      <c r="AB352" s="165" t="str">
        <f>IFERROR(__xludf.DUMMYFUNCTION("""COMPUTED_VALUE"""),"Edit")</f>
        <v>Edit</v>
      </c>
      <c r="AC352" s="165"/>
      <c r="AD352" s="165"/>
      <c r="AE352" s="165"/>
      <c r="AF352" s="165"/>
      <c r="AG352" s="165"/>
      <c r="AH352" s="165"/>
      <c r="AI352" s="165"/>
      <c r="AJ352" s="165"/>
      <c r="AK352" s="165"/>
      <c r="AL352" s="165"/>
    </row>
    <row r="353">
      <c r="A353" s="165"/>
      <c r="B353" s="165"/>
      <c r="C353" s="165"/>
      <c r="D353" s="165"/>
      <c r="E353" s="292"/>
      <c r="F353" s="277"/>
      <c r="G353" s="165"/>
      <c r="H353" s="277"/>
      <c r="I353" s="277"/>
      <c r="J353" s="165"/>
      <c r="K353" s="165"/>
      <c r="L353" s="165"/>
      <c r="M353" s="165"/>
      <c r="N353" s="165"/>
      <c r="O353" s="165"/>
      <c r="P353" s="165"/>
      <c r="Q353" s="165"/>
      <c r="R353" s="165"/>
      <c r="S353" s="165"/>
      <c r="T353" s="165"/>
      <c r="U353" s="165"/>
      <c r="V353" s="165"/>
      <c r="W353" s="165"/>
      <c r="X353" s="165" t="str">
        <f>IFERROR(__xludf.DUMMYFUNCTION("""COMPUTED_VALUE"""),"PM-PTS-05.08")</f>
        <v>PM-PTS-05.08</v>
      </c>
      <c r="Y353" s="285" t="str">
        <f>IFERROR(__xludf.DUMMYFUNCTION("""COMPUTED_VALUE"""),"Not Started")</f>
        <v>Not Started</v>
      </c>
      <c r="Z353" s="284">
        <f>IFERROR(__xludf.DUMMYFUNCTION("""COMPUTED_VALUE"""),45240.0)</f>
        <v>45240</v>
      </c>
      <c r="AA353" s="165" t="str">
        <f>IFERROR(__xludf.DUMMYFUNCTION("""COMPUTED_VALUE"""),"Talha")</f>
        <v>Talha</v>
      </c>
      <c r="AB353" s="165" t="str">
        <f>IFERROR(__xludf.DUMMYFUNCTION("""COMPUTED_VALUE"""),"Redesign Website")</f>
        <v>Redesign Website</v>
      </c>
      <c r="AC353" s="165"/>
      <c r="AD353" s="165"/>
      <c r="AE353" s="165"/>
      <c r="AF353" s="165"/>
      <c r="AG353" s="165"/>
      <c r="AH353" s="165"/>
      <c r="AI353" s="165"/>
      <c r="AJ353" s="165"/>
      <c r="AK353" s="165"/>
      <c r="AL353" s="165"/>
    </row>
    <row r="354">
      <c r="A354" s="165"/>
      <c r="B354" s="165"/>
      <c r="C354" s="165"/>
      <c r="D354" s="165"/>
      <c r="E354" s="292"/>
      <c r="F354" s="277"/>
      <c r="G354" s="165"/>
      <c r="H354" s="277"/>
      <c r="I354" s="277"/>
      <c r="J354" s="165"/>
      <c r="K354" s="165"/>
      <c r="L354" s="165"/>
      <c r="M354" s="165"/>
      <c r="N354" s="165"/>
      <c r="O354" s="165"/>
      <c r="P354" s="165"/>
      <c r="Q354" s="165"/>
      <c r="R354" s="165"/>
      <c r="S354" s="165"/>
      <c r="T354" s="165"/>
      <c r="U354" s="165"/>
      <c r="V354" s="165"/>
      <c r="W354" s="165"/>
      <c r="X354" s="165" t="str">
        <f>IFERROR(__xludf.DUMMYFUNCTION("""COMPUTED_VALUE"""),"PM-PTS-01.04")</f>
        <v>PM-PTS-01.04</v>
      </c>
      <c r="Y354" s="285" t="str">
        <f>IFERROR(__xludf.DUMMYFUNCTION("""COMPUTED_VALUE"""),"Not Started")</f>
        <v>Not Started</v>
      </c>
      <c r="Z354" s="284">
        <f>IFERROR(__xludf.DUMMYFUNCTION("""COMPUTED_VALUE"""),45240.0)</f>
        <v>45240</v>
      </c>
      <c r="AA354" s="165" t="str">
        <f>IFERROR(__xludf.DUMMYFUNCTION("""COMPUTED_VALUE"""),"Tazeen")</f>
        <v>Tazeen</v>
      </c>
      <c r="AB354" s="165" t="str">
        <f>IFERROR(__xludf.DUMMYFUNCTION("""COMPUTED_VALUE"""),"TheMVP Benchmarks")</f>
        <v>TheMVP Benchmarks</v>
      </c>
      <c r="AC354" s="165"/>
      <c r="AD354" s="165"/>
      <c r="AE354" s="165"/>
      <c r="AF354" s="165"/>
      <c r="AG354" s="165"/>
      <c r="AH354" s="165"/>
      <c r="AI354" s="165"/>
      <c r="AJ354" s="165"/>
      <c r="AK354" s="165"/>
      <c r="AL354" s="165"/>
    </row>
    <row r="355">
      <c r="A355" s="165"/>
      <c r="B355" s="165"/>
      <c r="C355" s="165"/>
      <c r="D355" s="165"/>
      <c r="E355" s="292"/>
      <c r="F355" s="277"/>
      <c r="G355" s="165"/>
      <c r="H355" s="277"/>
      <c r="I355" s="277"/>
      <c r="J355" s="165"/>
      <c r="K355" s="165"/>
      <c r="L355" s="165"/>
      <c r="M355" s="165"/>
      <c r="N355" s="165"/>
      <c r="O355" s="165"/>
      <c r="P355" s="165"/>
      <c r="Q355" s="165"/>
      <c r="R355" s="165"/>
      <c r="S355" s="165"/>
      <c r="T355" s="165"/>
      <c r="U355" s="165"/>
      <c r="V355" s="165"/>
      <c r="W355" s="165"/>
      <c r="X355" s="165" t="str">
        <f>IFERROR(__xludf.DUMMYFUNCTION("""COMPUTED_VALUE"""),"PM-MVP-04.06")</f>
        <v>PM-MVP-04.06</v>
      </c>
      <c r="Y355" s="285" t="str">
        <f>IFERROR(__xludf.DUMMYFUNCTION("""COMPUTED_VALUE"""),"On Hold")</f>
        <v>On Hold</v>
      </c>
      <c r="Z355" s="284">
        <f>IFERROR(__xludf.DUMMYFUNCTION("""COMPUTED_VALUE"""),45240.0)</f>
        <v>45240</v>
      </c>
      <c r="AA355" s="165" t="str">
        <f>IFERROR(__xludf.DUMMYFUNCTION("""COMPUTED_VALUE"""),"Naveen")</f>
        <v>Naveen</v>
      </c>
      <c r="AB355" s="165" t="str">
        <f>IFERROR(__xludf.DUMMYFUNCTION("""COMPUTED_VALUE"""),"About Us")</f>
        <v>About Us</v>
      </c>
      <c r="AC355" s="165"/>
      <c r="AD355" s="165"/>
      <c r="AE355" s="165"/>
      <c r="AF355" s="165"/>
      <c r="AG355" s="165"/>
      <c r="AH355" s="165"/>
      <c r="AI355" s="165"/>
      <c r="AJ355" s="165"/>
      <c r="AK355" s="165"/>
      <c r="AL355" s="165"/>
    </row>
    <row r="356">
      <c r="A356" s="165"/>
      <c r="B356" s="165"/>
      <c r="C356" s="165"/>
      <c r="D356" s="165"/>
      <c r="E356" s="292"/>
      <c r="F356" s="277"/>
      <c r="G356" s="165"/>
      <c r="H356" s="277"/>
      <c r="I356" s="277"/>
      <c r="J356" s="165"/>
      <c r="K356" s="165"/>
      <c r="L356" s="165"/>
      <c r="M356" s="165"/>
      <c r="N356" s="165"/>
      <c r="O356" s="165"/>
      <c r="P356" s="165"/>
      <c r="Q356" s="165"/>
      <c r="R356" s="165"/>
      <c r="S356" s="165"/>
      <c r="T356" s="165"/>
      <c r="U356" s="165"/>
      <c r="V356" s="165"/>
      <c r="W356" s="165"/>
      <c r="X356" s="165" t="str">
        <f>IFERROR(__xludf.DUMMYFUNCTION("""COMPUTED_VALUE"""),"CC-MVP-77.06")</f>
        <v>CC-MVP-77.06</v>
      </c>
      <c r="Y356" s="285" t="str">
        <f>IFERROR(__xludf.DUMMYFUNCTION("""COMPUTED_VALUE"""),"Not Started")</f>
        <v>Not Started</v>
      </c>
      <c r="Z356" s="284">
        <f>IFERROR(__xludf.DUMMYFUNCTION("""COMPUTED_VALUE"""),45241.0)</f>
        <v>45241</v>
      </c>
      <c r="AA356" s="165" t="str">
        <f>IFERROR(__xludf.DUMMYFUNCTION("""COMPUTED_VALUE"""),"Naveen")</f>
        <v>Naveen</v>
      </c>
      <c r="AB356" s="165" t="str">
        <f>IFERROR(__xludf.DUMMYFUNCTION("""COMPUTED_VALUE"""),"Thumbnail")</f>
        <v>Thumbnail</v>
      </c>
      <c r="AC356" s="165"/>
      <c r="AD356" s="165"/>
      <c r="AE356" s="165"/>
      <c r="AF356" s="165"/>
      <c r="AG356" s="165"/>
      <c r="AH356" s="165"/>
      <c r="AI356" s="165"/>
      <c r="AJ356" s="165"/>
      <c r="AK356" s="165"/>
      <c r="AL356" s="165"/>
    </row>
    <row r="357">
      <c r="A357" s="165"/>
      <c r="B357" s="165"/>
      <c r="C357" s="165"/>
      <c r="D357" s="165"/>
      <c r="E357" s="292"/>
      <c r="F357" s="277"/>
      <c r="G357" s="165"/>
      <c r="H357" s="277"/>
      <c r="I357" s="277"/>
      <c r="J357" s="165"/>
      <c r="K357" s="165"/>
      <c r="L357" s="165"/>
      <c r="M357" s="165"/>
      <c r="N357" s="165"/>
      <c r="O357" s="165"/>
      <c r="P357" s="165"/>
      <c r="Q357" s="165"/>
      <c r="R357" s="165"/>
      <c r="S357" s="165"/>
      <c r="T357" s="165"/>
      <c r="U357" s="165"/>
      <c r="V357" s="165"/>
      <c r="W357" s="165"/>
      <c r="X357" s="165" t="str">
        <f>IFERROR(__xludf.DUMMYFUNCTION("""COMPUTED_VALUE"""),"CC-MVP-77.07")</f>
        <v>CC-MVP-77.07</v>
      </c>
      <c r="Y357" s="285" t="str">
        <f>IFERROR(__xludf.DUMMYFUNCTION("""COMPUTED_VALUE"""),"Not Started")</f>
        <v>Not Started</v>
      </c>
      <c r="Z357" s="284">
        <f>IFERROR(__xludf.DUMMYFUNCTION("""COMPUTED_VALUE"""),45241.0)</f>
        <v>45241</v>
      </c>
      <c r="AA357" s="165" t="str">
        <f>IFERROR(__xludf.DUMMYFUNCTION("""COMPUTED_VALUE"""),"Tazeen")</f>
        <v>Tazeen</v>
      </c>
      <c r="AB357" s="165" t="str">
        <f>IFERROR(__xludf.DUMMYFUNCTION("""COMPUTED_VALUE"""),"Upload")</f>
        <v>Upload</v>
      </c>
      <c r="AC357" s="165"/>
      <c r="AD357" s="165"/>
      <c r="AE357" s="165"/>
      <c r="AF357" s="165"/>
      <c r="AG357" s="165"/>
      <c r="AH357" s="165"/>
      <c r="AI357" s="165"/>
      <c r="AJ357" s="165"/>
      <c r="AK357" s="165"/>
      <c r="AL357" s="165"/>
    </row>
    <row r="358">
      <c r="A358" s="165"/>
      <c r="B358" s="165"/>
      <c r="C358" s="165"/>
      <c r="D358" s="165"/>
      <c r="E358" s="292"/>
      <c r="F358" s="277"/>
      <c r="G358" s="165"/>
      <c r="H358" s="277"/>
      <c r="I358" s="277"/>
      <c r="J358" s="165"/>
      <c r="K358" s="165"/>
      <c r="L358" s="165"/>
      <c r="M358" s="165"/>
      <c r="N358" s="165"/>
      <c r="O358" s="165"/>
      <c r="P358" s="165"/>
      <c r="Q358" s="165"/>
      <c r="R358" s="165"/>
      <c r="S358" s="165"/>
      <c r="T358" s="165"/>
      <c r="U358" s="165"/>
      <c r="V358" s="165"/>
      <c r="W358" s="165"/>
      <c r="X358" s="165" t="str">
        <f>IFERROR(__xludf.DUMMYFUNCTION("""COMPUTED_VALUE"""),"CC-MVP-81.01")</f>
        <v>CC-MVP-81.01</v>
      </c>
      <c r="Y358" s="285" t="str">
        <f>IFERROR(__xludf.DUMMYFUNCTION("""COMPUTED_VALUE"""),"Not Started")</f>
        <v>Not Started</v>
      </c>
      <c r="Z358" s="284">
        <f>IFERROR(__xludf.DUMMYFUNCTION("""COMPUTED_VALUE"""),45241.0)</f>
        <v>45241</v>
      </c>
      <c r="AA358" s="165" t="str">
        <f>IFERROR(__xludf.DUMMYFUNCTION("""COMPUTED_VALUE"""),"Naveen")</f>
        <v>Naveen</v>
      </c>
      <c r="AB358" s="165" t="str">
        <f>IFERROR(__xludf.DUMMYFUNCTION("""COMPUTED_VALUE"""),"Script")</f>
        <v>Script</v>
      </c>
      <c r="AC358" s="165"/>
      <c r="AD358" s="165"/>
      <c r="AE358" s="165"/>
      <c r="AF358" s="165"/>
      <c r="AG358" s="165"/>
      <c r="AH358" s="165"/>
      <c r="AI358" s="165"/>
      <c r="AJ358" s="165"/>
      <c r="AK358" s="165"/>
      <c r="AL358" s="165"/>
    </row>
    <row r="359">
      <c r="A359" s="165"/>
      <c r="B359" s="165"/>
      <c r="C359" s="165"/>
      <c r="D359" s="165"/>
      <c r="E359" s="292"/>
      <c r="F359" s="277"/>
      <c r="G359" s="165"/>
      <c r="H359" s="277"/>
      <c r="I359" s="277"/>
      <c r="J359" s="165"/>
      <c r="K359" s="165"/>
      <c r="L359" s="165"/>
      <c r="M359" s="165"/>
      <c r="N359" s="165"/>
      <c r="O359" s="165"/>
      <c r="P359" s="165"/>
      <c r="Q359" s="165"/>
      <c r="R359" s="165"/>
      <c r="S359" s="165"/>
      <c r="T359" s="165"/>
      <c r="U359" s="165"/>
      <c r="V359" s="165"/>
      <c r="W359" s="165"/>
      <c r="X359" s="165" t="str">
        <f>IFERROR(__xludf.DUMMYFUNCTION("""COMPUTED_VALUE"""),"CC-MVP-81.03")</f>
        <v>CC-MVP-81.03</v>
      </c>
      <c r="Y359" s="285" t="str">
        <f>IFERROR(__xludf.DUMMYFUNCTION("""COMPUTED_VALUE"""),"Not Started")</f>
        <v>Not Started</v>
      </c>
      <c r="Z359" s="284">
        <f>IFERROR(__xludf.DUMMYFUNCTION("""COMPUTED_VALUE"""),45241.0)</f>
        <v>45241</v>
      </c>
      <c r="AA359" s="165" t="str">
        <f>IFERROR(__xludf.DUMMYFUNCTION("""COMPUTED_VALUE"""),"Naveen")</f>
        <v>Naveen</v>
      </c>
      <c r="AB359" s="165" t="str">
        <f>IFERROR(__xludf.DUMMYFUNCTION("""COMPUTED_VALUE"""),"Edit")</f>
        <v>Edit</v>
      </c>
      <c r="AC359" s="165"/>
      <c r="AD359" s="165"/>
      <c r="AE359" s="165"/>
      <c r="AF359" s="165"/>
      <c r="AG359" s="165"/>
      <c r="AH359" s="165"/>
      <c r="AI359" s="165"/>
      <c r="AJ359" s="165"/>
      <c r="AK359" s="165"/>
      <c r="AL359" s="165"/>
    </row>
    <row r="360">
      <c r="A360" s="165"/>
      <c r="B360" s="165"/>
      <c r="C360" s="165"/>
      <c r="D360" s="165"/>
      <c r="E360" s="292"/>
      <c r="F360" s="277"/>
      <c r="G360" s="165"/>
      <c r="H360" s="277"/>
      <c r="I360" s="277"/>
      <c r="J360" s="165"/>
      <c r="K360" s="165"/>
      <c r="L360" s="165"/>
      <c r="M360" s="165"/>
      <c r="N360" s="165"/>
      <c r="O360" s="165"/>
      <c r="P360" s="165"/>
      <c r="Q360" s="165"/>
      <c r="R360" s="165"/>
      <c r="S360" s="165"/>
      <c r="T360" s="165"/>
      <c r="U360" s="165"/>
      <c r="V360" s="165"/>
      <c r="W360" s="165"/>
      <c r="X360" s="165" t="str">
        <f>IFERROR(__xludf.DUMMYFUNCTION("""COMPUTED_VALUE"""),"CC-MVP-81.04")</f>
        <v>CC-MVP-81.04</v>
      </c>
      <c r="Y360" s="285" t="str">
        <f>IFERROR(__xludf.DUMMYFUNCTION("""COMPUTED_VALUE"""),"Not Started")</f>
        <v>Not Started</v>
      </c>
      <c r="Z360" s="284">
        <f>IFERROR(__xludf.DUMMYFUNCTION("""COMPUTED_VALUE"""),45241.0)</f>
        <v>45241</v>
      </c>
      <c r="AA360" s="165" t="str">
        <f>IFERROR(__xludf.DUMMYFUNCTION("""COMPUTED_VALUE"""),"Talha")</f>
        <v>Talha</v>
      </c>
      <c r="AB360" s="165" t="str">
        <f>IFERROR(__xludf.DUMMYFUNCTION("""COMPUTED_VALUE"""),"Upload")</f>
        <v>Upload</v>
      </c>
      <c r="AC360" s="165"/>
      <c r="AD360" s="165"/>
      <c r="AE360" s="165"/>
      <c r="AF360" s="165"/>
      <c r="AG360" s="165"/>
      <c r="AH360" s="165"/>
      <c r="AI360" s="165"/>
      <c r="AJ360" s="165"/>
      <c r="AK360" s="165"/>
      <c r="AL360" s="165"/>
    </row>
    <row r="361">
      <c r="A361" s="165"/>
      <c r="B361" s="165"/>
      <c r="C361" s="165"/>
      <c r="D361" s="165"/>
      <c r="E361" s="292"/>
      <c r="F361" s="277"/>
      <c r="G361" s="165"/>
      <c r="H361" s="277"/>
      <c r="I361" s="277"/>
      <c r="J361" s="165"/>
      <c r="K361" s="165"/>
      <c r="L361" s="165"/>
      <c r="M361" s="165"/>
      <c r="N361" s="165"/>
      <c r="O361" s="165"/>
      <c r="P361" s="165"/>
      <c r="Q361" s="165"/>
      <c r="R361" s="165"/>
      <c r="S361" s="165"/>
      <c r="T361" s="165"/>
      <c r="U361" s="165"/>
      <c r="V361" s="165"/>
      <c r="W361" s="165"/>
      <c r="X361" s="165" t="str">
        <f>IFERROR(__xludf.DUMMYFUNCTION("""COMPUTED_VALUE"""),"CC-MVP-106.04")</f>
        <v>CC-MVP-106.04</v>
      </c>
      <c r="Y361" s="285" t="str">
        <f>IFERROR(__xludf.DUMMYFUNCTION("""COMPUTED_VALUE"""),"Not Started")</f>
        <v>Not Started</v>
      </c>
      <c r="Z361" s="284">
        <f>IFERROR(__xludf.DUMMYFUNCTION("""COMPUTED_VALUE"""),45241.0)</f>
        <v>45241</v>
      </c>
      <c r="AA361" s="165" t="str">
        <f>IFERROR(__xludf.DUMMYFUNCTION("""COMPUTED_VALUE"""),"Tazeen")</f>
        <v>Tazeen</v>
      </c>
      <c r="AB361" s="165" t="str">
        <f>IFERROR(__xludf.DUMMYFUNCTION("""COMPUTED_VALUE"""),"Upload")</f>
        <v>Upload</v>
      </c>
      <c r="AC361" s="165"/>
      <c r="AD361" s="165"/>
      <c r="AE361" s="165"/>
      <c r="AF361" s="165"/>
      <c r="AG361" s="165"/>
      <c r="AH361" s="165"/>
      <c r="AI361" s="165"/>
      <c r="AJ361" s="165"/>
      <c r="AK361" s="165"/>
      <c r="AL361" s="165"/>
    </row>
    <row r="362">
      <c r="A362" s="165"/>
      <c r="B362" s="165"/>
      <c r="C362" s="165"/>
      <c r="D362" s="165"/>
      <c r="E362" s="292"/>
      <c r="F362" s="277"/>
      <c r="G362" s="165"/>
      <c r="H362" s="277"/>
      <c r="I362" s="277"/>
      <c r="J362" s="165"/>
      <c r="K362" s="165"/>
      <c r="L362" s="165"/>
      <c r="M362" s="165"/>
      <c r="N362" s="165"/>
      <c r="O362" s="165"/>
      <c r="P362" s="165"/>
      <c r="Q362" s="165"/>
      <c r="R362" s="165"/>
      <c r="S362" s="165"/>
      <c r="T362" s="165"/>
      <c r="U362" s="165"/>
      <c r="V362" s="165"/>
      <c r="W362" s="165"/>
      <c r="X362" s="165" t="str">
        <f>IFERROR(__xludf.DUMMYFUNCTION("""COMPUTED_VALUE"""),"CC-MVP-115.04")</f>
        <v>CC-MVP-115.04</v>
      </c>
      <c r="Y362" s="285" t="str">
        <f>IFERROR(__xludf.DUMMYFUNCTION("""COMPUTED_VALUE"""),"Not Started")</f>
        <v>Not Started</v>
      </c>
      <c r="Z362" s="284">
        <f>IFERROR(__xludf.DUMMYFUNCTION("""COMPUTED_VALUE"""),45241.0)</f>
        <v>45241</v>
      </c>
      <c r="AA362" s="165" t="str">
        <f>IFERROR(__xludf.DUMMYFUNCTION("""COMPUTED_VALUE"""),"Nasser")</f>
        <v>Nasser</v>
      </c>
      <c r="AB362" s="165" t="str">
        <f>IFERROR(__xludf.DUMMYFUNCTION("""COMPUTED_VALUE"""),"Upload")</f>
        <v>Upload</v>
      </c>
      <c r="AC362" s="165"/>
      <c r="AD362" s="165"/>
      <c r="AE362" s="165"/>
      <c r="AF362" s="165"/>
      <c r="AG362" s="165"/>
      <c r="AH362" s="165"/>
      <c r="AI362" s="165"/>
      <c r="AJ362" s="165"/>
      <c r="AK362" s="165"/>
      <c r="AL362" s="165"/>
    </row>
    <row r="363">
      <c r="A363" s="165"/>
      <c r="B363" s="165"/>
      <c r="C363" s="165"/>
      <c r="D363" s="165"/>
      <c r="E363" s="292"/>
      <c r="F363" s="277"/>
      <c r="G363" s="165"/>
      <c r="H363" s="277"/>
      <c r="I363" s="277"/>
      <c r="J363" s="165"/>
      <c r="K363" s="165"/>
      <c r="L363" s="165"/>
      <c r="M363" s="165"/>
      <c r="N363" s="165"/>
      <c r="O363" s="165"/>
      <c r="P363" s="165"/>
      <c r="Q363" s="165"/>
      <c r="R363" s="165"/>
      <c r="S363" s="165"/>
      <c r="T363" s="165"/>
      <c r="U363" s="165"/>
      <c r="V363" s="165"/>
      <c r="W363" s="165"/>
      <c r="X363" s="165" t="str">
        <f>IFERROR(__xludf.DUMMYFUNCTION("""COMPUTED_VALUE"""),"CC-MVP-76.06")</f>
        <v>CC-MVP-76.06</v>
      </c>
      <c r="Y363" s="285" t="str">
        <f>IFERROR(__xludf.DUMMYFUNCTION("""COMPUTED_VALUE"""),"Not Started")</f>
        <v>Not Started</v>
      </c>
      <c r="Z363" s="284">
        <f>IFERROR(__xludf.DUMMYFUNCTION("""COMPUTED_VALUE"""),45241.0)</f>
        <v>45241</v>
      </c>
      <c r="AA363" s="165" t="str">
        <f>IFERROR(__xludf.DUMMYFUNCTION("""COMPUTED_VALUE"""),"Naveen")</f>
        <v>Naveen</v>
      </c>
      <c r="AB363" s="165" t="str">
        <f>IFERROR(__xludf.DUMMYFUNCTION("""COMPUTED_VALUE"""),"Edit")</f>
        <v>Edit</v>
      </c>
      <c r="AC363" s="165"/>
      <c r="AD363" s="165"/>
      <c r="AE363" s="165"/>
      <c r="AF363" s="165"/>
      <c r="AG363" s="165"/>
      <c r="AH363" s="165"/>
      <c r="AI363" s="165"/>
      <c r="AJ363" s="165"/>
      <c r="AK363" s="165"/>
      <c r="AL363" s="165"/>
    </row>
    <row r="364">
      <c r="A364" s="165"/>
      <c r="B364" s="165"/>
      <c r="C364" s="165"/>
      <c r="D364" s="165"/>
      <c r="E364" s="292"/>
      <c r="F364" s="277"/>
      <c r="G364" s="165"/>
      <c r="H364" s="277"/>
      <c r="I364" s="277"/>
      <c r="J364" s="165"/>
      <c r="K364" s="165"/>
      <c r="L364" s="165"/>
      <c r="M364" s="165"/>
      <c r="N364" s="165"/>
      <c r="O364" s="165"/>
      <c r="P364" s="165"/>
      <c r="Q364" s="165"/>
      <c r="R364" s="165"/>
      <c r="S364" s="165"/>
      <c r="T364" s="165"/>
      <c r="U364" s="165"/>
      <c r="V364" s="165"/>
      <c r="W364" s="165"/>
      <c r="X364" s="165" t="str">
        <f>IFERROR(__xludf.DUMMYFUNCTION("""COMPUTED_VALUE"""),"CC-MVP-76.07")</f>
        <v>CC-MVP-76.07</v>
      </c>
      <c r="Y364" s="285" t="str">
        <f>IFERROR(__xludf.DUMMYFUNCTION("""COMPUTED_VALUE"""),"Not Started")</f>
        <v>Not Started</v>
      </c>
      <c r="Z364" s="284">
        <f>IFERROR(__xludf.DUMMYFUNCTION("""COMPUTED_VALUE"""),45241.0)</f>
        <v>45241</v>
      </c>
      <c r="AA364" s="165" t="str">
        <f>IFERROR(__xludf.DUMMYFUNCTION("""COMPUTED_VALUE"""),"Akhil")</f>
        <v>Akhil</v>
      </c>
      <c r="AB364" s="165" t="str">
        <f>IFERROR(__xludf.DUMMYFUNCTION("""COMPUTED_VALUE"""),"Thumbnail")</f>
        <v>Thumbnail</v>
      </c>
      <c r="AC364" s="165"/>
      <c r="AD364" s="165"/>
      <c r="AE364" s="165"/>
      <c r="AF364" s="165"/>
      <c r="AG364" s="165"/>
      <c r="AH364" s="165"/>
      <c r="AI364" s="165"/>
      <c r="AJ364" s="165"/>
      <c r="AK364" s="165"/>
      <c r="AL364" s="165"/>
    </row>
    <row r="365">
      <c r="A365" s="165"/>
      <c r="B365" s="165"/>
      <c r="C365" s="165"/>
      <c r="D365" s="165"/>
      <c r="E365" s="292"/>
      <c r="F365" s="277"/>
      <c r="G365" s="165"/>
      <c r="H365" s="277"/>
      <c r="I365" s="277"/>
      <c r="J365" s="165"/>
      <c r="K365" s="165"/>
      <c r="L365" s="165"/>
      <c r="M365" s="165"/>
      <c r="N365" s="165"/>
      <c r="O365" s="165"/>
      <c r="P365" s="165"/>
      <c r="Q365" s="165"/>
      <c r="R365" s="165"/>
      <c r="S365" s="165"/>
      <c r="T365" s="165"/>
      <c r="U365" s="165"/>
      <c r="V365" s="165"/>
      <c r="W365" s="165"/>
      <c r="X365" s="165" t="str">
        <f>IFERROR(__xludf.DUMMYFUNCTION("""COMPUTED_VALUE"""),"CC-MVP-94.02")</f>
        <v>CC-MVP-94.02</v>
      </c>
      <c r="Y365" s="285" t="str">
        <f>IFERROR(__xludf.DUMMYFUNCTION("""COMPUTED_VALUE"""),"Not Started")</f>
        <v>Not Started</v>
      </c>
      <c r="Z365" s="284">
        <f>IFERROR(__xludf.DUMMYFUNCTION("""COMPUTED_VALUE"""),45241.0)</f>
        <v>45241</v>
      </c>
      <c r="AA365" s="165" t="str">
        <f>IFERROR(__xludf.DUMMYFUNCTION("""COMPUTED_VALUE"""),"Nasser")</f>
        <v>Nasser</v>
      </c>
      <c r="AB365" s="165" t="str">
        <f>IFERROR(__xludf.DUMMYFUNCTION("""COMPUTED_VALUE"""),"Edit")</f>
        <v>Edit</v>
      </c>
      <c r="AC365" s="165"/>
      <c r="AD365" s="165"/>
      <c r="AE365" s="165"/>
      <c r="AF365" s="165"/>
      <c r="AG365" s="165"/>
      <c r="AH365" s="165"/>
      <c r="AI365" s="165"/>
      <c r="AJ365" s="165"/>
      <c r="AK365" s="165"/>
      <c r="AL365" s="165"/>
    </row>
    <row r="366">
      <c r="A366" s="165"/>
      <c r="B366" s="165"/>
      <c r="C366" s="165"/>
      <c r="D366" s="165"/>
      <c r="E366" s="292"/>
      <c r="F366" s="277"/>
      <c r="G366" s="165"/>
      <c r="H366" s="277"/>
      <c r="I366" s="277"/>
      <c r="J366" s="165"/>
      <c r="K366" s="165"/>
      <c r="L366" s="165"/>
      <c r="M366" s="165"/>
      <c r="N366" s="165"/>
      <c r="O366" s="165"/>
      <c r="P366" s="165"/>
      <c r="Q366" s="165"/>
      <c r="R366" s="165"/>
      <c r="S366" s="165"/>
      <c r="T366" s="165"/>
      <c r="U366" s="165"/>
      <c r="V366" s="165"/>
      <c r="W366" s="165"/>
      <c r="X366" s="165" t="str">
        <f>IFERROR(__xludf.DUMMYFUNCTION("""COMPUTED_VALUE"""),"CC-MVP-102.02")</f>
        <v>CC-MVP-102.02</v>
      </c>
      <c r="Y366" s="285" t="str">
        <f>IFERROR(__xludf.DUMMYFUNCTION("""COMPUTED_VALUE"""),"Not Started")</f>
        <v>Not Started</v>
      </c>
      <c r="Z366" s="284">
        <f>IFERROR(__xludf.DUMMYFUNCTION("""COMPUTED_VALUE"""),45241.0)</f>
        <v>45241</v>
      </c>
      <c r="AA366" s="165" t="str">
        <f>IFERROR(__xludf.DUMMYFUNCTION("""COMPUTED_VALUE"""),"Nasser")</f>
        <v>Nasser</v>
      </c>
      <c r="AB366" s="165" t="str">
        <f>IFERROR(__xludf.DUMMYFUNCTION("""COMPUTED_VALUE"""),"Edit")</f>
        <v>Edit</v>
      </c>
      <c r="AC366" s="165"/>
      <c r="AD366" s="165"/>
      <c r="AE366" s="165"/>
      <c r="AF366" s="165"/>
      <c r="AG366" s="165"/>
      <c r="AH366" s="165"/>
      <c r="AI366" s="165"/>
      <c r="AJ366" s="165"/>
      <c r="AK366" s="165"/>
      <c r="AL366" s="165"/>
    </row>
    <row r="367">
      <c r="A367" s="165"/>
      <c r="B367" s="165"/>
      <c r="C367" s="165"/>
      <c r="D367" s="165"/>
      <c r="E367" s="292"/>
      <c r="F367" s="277"/>
      <c r="G367" s="165"/>
      <c r="H367" s="277"/>
      <c r="I367" s="277"/>
      <c r="J367" s="165"/>
      <c r="K367" s="165"/>
      <c r="L367" s="165"/>
      <c r="M367" s="165"/>
      <c r="N367" s="165"/>
      <c r="O367" s="165"/>
      <c r="P367" s="165"/>
      <c r="Q367" s="165"/>
      <c r="R367" s="165"/>
      <c r="S367" s="165"/>
      <c r="T367" s="165"/>
      <c r="U367" s="165"/>
      <c r="V367" s="165"/>
      <c r="W367" s="165"/>
      <c r="X367" s="165" t="str">
        <f>IFERROR(__xludf.DUMMYFUNCTION("""COMPUTED_VALUE"""),"CC-MVP-82.05")</f>
        <v>CC-MVP-82.05</v>
      </c>
      <c r="Y367" s="285" t="str">
        <f>IFERROR(__xludf.DUMMYFUNCTION("""COMPUTED_VALUE"""),"Not Started")</f>
        <v>Not Started</v>
      </c>
      <c r="Z367" s="284">
        <f>IFERROR(__xludf.DUMMYFUNCTION("""COMPUTED_VALUE"""),45241.0)</f>
        <v>45241</v>
      </c>
      <c r="AA367" s="165"/>
      <c r="AB367" s="165" t="str">
        <f>IFERROR(__xludf.DUMMYFUNCTION("""COMPUTED_VALUE"""),"Edit")</f>
        <v>Edit</v>
      </c>
      <c r="AC367" s="165"/>
      <c r="AD367" s="165"/>
      <c r="AE367" s="165"/>
      <c r="AF367" s="165"/>
      <c r="AG367" s="165"/>
      <c r="AH367" s="165"/>
      <c r="AI367" s="165"/>
      <c r="AJ367" s="165"/>
      <c r="AK367" s="165"/>
      <c r="AL367" s="165"/>
    </row>
    <row r="368">
      <c r="A368" s="165"/>
      <c r="B368" s="165"/>
      <c r="C368" s="165"/>
      <c r="D368" s="165"/>
      <c r="E368" s="292"/>
      <c r="F368" s="277"/>
      <c r="G368" s="165"/>
      <c r="H368" s="277"/>
      <c r="I368" s="277"/>
      <c r="J368" s="165"/>
      <c r="K368" s="165"/>
      <c r="L368" s="165"/>
      <c r="M368" s="165"/>
      <c r="N368" s="165"/>
      <c r="O368" s="165"/>
      <c r="P368" s="165"/>
      <c r="Q368" s="165"/>
      <c r="R368" s="165"/>
      <c r="S368" s="165"/>
      <c r="T368" s="165"/>
      <c r="U368" s="165"/>
      <c r="V368" s="165"/>
      <c r="W368" s="165"/>
      <c r="X368" s="165" t="str">
        <f>IFERROR(__xludf.DUMMYFUNCTION("""COMPUTED_VALUE"""),"CC-MVP-107.01")</f>
        <v>CC-MVP-107.01</v>
      </c>
      <c r="Y368" s="285" t="str">
        <f>IFERROR(__xludf.DUMMYFUNCTION("""COMPUTED_VALUE"""),"Not Started")</f>
        <v>Not Started</v>
      </c>
      <c r="Z368" s="284">
        <f>IFERROR(__xludf.DUMMYFUNCTION("""COMPUTED_VALUE"""),45241.0)</f>
        <v>45241</v>
      </c>
      <c r="AA368" s="165" t="str">
        <f>IFERROR(__xludf.DUMMYFUNCTION("""COMPUTED_VALUE"""),"Tazeen")</f>
        <v>Tazeen</v>
      </c>
      <c r="AB368" s="165" t="str">
        <f>IFERROR(__xludf.DUMMYFUNCTION("""COMPUTED_VALUE"""),"Script")</f>
        <v>Script</v>
      </c>
      <c r="AC368" s="165"/>
      <c r="AD368" s="165"/>
      <c r="AE368" s="165"/>
      <c r="AF368" s="165"/>
      <c r="AG368" s="165"/>
      <c r="AH368" s="165"/>
      <c r="AI368" s="165"/>
      <c r="AJ368" s="165"/>
      <c r="AK368" s="165"/>
      <c r="AL368" s="165"/>
    </row>
    <row r="369">
      <c r="A369" s="165"/>
      <c r="B369" s="165"/>
      <c r="C369" s="165"/>
      <c r="D369" s="165"/>
      <c r="E369" s="292"/>
      <c r="F369" s="277"/>
      <c r="G369" s="165"/>
      <c r="H369" s="277"/>
      <c r="I369" s="277"/>
      <c r="J369" s="165"/>
      <c r="K369" s="165"/>
      <c r="L369" s="165"/>
      <c r="M369" s="165"/>
      <c r="N369" s="165"/>
      <c r="O369" s="165"/>
      <c r="P369" s="165"/>
      <c r="Q369" s="165"/>
      <c r="R369" s="165"/>
      <c r="S369" s="165"/>
      <c r="T369" s="165"/>
      <c r="U369" s="165"/>
      <c r="V369" s="165"/>
      <c r="W369" s="165"/>
      <c r="X369" s="165" t="str">
        <f>IFERROR(__xludf.DUMMYFUNCTION("""COMPUTED_VALUE"""),"CC-MVP-83.03")</f>
        <v>CC-MVP-83.03</v>
      </c>
      <c r="Y369" s="285" t="str">
        <f>IFERROR(__xludf.DUMMYFUNCTION("""COMPUTED_VALUE"""),"Not Started")</f>
        <v>Not Started</v>
      </c>
      <c r="Z369" s="284">
        <f>IFERROR(__xludf.DUMMYFUNCTION("""COMPUTED_VALUE"""),45241.0)</f>
        <v>45241</v>
      </c>
      <c r="AA369" s="165"/>
      <c r="AB369" s="165" t="str">
        <f>IFERROR(__xludf.DUMMYFUNCTION("""COMPUTED_VALUE"""),"Timeline")</f>
        <v>Timeline</v>
      </c>
      <c r="AC369" s="165"/>
      <c r="AD369" s="165"/>
      <c r="AE369" s="165"/>
      <c r="AF369" s="165"/>
      <c r="AG369" s="165"/>
      <c r="AH369" s="165"/>
      <c r="AI369" s="165"/>
      <c r="AJ369" s="165"/>
      <c r="AK369" s="165"/>
      <c r="AL369" s="165"/>
    </row>
    <row r="370">
      <c r="A370" s="165"/>
      <c r="B370" s="165"/>
      <c r="C370" s="165"/>
      <c r="D370" s="165"/>
      <c r="E370" s="292"/>
      <c r="F370" s="277"/>
      <c r="G370" s="165"/>
      <c r="H370" s="277"/>
      <c r="I370" s="277"/>
      <c r="J370" s="165"/>
      <c r="K370" s="165"/>
      <c r="L370" s="165"/>
      <c r="M370" s="165"/>
      <c r="N370" s="165"/>
      <c r="O370" s="165"/>
      <c r="P370" s="165"/>
      <c r="Q370" s="165"/>
      <c r="R370" s="165"/>
      <c r="S370" s="165"/>
      <c r="T370" s="165"/>
      <c r="U370" s="165"/>
      <c r="V370" s="165"/>
      <c r="W370" s="165"/>
      <c r="X370" s="165" t="str">
        <f>IFERROR(__xludf.DUMMYFUNCTION("""COMPUTED_VALUE"""),"CC-MVP-114.01")</f>
        <v>CC-MVP-114.01</v>
      </c>
      <c r="Y370" s="285" t="str">
        <f>IFERROR(__xludf.DUMMYFUNCTION("""COMPUTED_VALUE"""),"Not Started")</f>
        <v>Not Started</v>
      </c>
      <c r="Z370" s="284">
        <f>IFERROR(__xludf.DUMMYFUNCTION("""COMPUTED_VALUE"""),45241.0)</f>
        <v>45241</v>
      </c>
      <c r="AA370" s="165" t="str">
        <f>IFERROR(__xludf.DUMMYFUNCTION("""COMPUTED_VALUE"""),"Nasser")</f>
        <v>Nasser</v>
      </c>
      <c r="AB370" s="165" t="str">
        <f>IFERROR(__xludf.DUMMYFUNCTION("""COMPUTED_VALUE"""),"Script")</f>
        <v>Script</v>
      </c>
      <c r="AC370" s="165"/>
      <c r="AD370" s="165"/>
      <c r="AE370" s="165"/>
      <c r="AF370" s="165"/>
      <c r="AG370" s="165"/>
      <c r="AH370" s="165"/>
      <c r="AI370" s="165"/>
      <c r="AJ370" s="165"/>
      <c r="AK370" s="165"/>
      <c r="AL370" s="165"/>
    </row>
    <row r="371">
      <c r="A371" s="165"/>
      <c r="B371" s="165"/>
      <c r="C371" s="165"/>
      <c r="D371" s="165"/>
      <c r="E371" s="292"/>
      <c r="F371" s="277"/>
      <c r="G371" s="165"/>
      <c r="H371" s="277"/>
      <c r="I371" s="277"/>
      <c r="J371" s="165"/>
      <c r="K371" s="165"/>
      <c r="L371" s="165"/>
      <c r="M371" s="165"/>
      <c r="N371" s="165"/>
      <c r="O371" s="165"/>
      <c r="P371" s="165"/>
      <c r="Q371" s="165"/>
      <c r="R371" s="165"/>
      <c r="S371" s="165"/>
      <c r="T371" s="165"/>
      <c r="U371" s="165"/>
      <c r="V371" s="165"/>
      <c r="W371" s="165"/>
      <c r="X371" s="165" t="str">
        <f>IFERROR(__xludf.DUMMYFUNCTION("""COMPUTED_VALUE"""),"CC-MVP-117.01")</f>
        <v>CC-MVP-117.01</v>
      </c>
      <c r="Y371" s="285" t="str">
        <f>IFERROR(__xludf.DUMMYFUNCTION("""COMPUTED_VALUE"""),"Not Started")</f>
        <v>Not Started</v>
      </c>
      <c r="Z371" s="284">
        <f>IFERROR(__xludf.DUMMYFUNCTION("""COMPUTED_VALUE"""),45241.0)</f>
        <v>45241</v>
      </c>
      <c r="AA371" s="165" t="str">
        <f>IFERROR(__xludf.DUMMYFUNCTION("""COMPUTED_VALUE"""),"Tazeen")</f>
        <v>Tazeen</v>
      </c>
      <c r="AB371" s="165" t="str">
        <f>IFERROR(__xludf.DUMMYFUNCTION("""COMPUTED_VALUE"""),"Script")</f>
        <v>Script</v>
      </c>
      <c r="AC371" s="165"/>
      <c r="AD371" s="165"/>
      <c r="AE371" s="165"/>
      <c r="AF371" s="165"/>
      <c r="AG371" s="165"/>
      <c r="AH371" s="165"/>
      <c r="AI371" s="165"/>
      <c r="AJ371" s="165"/>
      <c r="AK371" s="165"/>
      <c r="AL371" s="165"/>
    </row>
    <row r="372">
      <c r="A372" s="165"/>
      <c r="B372" s="165"/>
      <c r="C372" s="165"/>
      <c r="D372" s="165"/>
      <c r="E372" s="292"/>
      <c r="F372" s="277"/>
      <c r="G372" s="165"/>
      <c r="H372" s="277"/>
      <c r="I372" s="277"/>
      <c r="J372" s="165"/>
      <c r="K372" s="165"/>
      <c r="L372" s="165"/>
      <c r="M372" s="165"/>
      <c r="N372" s="165"/>
      <c r="O372" s="165"/>
      <c r="P372" s="165"/>
      <c r="Q372" s="165"/>
      <c r="R372" s="165"/>
      <c r="S372" s="165"/>
      <c r="T372" s="165"/>
      <c r="U372" s="165"/>
      <c r="V372" s="165"/>
      <c r="W372" s="165"/>
      <c r="X372" s="165" t="str">
        <f>IFERROR(__xludf.DUMMYFUNCTION("""COMPUTED_VALUE"""),"CC-NVI-13.02")</f>
        <v>CC-NVI-13.02</v>
      </c>
      <c r="Y372" s="285" t="str">
        <f>IFERROR(__xludf.DUMMYFUNCTION("""COMPUTED_VALUE"""),"In Review")</f>
        <v>In Review</v>
      </c>
      <c r="Z372" s="284">
        <f>IFERROR(__xludf.DUMMYFUNCTION("""COMPUTED_VALUE"""),45241.0)</f>
        <v>45241</v>
      </c>
      <c r="AA372" s="165" t="str">
        <f>IFERROR(__xludf.DUMMYFUNCTION("""COMPUTED_VALUE"""),"Akhil")</f>
        <v>Akhil</v>
      </c>
      <c r="AB372" s="165" t="str">
        <f>IFERROR(__xludf.DUMMYFUNCTION("""COMPUTED_VALUE"""),"Shoot")</f>
        <v>Shoot</v>
      </c>
      <c r="AC372" s="165"/>
      <c r="AD372" s="165"/>
      <c r="AE372" s="165"/>
      <c r="AF372" s="165"/>
      <c r="AG372" s="165"/>
      <c r="AH372" s="165"/>
      <c r="AI372" s="165"/>
      <c r="AJ372" s="165"/>
      <c r="AK372" s="165"/>
      <c r="AL372" s="165"/>
    </row>
    <row r="373">
      <c r="A373" s="165"/>
      <c r="B373" s="165"/>
      <c r="C373" s="165"/>
      <c r="D373" s="165"/>
      <c r="E373" s="292"/>
      <c r="F373" s="277"/>
      <c r="G373" s="165"/>
      <c r="H373" s="277"/>
      <c r="I373" s="277"/>
      <c r="J373" s="165"/>
      <c r="K373" s="165"/>
      <c r="L373" s="165"/>
      <c r="M373" s="165"/>
      <c r="N373" s="165"/>
      <c r="O373" s="165"/>
      <c r="P373" s="165"/>
      <c r="Q373" s="165"/>
      <c r="R373" s="165"/>
      <c r="S373" s="165"/>
      <c r="T373" s="165"/>
      <c r="U373" s="165"/>
      <c r="V373" s="165"/>
      <c r="W373" s="165"/>
      <c r="X373" s="165" t="str">
        <f>IFERROR(__xludf.DUMMYFUNCTION("""COMPUTED_VALUE"""),"CC-NVI-13.05")</f>
        <v>CC-NVI-13.05</v>
      </c>
      <c r="Y373" s="285" t="str">
        <f>IFERROR(__xludf.DUMMYFUNCTION("""COMPUTED_VALUE"""),"Not Started")</f>
        <v>Not Started</v>
      </c>
      <c r="Z373" s="284">
        <f>IFERROR(__xludf.DUMMYFUNCTION("""COMPUTED_VALUE"""),45241.0)</f>
        <v>45241</v>
      </c>
      <c r="AA373" s="165" t="str">
        <f>IFERROR(__xludf.DUMMYFUNCTION("""COMPUTED_VALUE"""),"Freelancer")</f>
        <v>Freelancer</v>
      </c>
      <c r="AB373" s="165" t="str">
        <f>IFERROR(__xludf.DUMMYFUNCTION("""COMPUTED_VALUE"""),"Edit")</f>
        <v>Edit</v>
      </c>
      <c r="AC373" s="165"/>
      <c r="AD373" s="165"/>
      <c r="AE373" s="165"/>
      <c r="AF373" s="165"/>
      <c r="AG373" s="165"/>
      <c r="AH373" s="165"/>
      <c r="AI373" s="165"/>
      <c r="AJ373" s="165"/>
      <c r="AK373" s="165"/>
      <c r="AL373" s="165"/>
    </row>
    <row r="374">
      <c r="A374" s="165"/>
      <c r="B374" s="165"/>
      <c r="C374" s="165"/>
      <c r="D374" s="165"/>
      <c r="E374" s="292"/>
      <c r="F374" s="277"/>
      <c r="G374" s="165"/>
      <c r="H374" s="277"/>
      <c r="I374" s="277"/>
      <c r="J374" s="165"/>
      <c r="K374" s="165"/>
      <c r="L374" s="165"/>
      <c r="M374" s="165"/>
      <c r="N374" s="165"/>
      <c r="O374" s="165"/>
      <c r="P374" s="165"/>
      <c r="Q374" s="165"/>
      <c r="R374" s="165"/>
      <c r="S374" s="165"/>
      <c r="T374" s="165"/>
      <c r="U374" s="165"/>
      <c r="V374" s="165"/>
      <c r="W374" s="165"/>
      <c r="X374" s="165" t="str">
        <f>IFERROR(__xludf.DUMMYFUNCTION("""COMPUTED_VALUE"""),"CC-NVI-14.02")</f>
        <v>CC-NVI-14.02</v>
      </c>
      <c r="Y374" s="285" t="str">
        <f>IFERROR(__xludf.DUMMYFUNCTION("""COMPUTED_VALUE"""),"Not Started")</f>
        <v>Not Started</v>
      </c>
      <c r="Z374" s="284">
        <f>IFERROR(__xludf.DUMMYFUNCTION("""COMPUTED_VALUE"""),45241.0)</f>
        <v>45241</v>
      </c>
      <c r="AA374" s="165" t="str">
        <f>IFERROR(__xludf.DUMMYFUNCTION("""COMPUTED_VALUE"""),"Akhil")</f>
        <v>Akhil</v>
      </c>
      <c r="AB374" s="165" t="str">
        <f>IFERROR(__xludf.DUMMYFUNCTION("""COMPUTED_VALUE"""),"Shoot")</f>
        <v>Shoot</v>
      </c>
      <c r="AC374" s="165"/>
      <c r="AD374" s="165"/>
      <c r="AE374" s="165"/>
      <c r="AF374" s="165"/>
      <c r="AG374" s="165"/>
      <c r="AH374" s="165"/>
      <c r="AI374" s="165"/>
      <c r="AJ374" s="165"/>
      <c r="AK374" s="165"/>
      <c r="AL374" s="165"/>
    </row>
    <row r="375">
      <c r="A375" s="165"/>
      <c r="B375" s="165"/>
      <c r="C375" s="165"/>
      <c r="D375" s="165"/>
      <c r="E375" s="292"/>
      <c r="F375" s="277"/>
      <c r="G375" s="165"/>
      <c r="H375" s="277"/>
      <c r="I375" s="277"/>
      <c r="J375" s="165"/>
      <c r="K375" s="165"/>
      <c r="L375" s="165"/>
      <c r="M375" s="165"/>
      <c r="N375" s="165"/>
      <c r="O375" s="165"/>
      <c r="P375" s="165"/>
      <c r="Q375" s="165"/>
      <c r="R375" s="165"/>
      <c r="S375" s="165"/>
      <c r="T375" s="165"/>
      <c r="U375" s="165"/>
      <c r="V375" s="165"/>
      <c r="W375" s="165"/>
      <c r="X375" s="165" t="str">
        <f>IFERROR(__xludf.DUMMYFUNCTION("""COMPUTED_VALUE"""),"CC-NVI-14.05")</f>
        <v>CC-NVI-14.05</v>
      </c>
      <c r="Y375" s="285" t="str">
        <f>IFERROR(__xludf.DUMMYFUNCTION("""COMPUTED_VALUE"""),"Not Started")</f>
        <v>Not Started</v>
      </c>
      <c r="Z375" s="284">
        <f>IFERROR(__xludf.DUMMYFUNCTION("""COMPUTED_VALUE"""),45241.0)</f>
        <v>45241</v>
      </c>
      <c r="AA375" s="165" t="str">
        <f>IFERROR(__xludf.DUMMYFUNCTION("""COMPUTED_VALUE"""),"Freelancer")</f>
        <v>Freelancer</v>
      </c>
      <c r="AB375" s="165" t="str">
        <f>IFERROR(__xludf.DUMMYFUNCTION("""COMPUTED_VALUE"""),"Edit")</f>
        <v>Edit</v>
      </c>
      <c r="AC375" s="165"/>
      <c r="AD375" s="165"/>
      <c r="AE375" s="165"/>
      <c r="AF375" s="165"/>
      <c r="AG375" s="165"/>
      <c r="AH375" s="165"/>
      <c r="AI375" s="165"/>
      <c r="AJ375" s="165"/>
      <c r="AK375" s="165"/>
      <c r="AL375" s="165"/>
    </row>
    <row r="376">
      <c r="A376" s="165"/>
      <c r="B376" s="165"/>
      <c r="C376" s="165"/>
      <c r="D376" s="165"/>
      <c r="E376" s="292"/>
      <c r="F376" s="277"/>
      <c r="G376" s="165"/>
      <c r="H376" s="277"/>
      <c r="I376" s="277"/>
      <c r="J376" s="165"/>
      <c r="K376" s="165"/>
      <c r="L376" s="165"/>
      <c r="M376" s="165"/>
      <c r="N376" s="165"/>
      <c r="O376" s="165"/>
      <c r="P376" s="165"/>
      <c r="Q376" s="165"/>
      <c r="R376" s="165"/>
      <c r="S376" s="165"/>
      <c r="T376" s="165"/>
      <c r="U376" s="165"/>
      <c r="V376" s="165"/>
      <c r="W376" s="165"/>
      <c r="X376" s="165" t="str">
        <f>IFERROR(__xludf.DUMMYFUNCTION("""COMPUTED_VALUE"""),"CC-CTH-10.07")</f>
        <v>CC-CTH-10.07</v>
      </c>
      <c r="Y376" s="285" t="str">
        <f>IFERROR(__xludf.DUMMYFUNCTION("""COMPUTED_VALUE"""),"Not Started")</f>
        <v>Not Started</v>
      </c>
      <c r="Z376" s="284">
        <f>IFERROR(__xludf.DUMMYFUNCTION("""COMPUTED_VALUE"""),45241.0)</f>
        <v>45241</v>
      </c>
      <c r="AA376" s="165" t="str">
        <f>IFERROR(__xludf.DUMMYFUNCTION("""COMPUTED_VALUE"""),"Talha")</f>
        <v>Talha</v>
      </c>
      <c r="AB376" s="165" t="str">
        <f>IFERROR(__xludf.DUMMYFUNCTION("""COMPUTED_VALUE"""),"Upload")</f>
        <v>Upload</v>
      </c>
      <c r="AC376" s="165"/>
      <c r="AD376" s="165"/>
      <c r="AE376" s="165"/>
      <c r="AF376" s="165"/>
      <c r="AG376" s="165"/>
      <c r="AH376" s="165"/>
      <c r="AI376" s="165"/>
      <c r="AJ376" s="165"/>
      <c r="AK376" s="165"/>
      <c r="AL376" s="165"/>
    </row>
    <row r="377">
      <c r="A377" s="165"/>
      <c r="B377" s="165"/>
      <c r="C377" s="165"/>
      <c r="D377" s="165"/>
      <c r="E377" s="292"/>
      <c r="F377" s="277"/>
      <c r="G377" s="165"/>
      <c r="H377" s="277"/>
      <c r="I377" s="277"/>
      <c r="J377" s="165"/>
      <c r="K377" s="165"/>
      <c r="L377" s="165"/>
      <c r="M377" s="165"/>
      <c r="N377" s="165"/>
      <c r="O377" s="165"/>
      <c r="P377" s="165"/>
      <c r="Q377" s="165"/>
      <c r="R377" s="165"/>
      <c r="S377" s="165"/>
      <c r="T377" s="165"/>
      <c r="U377" s="165"/>
      <c r="V377" s="165"/>
      <c r="W377" s="165"/>
      <c r="X377" s="165" t="str">
        <f>IFERROR(__xludf.DUMMYFUNCTION("""COMPUTED_VALUE"""),"CC-CTH-18.01")</f>
        <v>CC-CTH-18.01</v>
      </c>
      <c r="Y377" s="285" t="str">
        <f>IFERROR(__xludf.DUMMYFUNCTION("""COMPUTED_VALUE"""),"In Review")</f>
        <v>In Review</v>
      </c>
      <c r="Z377" s="284">
        <f>IFERROR(__xludf.DUMMYFUNCTION("""COMPUTED_VALUE"""),45241.0)</f>
        <v>45241</v>
      </c>
      <c r="AA377" s="165" t="str">
        <f>IFERROR(__xludf.DUMMYFUNCTION("""COMPUTED_VALUE"""),"Naveen")</f>
        <v>Naveen</v>
      </c>
      <c r="AB377" s="165" t="str">
        <f>IFERROR(__xludf.DUMMYFUNCTION("""COMPUTED_VALUE"""),"Script")</f>
        <v>Script</v>
      </c>
      <c r="AC377" s="165"/>
      <c r="AD377" s="165"/>
      <c r="AE377" s="165"/>
      <c r="AF377" s="165"/>
      <c r="AG377" s="165"/>
      <c r="AH377" s="165"/>
      <c r="AI377" s="165"/>
      <c r="AJ377" s="165"/>
      <c r="AK377" s="165"/>
      <c r="AL377" s="165"/>
    </row>
    <row r="378">
      <c r="A378" s="165"/>
      <c r="B378" s="165"/>
      <c r="C378" s="165"/>
      <c r="D378" s="165"/>
      <c r="E378" s="292"/>
      <c r="F378" s="277"/>
      <c r="G378" s="165"/>
      <c r="H378" s="277"/>
      <c r="I378" s="277"/>
      <c r="J378" s="165"/>
      <c r="K378" s="165"/>
      <c r="L378" s="165"/>
      <c r="M378" s="165"/>
      <c r="N378" s="165"/>
      <c r="O378" s="165"/>
      <c r="P378" s="165"/>
      <c r="Q378" s="165"/>
      <c r="R378" s="165"/>
      <c r="S378" s="165"/>
      <c r="T378" s="165"/>
      <c r="U378" s="165"/>
      <c r="V378" s="165"/>
      <c r="W378" s="165"/>
      <c r="X378" s="165" t="str">
        <f>IFERROR(__xludf.DUMMYFUNCTION("""COMPUTED_VALUE"""),"CC-CTH-18.02")</f>
        <v>CC-CTH-18.02</v>
      </c>
      <c r="Y378" s="285" t="str">
        <f>IFERROR(__xludf.DUMMYFUNCTION("""COMPUTED_VALUE"""),"Not Started")</f>
        <v>Not Started</v>
      </c>
      <c r="Z378" s="284">
        <f>IFERROR(__xludf.DUMMYFUNCTION("""COMPUTED_VALUE"""),45241.0)</f>
        <v>45241</v>
      </c>
      <c r="AA378" s="165" t="str">
        <f>IFERROR(__xludf.DUMMYFUNCTION("""COMPUTED_VALUE"""),"Talha")</f>
        <v>Talha</v>
      </c>
      <c r="AB378" s="165" t="str">
        <f>IFERROR(__xludf.DUMMYFUNCTION("""COMPUTED_VALUE"""),"Voiceover")</f>
        <v>Voiceover</v>
      </c>
      <c r="AC378" s="165"/>
      <c r="AD378" s="165"/>
      <c r="AE378" s="165"/>
      <c r="AF378" s="165"/>
      <c r="AG378" s="165"/>
      <c r="AH378" s="165"/>
      <c r="AI378" s="165"/>
      <c r="AJ378" s="165"/>
      <c r="AK378" s="165"/>
      <c r="AL378" s="165"/>
    </row>
    <row r="379">
      <c r="A379" s="165"/>
      <c r="B379" s="165"/>
      <c r="C379" s="165"/>
      <c r="D379" s="165"/>
      <c r="E379" s="292"/>
      <c r="F379" s="277"/>
      <c r="G379" s="165"/>
      <c r="H379" s="277"/>
      <c r="I379" s="277"/>
      <c r="J379" s="165"/>
      <c r="K379" s="165"/>
      <c r="L379" s="165"/>
      <c r="M379" s="165"/>
      <c r="N379" s="165"/>
      <c r="O379" s="165"/>
      <c r="P379" s="165"/>
      <c r="Q379" s="165"/>
      <c r="R379" s="165"/>
      <c r="S379" s="165"/>
      <c r="T379" s="165"/>
      <c r="U379" s="165"/>
      <c r="V379" s="165"/>
      <c r="W379" s="165"/>
      <c r="X379" s="165" t="str">
        <f>IFERROR(__xludf.DUMMYFUNCTION("""COMPUTED_VALUE"""),"CC-CTH-18.03")</f>
        <v>CC-CTH-18.03</v>
      </c>
      <c r="Y379" s="285" t="str">
        <f>IFERROR(__xludf.DUMMYFUNCTION("""COMPUTED_VALUE"""),"Not Started")</f>
        <v>Not Started</v>
      </c>
      <c r="Z379" s="284">
        <f>IFERROR(__xludf.DUMMYFUNCTION("""COMPUTED_VALUE"""),45241.0)</f>
        <v>45241</v>
      </c>
      <c r="AA379" s="165" t="str">
        <f>IFERROR(__xludf.DUMMYFUNCTION("""COMPUTED_VALUE"""),"Akhil")</f>
        <v>Akhil</v>
      </c>
      <c r="AB379" s="165" t="str">
        <f>IFERROR(__xludf.DUMMYFUNCTION("""COMPUTED_VALUE"""),"Shoot")</f>
        <v>Shoot</v>
      </c>
      <c r="AC379" s="165"/>
      <c r="AD379" s="165"/>
      <c r="AE379" s="165"/>
      <c r="AF379" s="165"/>
      <c r="AG379" s="165"/>
      <c r="AH379" s="165"/>
      <c r="AI379" s="165"/>
      <c r="AJ379" s="165"/>
      <c r="AK379" s="165"/>
      <c r="AL379" s="165"/>
    </row>
    <row r="380">
      <c r="A380" s="165"/>
      <c r="B380" s="165"/>
      <c r="C380" s="165"/>
      <c r="D380" s="165"/>
      <c r="E380" s="292"/>
      <c r="F380" s="277"/>
      <c r="G380" s="165"/>
      <c r="H380" s="277"/>
      <c r="I380" s="277"/>
      <c r="J380" s="165"/>
      <c r="K380" s="165"/>
      <c r="L380" s="165"/>
      <c r="M380" s="165"/>
      <c r="N380" s="165"/>
      <c r="O380" s="165"/>
      <c r="P380" s="165"/>
      <c r="Q380" s="165"/>
      <c r="R380" s="165"/>
      <c r="S380" s="165"/>
      <c r="T380" s="165"/>
      <c r="U380" s="165"/>
      <c r="V380" s="165"/>
      <c r="W380" s="165"/>
      <c r="X380" s="165" t="str">
        <f>IFERROR(__xludf.DUMMYFUNCTION("""COMPUTED_VALUE"""),"CC-CTH-19.01")</f>
        <v>CC-CTH-19.01</v>
      </c>
      <c r="Y380" s="285" t="str">
        <f>IFERROR(__xludf.DUMMYFUNCTION("""COMPUTED_VALUE"""),"Not Started")</f>
        <v>Not Started</v>
      </c>
      <c r="Z380" s="284">
        <f>IFERROR(__xludf.DUMMYFUNCTION("""COMPUTED_VALUE"""),45241.0)</f>
        <v>45241</v>
      </c>
      <c r="AA380" s="165" t="str">
        <f>IFERROR(__xludf.DUMMYFUNCTION("""COMPUTED_VALUE"""),"Naveen")</f>
        <v>Naveen</v>
      </c>
      <c r="AB380" s="165" t="str">
        <f>IFERROR(__xludf.DUMMYFUNCTION("""COMPUTED_VALUE"""),"Script")</f>
        <v>Script</v>
      </c>
      <c r="AC380" s="165"/>
      <c r="AD380" s="165"/>
      <c r="AE380" s="165"/>
      <c r="AF380" s="165"/>
      <c r="AG380" s="165"/>
      <c r="AH380" s="165"/>
      <c r="AI380" s="165"/>
      <c r="AJ380" s="165"/>
      <c r="AK380" s="165"/>
      <c r="AL380" s="165"/>
    </row>
    <row r="381">
      <c r="A381" s="165"/>
      <c r="B381" s="165"/>
      <c r="C381" s="165"/>
      <c r="D381" s="165"/>
      <c r="E381" s="292"/>
      <c r="F381" s="277"/>
      <c r="G381" s="165"/>
      <c r="H381" s="277"/>
      <c r="I381" s="277"/>
      <c r="J381" s="165"/>
      <c r="K381" s="165"/>
      <c r="L381" s="165"/>
      <c r="M381" s="165"/>
      <c r="N381" s="165"/>
      <c r="O381" s="165"/>
      <c r="P381" s="165"/>
      <c r="Q381" s="165"/>
      <c r="R381" s="165"/>
      <c r="S381" s="165"/>
      <c r="T381" s="165"/>
      <c r="U381" s="165"/>
      <c r="V381" s="165"/>
      <c r="W381" s="165"/>
      <c r="X381" s="165" t="str">
        <f>IFERROR(__xludf.DUMMYFUNCTION("""COMPUTED_VALUE"""),"CC-MAC-12.04")</f>
        <v>CC-MAC-12.04</v>
      </c>
      <c r="Y381" s="285" t="str">
        <f>IFERROR(__xludf.DUMMYFUNCTION("""COMPUTED_VALUE"""),"Not Started")</f>
        <v>Not Started</v>
      </c>
      <c r="Z381" s="284">
        <f>IFERROR(__xludf.DUMMYFUNCTION("""COMPUTED_VALUE"""),45241.0)</f>
        <v>45241</v>
      </c>
      <c r="AA381" s="165" t="str">
        <f>IFERROR(__xludf.DUMMYFUNCTION("""COMPUTED_VALUE"""),"Akhil")</f>
        <v>Akhil</v>
      </c>
      <c r="AB381" s="165" t="str">
        <f>IFERROR(__xludf.DUMMYFUNCTION("""COMPUTED_VALUE"""),"Upload")</f>
        <v>Upload</v>
      </c>
      <c r="AC381" s="165"/>
      <c r="AD381" s="165"/>
      <c r="AE381" s="165"/>
      <c r="AF381" s="165"/>
      <c r="AG381" s="165"/>
      <c r="AH381" s="165"/>
      <c r="AI381" s="165"/>
      <c r="AJ381" s="165"/>
      <c r="AK381" s="165"/>
      <c r="AL381" s="165"/>
    </row>
    <row r="382">
      <c r="A382" s="165"/>
      <c r="B382" s="165"/>
      <c r="C382" s="165"/>
      <c r="D382" s="165"/>
      <c r="E382" s="292"/>
      <c r="F382" s="277"/>
      <c r="G382" s="165"/>
      <c r="H382" s="277"/>
      <c r="I382" s="277"/>
      <c r="J382" s="165"/>
      <c r="K382" s="165"/>
      <c r="L382" s="165"/>
      <c r="M382" s="165"/>
      <c r="N382" s="165"/>
      <c r="O382" s="165"/>
      <c r="P382" s="165"/>
      <c r="Q382" s="165"/>
      <c r="R382" s="165"/>
      <c r="S382" s="165"/>
      <c r="T382" s="165"/>
      <c r="U382" s="165"/>
      <c r="V382" s="165"/>
      <c r="W382" s="165"/>
      <c r="X382" s="165" t="str">
        <f>IFERROR(__xludf.DUMMYFUNCTION("""COMPUTED_VALUE"""),"CC-INN-28.04")</f>
        <v>CC-INN-28.04</v>
      </c>
      <c r="Y382" s="285" t="str">
        <f>IFERROR(__xludf.DUMMYFUNCTION("""COMPUTED_VALUE"""),"Not Started")</f>
        <v>Not Started</v>
      </c>
      <c r="Z382" s="284">
        <f>IFERROR(__xludf.DUMMYFUNCTION("""COMPUTED_VALUE"""),45241.0)</f>
        <v>45241</v>
      </c>
      <c r="AA382" s="165" t="str">
        <f>IFERROR(__xludf.DUMMYFUNCTION("""COMPUTED_VALUE"""),"Naveen")</f>
        <v>Naveen</v>
      </c>
      <c r="AB382" s="165" t="str">
        <f>IFERROR(__xludf.DUMMYFUNCTION("""COMPUTED_VALUE"""),"Upload")</f>
        <v>Upload</v>
      </c>
      <c r="AC382" s="165"/>
      <c r="AD382" s="165"/>
      <c r="AE382" s="165"/>
      <c r="AF382" s="165"/>
      <c r="AG382" s="165"/>
      <c r="AH382" s="165"/>
      <c r="AI382" s="165"/>
      <c r="AJ382" s="165"/>
      <c r="AK382" s="165"/>
      <c r="AL382" s="165"/>
    </row>
    <row r="383">
      <c r="A383" s="165"/>
      <c r="B383" s="165"/>
      <c r="C383" s="165"/>
      <c r="D383" s="165"/>
      <c r="E383" s="292"/>
      <c r="F383" s="277"/>
      <c r="G383" s="165"/>
      <c r="H383" s="277"/>
      <c r="I383" s="277"/>
      <c r="J383" s="165"/>
      <c r="K383" s="165"/>
      <c r="L383" s="165"/>
      <c r="M383" s="165"/>
      <c r="N383" s="165"/>
      <c r="O383" s="165"/>
      <c r="P383" s="165"/>
      <c r="Q383" s="165"/>
      <c r="R383" s="165"/>
      <c r="S383" s="165"/>
      <c r="T383" s="165"/>
      <c r="U383" s="165"/>
      <c r="V383" s="165"/>
      <c r="W383" s="165"/>
      <c r="X383" s="165" t="str">
        <f>IFERROR(__xludf.DUMMYFUNCTION("""COMPUTED_VALUE"""),"PM-PTS-06.02")</f>
        <v>PM-PTS-06.02</v>
      </c>
      <c r="Y383" s="285" t="str">
        <f>IFERROR(__xludf.DUMMYFUNCTION("""COMPUTED_VALUE"""),"Not Started")</f>
        <v>Not Started</v>
      </c>
      <c r="Z383" s="284">
        <f>IFERROR(__xludf.DUMMYFUNCTION("""COMPUTED_VALUE"""),45241.0)</f>
        <v>45241</v>
      </c>
      <c r="AA383" s="165" t="str">
        <f>IFERROR(__xludf.DUMMYFUNCTION("""COMPUTED_VALUE"""),"Tazeen")</f>
        <v>Tazeen</v>
      </c>
      <c r="AB383" s="165" t="str">
        <f>IFERROR(__xludf.DUMMYFUNCTION("""COMPUTED_VALUE"""),"AI Footage")</f>
        <v>AI Footage</v>
      </c>
      <c r="AC383" s="165"/>
      <c r="AD383" s="165"/>
      <c r="AE383" s="165"/>
      <c r="AF383" s="165"/>
      <c r="AG383" s="165"/>
      <c r="AH383" s="165"/>
      <c r="AI383" s="165"/>
      <c r="AJ383" s="165"/>
      <c r="AK383" s="165"/>
      <c r="AL383" s="165"/>
    </row>
    <row r="384">
      <c r="A384" s="165"/>
      <c r="B384" s="165"/>
      <c r="C384" s="165"/>
      <c r="D384" s="165"/>
      <c r="E384" s="292"/>
      <c r="F384" s="277"/>
      <c r="G384" s="165"/>
      <c r="H384" s="277"/>
      <c r="I384" s="277"/>
      <c r="J384" s="165"/>
      <c r="K384" s="165"/>
      <c r="L384" s="165"/>
      <c r="M384" s="165"/>
      <c r="N384" s="165"/>
      <c r="O384" s="165"/>
      <c r="P384" s="165"/>
      <c r="Q384" s="165"/>
      <c r="R384" s="165"/>
      <c r="S384" s="165"/>
      <c r="T384" s="165"/>
      <c r="U384" s="165"/>
      <c r="V384" s="165"/>
      <c r="W384" s="165"/>
      <c r="X384" s="165" t="str">
        <f>IFERROR(__xludf.DUMMYFUNCTION("""COMPUTED_VALUE"""),"PM-PTS-07.07")</f>
        <v>PM-PTS-07.07</v>
      </c>
      <c r="Y384" s="285" t="str">
        <f>IFERROR(__xludf.DUMMYFUNCTION("""COMPUTED_VALUE"""),"On Hold")</f>
        <v>On Hold</v>
      </c>
      <c r="Z384" s="284">
        <f>IFERROR(__xludf.DUMMYFUNCTION("""COMPUTED_VALUE"""),45241.0)</f>
        <v>45241</v>
      </c>
      <c r="AA384" s="165" t="str">
        <f>IFERROR(__xludf.DUMMYFUNCTION("""COMPUTED_VALUE"""),"Talha")</f>
        <v>Talha</v>
      </c>
      <c r="AB384" s="165" t="str">
        <f>IFERROR(__xludf.DUMMYFUNCTION("""COMPUTED_VALUE"""),"Deliver")</f>
        <v>Deliver</v>
      </c>
      <c r="AC384" s="165"/>
      <c r="AD384" s="165"/>
      <c r="AE384" s="165"/>
      <c r="AF384" s="165"/>
      <c r="AG384" s="165"/>
      <c r="AH384" s="165"/>
      <c r="AI384" s="165"/>
      <c r="AJ384" s="165"/>
      <c r="AK384" s="165"/>
      <c r="AL384" s="165"/>
    </row>
    <row r="385">
      <c r="A385" s="165"/>
      <c r="B385" s="165"/>
      <c r="C385" s="165"/>
      <c r="D385" s="165"/>
      <c r="E385" s="292"/>
      <c r="F385" s="277"/>
      <c r="G385" s="165"/>
      <c r="H385" s="277"/>
      <c r="I385" s="277"/>
      <c r="J385" s="165"/>
      <c r="K385" s="165"/>
      <c r="L385" s="165"/>
      <c r="M385" s="165"/>
      <c r="N385" s="165"/>
      <c r="O385" s="165"/>
      <c r="P385" s="165"/>
      <c r="Q385" s="165"/>
      <c r="R385" s="165"/>
      <c r="S385" s="165"/>
      <c r="T385" s="165"/>
      <c r="U385" s="165"/>
      <c r="V385" s="165"/>
      <c r="W385" s="165"/>
      <c r="X385" s="165" t="str">
        <f>IFERROR(__xludf.DUMMYFUNCTION("""COMPUTED_VALUE"""),"PM-PTS-08.03")</f>
        <v>PM-PTS-08.03</v>
      </c>
      <c r="Y385" s="285" t="str">
        <f>IFERROR(__xludf.DUMMYFUNCTION("""COMPUTED_VALUE"""),"Not Started")</f>
        <v>Not Started</v>
      </c>
      <c r="Z385" s="284">
        <f>IFERROR(__xludf.DUMMYFUNCTION("""COMPUTED_VALUE"""),45241.0)</f>
        <v>45241</v>
      </c>
      <c r="AA385" s="165" t="str">
        <f>IFERROR(__xludf.DUMMYFUNCTION("""COMPUTED_VALUE"""),"Talha")</f>
        <v>Talha</v>
      </c>
      <c r="AB385" s="165" t="str">
        <f>IFERROR(__xludf.DUMMYFUNCTION("""COMPUTED_VALUE"""),"Script Deliver")</f>
        <v>Script Deliver</v>
      </c>
      <c r="AC385" s="165"/>
      <c r="AD385" s="165"/>
      <c r="AE385" s="165"/>
      <c r="AF385" s="165"/>
      <c r="AG385" s="165"/>
      <c r="AH385" s="165"/>
      <c r="AI385" s="165"/>
      <c r="AJ385" s="165"/>
      <c r="AK385" s="165"/>
      <c r="AL385" s="165"/>
    </row>
    <row r="386">
      <c r="A386" s="165"/>
      <c r="B386" s="165"/>
      <c r="C386" s="165"/>
      <c r="D386" s="165"/>
      <c r="E386" s="292"/>
      <c r="F386" s="277"/>
      <c r="G386" s="165"/>
      <c r="H386" s="277"/>
      <c r="I386" s="277"/>
      <c r="J386" s="165"/>
      <c r="K386" s="165"/>
      <c r="L386" s="165"/>
      <c r="M386" s="165"/>
      <c r="N386" s="165"/>
      <c r="O386" s="165"/>
      <c r="P386" s="165"/>
      <c r="Q386" s="165"/>
      <c r="R386" s="165"/>
      <c r="S386" s="165"/>
      <c r="T386" s="165"/>
      <c r="U386" s="165"/>
      <c r="V386" s="165"/>
      <c r="W386" s="165"/>
      <c r="X386" s="165" t="str">
        <f>IFERROR(__xludf.DUMMYFUNCTION("""COMPUTED_VALUE"""),"PM-PTS-08.04")</f>
        <v>PM-PTS-08.04</v>
      </c>
      <c r="Y386" s="285" t="str">
        <f>IFERROR(__xludf.DUMMYFUNCTION("""COMPUTED_VALUE"""),"Not Started")</f>
        <v>Not Started</v>
      </c>
      <c r="Z386" s="284">
        <f>IFERROR(__xludf.DUMMYFUNCTION("""COMPUTED_VALUE"""),45241.0)</f>
        <v>45241</v>
      </c>
      <c r="AA386" s="165" t="str">
        <f>IFERROR(__xludf.DUMMYFUNCTION("""COMPUTED_VALUE"""),"Talha")</f>
        <v>Talha</v>
      </c>
      <c r="AB386" s="165" t="str">
        <f>IFERROR(__xludf.DUMMYFUNCTION("""COMPUTED_VALUE"""),"Edit Deliver ")</f>
        <v>Edit Deliver </v>
      </c>
      <c r="AC386" s="165"/>
      <c r="AD386" s="165"/>
      <c r="AE386" s="165"/>
      <c r="AF386" s="165"/>
      <c r="AG386" s="165"/>
      <c r="AH386" s="165"/>
      <c r="AI386" s="165"/>
      <c r="AJ386" s="165"/>
      <c r="AK386" s="165"/>
      <c r="AL386" s="165"/>
    </row>
    <row r="387">
      <c r="A387" s="165"/>
      <c r="B387" s="165"/>
      <c r="C387" s="165"/>
      <c r="D387" s="165"/>
      <c r="E387" s="292"/>
      <c r="F387" s="277"/>
      <c r="G387" s="165"/>
      <c r="H387" s="277"/>
      <c r="I387" s="277"/>
      <c r="J387" s="165"/>
      <c r="K387" s="165"/>
      <c r="L387" s="165"/>
      <c r="M387" s="165"/>
      <c r="N387" s="165"/>
      <c r="O387" s="165"/>
      <c r="P387" s="165"/>
      <c r="Q387" s="165"/>
      <c r="R387" s="165"/>
      <c r="S387" s="165"/>
      <c r="T387" s="165"/>
      <c r="U387" s="165"/>
      <c r="V387" s="165"/>
      <c r="W387" s="165"/>
      <c r="X387" s="165" t="str">
        <f>IFERROR(__xludf.DUMMYFUNCTION("""COMPUTED_VALUE"""),"PM-PTS-05.07")</f>
        <v>PM-PTS-05.07</v>
      </c>
      <c r="Y387" s="285" t="str">
        <f>IFERROR(__xludf.DUMMYFUNCTION("""COMPUTED_VALUE"""),"Not Started")</f>
        <v>Not Started</v>
      </c>
      <c r="Z387" s="284">
        <f>IFERROR(__xludf.DUMMYFUNCTION("""COMPUTED_VALUE"""),45241.0)</f>
        <v>45241</v>
      </c>
      <c r="AA387" s="165" t="str">
        <f>IFERROR(__xludf.DUMMYFUNCTION("""COMPUTED_VALUE"""),"Nasser")</f>
        <v>Nasser</v>
      </c>
      <c r="AB387" s="165" t="str">
        <f>IFERROR(__xludf.DUMMYFUNCTION("""COMPUTED_VALUE"""),"Animation Breakdown")</f>
        <v>Animation Breakdown</v>
      </c>
      <c r="AC387" s="165"/>
      <c r="AD387" s="165"/>
      <c r="AE387" s="165"/>
      <c r="AF387" s="165"/>
      <c r="AG387" s="165"/>
      <c r="AH387" s="165"/>
      <c r="AI387" s="165"/>
      <c r="AJ387" s="165"/>
      <c r="AK387" s="165"/>
      <c r="AL387" s="165"/>
    </row>
    <row r="388">
      <c r="A388" s="165"/>
      <c r="B388" s="165"/>
      <c r="C388" s="165"/>
      <c r="D388" s="165"/>
      <c r="E388" s="292"/>
      <c r="F388" s="277"/>
      <c r="G388" s="165"/>
      <c r="H388" s="277"/>
      <c r="I388" s="277"/>
      <c r="J388" s="165"/>
      <c r="K388" s="165"/>
      <c r="L388" s="165"/>
      <c r="M388" s="165"/>
      <c r="N388" s="165"/>
      <c r="O388" s="165"/>
      <c r="P388" s="165"/>
      <c r="Q388" s="165"/>
      <c r="R388" s="165"/>
      <c r="S388" s="165"/>
      <c r="T388" s="165"/>
      <c r="U388" s="165"/>
      <c r="V388" s="165"/>
      <c r="W388" s="165"/>
      <c r="X388" s="165" t="str">
        <f>IFERROR(__xludf.DUMMYFUNCTION("""COMPUTED_VALUE"""),"PM-PTS-09.02")</f>
        <v>PM-PTS-09.02</v>
      </c>
      <c r="Y388" s="285" t="str">
        <f>IFERROR(__xludf.DUMMYFUNCTION("""COMPUTED_VALUE"""),"Not Started")</f>
        <v>Not Started</v>
      </c>
      <c r="Z388" s="284">
        <f>IFERROR(__xludf.DUMMYFUNCTION("""COMPUTED_VALUE"""),45241.0)</f>
        <v>45241</v>
      </c>
      <c r="AA388" s="165"/>
      <c r="AB388" s="165" t="str">
        <f>IFERROR(__xludf.DUMMYFUNCTION("""COMPUTED_VALUE"""),"Shoot")</f>
        <v>Shoot</v>
      </c>
      <c r="AC388" s="165"/>
      <c r="AD388" s="165"/>
      <c r="AE388" s="165"/>
      <c r="AF388" s="165"/>
      <c r="AG388" s="165"/>
      <c r="AH388" s="165"/>
      <c r="AI388" s="165"/>
      <c r="AJ388" s="165"/>
      <c r="AK388" s="165"/>
      <c r="AL388" s="165"/>
    </row>
    <row r="389">
      <c r="A389" s="165"/>
      <c r="B389" s="165"/>
      <c r="C389" s="165"/>
      <c r="D389" s="165"/>
      <c r="E389" s="292"/>
      <c r="F389" s="277"/>
      <c r="G389" s="165"/>
      <c r="H389" s="277"/>
      <c r="I389" s="277"/>
      <c r="J389" s="165"/>
      <c r="K389" s="165"/>
      <c r="L389" s="165"/>
      <c r="M389" s="165"/>
      <c r="N389" s="165"/>
      <c r="O389" s="165"/>
      <c r="P389" s="165"/>
      <c r="Q389" s="165"/>
      <c r="R389" s="165"/>
      <c r="S389" s="165"/>
      <c r="T389" s="165"/>
      <c r="U389" s="165"/>
      <c r="V389" s="165"/>
      <c r="W389" s="165"/>
      <c r="X389" s="165" t="str">
        <f>IFERROR(__xludf.DUMMYFUNCTION("""COMPUTED_VALUE"""),"CC-MVP-76.08")</f>
        <v>CC-MVP-76.08</v>
      </c>
      <c r="Y389" s="285" t="str">
        <f>IFERROR(__xludf.DUMMYFUNCTION("""COMPUTED_VALUE"""),"Not Started")</f>
        <v>Not Started</v>
      </c>
      <c r="Z389" s="284">
        <f>IFERROR(__xludf.DUMMYFUNCTION("""COMPUTED_VALUE"""),45242.0)</f>
        <v>45242</v>
      </c>
      <c r="AA389" s="165" t="str">
        <f>IFERROR(__xludf.DUMMYFUNCTION("""COMPUTED_VALUE"""),"Nasser")</f>
        <v>Nasser</v>
      </c>
      <c r="AB389" s="165" t="str">
        <f>IFERROR(__xludf.DUMMYFUNCTION("""COMPUTED_VALUE"""),"Upload")</f>
        <v>Upload</v>
      </c>
      <c r="AC389" s="165"/>
      <c r="AD389" s="165"/>
      <c r="AE389" s="165"/>
      <c r="AF389" s="165"/>
      <c r="AG389" s="165"/>
      <c r="AH389" s="165"/>
      <c r="AI389" s="165"/>
      <c r="AJ389" s="165"/>
      <c r="AK389" s="165"/>
      <c r="AL389" s="165"/>
    </row>
    <row r="390">
      <c r="A390" s="165"/>
      <c r="B390" s="165"/>
      <c r="C390" s="165"/>
      <c r="D390" s="165"/>
      <c r="E390" s="292"/>
      <c r="F390" s="277"/>
      <c r="G390" s="165"/>
      <c r="H390" s="277"/>
      <c r="I390" s="277"/>
      <c r="J390" s="165"/>
      <c r="K390" s="165"/>
      <c r="L390" s="165"/>
      <c r="M390" s="165"/>
      <c r="N390" s="165"/>
      <c r="O390" s="165"/>
      <c r="P390" s="165"/>
      <c r="Q390" s="165"/>
      <c r="R390" s="165"/>
      <c r="S390" s="165"/>
      <c r="T390" s="165"/>
      <c r="U390" s="165"/>
      <c r="V390" s="165"/>
      <c r="W390" s="165"/>
      <c r="X390" s="165" t="str">
        <f>IFERROR(__xludf.DUMMYFUNCTION("""COMPUTED_VALUE"""),"CC-MVP-94.03")</f>
        <v>CC-MVP-94.03</v>
      </c>
      <c r="Y390" s="285" t="str">
        <f>IFERROR(__xludf.DUMMYFUNCTION("""COMPUTED_VALUE"""),"Not Started")</f>
        <v>Not Started</v>
      </c>
      <c r="Z390" s="284">
        <f>IFERROR(__xludf.DUMMYFUNCTION("""COMPUTED_VALUE"""),45242.0)</f>
        <v>45242</v>
      </c>
      <c r="AA390" s="165" t="str">
        <f>IFERROR(__xludf.DUMMYFUNCTION("""COMPUTED_VALUE"""),"Tazeen")</f>
        <v>Tazeen</v>
      </c>
      <c r="AB390" s="165" t="str">
        <f>IFERROR(__xludf.DUMMYFUNCTION("""COMPUTED_VALUE"""),"Finalise")</f>
        <v>Finalise</v>
      </c>
      <c r="AC390" s="165"/>
      <c r="AD390" s="165"/>
      <c r="AE390" s="165"/>
      <c r="AF390" s="165"/>
      <c r="AG390" s="165"/>
      <c r="AH390" s="165"/>
      <c r="AI390" s="165"/>
      <c r="AJ390" s="165"/>
      <c r="AK390" s="165"/>
      <c r="AL390" s="165"/>
    </row>
    <row r="391">
      <c r="A391" s="165"/>
      <c r="B391" s="165"/>
      <c r="C391" s="165"/>
      <c r="D391" s="165"/>
      <c r="E391" s="292"/>
      <c r="F391" s="277"/>
      <c r="G391" s="165"/>
      <c r="H391" s="277"/>
      <c r="I391" s="277"/>
      <c r="J391" s="165"/>
      <c r="K391" s="165"/>
      <c r="L391" s="165"/>
      <c r="M391" s="165"/>
      <c r="N391" s="165"/>
      <c r="O391" s="165"/>
      <c r="P391" s="165"/>
      <c r="Q391" s="165"/>
      <c r="R391" s="165"/>
      <c r="S391" s="165"/>
      <c r="T391" s="165"/>
      <c r="U391" s="165"/>
      <c r="V391" s="165"/>
      <c r="W391" s="165"/>
      <c r="X391" s="165" t="str">
        <f>IFERROR(__xludf.DUMMYFUNCTION("""COMPUTED_VALUE"""),"CC-MVP-102.03")</f>
        <v>CC-MVP-102.03</v>
      </c>
      <c r="Y391" s="285" t="str">
        <f>IFERROR(__xludf.DUMMYFUNCTION("""COMPUTED_VALUE"""),"Not Started")</f>
        <v>Not Started</v>
      </c>
      <c r="Z391" s="284">
        <f>IFERROR(__xludf.DUMMYFUNCTION("""COMPUTED_VALUE"""),45242.0)</f>
        <v>45242</v>
      </c>
      <c r="AA391" s="165" t="str">
        <f>IFERROR(__xludf.DUMMYFUNCTION("""COMPUTED_VALUE"""),"Nasser")</f>
        <v>Nasser</v>
      </c>
      <c r="AB391" s="165" t="str">
        <f>IFERROR(__xludf.DUMMYFUNCTION("""COMPUTED_VALUE"""),"Finalise")</f>
        <v>Finalise</v>
      </c>
      <c r="AC391" s="165"/>
      <c r="AD391" s="165"/>
      <c r="AE391" s="165"/>
      <c r="AF391" s="165"/>
      <c r="AG391" s="165"/>
      <c r="AH391" s="165"/>
      <c r="AI391" s="165"/>
      <c r="AJ391" s="165"/>
      <c r="AK391" s="165"/>
      <c r="AL391" s="165"/>
    </row>
    <row r="392">
      <c r="A392" s="165"/>
      <c r="B392" s="165"/>
      <c r="C392" s="165"/>
      <c r="D392" s="165"/>
      <c r="E392" s="292"/>
      <c r="F392" s="277"/>
      <c r="G392" s="165"/>
      <c r="H392" s="277"/>
      <c r="I392" s="277"/>
      <c r="J392" s="165"/>
      <c r="K392" s="165"/>
      <c r="L392" s="165"/>
      <c r="M392" s="165"/>
      <c r="N392" s="165"/>
      <c r="O392" s="165"/>
      <c r="P392" s="165"/>
      <c r="Q392" s="165"/>
      <c r="R392" s="165"/>
      <c r="S392" s="165"/>
      <c r="T392" s="165"/>
      <c r="U392" s="165"/>
      <c r="V392" s="165"/>
      <c r="W392" s="165"/>
      <c r="X392" s="165" t="str">
        <f>IFERROR(__xludf.DUMMYFUNCTION("""COMPUTED_VALUE"""),"CC-MVP-82.06")</f>
        <v>CC-MVP-82.06</v>
      </c>
      <c r="Y392" s="285" t="str">
        <f>IFERROR(__xludf.DUMMYFUNCTION("""COMPUTED_VALUE"""),"Not Started")</f>
        <v>Not Started</v>
      </c>
      <c r="Z392" s="284">
        <f>IFERROR(__xludf.DUMMYFUNCTION("""COMPUTED_VALUE"""),45242.0)</f>
        <v>45242</v>
      </c>
      <c r="AA392" s="165"/>
      <c r="AB392" s="165" t="str">
        <f>IFERROR(__xludf.DUMMYFUNCTION("""COMPUTED_VALUE"""),"Thumbnail")</f>
        <v>Thumbnail</v>
      </c>
      <c r="AC392" s="165"/>
      <c r="AD392" s="165"/>
      <c r="AE392" s="165"/>
      <c r="AF392" s="165"/>
      <c r="AG392" s="165"/>
      <c r="AH392" s="165"/>
      <c r="AI392" s="165"/>
      <c r="AJ392" s="165"/>
      <c r="AK392" s="165"/>
      <c r="AL392" s="165"/>
    </row>
    <row r="393">
      <c r="A393" s="165"/>
      <c r="B393" s="165"/>
      <c r="C393" s="165"/>
      <c r="D393" s="165"/>
      <c r="E393" s="292"/>
      <c r="F393" s="277"/>
      <c r="G393" s="165"/>
      <c r="H393" s="277"/>
      <c r="I393" s="277"/>
      <c r="J393" s="165"/>
      <c r="K393" s="165"/>
      <c r="L393" s="165"/>
      <c r="M393" s="165"/>
      <c r="N393" s="165"/>
      <c r="O393" s="165"/>
      <c r="P393" s="165"/>
      <c r="Q393" s="165"/>
      <c r="R393" s="165"/>
      <c r="S393" s="165"/>
      <c r="T393" s="165"/>
      <c r="U393" s="165"/>
      <c r="V393" s="165"/>
      <c r="W393" s="165"/>
      <c r="X393" s="165" t="str">
        <f>IFERROR(__xludf.DUMMYFUNCTION("""COMPUTED_VALUE"""),"CC-MVP-85.02")</f>
        <v>CC-MVP-85.02</v>
      </c>
      <c r="Y393" s="285" t="str">
        <f>IFERROR(__xludf.DUMMYFUNCTION("""COMPUTED_VALUE"""),"Not Started")</f>
        <v>Not Started</v>
      </c>
      <c r="Z393" s="284">
        <f>IFERROR(__xludf.DUMMYFUNCTION("""COMPUTED_VALUE"""),45242.0)</f>
        <v>45242</v>
      </c>
      <c r="AA393" s="165" t="str">
        <f>IFERROR(__xludf.DUMMYFUNCTION("""COMPUTED_VALUE"""),"Akhil")</f>
        <v>Akhil</v>
      </c>
      <c r="AB393" s="165" t="str">
        <f>IFERROR(__xludf.DUMMYFUNCTION("""COMPUTED_VALUE"""),"Shoot")</f>
        <v>Shoot</v>
      </c>
      <c r="AC393" s="165"/>
      <c r="AD393" s="165"/>
      <c r="AE393" s="165"/>
      <c r="AF393" s="165"/>
      <c r="AG393" s="165"/>
      <c r="AH393" s="165"/>
      <c r="AI393" s="165"/>
      <c r="AJ393" s="165"/>
      <c r="AK393" s="165"/>
      <c r="AL393" s="165"/>
    </row>
    <row r="394">
      <c r="A394" s="165"/>
      <c r="B394" s="165"/>
      <c r="C394" s="165"/>
      <c r="D394" s="165"/>
      <c r="E394" s="292"/>
      <c r="F394" s="277"/>
      <c r="G394" s="165"/>
      <c r="H394" s="277"/>
      <c r="I394" s="277"/>
      <c r="J394" s="165"/>
      <c r="K394" s="165"/>
      <c r="L394" s="165"/>
      <c r="M394" s="165"/>
      <c r="N394" s="165"/>
      <c r="O394" s="165"/>
      <c r="P394" s="165"/>
      <c r="Q394" s="165"/>
      <c r="R394" s="165"/>
      <c r="S394" s="165"/>
      <c r="T394" s="165"/>
      <c r="U394" s="165"/>
      <c r="V394" s="165"/>
      <c r="W394" s="165"/>
      <c r="X394" s="165" t="str">
        <f>IFERROR(__xludf.DUMMYFUNCTION("""COMPUTED_VALUE"""),"CC-MVP-85.05")</f>
        <v>CC-MVP-85.05</v>
      </c>
      <c r="Y394" s="285" t="str">
        <f>IFERROR(__xludf.DUMMYFUNCTION("""COMPUTED_VALUE"""),"Not Started")</f>
        <v>Not Started</v>
      </c>
      <c r="Z394" s="284">
        <f>IFERROR(__xludf.DUMMYFUNCTION("""COMPUTED_VALUE"""),45242.0)</f>
        <v>45242</v>
      </c>
      <c r="AA394" s="165" t="str">
        <f>IFERROR(__xludf.DUMMYFUNCTION("""COMPUTED_VALUE"""),"Jayanth")</f>
        <v>Jayanth</v>
      </c>
      <c r="AB394" s="165" t="str">
        <f>IFERROR(__xludf.DUMMYFUNCTION("""COMPUTED_VALUE"""),"Edit")</f>
        <v>Edit</v>
      </c>
      <c r="AC394" s="165"/>
      <c r="AD394" s="165"/>
      <c r="AE394" s="165"/>
      <c r="AF394" s="165"/>
      <c r="AG394" s="165"/>
      <c r="AH394" s="165"/>
      <c r="AI394" s="165"/>
      <c r="AJ394" s="165"/>
      <c r="AK394" s="165"/>
      <c r="AL394" s="165"/>
    </row>
    <row r="395">
      <c r="A395" s="165"/>
      <c r="B395" s="165"/>
      <c r="C395" s="165"/>
      <c r="D395" s="165"/>
      <c r="E395" s="292"/>
      <c r="F395" s="277"/>
      <c r="G395" s="165"/>
      <c r="H395" s="277"/>
      <c r="I395" s="277"/>
      <c r="J395" s="165"/>
      <c r="K395" s="165"/>
      <c r="L395" s="165"/>
      <c r="M395" s="165"/>
      <c r="N395" s="165"/>
      <c r="O395" s="165"/>
      <c r="P395" s="165"/>
      <c r="Q395" s="165"/>
      <c r="R395" s="165"/>
      <c r="S395" s="165"/>
      <c r="T395" s="165"/>
      <c r="U395" s="165"/>
      <c r="V395" s="165"/>
      <c r="W395" s="165"/>
      <c r="X395" s="165" t="str">
        <f>IFERROR(__xludf.DUMMYFUNCTION("""COMPUTED_VALUE"""),"CC-MVP-83.04")</f>
        <v>CC-MVP-83.04</v>
      </c>
      <c r="Y395" s="285" t="str">
        <f>IFERROR(__xludf.DUMMYFUNCTION("""COMPUTED_VALUE"""),"Not Started")</f>
        <v>Not Started</v>
      </c>
      <c r="Z395" s="284">
        <f>IFERROR(__xludf.DUMMYFUNCTION("""COMPUTED_VALUE"""),45242.0)</f>
        <v>45242</v>
      </c>
      <c r="AA395" s="165"/>
      <c r="AB395" s="165" t="str">
        <f>IFERROR(__xludf.DUMMYFUNCTION("""COMPUTED_VALUE"""),"Editor Notes")</f>
        <v>Editor Notes</v>
      </c>
      <c r="AC395" s="165"/>
      <c r="AD395" s="165"/>
      <c r="AE395" s="165"/>
      <c r="AF395" s="165"/>
      <c r="AG395" s="165"/>
      <c r="AH395" s="165"/>
      <c r="AI395" s="165"/>
      <c r="AJ395" s="165"/>
      <c r="AK395" s="165"/>
      <c r="AL395" s="165"/>
    </row>
    <row r="396">
      <c r="A396" s="165"/>
      <c r="B396" s="165"/>
      <c r="C396" s="165"/>
      <c r="D396" s="165"/>
      <c r="E396" s="292"/>
      <c r="F396" s="277"/>
      <c r="G396" s="165"/>
      <c r="H396" s="277"/>
      <c r="I396" s="277"/>
      <c r="J396" s="165"/>
      <c r="K396" s="165"/>
      <c r="L396" s="165"/>
      <c r="M396" s="165"/>
      <c r="N396" s="165"/>
      <c r="O396" s="165"/>
      <c r="P396" s="165"/>
      <c r="Q396" s="165"/>
      <c r="R396" s="165"/>
      <c r="S396" s="165"/>
      <c r="T396" s="165"/>
      <c r="U396" s="165"/>
      <c r="V396" s="165"/>
      <c r="W396" s="165"/>
      <c r="X396" s="165" t="str">
        <f>IFERROR(__xludf.DUMMYFUNCTION("""COMPUTED_VALUE"""),"CC-MVP-110.01")</f>
        <v>CC-MVP-110.01</v>
      </c>
      <c r="Y396" s="285" t="str">
        <f>IFERROR(__xludf.DUMMYFUNCTION("""COMPUTED_VALUE"""),"Not Started")</f>
        <v>Not Started</v>
      </c>
      <c r="Z396" s="284">
        <f>IFERROR(__xludf.DUMMYFUNCTION("""COMPUTED_VALUE"""),45242.0)</f>
        <v>45242</v>
      </c>
      <c r="AA396" s="165" t="str">
        <f>IFERROR(__xludf.DUMMYFUNCTION("""COMPUTED_VALUE"""),"Tazeen")</f>
        <v>Tazeen</v>
      </c>
      <c r="AB396" s="165" t="str">
        <f>IFERROR(__xludf.DUMMYFUNCTION("""COMPUTED_VALUE"""),"Script")</f>
        <v>Script</v>
      </c>
      <c r="AC396" s="165"/>
      <c r="AD396" s="165"/>
      <c r="AE396" s="165"/>
      <c r="AF396" s="165"/>
      <c r="AG396" s="165"/>
      <c r="AH396" s="165"/>
      <c r="AI396" s="165"/>
      <c r="AJ396" s="165"/>
      <c r="AK396" s="165"/>
      <c r="AL396" s="165"/>
    </row>
    <row r="397">
      <c r="A397" s="165"/>
      <c r="B397" s="165"/>
      <c r="C397" s="165"/>
      <c r="D397" s="165"/>
      <c r="E397" s="292"/>
      <c r="F397" s="277"/>
      <c r="G397" s="165"/>
      <c r="H397" s="277"/>
      <c r="I397" s="277"/>
      <c r="J397" s="165"/>
      <c r="K397" s="165"/>
      <c r="L397" s="165"/>
      <c r="M397" s="165"/>
      <c r="N397" s="165"/>
      <c r="O397" s="165"/>
      <c r="P397" s="165"/>
      <c r="Q397" s="165"/>
      <c r="R397" s="165"/>
      <c r="S397" s="165"/>
      <c r="T397" s="165"/>
      <c r="U397" s="165"/>
      <c r="V397" s="165"/>
      <c r="W397" s="165"/>
      <c r="X397" s="165" t="str">
        <f>IFERROR(__xludf.DUMMYFUNCTION("""COMPUTED_VALUE"""),"CC-MVP-114.02")</f>
        <v>CC-MVP-114.02</v>
      </c>
      <c r="Y397" s="285" t="str">
        <f>IFERROR(__xludf.DUMMYFUNCTION("""COMPUTED_VALUE"""),"Not Started")</f>
        <v>Not Started</v>
      </c>
      <c r="Z397" s="284">
        <f>IFERROR(__xludf.DUMMYFUNCTION("""COMPUTED_VALUE"""),45242.0)</f>
        <v>45242</v>
      </c>
      <c r="AA397" s="165" t="str">
        <f>IFERROR(__xludf.DUMMYFUNCTION("""COMPUTED_VALUE"""),"Akhil")</f>
        <v>Akhil</v>
      </c>
      <c r="AB397" s="165" t="str">
        <f>IFERROR(__xludf.DUMMYFUNCTION("""COMPUTED_VALUE"""),"Shoot")</f>
        <v>Shoot</v>
      </c>
      <c r="AC397" s="165"/>
      <c r="AD397" s="165"/>
      <c r="AE397" s="165"/>
      <c r="AF397" s="165"/>
      <c r="AG397" s="165"/>
      <c r="AH397" s="165"/>
      <c r="AI397" s="165"/>
      <c r="AJ397" s="165"/>
      <c r="AK397" s="165"/>
      <c r="AL397" s="165"/>
    </row>
    <row r="398">
      <c r="A398" s="165"/>
      <c r="B398" s="165"/>
      <c r="C398" s="165"/>
      <c r="D398" s="165"/>
      <c r="E398" s="292"/>
      <c r="F398" s="277"/>
      <c r="G398" s="165"/>
      <c r="H398" s="277"/>
      <c r="I398" s="277"/>
      <c r="J398" s="165"/>
      <c r="K398" s="165"/>
      <c r="L398" s="165"/>
      <c r="M398" s="165"/>
      <c r="N398" s="165"/>
      <c r="O398" s="165"/>
      <c r="P398" s="165"/>
      <c r="Q398" s="165"/>
      <c r="R398" s="165"/>
      <c r="S398" s="165"/>
      <c r="T398" s="165"/>
      <c r="U398" s="165"/>
      <c r="V398" s="165"/>
      <c r="W398" s="165"/>
      <c r="X398" s="165" t="str">
        <f>IFERROR(__xludf.DUMMYFUNCTION("""COMPUTED_VALUE"""),"CC-MVP-118.02")</f>
        <v>CC-MVP-118.02</v>
      </c>
      <c r="Y398" s="285" t="str">
        <f>IFERROR(__xludf.DUMMYFUNCTION("""COMPUTED_VALUE"""),"Not Started")</f>
        <v>Not Started</v>
      </c>
      <c r="Z398" s="284">
        <f>IFERROR(__xludf.DUMMYFUNCTION("""COMPUTED_VALUE"""),45242.0)</f>
        <v>45242</v>
      </c>
      <c r="AA398" s="165"/>
      <c r="AB398" s="165" t="str">
        <f>IFERROR(__xludf.DUMMYFUNCTION("""COMPUTED_VALUE"""),"Shoot")</f>
        <v>Shoot</v>
      </c>
      <c r="AC398" s="165"/>
      <c r="AD398" s="165"/>
      <c r="AE398" s="165"/>
      <c r="AF398" s="165"/>
      <c r="AG398" s="165"/>
      <c r="AH398" s="165"/>
      <c r="AI398" s="165"/>
      <c r="AJ398" s="165"/>
      <c r="AK398" s="165"/>
      <c r="AL398" s="165"/>
    </row>
    <row r="399">
      <c r="A399" s="165"/>
      <c r="B399" s="165"/>
      <c r="C399" s="165"/>
      <c r="D399" s="165"/>
      <c r="E399" s="292"/>
      <c r="F399" s="277"/>
      <c r="G399" s="165"/>
      <c r="H399" s="277"/>
      <c r="I399" s="277"/>
      <c r="J399" s="165"/>
      <c r="K399" s="165"/>
      <c r="L399" s="165"/>
      <c r="M399" s="165"/>
      <c r="N399" s="165"/>
      <c r="O399" s="165"/>
      <c r="P399" s="165"/>
      <c r="Q399" s="165"/>
      <c r="R399" s="165"/>
      <c r="S399" s="165"/>
      <c r="T399" s="165"/>
      <c r="U399" s="165"/>
      <c r="V399" s="165"/>
      <c r="W399" s="165"/>
      <c r="X399" s="165" t="str">
        <f>IFERROR(__xludf.DUMMYFUNCTION("""COMPUTED_VALUE"""),"CC-NVI-13.07")</f>
        <v>CC-NVI-13.07</v>
      </c>
      <c r="Y399" s="285" t="str">
        <f>IFERROR(__xludf.DUMMYFUNCTION("""COMPUTED_VALUE"""),"Not Started")</f>
        <v>Not Started</v>
      </c>
      <c r="Z399" s="284">
        <f>IFERROR(__xludf.DUMMYFUNCTION("""COMPUTED_VALUE"""),45242.0)</f>
        <v>45242</v>
      </c>
      <c r="AA399" s="165" t="str">
        <f>IFERROR(__xludf.DUMMYFUNCTION("""COMPUTED_VALUE"""),"Nasser")</f>
        <v>Nasser</v>
      </c>
      <c r="AB399" s="165" t="str">
        <f>IFERROR(__xludf.DUMMYFUNCTION("""COMPUTED_VALUE"""),"Upload")</f>
        <v>Upload</v>
      </c>
      <c r="AC399" s="165"/>
      <c r="AD399" s="165"/>
      <c r="AE399" s="165"/>
      <c r="AF399" s="165"/>
      <c r="AG399" s="165"/>
      <c r="AH399" s="165"/>
      <c r="AI399" s="165"/>
      <c r="AJ399" s="165"/>
      <c r="AK399" s="165"/>
      <c r="AL399" s="165"/>
    </row>
    <row r="400">
      <c r="A400" s="165"/>
      <c r="B400" s="165"/>
      <c r="C400" s="165"/>
      <c r="D400" s="165"/>
      <c r="E400" s="292"/>
      <c r="F400" s="277"/>
      <c r="G400" s="165"/>
      <c r="H400" s="277"/>
      <c r="I400" s="277"/>
      <c r="J400" s="165"/>
      <c r="K400" s="165"/>
      <c r="L400" s="165"/>
      <c r="M400" s="165"/>
      <c r="N400" s="165"/>
      <c r="O400" s="165"/>
      <c r="P400" s="165"/>
      <c r="Q400" s="165"/>
      <c r="R400" s="165"/>
      <c r="S400" s="165"/>
      <c r="T400" s="165"/>
      <c r="U400" s="165"/>
      <c r="V400" s="165"/>
      <c r="W400" s="165"/>
      <c r="X400" s="165" t="str">
        <f>IFERROR(__xludf.DUMMYFUNCTION("""COMPUTED_VALUE"""),"CC-NVI-14.07")</f>
        <v>CC-NVI-14.07</v>
      </c>
      <c r="Y400" s="285" t="str">
        <f>IFERROR(__xludf.DUMMYFUNCTION("""COMPUTED_VALUE"""),"Not Started")</f>
        <v>Not Started</v>
      </c>
      <c r="Z400" s="284">
        <f>IFERROR(__xludf.DUMMYFUNCTION("""COMPUTED_VALUE"""),45242.0)</f>
        <v>45242</v>
      </c>
      <c r="AA400" s="165" t="str">
        <f>IFERROR(__xludf.DUMMYFUNCTION("""COMPUTED_VALUE"""),"Nasser")</f>
        <v>Nasser</v>
      </c>
      <c r="AB400" s="165" t="str">
        <f>IFERROR(__xludf.DUMMYFUNCTION("""COMPUTED_VALUE"""),"Upload")</f>
        <v>Upload</v>
      </c>
      <c r="AC400" s="165"/>
      <c r="AD400" s="165"/>
      <c r="AE400" s="165"/>
      <c r="AF400" s="165"/>
      <c r="AG400" s="165"/>
      <c r="AH400" s="165"/>
      <c r="AI400" s="165"/>
      <c r="AJ400" s="165"/>
      <c r="AK400" s="165"/>
      <c r="AL400" s="165"/>
    </row>
    <row r="401">
      <c r="A401" s="165"/>
      <c r="B401" s="165"/>
      <c r="C401" s="165"/>
      <c r="D401" s="165"/>
      <c r="E401" s="292"/>
      <c r="F401" s="277"/>
      <c r="G401" s="165"/>
      <c r="H401" s="277"/>
      <c r="I401" s="277"/>
      <c r="J401" s="165"/>
      <c r="K401" s="165"/>
      <c r="L401" s="165"/>
      <c r="M401" s="165"/>
      <c r="N401" s="165"/>
      <c r="O401" s="165"/>
      <c r="P401" s="165"/>
      <c r="Q401" s="165"/>
      <c r="R401" s="165"/>
      <c r="S401" s="165"/>
      <c r="T401" s="165"/>
      <c r="U401" s="165"/>
      <c r="V401" s="165"/>
      <c r="W401" s="165"/>
      <c r="X401" s="165" t="str">
        <f>IFERROR(__xludf.DUMMYFUNCTION("""COMPUTED_VALUE"""),"CC-CTH-16.04")</f>
        <v>CC-CTH-16.04</v>
      </c>
      <c r="Y401" s="285" t="str">
        <f>IFERROR(__xludf.DUMMYFUNCTION("""COMPUTED_VALUE"""),"Not Started")</f>
        <v>Not Started</v>
      </c>
      <c r="Z401" s="284">
        <f>IFERROR(__xludf.DUMMYFUNCTION("""COMPUTED_VALUE"""),45242.0)</f>
        <v>45242</v>
      </c>
      <c r="AA401" s="165" t="str">
        <f>IFERROR(__xludf.DUMMYFUNCTION("""COMPUTED_VALUE"""),"Talha")</f>
        <v>Talha</v>
      </c>
      <c r="AB401" s="165" t="str">
        <f>IFERROR(__xludf.DUMMYFUNCTION("""COMPUTED_VALUE"""),"Upload")</f>
        <v>Upload</v>
      </c>
      <c r="AC401" s="165"/>
      <c r="AD401" s="165"/>
      <c r="AE401" s="165"/>
      <c r="AF401" s="165"/>
      <c r="AG401" s="165"/>
      <c r="AH401" s="165"/>
      <c r="AI401" s="165"/>
      <c r="AJ401" s="165"/>
      <c r="AK401" s="165"/>
      <c r="AL401" s="165"/>
    </row>
    <row r="402">
      <c r="A402" s="165"/>
      <c r="B402" s="165"/>
      <c r="C402" s="165"/>
      <c r="D402" s="165"/>
      <c r="E402" s="292"/>
      <c r="F402" s="277"/>
      <c r="G402" s="165"/>
      <c r="H402" s="277"/>
      <c r="I402" s="277"/>
      <c r="J402" s="165"/>
      <c r="K402" s="165"/>
      <c r="L402" s="165"/>
      <c r="M402" s="165"/>
      <c r="N402" s="165"/>
      <c r="O402" s="165"/>
      <c r="P402" s="165"/>
      <c r="Q402" s="165"/>
      <c r="R402" s="165"/>
      <c r="S402" s="165"/>
      <c r="T402" s="165"/>
      <c r="U402" s="165"/>
      <c r="V402" s="165"/>
      <c r="W402" s="165"/>
      <c r="X402" s="165" t="str">
        <f>IFERROR(__xludf.DUMMYFUNCTION("""COMPUTED_VALUE"""),"CC-CTH-20.01")</f>
        <v>CC-CTH-20.01</v>
      </c>
      <c r="Y402" s="285" t="str">
        <f>IFERROR(__xludf.DUMMYFUNCTION("""COMPUTED_VALUE"""),"Not Started")</f>
        <v>Not Started</v>
      </c>
      <c r="Z402" s="284">
        <f>IFERROR(__xludf.DUMMYFUNCTION("""COMPUTED_VALUE"""),45242.0)</f>
        <v>45242</v>
      </c>
      <c r="AA402" s="165" t="str">
        <f>IFERROR(__xludf.DUMMYFUNCTION("""COMPUTED_VALUE"""),"Naveen")</f>
        <v>Naveen</v>
      </c>
      <c r="AB402" s="165" t="str">
        <f>IFERROR(__xludf.DUMMYFUNCTION("""COMPUTED_VALUE"""),"Script")</f>
        <v>Script</v>
      </c>
      <c r="AC402" s="165"/>
      <c r="AD402" s="165"/>
      <c r="AE402" s="165"/>
      <c r="AF402" s="165"/>
      <c r="AG402" s="165"/>
      <c r="AH402" s="165"/>
      <c r="AI402" s="165"/>
      <c r="AJ402" s="165"/>
      <c r="AK402" s="165"/>
      <c r="AL402" s="165"/>
    </row>
    <row r="403">
      <c r="A403" s="165"/>
      <c r="B403" s="165"/>
      <c r="C403" s="165"/>
      <c r="D403" s="165"/>
      <c r="E403" s="292"/>
      <c r="F403" s="277"/>
      <c r="G403" s="165"/>
      <c r="H403" s="277"/>
      <c r="I403" s="277"/>
      <c r="J403" s="165"/>
      <c r="K403" s="165"/>
      <c r="L403" s="165"/>
      <c r="M403" s="165"/>
      <c r="N403" s="165"/>
      <c r="O403" s="165"/>
      <c r="P403" s="165"/>
      <c r="Q403" s="165"/>
      <c r="R403" s="165"/>
      <c r="S403" s="165"/>
      <c r="T403" s="165"/>
      <c r="U403" s="165"/>
      <c r="V403" s="165"/>
      <c r="W403" s="165"/>
      <c r="X403" s="165" t="str">
        <f>IFERROR(__xludf.DUMMYFUNCTION("""COMPUTED_VALUE"""),"CC-INN-27.05")</f>
        <v>CC-INN-27.05</v>
      </c>
      <c r="Y403" s="285" t="str">
        <f>IFERROR(__xludf.DUMMYFUNCTION("""COMPUTED_VALUE"""),"On Hold")</f>
        <v>On Hold</v>
      </c>
      <c r="Z403" s="284">
        <f>IFERROR(__xludf.DUMMYFUNCTION("""COMPUTED_VALUE"""),45242.0)</f>
        <v>45242</v>
      </c>
      <c r="AA403" s="165" t="str">
        <f>IFERROR(__xludf.DUMMYFUNCTION("""COMPUTED_VALUE"""),"Naveen")</f>
        <v>Naveen</v>
      </c>
      <c r="AB403" s="165" t="str">
        <f>IFERROR(__xludf.DUMMYFUNCTION("""COMPUTED_VALUE"""),"Edit")</f>
        <v>Edit</v>
      </c>
      <c r="AC403" s="165"/>
      <c r="AD403" s="165"/>
      <c r="AE403" s="165"/>
      <c r="AF403" s="165"/>
      <c r="AG403" s="165"/>
      <c r="AH403" s="165"/>
      <c r="AI403" s="165"/>
      <c r="AJ403" s="165"/>
      <c r="AK403" s="165"/>
      <c r="AL403" s="165"/>
    </row>
    <row r="404">
      <c r="A404" s="165"/>
      <c r="B404" s="165"/>
      <c r="C404" s="165"/>
      <c r="D404" s="165"/>
      <c r="E404" s="292"/>
      <c r="F404" s="277"/>
      <c r="G404" s="165"/>
      <c r="H404" s="277"/>
      <c r="I404" s="277"/>
      <c r="J404" s="165"/>
      <c r="K404" s="165"/>
      <c r="L404" s="165"/>
      <c r="M404" s="165"/>
      <c r="N404" s="165"/>
      <c r="O404" s="165"/>
      <c r="P404" s="165"/>
      <c r="Q404" s="165"/>
      <c r="R404" s="165"/>
      <c r="S404" s="165"/>
      <c r="T404" s="165"/>
      <c r="U404" s="165"/>
      <c r="V404" s="165"/>
      <c r="W404" s="165"/>
      <c r="X404" s="165" t="str">
        <f>IFERROR(__xludf.DUMMYFUNCTION("""COMPUTED_VALUE"""),"CC-MVP-94.04")</f>
        <v>CC-MVP-94.04</v>
      </c>
      <c r="Y404" s="285" t="str">
        <f>IFERROR(__xludf.DUMMYFUNCTION("""COMPUTED_VALUE"""),"Not Started")</f>
        <v>Not Started</v>
      </c>
      <c r="Z404" s="284">
        <f>IFERROR(__xludf.DUMMYFUNCTION("""COMPUTED_VALUE"""),45243.0)</f>
        <v>45243</v>
      </c>
      <c r="AA404" s="165" t="str">
        <f>IFERROR(__xludf.DUMMYFUNCTION("""COMPUTED_VALUE"""),"Nasser")</f>
        <v>Nasser</v>
      </c>
      <c r="AB404" s="165" t="str">
        <f>IFERROR(__xludf.DUMMYFUNCTION("""COMPUTED_VALUE"""),"Upload")</f>
        <v>Upload</v>
      </c>
      <c r="AC404" s="165"/>
      <c r="AD404" s="165"/>
      <c r="AE404" s="165"/>
      <c r="AF404" s="165"/>
      <c r="AG404" s="165"/>
      <c r="AH404" s="165"/>
      <c r="AI404" s="165"/>
      <c r="AJ404" s="165"/>
      <c r="AK404" s="165"/>
      <c r="AL404" s="165"/>
    </row>
    <row r="405">
      <c r="A405" s="165"/>
      <c r="B405" s="165"/>
      <c r="C405" s="165"/>
      <c r="D405" s="165"/>
      <c r="E405" s="292"/>
      <c r="F405" s="277"/>
      <c r="G405" s="165"/>
      <c r="H405" s="277"/>
      <c r="I405" s="277"/>
      <c r="J405" s="165"/>
      <c r="K405" s="165"/>
      <c r="L405" s="165"/>
      <c r="M405" s="165"/>
      <c r="N405" s="165"/>
      <c r="O405" s="165"/>
      <c r="P405" s="165"/>
      <c r="Q405" s="165"/>
      <c r="R405" s="165"/>
      <c r="S405" s="165"/>
      <c r="T405" s="165"/>
      <c r="U405" s="165"/>
      <c r="V405" s="165"/>
      <c r="W405" s="165"/>
      <c r="X405" s="165" t="str">
        <f>IFERROR(__xludf.DUMMYFUNCTION("""COMPUTED_VALUE"""),"CC-MVP-102.04")</f>
        <v>CC-MVP-102.04</v>
      </c>
      <c r="Y405" s="285" t="str">
        <f>IFERROR(__xludf.DUMMYFUNCTION("""COMPUTED_VALUE"""),"Not Started")</f>
        <v>Not Started</v>
      </c>
      <c r="Z405" s="284">
        <f>IFERROR(__xludf.DUMMYFUNCTION("""COMPUTED_VALUE"""),45243.0)</f>
        <v>45243</v>
      </c>
      <c r="AA405" s="165" t="str">
        <f>IFERROR(__xludf.DUMMYFUNCTION("""COMPUTED_VALUE"""),"Nasser")</f>
        <v>Nasser</v>
      </c>
      <c r="AB405" s="165" t="str">
        <f>IFERROR(__xludf.DUMMYFUNCTION("""COMPUTED_VALUE"""),"Upload")</f>
        <v>Upload</v>
      </c>
      <c r="AC405" s="165"/>
      <c r="AD405" s="165"/>
      <c r="AE405" s="165"/>
      <c r="AF405" s="165"/>
      <c r="AG405" s="165"/>
      <c r="AH405" s="165"/>
      <c r="AI405" s="165"/>
      <c r="AJ405" s="165"/>
      <c r="AK405" s="165"/>
      <c r="AL405" s="165"/>
    </row>
    <row r="406">
      <c r="A406" s="165"/>
      <c r="B406" s="165"/>
      <c r="C406" s="165"/>
      <c r="D406" s="165"/>
      <c r="E406" s="292"/>
      <c r="F406" s="277"/>
      <c r="G406" s="165"/>
      <c r="H406" s="277"/>
      <c r="I406" s="277"/>
      <c r="J406" s="165"/>
      <c r="K406" s="165"/>
      <c r="L406" s="165"/>
      <c r="M406" s="165"/>
      <c r="N406" s="165"/>
      <c r="O406" s="165"/>
      <c r="P406" s="165"/>
      <c r="Q406" s="165"/>
      <c r="R406" s="165"/>
      <c r="S406" s="165"/>
      <c r="T406" s="165"/>
      <c r="U406" s="165"/>
      <c r="V406" s="165"/>
      <c r="W406" s="165"/>
      <c r="X406" s="165" t="str">
        <f>IFERROR(__xludf.DUMMYFUNCTION("""COMPUTED_VALUE"""),"CC-MVP-82.07")</f>
        <v>CC-MVP-82.07</v>
      </c>
      <c r="Y406" s="285" t="str">
        <f>IFERROR(__xludf.DUMMYFUNCTION("""COMPUTED_VALUE"""),"Not Started")</f>
        <v>Not Started</v>
      </c>
      <c r="Z406" s="284">
        <f>IFERROR(__xludf.DUMMYFUNCTION("""COMPUTED_VALUE"""),45243.0)</f>
        <v>45243</v>
      </c>
      <c r="AA406" s="165"/>
      <c r="AB406" s="165" t="str">
        <f>IFERROR(__xludf.DUMMYFUNCTION("""COMPUTED_VALUE"""),"Upload")</f>
        <v>Upload</v>
      </c>
      <c r="AC406" s="165"/>
      <c r="AD406" s="165"/>
      <c r="AE406" s="165"/>
      <c r="AF406" s="165"/>
      <c r="AG406" s="165"/>
      <c r="AH406" s="165"/>
      <c r="AI406" s="165"/>
      <c r="AJ406" s="165"/>
      <c r="AK406" s="165"/>
      <c r="AL406" s="165"/>
    </row>
    <row r="407">
      <c r="A407" s="165"/>
      <c r="B407" s="165"/>
      <c r="C407" s="165"/>
      <c r="D407" s="165"/>
      <c r="E407" s="292"/>
      <c r="F407" s="277"/>
      <c r="G407" s="165"/>
      <c r="H407" s="277"/>
      <c r="I407" s="277"/>
      <c r="J407" s="165"/>
      <c r="K407" s="165"/>
      <c r="L407" s="165"/>
      <c r="M407" s="165"/>
      <c r="N407" s="165"/>
      <c r="O407" s="165"/>
      <c r="P407" s="165"/>
      <c r="Q407" s="165"/>
      <c r="R407" s="165"/>
      <c r="S407" s="165"/>
      <c r="T407" s="165"/>
      <c r="U407" s="165"/>
      <c r="V407" s="165"/>
      <c r="W407" s="165"/>
      <c r="X407" s="165" t="str">
        <f>IFERROR(__xludf.DUMMYFUNCTION("""COMPUTED_VALUE"""),"CC-MVP-24.06")</f>
        <v>CC-MVP-24.06</v>
      </c>
      <c r="Y407" s="285" t="str">
        <f>IFERROR(__xludf.DUMMYFUNCTION("""COMPUTED_VALUE"""),"Not Started")</f>
        <v>Not Started</v>
      </c>
      <c r="Z407" s="284">
        <f>IFERROR(__xludf.DUMMYFUNCTION("""COMPUTED_VALUE"""),45243.0)</f>
        <v>45243</v>
      </c>
      <c r="AA407" s="165" t="str">
        <f>IFERROR(__xludf.DUMMYFUNCTION("""COMPUTED_VALUE"""),"Naveen")</f>
        <v>Naveen</v>
      </c>
      <c r="AB407" s="165" t="str">
        <f>IFERROR(__xludf.DUMMYFUNCTION("""COMPUTED_VALUE"""),"Thumbnail")</f>
        <v>Thumbnail</v>
      </c>
      <c r="AC407" s="165"/>
      <c r="AD407" s="165"/>
      <c r="AE407" s="165"/>
      <c r="AF407" s="165"/>
      <c r="AG407" s="165"/>
      <c r="AH407" s="165"/>
      <c r="AI407" s="165"/>
      <c r="AJ407" s="165"/>
      <c r="AK407" s="165"/>
      <c r="AL407" s="165"/>
    </row>
    <row r="408">
      <c r="A408" s="165"/>
      <c r="B408" s="165"/>
      <c r="C408" s="165"/>
      <c r="D408" s="165"/>
      <c r="E408" s="292"/>
      <c r="F408" s="277"/>
      <c r="G408" s="165"/>
      <c r="H408" s="277"/>
      <c r="I408" s="277"/>
      <c r="J408" s="165"/>
      <c r="K408" s="165"/>
      <c r="L408" s="165"/>
      <c r="M408" s="165"/>
      <c r="N408" s="165"/>
      <c r="O408" s="165"/>
      <c r="P408" s="165"/>
      <c r="Q408" s="165"/>
      <c r="R408" s="165"/>
      <c r="S408" s="165"/>
      <c r="T408" s="165"/>
      <c r="U408" s="165"/>
      <c r="V408" s="165"/>
      <c r="W408" s="165"/>
      <c r="X408" s="165" t="str">
        <f>IFERROR(__xludf.DUMMYFUNCTION("""COMPUTED_VALUE"""),"CC-MVP-85.06")</f>
        <v>CC-MVP-85.06</v>
      </c>
      <c r="Y408" s="285" t="str">
        <f>IFERROR(__xludf.DUMMYFUNCTION("""COMPUTED_VALUE"""),"Not Started")</f>
        <v>Not Started</v>
      </c>
      <c r="Z408" s="284">
        <f>IFERROR(__xludf.DUMMYFUNCTION("""COMPUTED_VALUE"""),45243.0)</f>
        <v>45243</v>
      </c>
      <c r="AA408" s="165" t="str">
        <f>IFERROR(__xludf.DUMMYFUNCTION("""COMPUTED_VALUE"""),"Naveen")</f>
        <v>Naveen</v>
      </c>
      <c r="AB408" s="165" t="str">
        <f>IFERROR(__xludf.DUMMYFUNCTION("""COMPUTED_VALUE"""),"Thumbnail")</f>
        <v>Thumbnail</v>
      </c>
      <c r="AC408" s="165"/>
      <c r="AD408" s="165"/>
      <c r="AE408" s="165"/>
      <c r="AF408" s="165"/>
      <c r="AG408" s="165"/>
      <c r="AH408" s="165"/>
      <c r="AI408" s="165"/>
      <c r="AJ408" s="165"/>
      <c r="AK408" s="165"/>
      <c r="AL408" s="165"/>
    </row>
    <row r="409">
      <c r="A409" s="165"/>
      <c r="B409" s="165"/>
      <c r="C409" s="165"/>
      <c r="D409" s="165"/>
      <c r="E409" s="292"/>
      <c r="F409" s="277"/>
      <c r="G409" s="165"/>
      <c r="H409" s="277"/>
      <c r="I409" s="277"/>
      <c r="J409" s="165"/>
      <c r="K409" s="165"/>
      <c r="L409" s="165"/>
      <c r="M409" s="165"/>
      <c r="N409" s="165"/>
      <c r="O409" s="165"/>
      <c r="P409" s="165"/>
      <c r="Q409" s="165"/>
      <c r="R409" s="165"/>
      <c r="S409" s="165"/>
      <c r="T409" s="165"/>
      <c r="U409" s="165"/>
      <c r="V409" s="165"/>
      <c r="W409" s="165"/>
      <c r="X409" s="165" t="str">
        <f>IFERROR(__xludf.DUMMYFUNCTION("""COMPUTED_VALUE"""),"CC-MVP-83.05")</f>
        <v>CC-MVP-83.05</v>
      </c>
      <c r="Y409" s="285" t="str">
        <f>IFERROR(__xludf.DUMMYFUNCTION("""COMPUTED_VALUE"""),"Not Started")</f>
        <v>Not Started</v>
      </c>
      <c r="Z409" s="284">
        <f>IFERROR(__xludf.DUMMYFUNCTION("""COMPUTED_VALUE"""),45243.0)</f>
        <v>45243</v>
      </c>
      <c r="AA409" s="165"/>
      <c r="AB409" s="165" t="str">
        <f>IFERROR(__xludf.DUMMYFUNCTION("""COMPUTED_VALUE"""),"Edit")</f>
        <v>Edit</v>
      </c>
      <c r="AC409" s="165"/>
      <c r="AD409" s="165"/>
      <c r="AE409" s="165"/>
      <c r="AF409" s="165"/>
      <c r="AG409" s="165"/>
      <c r="AH409" s="165"/>
      <c r="AI409" s="165"/>
      <c r="AJ409" s="165"/>
      <c r="AK409" s="165"/>
      <c r="AL409" s="165"/>
    </row>
    <row r="410">
      <c r="A410" s="165"/>
      <c r="B410" s="165"/>
      <c r="C410" s="165"/>
      <c r="D410" s="165"/>
      <c r="E410" s="292"/>
      <c r="F410" s="277"/>
      <c r="G410" s="165"/>
      <c r="H410" s="277"/>
      <c r="I410" s="277"/>
      <c r="J410" s="165"/>
      <c r="K410" s="165"/>
      <c r="L410" s="165"/>
      <c r="M410" s="165"/>
      <c r="N410" s="165"/>
      <c r="O410" s="165"/>
      <c r="P410" s="165"/>
      <c r="Q410" s="165"/>
      <c r="R410" s="165"/>
      <c r="S410" s="165"/>
      <c r="T410" s="165"/>
      <c r="U410" s="165"/>
      <c r="V410" s="165"/>
      <c r="W410" s="165"/>
      <c r="X410" s="165" t="str">
        <f>IFERROR(__xludf.DUMMYFUNCTION("""COMPUTED_VALUE"""),"CC-CTH-15.07")</f>
        <v>CC-CTH-15.07</v>
      </c>
      <c r="Y410" s="285" t="str">
        <f>IFERROR(__xludf.DUMMYFUNCTION("""COMPUTED_VALUE"""),"Not Started")</f>
        <v>Not Started</v>
      </c>
      <c r="Z410" s="284">
        <f>IFERROR(__xludf.DUMMYFUNCTION("""COMPUTED_VALUE"""),45243.0)</f>
        <v>45243</v>
      </c>
      <c r="AA410" s="165" t="str">
        <f>IFERROR(__xludf.DUMMYFUNCTION("""COMPUTED_VALUE"""),"Talha")</f>
        <v>Talha</v>
      </c>
      <c r="AB410" s="165" t="str">
        <f>IFERROR(__xludf.DUMMYFUNCTION("""COMPUTED_VALUE"""),"Upload")</f>
        <v>Upload</v>
      </c>
      <c r="AC410" s="165"/>
      <c r="AD410" s="165"/>
      <c r="AE410" s="165"/>
      <c r="AF410" s="165"/>
      <c r="AG410" s="165"/>
      <c r="AH410" s="165"/>
      <c r="AI410" s="165"/>
      <c r="AJ410" s="165"/>
      <c r="AK410" s="165"/>
      <c r="AL410" s="165"/>
    </row>
    <row r="411">
      <c r="A411" s="165"/>
      <c r="B411" s="165"/>
      <c r="C411" s="165"/>
      <c r="D411" s="165"/>
      <c r="E411" s="292"/>
      <c r="F411" s="277"/>
      <c r="G411" s="165"/>
      <c r="H411" s="277"/>
      <c r="I411" s="277"/>
      <c r="J411" s="165"/>
      <c r="K411" s="165"/>
      <c r="L411" s="165"/>
      <c r="M411" s="165"/>
      <c r="N411" s="165"/>
      <c r="O411" s="165"/>
      <c r="P411" s="165"/>
      <c r="Q411" s="165"/>
      <c r="R411" s="165"/>
      <c r="S411" s="165"/>
      <c r="T411" s="165"/>
      <c r="U411" s="165"/>
      <c r="V411" s="165"/>
      <c r="W411" s="165"/>
      <c r="X411" s="165" t="str">
        <f>IFERROR(__xludf.DUMMYFUNCTION("""COMPUTED_VALUE"""),"CC-CTH-18.04")</f>
        <v>CC-CTH-18.04</v>
      </c>
      <c r="Y411" s="285" t="str">
        <f>IFERROR(__xludf.DUMMYFUNCTION("""COMPUTED_VALUE"""),"Not Started")</f>
        <v>Not Started</v>
      </c>
      <c r="Z411" s="284">
        <f>IFERROR(__xludf.DUMMYFUNCTION("""COMPUTED_VALUE"""),45243.0)</f>
        <v>45243</v>
      </c>
      <c r="AA411" s="165" t="str">
        <f>IFERROR(__xludf.DUMMYFUNCTION("""COMPUTED_VALUE"""),"Talha")</f>
        <v>Talha</v>
      </c>
      <c r="AB411" s="165" t="str">
        <f>IFERROR(__xludf.DUMMYFUNCTION("""COMPUTED_VALUE"""),"Edit")</f>
        <v>Edit</v>
      </c>
      <c r="AC411" s="165"/>
      <c r="AD411" s="165"/>
      <c r="AE411" s="165"/>
      <c r="AF411" s="165"/>
      <c r="AG411" s="165"/>
      <c r="AH411" s="165"/>
      <c r="AI411" s="165"/>
      <c r="AJ411" s="165"/>
      <c r="AK411" s="165"/>
      <c r="AL411" s="165"/>
    </row>
    <row r="412">
      <c r="A412" s="165"/>
      <c r="B412" s="165"/>
      <c r="C412" s="165"/>
      <c r="D412" s="165"/>
      <c r="E412" s="292"/>
      <c r="F412" s="277"/>
      <c r="G412" s="165"/>
      <c r="H412" s="277"/>
      <c r="I412" s="277"/>
      <c r="J412" s="165"/>
      <c r="K412" s="165"/>
      <c r="L412" s="165"/>
      <c r="M412" s="165"/>
      <c r="N412" s="165"/>
      <c r="O412" s="165"/>
      <c r="P412" s="165"/>
      <c r="Q412" s="165"/>
      <c r="R412" s="165"/>
      <c r="S412" s="165"/>
      <c r="T412" s="165"/>
      <c r="U412" s="165"/>
      <c r="V412" s="165"/>
      <c r="W412" s="165"/>
      <c r="X412" s="165" t="str">
        <f>IFERROR(__xludf.DUMMYFUNCTION("""COMPUTED_VALUE"""),"CC-CTH-20.02")</f>
        <v>CC-CTH-20.02</v>
      </c>
      <c r="Y412" s="285" t="str">
        <f>IFERROR(__xludf.DUMMYFUNCTION("""COMPUTED_VALUE"""),"Not Started")</f>
        <v>Not Started</v>
      </c>
      <c r="Z412" s="284">
        <f>IFERROR(__xludf.DUMMYFUNCTION("""COMPUTED_VALUE"""),45243.0)</f>
        <v>45243</v>
      </c>
      <c r="AA412" s="165" t="str">
        <f>IFERROR(__xludf.DUMMYFUNCTION("""COMPUTED_VALUE"""),"Talha")</f>
        <v>Talha</v>
      </c>
      <c r="AB412" s="165" t="str">
        <f>IFERROR(__xludf.DUMMYFUNCTION("""COMPUTED_VALUE"""),"Voiceover")</f>
        <v>Voiceover</v>
      </c>
      <c r="AC412" s="165"/>
      <c r="AD412" s="165"/>
      <c r="AE412" s="165"/>
      <c r="AF412" s="165"/>
      <c r="AG412" s="165"/>
      <c r="AH412" s="165"/>
      <c r="AI412" s="165"/>
      <c r="AJ412" s="165"/>
      <c r="AK412" s="165"/>
      <c r="AL412" s="165"/>
    </row>
    <row r="413">
      <c r="A413" s="165"/>
      <c r="B413" s="165"/>
      <c r="C413" s="165"/>
      <c r="D413" s="165"/>
      <c r="E413" s="292"/>
      <c r="F413" s="277"/>
      <c r="G413" s="165"/>
      <c r="H413" s="277"/>
      <c r="I413" s="277"/>
      <c r="J413" s="165"/>
      <c r="K413" s="165"/>
      <c r="L413" s="165"/>
      <c r="M413" s="165"/>
      <c r="N413" s="165"/>
      <c r="O413" s="165"/>
      <c r="P413" s="165"/>
      <c r="Q413" s="165"/>
      <c r="R413" s="165"/>
      <c r="S413" s="165"/>
      <c r="T413" s="165"/>
      <c r="U413" s="165"/>
      <c r="V413" s="165"/>
      <c r="W413" s="165"/>
      <c r="X413" s="165" t="str">
        <f>IFERROR(__xludf.DUMMYFUNCTION("""COMPUTED_VALUE"""),"CC-INN-27.07")</f>
        <v>CC-INN-27.07</v>
      </c>
      <c r="Y413" s="285" t="str">
        <f>IFERROR(__xludf.DUMMYFUNCTION("""COMPUTED_VALUE"""),"Not Started")</f>
        <v>Not Started</v>
      </c>
      <c r="Z413" s="284">
        <f>IFERROR(__xludf.DUMMYFUNCTION("""COMPUTED_VALUE"""),45243.0)</f>
        <v>45243</v>
      </c>
      <c r="AA413" s="165" t="str">
        <f>IFERROR(__xludf.DUMMYFUNCTION("""COMPUTED_VALUE"""),"Naveen")</f>
        <v>Naveen</v>
      </c>
      <c r="AB413" s="165" t="str">
        <f>IFERROR(__xludf.DUMMYFUNCTION("""COMPUTED_VALUE"""),"Upload")</f>
        <v>Upload</v>
      </c>
      <c r="AC413" s="165"/>
      <c r="AD413" s="165"/>
      <c r="AE413" s="165"/>
      <c r="AF413" s="165"/>
      <c r="AG413" s="165"/>
      <c r="AH413" s="165"/>
      <c r="AI413" s="165"/>
      <c r="AJ413" s="165"/>
      <c r="AK413" s="165"/>
      <c r="AL413" s="165"/>
    </row>
    <row r="414">
      <c r="A414" s="165"/>
      <c r="B414" s="165"/>
      <c r="C414" s="165"/>
      <c r="D414" s="165"/>
      <c r="E414" s="292"/>
      <c r="F414" s="277"/>
      <c r="G414" s="165"/>
      <c r="H414" s="277"/>
      <c r="I414" s="277"/>
      <c r="J414" s="165"/>
      <c r="K414" s="165"/>
      <c r="L414" s="165"/>
      <c r="M414" s="165"/>
      <c r="N414" s="165"/>
      <c r="O414" s="165"/>
      <c r="P414" s="165"/>
      <c r="Q414" s="165"/>
      <c r="R414" s="165"/>
      <c r="S414" s="165"/>
      <c r="T414" s="165"/>
      <c r="U414" s="165"/>
      <c r="V414" s="165"/>
      <c r="W414" s="165"/>
      <c r="X414" s="165" t="str">
        <f>IFERROR(__xludf.DUMMYFUNCTION("""COMPUTED_VALUE"""),"CC-INN-33.01")</f>
        <v>CC-INN-33.01</v>
      </c>
      <c r="Y414" s="285" t="str">
        <f>IFERROR(__xludf.DUMMYFUNCTION("""COMPUTED_VALUE"""),"Not Started")</f>
        <v>Not Started</v>
      </c>
      <c r="Z414" s="284">
        <f>IFERROR(__xludf.DUMMYFUNCTION("""COMPUTED_VALUE"""),45243.0)</f>
        <v>45243</v>
      </c>
      <c r="AA414" s="165" t="str">
        <f>IFERROR(__xludf.DUMMYFUNCTION("""COMPUTED_VALUE"""),"Naveen")</f>
        <v>Naveen</v>
      </c>
      <c r="AB414" s="165" t="str">
        <f>IFERROR(__xludf.DUMMYFUNCTION("""COMPUTED_VALUE"""),"Script")</f>
        <v>Script</v>
      </c>
      <c r="AC414" s="165"/>
      <c r="AD414" s="165"/>
      <c r="AE414" s="165"/>
      <c r="AF414" s="165"/>
      <c r="AG414" s="165"/>
      <c r="AH414" s="165"/>
      <c r="AI414" s="165"/>
      <c r="AJ414" s="165"/>
      <c r="AK414" s="165"/>
      <c r="AL414" s="165"/>
    </row>
    <row r="415">
      <c r="A415" s="165"/>
      <c r="B415" s="165"/>
      <c r="C415" s="165"/>
      <c r="D415" s="165"/>
      <c r="E415" s="292"/>
      <c r="F415" s="277"/>
      <c r="G415" s="165"/>
      <c r="H415" s="277"/>
      <c r="I415" s="277"/>
      <c r="J415" s="165"/>
      <c r="K415" s="165"/>
      <c r="L415" s="165"/>
      <c r="M415" s="165"/>
      <c r="N415" s="165"/>
      <c r="O415" s="165"/>
      <c r="P415" s="165"/>
      <c r="Q415" s="165"/>
      <c r="R415" s="165"/>
      <c r="S415" s="165"/>
      <c r="T415" s="165"/>
      <c r="U415" s="165"/>
      <c r="V415" s="165"/>
      <c r="W415" s="165"/>
      <c r="X415" s="165" t="str">
        <f>IFERROR(__xludf.DUMMYFUNCTION("""COMPUTED_VALUE"""),"PM-PTS-09.03")</f>
        <v>PM-PTS-09.03</v>
      </c>
      <c r="Y415" s="285" t="str">
        <f>IFERROR(__xludf.DUMMYFUNCTION("""COMPUTED_VALUE"""),"Not Started")</f>
        <v>Not Started</v>
      </c>
      <c r="Z415" s="284">
        <f>IFERROR(__xludf.DUMMYFUNCTION("""COMPUTED_VALUE"""),45243.0)</f>
        <v>45243</v>
      </c>
      <c r="AA415" s="165"/>
      <c r="AB415" s="165" t="str">
        <f>IFERROR(__xludf.DUMMYFUNCTION("""COMPUTED_VALUE"""),"Timeline")</f>
        <v>Timeline</v>
      </c>
      <c r="AC415" s="165"/>
      <c r="AD415" s="165"/>
      <c r="AE415" s="165"/>
      <c r="AF415" s="165"/>
      <c r="AG415" s="165"/>
      <c r="AH415" s="165"/>
      <c r="AI415" s="165"/>
      <c r="AJ415" s="165"/>
      <c r="AK415" s="165"/>
      <c r="AL415" s="165"/>
    </row>
    <row r="416">
      <c r="A416" s="165"/>
      <c r="B416" s="165"/>
      <c r="C416" s="165"/>
      <c r="D416" s="165"/>
      <c r="E416" s="292"/>
      <c r="F416" s="277"/>
      <c r="G416" s="165"/>
      <c r="H416" s="277"/>
      <c r="I416" s="277"/>
      <c r="J416" s="165"/>
      <c r="K416" s="165"/>
      <c r="L416" s="165"/>
      <c r="M416" s="165"/>
      <c r="N416" s="165"/>
      <c r="O416" s="165"/>
      <c r="P416" s="165"/>
      <c r="Q416" s="165"/>
      <c r="R416" s="165"/>
      <c r="S416" s="165"/>
      <c r="T416" s="165"/>
      <c r="U416" s="165"/>
      <c r="V416" s="165"/>
      <c r="W416" s="165"/>
      <c r="X416" s="165" t="str">
        <f>IFERROR(__xludf.DUMMYFUNCTION("""COMPUTED_VALUE"""),"CC-MVP-24.07")</f>
        <v>CC-MVP-24.07</v>
      </c>
      <c r="Y416" s="285" t="str">
        <f>IFERROR(__xludf.DUMMYFUNCTION("""COMPUTED_VALUE"""),"Not Started")</f>
        <v>Not Started</v>
      </c>
      <c r="Z416" s="284">
        <f>IFERROR(__xludf.DUMMYFUNCTION("""COMPUTED_VALUE"""),45244.0)</f>
        <v>45244</v>
      </c>
      <c r="AA416" s="165" t="str">
        <f>IFERROR(__xludf.DUMMYFUNCTION("""COMPUTED_VALUE"""),"Tazeen")</f>
        <v>Tazeen</v>
      </c>
      <c r="AB416" s="165" t="str">
        <f>IFERROR(__xludf.DUMMYFUNCTION("""COMPUTED_VALUE"""),"Upload")</f>
        <v>Upload</v>
      </c>
      <c r="AC416" s="165"/>
      <c r="AD416" s="165"/>
      <c r="AE416" s="165"/>
      <c r="AF416" s="165"/>
      <c r="AG416" s="165"/>
      <c r="AH416" s="165"/>
      <c r="AI416" s="165"/>
      <c r="AJ416" s="165"/>
      <c r="AK416" s="165"/>
      <c r="AL416" s="165"/>
    </row>
    <row r="417">
      <c r="A417" s="165"/>
      <c r="B417" s="165"/>
      <c r="C417" s="165"/>
      <c r="D417" s="165"/>
      <c r="E417" s="292"/>
      <c r="F417" s="277"/>
      <c r="G417" s="165"/>
      <c r="H417" s="277"/>
      <c r="I417" s="277"/>
      <c r="J417" s="165"/>
      <c r="K417" s="165"/>
      <c r="L417" s="165"/>
      <c r="M417" s="165"/>
      <c r="N417" s="165"/>
      <c r="O417" s="165"/>
      <c r="P417" s="165"/>
      <c r="Q417" s="165"/>
      <c r="R417" s="165"/>
      <c r="S417" s="165"/>
      <c r="T417" s="165"/>
      <c r="U417" s="165"/>
      <c r="V417" s="165"/>
      <c r="W417" s="165"/>
      <c r="X417" s="165" t="str">
        <f>IFERROR(__xludf.DUMMYFUNCTION("""COMPUTED_VALUE"""),"CC-MVP-91.01")</f>
        <v>CC-MVP-91.01</v>
      </c>
      <c r="Y417" s="285" t="str">
        <f>IFERROR(__xludf.DUMMYFUNCTION("""COMPUTED_VALUE"""),"Not Started")</f>
        <v>Not Started</v>
      </c>
      <c r="Z417" s="284">
        <f>IFERROR(__xludf.DUMMYFUNCTION("""COMPUTED_VALUE"""),45244.0)</f>
        <v>45244</v>
      </c>
      <c r="AA417" s="165" t="str">
        <f>IFERROR(__xludf.DUMMYFUNCTION("""COMPUTED_VALUE"""),"Naveen")</f>
        <v>Naveen</v>
      </c>
      <c r="AB417" s="165" t="str">
        <f>IFERROR(__xludf.DUMMYFUNCTION("""COMPUTED_VALUE"""),"Script")</f>
        <v>Script</v>
      </c>
      <c r="AC417" s="165"/>
      <c r="AD417" s="165"/>
      <c r="AE417" s="165"/>
      <c r="AF417" s="165"/>
      <c r="AG417" s="165"/>
      <c r="AH417" s="165"/>
      <c r="AI417" s="165"/>
      <c r="AJ417" s="165"/>
      <c r="AK417" s="165"/>
      <c r="AL417" s="165"/>
    </row>
    <row r="418">
      <c r="A418" s="165"/>
      <c r="B418" s="165"/>
      <c r="C418" s="165"/>
      <c r="D418" s="165"/>
      <c r="E418" s="292"/>
      <c r="F418" s="277"/>
      <c r="G418" s="165"/>
      <c r="H418" s="277"/>
      <c r="I418" s="277"/>
      <c r="J418" s="165"/>
      <c r="K418" s="165"/>
      <c r="L418" s="165"/>
      <c r="M418" s="165"/>
      <c r="N418" s="165"/>
      <c r="O418" s="165"/>
      <c r="P418" s="165"/>
      <c r="Q418" s="165"/>
      <c r="R418" s="165"/>
      <c r="S418" s="165"/>
      <c r="T418" s="165"/>
      <c r="U418" s="165"/>
      <c r="V418" s="165"/>
      <c r="W418" s="165"/>
      <c r="X418" s="165" t="str">
        <f>IFERROR(__xludf.DUMMYFUNCTION("""COMPUTED_VALUE"""),"CC-MVP-91.03")</f>
        <v>CC-MVP-91.03</v>
      </c>
      <c r="Y418" s="285" t="str">
        <f>IFERROR(__xludf.DUMMYFUNCTION("""COMPUTED_VALUE"""),"Not Started")</f>
        <v>Not Started</v>
      </c>
      <c r="Z418" s="284">
        <f>IFERROR(__xludf.DUMMYFUNCTION("""COMPUTED_VALUE"""),45244.0)</f>
        <v>45244</v>
      </c>
      <c r="AA418" s="165" t="str">
        <f>IFERROR(__xludf.DUMMYFUNCTION("""COMPUTED_VALUE"""),"Naveen")</f>
        <v>Naveen</v>
      </c>
      <c r="AB418" s="165" t="str">
        <f>IFERROR(__xludf.DUMMYFUNCTION("""COMPUTED_VALUE"""),"Edit")</f>
        <v>Edit</v>
      </c>
      <c r="AC418" s="165"/>
      <c r="AD418" s="165"/>
      <c r="AE418" s="165"/>
      <c r="AF418" s="165"/>
      <c r="AG418" s="165"/>
      <c r="AH418" s="165"/>
      <c r="AI418" s="165"/>
      <c r="AJ418" s="165"/>
      <c r="AK418" s="165"/>
      <c r="AL418" s="165"/>
    </row>
    <row r="419">
      <c r="A419" s="165"/>
      <c r="B419" s="165"/>
      <c r="C419" s="165"/>
      <c r="D419" s="165"/>
      <c r="E419" s="292"/>
      <c r="F419" s="277"/>
      <c r="G419" s="165"/>
      <c r="H419" s="277"/>
      <c r="I419" s="277"/>
      <c r="J419" s="165"/>
      <c r="K419" s="165"/>
      <c r="L419" s="165"/>
      <c r="M419" s="165"/>
      <c r="N419" s="165"/>
      <c r="O419" s="165"/>
      <c r="P419" s="165"/>
      <c r="Q419" s="165"/>
      <c r="R419" s="165"/>
      <c r="S419" s="165"/>
      <c r="T419" s="165"/>
      <c r="U419" s="165"/>
      <c r="V419" s="165"/>
      <c r="W419" s="165"/>
      <c r="X419" s="165" t="str">
        <f>IFERROR(__xludf.DUMMYFUNCTION("""COMPUTED_VALUE"""),"CC-MVP-91.04")</f>
        <v>CC-MVP-91.04</v>
      </c>
      <c r="Y419" s="285" t="str">
        <f>IFERROR(__xludf.DUMMYFUNCTION("""COMPUTED_VALUE"""),"Not Started")</f>
        <v>Not Started</v>
      </c>
      <c r="Z419" s="284">
        <f>IFERROR(__xludf.DUMMYFUNCTION("""COMPUTED_VALUE"""),45244.0)</f>
        <v>45244</v>
      </c>
      <c r="AA419" s="165" t="str">
        <f>IFERROR(__xludf.DUMMYFUNCTION("""COMPUTED_VALUE"""),"Talha")</f>
        <v>Talha</v>
      </c>
      <c r="AB419" s="165" t="str">
        <f>IFERROR(__xludf.DUMMYFUNCTION("""COMPUTED_VALUE"""),"Upload")</f>
        <v>Upload</v>
      </c>
      <c r="AC419" s="165"/>
      <c r="AD419" s="165"/>
      <c r="AE419" s="165"/>
      <c r="AF419" s="165"/>
      <c r="AG419" s="165"/>
      <c r="AH419" s="165"/>
      <c r="AI419" s="165"/>
      <c r="AJ419" s="165"/>
      <c r="AK419" s="165"/>
      <c r="AL419" s="165"/>
    </row>
    <row r="420">
      <c r="A420" s="165"/>
      <c r="B420" s="165"/>
      <c r="C420" s="165"/>
      <c r="D420" s="165"/>
      <c r="E420" s="292"/>
      <c r="F420" s="277"/>
      <c r="G420" s="165"/>
      <c r="H420" s="277"/>
      <c r="I420" s="277"/>
      <c r="J420" s="165"/>
      <c r="K420" s="165"/>
      <c r="L420" s="165"/>
      <c r="M420" s="165"/>
      <c r="N420" s="165"/>
      <c r="O420" s="165"/>
      <c r="P420" s="165"/>
      <c r="Q420" s="165"/>
      <c r="R420" s="165"/>
      <c r="S420" s="165"/>
      <c r="T420" s="165"/>
      <c r="U420" s="165"/>
      <c r="V420" s="165"/>
      <c r="W420" s="165"/>
      <c r="X420" s="165" t="str">
        <f>IFERROR(__xludf.DUMMYFUNCTION("""COMPUTED_VALUE"""),"CC-MVP-85.07")</f>
        <v>CC-MVP-85.07</v>
      </c>
      <c r="Y420" s="285" t="str">
        <f>IFERROR(__xludf.DUMMYFUNCTION("""COMPUTED_VALUE"""),"Not Started")</f>
        <v>Not Started</v>
      </c>
      <c r="Z420" s="284">
        <f>IFERROR(__xludf.DUMMYFUNCTION("""COMPUTED_VALUE"""),45244.0)</f>
        <v>45244</v>
      </c>
      <c r="AA420" s="165" t="str">
        <f>IFERROR(__xludf.DUMMYFUNCTION("""COMPUTED_VALUE"""),"Nasser")</f>
        <v>Nasser</v>
      </c>
      <c r="AB420" s="165" t="str">
        <f>IFERROR(__xludf.DUMMYFUNCTION("""COMPUTED_VALUE"""),"Upload")</f>
        <v>Upload</v>
      </c>
      <c r="AC420" s="165"/>
      <c r="AD420" s="165"/>
      <c r="AE420" s="165"/>
      <c r="AF420" s="165"/>
      <c r="AG420" s="165"/>
      <c r="AH420" s="165"/>
      <c r="AI420" s="165"/>
      <c r="AJ420" s="165"/>
      <c r="AK420" s="165"/>
      <c r="AL420" s="165"/>
    </row>
    <row r="421">
      <c r="A421" s="165"/>
      <c r="B421" s="165"/>
      <c r="C421" s="165"/>
      <c r="D421" s="165"/>
      <c r="E421" s="292"/>
      <c r="F421" s="277"/>
      <c r="G421" s="165"/>
      <c r="H421" s="277"/>
      <c r="I421" s="277"/>
      <c r="J421" s="165"/>
      <c r="K421" s="165"/>
      <c r="L421" s="165"/>
      <c r="M421" s="165"/>
      <c r="N421" s="165"/>
      <c r="O421" s="165"/>
      <c r="P421" s="165"/>
      <c r="Q421" s="165"/>
      <c r="R421" s="165"/>
      <c r="S421" s="165"/>
      <c r="T421" s="165"/>
      <c r="U421" s="165"/>
      <c r="V421" s="165"/>
      <c r="W421" s="165"/>
      <c r="X421" s="165" t="str">
        <f>IFERROR(__xludf.DUMMYFUNCTION("""COMPUTED_VALUE"""),"CC-MVP-107.04")</f>
        <v>CC-MVP-107.04</v>
      </c>
      <c r="Y421" s="285" t="str">
        <f>IFERROR(__xludf.DUMMYFUNCTION("""COMPUTED_VALUE"""),"Not Started")</f>
        <v>Not Started</v>
      </c>
      <c r="Z421" s="284">
        <f>IFERROR(__xludf.DUMMYFUNCTION("""COMPUTED_VALUE"""),45244.0)</f>
        <v>45244</v>
      </c>
      <c r="AA421" s="165" t="str">
        <f>IFERROR(__xludf.DUMMYFUNCTION("""COMPUTED_VALUE"""),"Tazeen")</f>
        <v>Tazeen</v>
      </c>
      <c r="AB421" s="165" t="str">
        <f>IFERROR(__xludf.DUMMYFUNCTION("""COMPUTED_VALUE"""),"Upload")</f>
        <v>Upload</v>
      </c>
      <c r="AC421" s="165"/>
      <c r="AD421" s="165"/>
      <c r="AE421" s="165"/>
      <c r="AF421" s="165"/>
      <c r="AG421" s="165"/>
      <c r="AH421" s="165"/>
      <c r="AI421" s="165"/>
      <c r="AJ421" s="165"/>
      <c r="AK421" s="165"/>
      <c r="AL421" s="165"/>
    </row>
    <row r="422">
      <c r="A422" s="165"/>
      <c r="B422" s="165"/>
      <c r="C422" s="165"/>
      <c r="D422" s="165"/>
      <c r="E422" s="292"/>
      <c r="F422" s="277"/>
      <c r="G422" s="165"/>
      <c r="H422" s="277"/>
      <c r="I422" s="277"/>
      <c r="J422" s="165"/>
      <c r="K422" s="165"/>
      <c r="L422" s="165"/>
      <c r="M422" s="165"/>
      <c r="N422" s="165"/>
      <c r="O422" s="165"/>
      <c r="P422" s="165"/>
      <c r="Q422" s="165"/>
      <c r="R422" s="165"/>
      <c r="S422" s="165"/>
      <c r="T422" s="165"/>
      <c r="U422" s="165"/>
      <c r="V422" s="165"/>
      <c r="W422" s="165"/>
      <c r="X422" s="165" t="str">
        <f>IFERROR(__xludf.DUMMYFUNCTION("""COMPUTED_VALUE"""),"CC-MVP-83.06")</f>
        <v>CC-MVP-83.06</v>
      </c>
      <c r="Y422" s="285" t="str">
        <f>IFERROR(__xludf.DUMMYFUNCTION("""COMPUTED_VALUE"""),"Not Started")</f>
        <v>Not Started</v>
      </c>
      <c r="Z422" s="284">
        <f>IFERROR(__xludf.DUMMYFUNCTION("""COMPUTED_VALUE"""),45244.0)</f>
        <v>45244</v>
      </c>
      <c r="AA422" s="165"/>
      <c r="AB422" s="165" t="str">
        <f>IFERROR(__xludf.DUMMYFUNCTION("""COMPUTED_VALUE"""),"Thumbnail")</f>
        <v>Thumbnail</v>
      </c>
      <c r="AC422" s="165"/>
      <c r="AD422" s="165"/>
      <c r="AE422" s="165"/>
      <c r="AF422" s="165"/>
      <c r="AG422" s="165"/>
      <c r="AH422" s="165"/>
      <c r="AI422" s="165"/>
      <c r="AJ422" s="165"/>
      <c r="AK422" s="165"/>
      <c r="AL422" s="165"/>
    </row>
    <row r="423">
      <c r="A423" s="165"/>
      <c r="B423" s="165"/>
      <c r="C423" s="165"/>
      <c r="D423" s="165"/>
      <c r="E423" s="292"/>
      <c r="F423" s="277"/>
      <c r="G423" s="165"/>
      <c r="H423" s="277"/>
      <c r="I423" s="277"/>
      <c r="J423" s="165"/>
      <c r="K423" s="165"/>
      <c r="L423" s="165"/>
      <c r="M423" s="165"/>
      <c r="N423" s="165"/>
      <c r="O423" s="165"/>
      <c r="P423" s="165"/>
      <c r="Q423" s="165"/>
      <c r="R423" s="165"/>
      <c r="S423" s="165"/>
      <c r="T423" s="165"/>
      <c r="U423" s="165"/>
      <c r="V423" s="165"/>
      <c r="W423" s="165"/>
      <c r="X423" s="165" t="str">
        <f>IFERROR(__xludf.DUMMYFUNCTION("""COMPUTED_VALUE"""),"CC-MVP-97.01")</f>
        <v>CC-MVP-97.01</v>
      </c>
      <c r="Y423" s="285" t="str">
        <f>IFERROR(__xludf.DUMMYFUNCTION("""COMPUTED_VALUE"""),"Not Started")</f>
        <v>Not Started</v>
      </c>
      <c r="Z423" s="284">
        <f>IFERROR(__xludf.DUMMYFUNCTION("""COMPUTED_VALUE"""),45244.0)</f>
        <v>45244</v>
      </c>
      <c r="AA423" s="165" t="str">
        <f>IFERROR(__xludf.DUMMYFUNCTION("""COMPUTED_VALUE"""),"Naveen")</f>
        <v>Naveen</v>
      </c>
      <c r="AB423" s="165" t="str">
        <f>IFERROR(__xludf.DUMMYFUNCTION("""COMPUTED_VALUE"""),"Script")</f>
        <v>Script</v>
      </c>
      <c r="AC423" s="165"/>
      <c r="AD423" s="165"/>
      <c r="AE423" s="165"/>
      <c r="AF423" s="165"/>
      <c r="AG423" s="165"/>
      <c r="AH423" s="165"/>
      <c r="AI423" s="165"/>
      <c r="AJ423" s="165"/>
      <c r="AK423" s="165"/>
      <c r="AL423" s="165"/>
    </row>
    <row r="424">
      <c r="A424" s="165"/>
      <c r="B424" s="165"/>
      <c r="C424" s="165"/>
      <c r="D424" s="165"/>
      <c r="E424" s="292"/>
      <c r="F424" s="277"/>
      <c r="G424" s="165"/>
      <c r="H424" s="277"/>
      <c r="I424" s="277"/>
      <c r="J424" s="165"/>
      <c r="K424" s="165"/>
      <c r="L424" s="165"/>
      <c r="M424" s="165"/>
      <c r="N424" s="165"/>
      <c r="O424" s="165"/>
      <c r="P424" s="165"/>
      <c r="Q424" s="165"/>
      <c r="R424" s="165"/>
      <c r="S424" s="165"/>
      <c r="T424" s="165"/>
      <c r="U424" s="165"/>
      <c r="V424" s="165"/>
      <c r="W424" s="165"/>
      <c r="X424" s="165" t="str">
        <f>IFERROR(__xludf.DUMMYFUNCTION("""COMPUTED_VALUE"""),"CC-MVP-97.03")</f>
        <v>CC-MVP-97.03</v>
      </c>
      <c r="Y424" s="285" t="str">
        <f>IFERROR(__xludf.DUMMYFUNCTION("""COMPUTED_VALUE"""),"Not Started")</f>
        <v>Not Started</v>
      </c>
      <c r="Z424" s="284">
        <f>IFERROR(__xludf.DUMMYFUNCTION("""COMPUTED_VALUE"""),45244.0)</f>
        <v>45244</v>
      </c>
      <c r="AA424" s="165" t="str">
        <f>IFERROR(__xludf.DUMMYFUNCTION("""COMPUTED_VALUE"""),"Naveen")</f>
        <v>Naveen</v>
      </c>
      <c r="AB424" s="165" t="str">
        <f>IFERROR(__xludf.DUMMYFUNCTION("""COMPUTED_VALUE"""),"Edit")</f>
        <v>Edit</v>
      </c>
      <c r="AC424" s="165"/>
      <c r="AD424" s="165"/>
      <c r="AE424" s="165"/>
      <c r="AF424" s="165"/>
      <c r="AG424" s="165"/>
      <c r="AH424" s="165"/>
      <c r="AI424" s="165"/>
      <c r="AJ424" s="165"/>
      <c r="AK424" s="165"/>
      <c r="AL424" s="165"/>
    </row>
    <row r="425">
      <c r="A425" s="165"/>
      <c r="B425" s="165"/>
      <c r="C425" s="165"/>
      <c r="D425" s="165"/>
      <c r="E425" s="292"/>
      <c r="F425" s="277"/>
      <c r="G425" s="165"/>
      <c r="H425" s="277"/>
      <c r="I425" s="277"/>
      <c r="J425" s="165"/>
      <c r="K425" s="165"/>
      <c r="L425" s="165"/>
      <c r="M425" s="165"/>
      <c r="N425" s="165"/>
      <c r="O425" s="165"/>
      <c r="P425" s="165"/>
      <c r="Q425" s="165"/>
      <c r="R425" s="165"/>
      <c r="S425" s="165"/>
      <c r="T425" s="165"/>
      <c r="U425" s="165"/>
      <c r="V425" s="165"/>
      <c r="W425" s="165"/>
      <c r="X425" s="165" t="str">
        <f>IFERROR(__xludf.DUMMYFUNCTION("""COMPUTED_VALUE"""),"CC-MVP-86.01")</f>
        <v>CC-MVP-86.01</v>
      </c>
      <c r="Y425" s="285" t="str">
        <f>IFERROR(__xludf.DUMMYFUNCTION("""COMPUTED_VALUE"""),"Not Started")</f>
        <v>Not Started</v>
      </c>
      <c r="Z425" s="284">
        <f>IFERROR(__xludf.DUMMYFUNCTION("""COMPUTED_VALUE"""),45244.0)</f>
        <v>45244</v>
      </c>
      <c r="AA425" s="165" t="str">
        <f>IFERROR(__xludf.DUMMYFUNCTION("""COMPUTED_VALUE"""),"Nasser")</f>
        <v>Nasser</v>
      </c>
      <c r="AB425" s="165" t="str">
        <f>IFERROR(__xludf.DUMMYFUNCTION("""COMPUTED_VALUE"""),"Follow Up")</f>
        <v>Follow Up</v>
      </c>
      <c r="AC425" s="165"/>
      <c r="AD425" s="165"/>
      <c r="AE425" s="165"/>
      <c r="AF425" s="165"/>
      <c r="AG425" s="165"/>
      <c r="AH425" s="165"/>
      <c r="AI425" s="165"/>
      <c r="AJ425" s="165"/>
      <c r="AK425" s="165"/>
      <c r="AL425" s="165"/>
    </row>
    <row r="426">
      <c r="A426" s="165"/>
      <c r="B426" s="165"/>
      <c r="C426" s="165"/>
      <c r="D426" s="165"/>
      <c r="E426" s="292"/>
      <c r="F426" s="277"/>
      <c r="G426" s="165"/>
      <c r="H426" s="277"/>
      <c r="I426" s="277"/>
      <c r="J426" s="165"/>
      <c r="K426" s="165"/>
      <c r="L426" s="165"/>
      <c r="M426" s="165"/>
      <c r="N426" s="165"/>
      <c r="O426" s="165"/>
      <c r="P426" s="165"/>
      <c r="Q426" s="165"/>
      <c r="R426" s="165"/>
      <c r="S426" s="165"/>
      <c r="T426" s="165"/>
      <c r="U426" s="165"/>
      <c r="V426" s="165"/>
      <c r="W426" s="165"/>
      <c r="X426" s="165" t="str">
        <f>IFERROR(__xludf.DUMMYFUNCTION("""COMPUTED_VALUE"""),"CC-MVP-112.01")</f>
        <v>CC-MVP-112.01</v>
      </c>
      <c r="Y426" s="285" t="str">
        <f>IFERROR(__xludf.DUMMYFUNCTION("""COMPUTED_VALUE"""),"Not Started")</f>
        <v>Not Started</v>
      </c>
      <c r="Z426" s="284">
        <f>IFERROR(__xludf.DUMMYFUNCTION("""COMPUTED_VALUE"""),45244.0)</f>
        <v>45244</v>
      </c>
      <c r="AA426" s="165" t="str">
        <f>IFERROR(__xludf.DUMMYFUNCTION("""COMPUTED_VALUE"""),"Tazeen")</f>
        <v>Tazeen</v>
      </c>
      <c r="AB426" s="165" t="str">
        <f>IFERROR(__xludf.DUMMYFUNCTION("""COMPUTED_VALUE"""),"Script")</f>
        <v>Script</v>
      </c>
      <c r="AC426" s="165"/>
      <c r="AD426" s="165"/>
      <c r="AE426" s="165"/>
      <c r="AF426" s="165"/>
      <c r="AG426" s="165"/>
      <c r="AH426" s="165"/>
      <c r="AI426" s="165"/>
      <c r="AJ426" s="165"/>
      <c r="AK426" s="165"/>
      <c r="AL426" s="165"/>
    </row>
    <row r="427">
      <c r="A427" s="165"/>
      <c r="B427" s="165"/>
      <c r="C427" s="165"/>
      <c r="D427" s="165"/>
      <c r="E427" s="292"/>
      <c r="F427" s="277"/>
      <c r="G427" s="165"/>
      <c r="H427" s="277"/>
      <c r="I427" s="277"/>
      <c r="J427" s="165"/>
      <c r="K427" s="165"/>
      <c r="L427" s="165"/>
      <c r="M427" s="165"/>
      <c r="N427" s="165"/>
      <c r="O427" s="165"/>
      <c r="P427" s="165"/>
      <c r="Q427" s="165"/>
      <c r="R427" s="165"/>
      <c r="S427" s="165"/>
      <c r="T427" s="165"/>
      <c r="U427" s="165"/>
      <c r="V427" s="165"/>
      <c r="W427" s="165"/>
      <c r="X427" s="165" t="str">
        <f>IFERROR(__xludf.DUMMYFUNCTION("""COMPUTED_VALUE"""),"CC-MVP-117.03")</f>
        <v>CC-MVP-117.03</v>
      </c>
      <c r="Y427" s="285" t="str">
        <f>IFERROR(__xludf.DUMMYFUNCTION("""COMPUTED_VALUE"""),"Not Started")</f>
        <v>Not Started</v>
      </c>
      <c r="Z427" s="284">
        <f>IFERROR(__xludf.DUMMYFUNCTION("""COMPUTED_VALUE"""),45244.0)</f>
        <v>45244</v>
      </c>
      <c r="AA427" s="165" t="str">
        <f>IFERROR(__xludf.DUMMYFUNCTION("""COMPUTED_VALUE"""),"Freelancer")</f>
        <v>Freelancer</v>
      </c>
      <c r="AB427" s="165" t="str">
        <f>IFERROR(__xludf.DUMMYFUNCTION("""COMPUTED_VALUE"""),"Edit")</f>
        <v>Edit</v>
      </c>
      <c r="AC427" s="165"/>
      <c r="AD427" s="165"/>
      <c r="AE427" s="165"/>
      <c r="AF427" s="165"/>
      <c r="AG427" s="165"/>
      <c r="AH427" s="165"/>
      <c r="AI427" s="165"/>
      <c r="AJ427" s="165"/>
      <c r="AK427" s="165"/>
      <c r="AL427" s="165"/>
    </row>
    <row r="428">
      <c r="A428" s="165"/>
      <c r="B428" s="165"/>
      <c r="C428" s="165"/>
      <c r="D428" s="165"/>
      <c r="E428" s="292"/>
      <c r="F428" s="277"/>
      <c r="G428" s="165"/>
      <c r="H428" s="277"/>
      <c r="I428" s="277"/>
      <c r="J428" s="165"/>
      <c r="K428" s="165"/>
      <c r="L428" s="165"/>
      <c r="M428" s="165"/>
      <c r="N428" s="165"/>
      <c r="O428" s="165"/>
      <c r="P428" s="165"/>
      <c r="Q428" s="165"/>
      <c r="R428" s="165"/>
      <c r="S428" s="165"/>
      <c r="T428" s="165"/>
      <c r="U428" s="165"/>
      <c r="V428" s="165"/>
      <c r="W428" s="165"/>
      <c r="X428" s="165" t="str">
        <f>IFERROR(__xludf.DUMMYFUNCTION("""COMPUTED_VALUE"""),"CC-MVP-16.01")</f>
        <v>CC-MVP-16.01</v>
      </c>
      <c r="Y428" s="285" t="str">
        <f>IFERROR(__xludf.DUMMYFUNCTION("""COMPUTED_VALUE"""),"On Hold")</f>
        <v>On Hold</v>
      </c>
      <c r="Z428" s="284">
        <f>IFERROR(__xludf.DUMMYFUNCTION("""COMPUTED_VALUE"""),45244.0)</f>
        <v>45244</v>
      </c>
      <c r="AA428" s="165" t="str">
        <f>IFERROR(__xludf.DUMMYFUNCTION("""COMPUTED_VALUE"""),"Tazeen")</f>
        <v>Tazeen</v>
      </c>
      <c r="AB428" s="165" t="str">
        <f>IFERROR(__xludf.DUMMYFUNCTION("""COMPUTED_VALUE"""),"Script")</f>
        <v>Script</v>
      </c>
      <c r="AC428" s="165"/>
      <c r="AD428" s="165"/>
      <c r="AE428" s="165"/>
      <c r="AF428" s="165"/>
      <c r="AG428" s="165"/>
      <c r="AH428" s="165"/>
      <c r="AI428" s="165"/>
      <c r="AJ428" s="165"/>
      <c r="AK428" s="165"/>
      <c r="AL428" s="165"/>
    </row>
    <row r="429">
      <c r="A429" s="165"/>
      <c r="B429" s="165"/>
      <c r="C429" s="165"/>
      <c r="D429" s="165"/>
      <c r="E429" s="292"/>
      <c r="F429" s="277"/>
      <c r="G429" s="165"/>
      <c r="H429" s="277"/>
      <c r="I429" s="277"/>
      <c r="J429" s="165"/>
      <c r="K429" s="165"/>
      <c r="L429" s="165"/>
      <c r="M429" s="165"/>
      <c r="N429" s="165"/>
      <c r="O429" s="165"/>
      <c r="P429" s="165"/>
      <c r="Q429" s="165"/>
      <c r="R429" s="165"/>
      <c r="S429" s="165"/>
      <c r="T429" s="165"/>
      <c r="U429" s="165"/>
      <c r="V429" s="165"/>
      <c r="W429" s="165"/>
      <c r="X429" s="165" t="str">
        <f>IFERROR(__xludf.DUMMYFUNCTION("""COMPUTED_VALUE"""),"CC-MVP-118.03")</f>
        <v>CC-MVP-118.03</v>
      </c>
      <c r="Y429" s="285" t="str">
        <f>IFERROR(__xludf.DUMMYFUNCTION("""COMPUTED_VALUE"""),"Not Started")</f>
        <v>Not Started</v>
      </c>
      <c r="Z429" s="284">
        <f>IFERROR(__xludf.DUMMYFUNCTION("""COMPUTED_VALUE"""),45244.0)</f>
        <v>45244</v>
      </c>
      <c r="AA429" s="165"/>
      <c r="AB429" s="165" t="str">
        <f>IFERROR(__xludf.DUMMYFUNCTION("""COMPUTED_VALUE"""),"Timeline")</f>
        <v>Timeline</v>
      </c>
      <c r="AC429" s="165"/>
      <c r="AD429" s="165"/>
      <c r="AE429" s="165"/>
      <c r="AF429" s="165"/>
      <c r="AG429" s="165"/>
      <c r="AH429" s="165"/>
      <c r="AI429" s="165"/>
      <c r="AJ429" s="165"/>
      <c r="AK429" s="165"/>
      <c r="AL429" s="165"/>
    </row>
    <row r="430">
      <c r="A430" s="165"/>
      <c r="B430" s="165"/>
      <c r="C430" s="165"/>
      <c r="D430" s="165"/>
      <c r="E430" s="292"/>
      <c r="F430" s="277"/>
      <c r="G430" s="165"/>
      <c r="H430" s="277"/>
      <c r="I430" s="277"/>
      <c r="J430" s="165"/>
      <c r="K430" s="165"/>
      <c r="L430" s="165"/>
      <c r="M430" s="165"/>
      <c r="N430" s="165"/>
      <c r="O430" s="165"/>
      <c r="P430" s="165"/>
      <c r="Q430" s="165"/>
      <c r="R430" s="165"/>
      <c r="S430" s="165"/>
      <c r="T430" s="165"/>
      <c r="U430" s="165"/>
      <c r="V430" s="165"/>
      <c r="W430" s="165"/>
      <c r="X430" s="165" t="str">
        <f>IFERROR(__xludf.DUMMYFUNCTION("""COMPUTED_VALUE"""),"CC-CTH-13.05")</f>
        <v>CC-CTH-13.05</v>
      </c>
      <c r="Y430" s="285" t="str">
        <f>IFERROR(__xludf.DUMMYFUNCTION("""COMPUTED_VALUE"""),"Not Started")</f>
        <v>Not Started</v>
      </c>
      <c r="Z430" s="284">
        <f>IFERROR(__xludf.DUMMYFUNCTION("""COMPUTED_VALUE"""),45244.0)</f>
        <v>45244</v>
      </c>
      <c r="AA430" s="165" t="str">
        <f>IFERROR(__xludf.DUMMYFUNCTION("""COMPUTED_VALUE"""),"Talha")</f>
        <v>Talha</v>
      </c>
      <c r="AB430" s="165" t="str">
        <f>IFERROR(__xludf.DUMMYFUNCTION("""COMPUTED_VALUE"""),"Upload")</f>
        <v>Upload</v>
      </c>
      <c r="AC430" s="165"/>
      <c r="AD430" s="165"/>
      <c r="AE430" s="165"/>
      <c r="AF430" s="165"/>
      <c r="AG430" s="165"/>
      <c r="AH430" s="165"/>
      <c r="AI430" s="165"/>
      <c r="AJ430" s="165"/>
      <c r="AK430" s="165"/>
      <c r="AL430" s="165"/>
    </row>
    <row r="431">
      <c r="A431" s="165"/>
      <c r="B431" s="165"/>
      <c r="C431" s="165"/>
      <c r="D431" s="165"/>
      <c r="E431" s="292"/>
      <c r="F431" s="277"/>
      <c r="G431" s="165"/>
      <c r="H431" s="277"/>
      <c r="I431" s="277"/>
      <c r="J431" s="165"/>
      <c r="K431" s="165"/>
      <c r="L431" s="165"/>
      <c r="M431" s="165"/>
      <c r="N431" s="165"/>
      <c r="O431" s="165"/>
      <c r="P431" s="165"/>
      <c r="Q431" s="165"/>
      <c r="R431" s="165"/>
      <c r="S431" s="165"/>
      <c r="T431" s="165"/>
      <c r="U431" s="165"/>
      <c r="V431" s="165"/>
      <c r="W431" s="165"/>
      <c r="X431" s="165" t="str">
        <f>IFERROR(__xludf.DUMMYFUNCTION("""COMPUTED_VALUE"""),"CC-CTH-19.02")</f>
        <v>CC-CTH-19.02</v>
      </c>
      <c r="Y431" s="285" t="str">
        <f>IFERROR(__xludf.DUMMYFUNCTION("""COMPUTED_VALUE"""),"Not Started")</f>
        <v>Not Started</v>
      </c>
      <c r="Z431" s="284">
        <f>IFERROR(__xludf.DUMMYFUNCTION("""COMPUTED_VALUE"""),45244.0)</f>
        <v>45244</v>
      </c>
      <c r="AA431" s="165" t="str">
        <f>IFERROR(__xludf.DUMMYFUNCTION("""COMPUTED_VALUE"""),"Talha")</f>
        <v>Talha</v>
      </c>
      <c r="AB431" s="165" t="str">
        <f>IFERROR(__xludf.DUMMYFUNCTION("""COMPUTED_VALUE"""),"Voiceover")</f>
        <v>Voiceover</v>
      </c>
      <c r="AC431" s="165"/>
      <c r="AD431" s="165"/>
      <c r="AE431" s="165"/>
      <c r="AF431" s="165"/>
      <c r="AG431" s="165"/>
      <c r="AH431" s="165"/>
      <c r="AI431" s="165"/>
      <c r="AJ431" s="165"/>
      <c r="AK431" s="165"/>
      <c r="AL431" s="165"/>
    </row>
    <row r="432">
      <c r="A432" s="165"/>
      <c r="B432" s="165"/>
      <c r="C432" s="165"/>
      <c r="D432" s="165"/>
      <c r="E432" s="292"/>
      <c r="F432" s="277"/>
      <c r="G432" s="165"/>
      <c r="H432" s="277"/>
      <c r="I432" s="277"/>
      <c r="J432" s="165"/>
      <c r="K432" s="165"/>
      <c r="L432" s="165"/>
      <c r="M432" s="165"/>
      <c r="N432" s="165"/>
      <c r="O432" s="165"/>
      <c r="P432" s="165"/>
      <c r="Q432" s="165"/>
      <c r="R432" s="165"/>
      <c r="S432" s="165"/>
      <c r="T432" s="165"/>
      <c r="U432" s="165"/>
      <c r="V432" s="165"/>
      <c r="W432" s="165"/>
      <c r="X432" s="165" t="str">
        <f>IFERROR(__xludf.DUMMYFUNCTION("""COMPUTED_VALUE"""),"CC-CTH-19.03")</f>
        <v>CC-CTH-19.03</v>
      </c>
      <c r="Y432" s="285" t="str">
        <f>IFERROR(__xludf.DUMMYFUNCTION("""COMPUTED_VALUE"""),"Not Started")</f>
        <v>Not Started</v>
      </c>
      <c r="Z432" s="284">
        <f>IFERROR(__xludf.DUMMYFUNCTION("""COMPUTED_VALUE"""),45244.0)</f>
        <v>45244</v>
      </c>
      <c r="AA432" s="165" t="str">
        <f>IFERROR(__xludf.DUMMYFUNCTION("""COMPUTED_VALUE"""),"Talha")</f>
        <v>Talha</v>
      </c>
      <c r="AB432" s="165" t="str">
        <f>IFERROR(__xludf.DUMMYFUNCTION("""COMPUTED_VALUE"""),"Edit")</f>
        <v>Edit</v>
      </c>
      <c r="AC432" s="165"/>
      <c r="AD432" s="165"/>
      <c r="AE432" s="165"/>
      <c r="AF432" s="165"/>
      <c r="AG432" s="165"/>
      <c r="AH432" s="165"/>
      <c r="AI432" s="165"/>
      <c r="AJ432" s="165"/>
      <c r="AK432" s="165"/>
      <c r="AL432" s="165"/>
    </row>
    <row r="433">
      <c r="A433" s="165"/>
      <c r="B433" s="165"/>
      <c r="C433" s="165"/>
      <c r="D433" s="165"/>
      <c r="E433" s="292"/>
      <c r="F433" s="277"/>
      <c r="G433" s="165"/>
      <c r="H433" s="277"/>
      <c r="I433" s="277"/>
      <c r="J433" s="165"/>
      <c r="K433" s="165"/>
      <c r="L433" s="165"/>
      <c r="M433" s="165"/>
      <c r="N433" s="165"/>
      <c r="O433" s="165"/>
      <c r="P433" s="165"/>
      <c r="Q433" s="165"/>
      <c r="R433" s="165"/>
      <c r="S433" s="165"/>
      <c r="T433" s="165"/>
      <c r="U433" s="165"/>
      <c r="V433" s="165"/>
      <c r="W433" s="165"/>
      <c r="X433" s="165" t="str">
        <f>IFERROR(__xludf.DUMMYFUNCTION("""COMPUTED_VALUE"""),"CC-CTH-20.04")</f>
        <v>CC-CTH-20.04</v>
      </c>
      <c r="Y433" s="285" t="str">
        <f>IFERROR(__xludf.DUMMYFUNCTION("""COMPUTED_VALUE"""),"Not Started")</f>
        <v>Not Started</v>
      </c>
      <c r="Z433" s="284">
        <f>IFERROR(__xludf.DUMMYFUNCTION("""COMPUTED_VALUE"""),45244.0)</f>
        <v>45244</v>
      </c>
      <c r="AA433" s="165" t="str">
        <f>IFERROR(__xludf.DUMMYFUNCTION("""COMPUTED_VALUE"""),"Akhil")</f>
        <v>Akhil</v>
      </c>
      <c r="AB433" s="165" t="str">
        <f>IFERROR(__xludf.DUMMYFUNCTION("""COMPUTED_VALUE"""),"Shoot")</f>
        <v>Shoot</v>
      </c>
      <c r="AC433" s="165"/>
      <c r="AD433" s="165"/>
      <c r="AE433" s="165"/>
      <c r="AF433" s="165"/>
      <c r="AG433" s="165"/>
      <c r="AH433" s="165"/>
      <c r="AI433" s="165"/>
      <c r="AJ433" s="165"/>
      <c r="AK433" s="165"/>
      <c r="AL433" s="165"/>
    </row>
    <row r="434">
      <c r="A434" s="165"/>
      <c r="B434" s="165"/>
      <c r="C434" s="165"/>
      <c r="D434" s="165"/>
      <c r="E434" s="292"/>
      <c r="F434" s="277"/>
      <c r="G434" s="165"/>
      <c r="H434" s="277"/>
      <c r="I434" s="277"/>
      <c r="J434" s="165"/>
      <c r="K434" s="165"/>
      <c r="L434" s="165"/>
      <c r="M434" s="165"/>
      <c r="N434" s="165"/>
      <c r="O434" s="165"/>
      <c r="P434" s="165"/>
      <c r="Q434" s="165"/>
      <c r="R434" s="165"/>
      <c r="S434" s="165"/>
      <c r="T434" s="165"/>
      <c r="U434" s="165"/>
      <c r="V434" s="165"/>
      <c r="W434" s="165"/>
      <c r="X434" s="165" t="str">
        <f>IFERROR(__xludf.DUMMYFUNCTION("""COMPUTED_VALUE"""),"CC-CTH-21.01")</f>
        <v>CC-CTH-21.01</v>
      </c>
      <c r="Y434" s="285" t="str">
        <f>IFERROR(__xludf.DUMMYFUNCTION("""COMPUTED_VALUE"""),"Not Started")</f>
        <v>Not Started</v>
      </c>
      <c r="Z434" s="284">
        <f>IFERROR(__xludf.DUMMYFUNCTION("""COMPUTED_VALUE"""),45244.0)</f>
        <v>45244</v>
      </c>
      <c r="AA434" s="165" t="str">
        <f>IFERROR(__xludf.DUMMYFUNCTION("""COMPUTED_VALUE"""),"Naveen")</f>
        <v>Naveen</v>
      </c>
      <c r="AB434" s="165" t="str">
        <f>IFERROR(__xludf.DUMMYFUNCTION("""COMPUTED_VALUE"""),"Script")</f>
        <v>Script</v>
      </c>
      <c r="AC434" s="165"/>
      <c r="AD434" s="165"/>
      <c r="AE434" s="165"/>
      <c r="AF434" s="165"/>
      <c r="AG434" s="165"/>
      <c r="AH434" s="165"/>
      <c r="AI434" s="165"/>
      <c r="AJ434" s="165"/>
      <c r="AK434" s="165"/>
      <c r="AL434" s="165"/>
    </row>
    <row r="435">
      <c r="A435" s="165"/>
      <c r="B435" s="165"/>
      <c r="C435" s="165"/>
      <c r="D435" s="165"/>
      <c r="E435" s="292"/>
      <c r="F435" s="277"/>
      <c r="G435" s="165"/>
      <c r="H435" s="277"/>
      <c r="I435" s="277"/>
      <c r="J435" s="165"/>
      <c r="K435" s="165"/>
      <c r="L435" s="165"/>
      <c r="M435" s="165"/>
      <c r="N435" s="165"/>
      <c r="O435" s="165"/>
      <c r="P435" s="165"/>
      <c r="Q435" s="165"/>
      <c r="R435" s="165"/>
      <c r="S435" s="165"/>
      <c r="T435" s="165"/>
      <c r="U435" s="165"/>
      <c r="V435" s="165"/>
      <c r="W435" s="165"/>
      <c r="X435" s="165" t="str">
        <f>IFERROR(__xludf.DUMMYFUNCTION("""COMPUTED_VALUE"""),"CC-INN-33.02")</f>
        <v>CC-INN-33.02</v>
      </c>
      <c r="Y435" s="285" t="str">
        <f>IFERROR(__xludf.DUMMYFUNCTION("""COMPUTED_VALUE"""),"Not Started")</f>
        <v>Not Started</v>
      </c>
      <c r="Z435" s="284">
        <f>IFERROR(__xludf.DUMMYFUNCTION("""COMPUTED_VALUE"""),45244.0)</f>
        <v>45244</v>
      </c>
      <c r="AA435" s="165" t="str">
        <f>IFERROR(__xludf.DUMMYFUNCTION("""COMPUTED_VALUE"""),"Naveen")</f>
        <v>Naveen</v>
      </c>
      <c r="AB435" s="165" t="str">
        <f>IFERROR(__xludf.DUMMYFUNCTION("""COMPUTED_VALUE"""),"Shoot")</f>
        <v>Shoot</v>
      </c>
      <c r="AC435" s="165"/>
      <c r="AD435" s="165"/>
      <c r="AE435" s="165"/>
      <c r="AF435" s="165"/>
      <c r="AG435" s="165"/>
      <c r="AH435" s="165"/>
      <c r="AI435" s="165"/>
      <c r="AJ435" s="165"/>
      <c r="AK435" s="165"/>
      <c r="AL435" s="165"/>
    </row>
    <row r="436">
      <c r="A436" s="165"/>
      <c r="B436" s="165"/>
      <c r="C436" s="165"/>
      <c r="D436" s="165"/>
      <c r="E436" s="292"/>
      <c r="F436" s="277"/>
      <c r="G436" s="165"/>
      <c r="H436" s="277"/>
      <c r="I436" s="277"/>
      <c r="J436" s="165"/>
      <c r="K436" s="165"/>
      <c r="L436" s="165"/>
      <c r="M436" s="165"/>
      <c r="N436" s="165"/>
      <c r="O436" s="165"/>
      <c r="P436" s="165"/>
      <c r="Q436" s="165"/>
      <c r="R436" s="165"/>
      <c r="S436" s="165"/>
      <c r="T436" s="165"/>
      <c r="U436" s="165"/>
      <c r="V436" s="165"/>
      <c r="W436" s="165"/>
      <c r="X436" s="165" t="str">
        <f>IFERROR(__xludf.DUMMYFUNCTION("""COMPUTED_VALUE"""),"PM-PTS-06.05")</f>
        <v>PM-PTS-06.05</v>
      </c>
      <c r="Y436" s="285" t="str">
        <f>IFERROR(__xludf.DUMMYFUNCTION("""COMPUTED_VALUE"""),"Not Started")</f>
        <v>Not Started</v>
      </c>
      <c r="Z436" s="284">
        <f>IFERROR(__xludf.DUMMYFUNCTION("""COMPUTED_VALUE"""),45244.0)</f>
        <v>45244</v>
      </c>
      <c r="AA436" s="165" t="str">
        <f>IFERROR(__xludf.DUMMYFUNCTION("""COMPUTED_VALUE"""),"Tazeen")</f>
        <v>Tazeen</v>
      </c>
      <c r="AB436" s="165" t="str">
        <f>IFERROR(__xludf.DUMMYFUNCTION("""COMPUTED_VALUE"""),"Edit")</f>
        <v>Edit</v>
      </c>
      <c r="AC436" s="165"/>
      <c r="AD436" s="165"/>
      <c r="AE436" s="165"/>
      <c r="AF436" s="165"/>
      <c r="AG436" s="165"/>
      <c r="AH436" s="165"/>
      <c r="AI436" s="165"/>
      <c r="AJ436" s="165"/>
      <c r="AK436" s="165"/>
      <c r="AL436" s="165"/>
    </row>
    <row r="437">
      <c r="A437" s="165"/>
      <c r="B437" s="165"/>
      <c r="C437" s="165"/>
      <c r="D437" s="165"/>
      <c r="E437" s="292"/>
      <c r="F437" s="277"/>
      <c r="G437" s="165"/>
      <c r="H437" s="277"/>
      <c r="I437" s="277"/>
      <c r="J437" s="165"/>
      <c r="K437" s="165"/>
      <c r="L437" s="165"/>
      <c r="M437" s="165"/>
      <c r="N437" s="165"/>
      <c r="O437" s="165"/>
      <c r="P437" s="165"/>
      <c r="Q437" s="165"/>
      <c r="R437" s="165"/>
      <c r="S437" s="165"/>
      <c r="T437" s="165"/>
      <c r="U437" s="165"/>
      <c r="V437" s="165"/>
      <c r="W437" s="165"/>
      <c r="X437" s="165" t="str">
        <f>IFERROR(__xludf.DUMMYFUNCTION("""COMPUTED_VALUE"""),"PM-PTS-06.06")</f>
        <v>PM-PTS-06.06</v>
      </c>
      <c r="Y437" s="285" t="str">
        <f>IFERROR(__xludf.DUMMYFUNCTION("""COMPUTED_VALUE"""),"Not Started")</f>
        <v>Not Started</v>
      </c>
      <c r="Z437" s="284">
        <f>IFERROR(__xludf.DUMMYFUNCTION("""COMPUTED_VALUE"""),45244.0)</f>
        <v>45244</v>
      </c>
      <c r="AA437" s="165" t="str">
        <f>IFERROR(__xludf.DUMMYFUNCTION("""COMPUTED_VALUE"""),"Nasser")</f>
        <v>Nasser</v>
      </c>
      <c r="AB437" s="165" t="str">
        <f>IFERROR(__xludf.DUMMYFUNCTION("""COMPUTED_VALUE"""),"Finalise")</f>
        <v>Finalise</v>
      </c>
      <c r="AC437" s="165"/>
      <c r="AD437" s="165"/>
      <c r="AE437" s="165"/>
      <c r="AF437" s="165"/>
      <c r="AG437" s="165"/>
      <c r="AH437" s="165"/>
      <c r="AI437" s="165"/>
      <c r="AJ437" s="165"/>
      <c r="AK437" s="165"/>
      <c r="AL437" s="165"/>
    </row>
    <row r="438">
      <c r="A438" s="165"/>
      <c r="B438" s="165"/>
      <c r="C438" s="165"/>
      <c r="D438" s="165"/>
      <c r="E438" s="292"/>
      <c r="F438" s="277"/>
      <c r="G438" s="165"/>
      <c r="H438" s="277"/>
      <c r="I438" s="277"/>
      <c r="J438" s="165"/>
      <c r="K438" s="165"/>
      <c r="L438" s="165"/>
      <c r="M438" s="165"/>
      <c r="N438" s="165"/>
      <c r="O438" s="165"/>
      <c r="P438" s="165"/>
      <c r="Q438" s="165"/>
      <c r="R438" s="165"/>
      <c r="S438" s="165"/>
      <c r="T438" s="165"/>
      <c r="U438" s="165"/>
      <c r="V438" s="165"/>
      <c r="W438" s="165"/>
      <c r="X438" s="165" t="str">
        <f>IFERROR(__xludf.DUMMYFUNCTION("""COMPUTED_VALUE"""),"PM-PTS-06.07")</f>
        <v>PM-PTS-06.07</v>
      </c>
      <c r="Y438" s="285" t="str">
        <f>IFERROR(__xludf.DUMMYFUNCTION("""COMPUTED_VALUE"""),"On Hold")</f>
        <v>On Hold</v>
      </c>
      <c r="Z438" s="284">
        <f>IFERROR(__xludf.DUMMYFUNCTION("""COMPUTED_VALUE"""),45244.0)</f>
        <v>45244</v>
      </c>
      <c r="AA438" s="165" t="str">
        <f>IFERROR(__xludf.DUMMYFUNCTION("""COMPUTED_VALUE"""),"Talha")</f>
        <v>Talha</v>
      </c>
      <c r="AB438" s="165" t="str">
        <f>IFERROR(__xludf.DUMMYFUNCTION("""COMPUTED_VALUE"""),"Deliver")</f>
        <v>Deliver</v>
      </c>
      <c r="AC438" s="165"/>
      <c r="AD438" s="165"/>
      <c r="AE438" s="165"/>
      <c r="AF438" s="165"/>
      <c r="AG438" s="165"/>
      <c r="AH438" s="165"/>
      <c r="AI438" s="165"/>
      <c r="AJ438" s="165"/>
      <c r="AK438" s="165"/>
      <c r="AL438" s="165"/>
    </row>
    <row r="439">
      <c r="A439" s="165"/>
      <c r="B439" s="165"/>
      <c r="C439" s="165"/>
      <c r="D439" s="165"/>
      <c r="E439" s="292"/>
      <c r="F439" s="277"/>
      <c r="G439" s="165"/>
      <c r="H439" s="277"/>
      <c r="I439" s="277"/>
      <c r="J439" s="165"/>
      <c r="K439" s="165"/>
      <c r="L439" s="165"/>
      <c r="M439" s="165"/>
      <c r="N439" s="165"/>
      <c r="O439" s="165"/>
      <c r="P439" s="165"/>
      <c r="Q439" s="165"/>
      <c r="R439" s="165"/>
      <c r="S439" s="165"/>
      <c r="T439" s="165"/>
      <c r="U439" s="165"/>
      <c r="V439" s="165"/>
      <c r="W439" s="165"/>
      <c r="X439" s="165" t="str">
        <f>IFERROR(__xludf.DUMMYFUNCTION("""COMPUTED_VALUE"""),"PM-MVP-04.01")</f>
        <v>PM-MVP-04.01</v>
      </c>
      <c r="Y439" s="285" t="str">
        <f>IFERROR(__xludf.DUMMYFUNCTION("""COMPUTED_VALUE"""),"In Review")</f>
        <v>In Review</v>
      </c>
      <c r="Z439" s="284">
        <f>IFERROR(__xludf.DUMMYFUNCTION("""COMPUTED_VALUE"""),45244.0)</f>
        <v>45244</v>
      </c>
      <c r="AA439" s="165" t="str">
        <f>IFERROR(__xludf.DUMMYFUNCTION("""COMPUTED_VALUE"""),"Naveen")</f>
        <v>Naveen</v>
      </c>
      <c r="AB439" s="165" t="str">
        <f>IFERROR(__xludf.DUMMYFUNCTION("""COMPUTED_VALUE"""),"GPU Cluster")</f>
        <v>GPU Cluster</v>
      </c>
      <c r="AC439" s="165"/>
      <c r="AD439" s="165"/>
      <c r="AE439" s="165"/>
      <c r="AF439" s="165"/>
      <c r="AG439" s="165"/>
      <c r="AH439" s="165"/>
      <c r="AI439" s="165"/>
      <c r="AJ439" s="165"/>
      <c r="AK439" s="165"/>
      <c r="AL439" s="165"/>
    </row>
    <row r="440">
      <c r="A440" s="165"/>
      <c r="B440" s="165"/>
      <c r="C440" s="165"/>
      <c r="D440" s="165"/>
      <c r="E440" s="292"/>
      <c r="F440" s="277"/>
      <c r="G440" s="165"/>
      <c r="H440" s="277"/>
      <c r="I440" s="277"/>
      <c r="J440" s="165"/>
      <c r="K440" s="165"/>
      <c r="L440" s="165"/>
      <c r="M440" s="165"/>
      <c r="N440" s="165"/>
      <c r="O440" s="165"/>
      <c r="P440" s="165"/>
      <c r="Q440" s="165"/>
      <c r="R440" s="165"/>
      <c r="S440" s="165"/>
      <c r="T440" s="165"/>
      <c r="U440" s="165"/>
      <c r="V440" s="165"/>
      <c r="W440" s="165"/>
      <c r="X440" s="165" t="str">
        <f>IFERROR(__xludf.DUMMYFUNCTION("""COMPUTED_VALUE"""),"PM-MVP-04.02")</f>
        <v>PM-MVP-04.02</v>
      </c>
      <c r="Y440" s="285" t="str">
        <f>IFERROR(__xludf.DUMMYFUNCTION("""COMPUTED_VALUE"""),"In Review")</f>
        <v>In Review</v>
      </c>
      <c r="Z440" s="284">
        <f>IFERROR(__xludf.DUMMYFUNCTION("""COMPUTED_VALUE"""),45244.0)</f>
        <v>45244</v>
      </c>
      <c r="AA440" s="165" t="str">
        <f>IFERROR(__xludf.DUMMYFUNCTION("""COMPUTED_VALUE"""),"Naveen")</f>
        <v>Naveen</v>
      </c>
      <c r="AB440" s="165" t="str">
        <f>IFERROR(__xludf.DUMMYFUNCTION("""COMPUTED_VALUE"""),"Storage Server")</f>
        <v>Storage Server</v>
      </c>
      <c r="AC440" s="165"/>
      <c r="AD440" s="165"/>
      <c r="AE440" s="165"/>
      <c r="AF440" s="165"/>
      <c r="AG440" s="165"/>
      <c r="AH440" s="165"/>
      <c r="AI440" s="165"/>
      <c r="AJ440" s="165"/>
      <c r="AK440" s="165"/>
      <c r="AL440" s="165"/>
    </row>
    <row r="441">
      <c r="A441" s="165"/>
      <c r="B441" s="165"/>
      <c r="C441" s="165"/>
      <c r="D441" s="165"/>
      <c r="E441" s="292"/>
      <c r="F441" s="277"/>
      <c r="G441" s="165"/>
      <c r="H441" s="277"/>
      <c r="I441" s="277"/>
      <c r="J441" s="165"/>
      <c r="K441" s="165"/>
      <c r="L441" s="165"/>
      <c r="M441" s="165"/>
      <c r="N441" s="165"/>
      <c r="O441" s="165"/>
      <c r="P441" s="165"/>
      <c r="Q441" s="165"/>
      <c r="R441" s="165"/>
      <c r="S441" s="165"/>
      <c r="T441" s="165"/>
      <c r="U441" s="165"/>
      <c r="V441" s="165"/>
      <c r="W441" s="165"/>
      <c r="X441" s="165" t="str">
        <f>IFERROR(__xludf.DUMMYFUNCTION("""COMPUTED_VALUE"""),"PM-MVP-04.03")</f>
        <v>PM-MVP-04.03</v>
      </c>
      <c r="Y441" s="285" t="str">
        <f>IFERROR(__xludf.DUMMYFUNCTION("""COMPUTED_VALUE"""),"Not Started")</f>
        <v>Not Started</v>
      </c>
      <c r="Z441" s="284">
        <f>IFERROR(__xludf.DUMMYFUNCTION("""COMPUTED_VALUE"""),45244.0)</f>
        <v>45244</v>
      </c>
      <c r="AA441" s="165" t="str">
        <f>IFERROR(__xludf.DUMMYFUNCTION("""COMPUTED_VALUE"""),"Naveen")</f>
        <v>Naveen</v>
      </c>
      <c r="AB441" s="165" t="str">
        <f>IFERROR(__xludf.DUMMYFUNCTION("""COMPUTED_VALUE"""),"Virtual Machines")</f>
        <v>Virtual Machines</v>
      </c>
      <c r="AC441" s="165"/>
      <c r="AD441" s="165"/>
      <c r="AE441" s="165"/>
      <c r="AF441" s="165"/>
      <c r="AG441" s="165"/>
      <c r="AH441" s="165"/>
      <c r="AI441" s="165"/>
      <c r="AJ441" s="165"/>
      <c r="AK441" s="165"/>
      <c r="AL441" s="165"/>
    </row>
    <row r="442">
      <c r="A442" s="165"/>
      <c r="B442" s="165"/>
      <c r="C442" s="165"/>
      <c r="D442" s="165"/>
      <c r="E442" s="292"/>
      <c r="F442" s="277"/>
      <c r="G442" s="165"/>
      <c r="H442" s="277"/>
      <c r="I442" s="277"/>
      <c r="J442" s="165"/>
      <c r="K442" s="165"/>
      <c r="L442" s="165"/>
      <c r="M442" s="165"/>
      <c r="N442" s="165"/>
      <c r="O442" s="165"/>
      <c r="P442" s="165"/>
      <c r="Q442" s="165"/>
      <c r="R442" s="165"/>
      <c r="S442" s="165"/>
      <c r="T442" s="165"/>
      <c r="U442" s="165"/>
      <c r="V442" s="165"/>
      <c r="W442" s="165"/>
      <c r="X442" s="165" t="str">
        <f>IFERROR(__xludf.DUMMYFUNCTION("""COMPUTED_VALUE"""),"PM-MVP-04.04")</f>
        <v>PM-MVP-04.04</v>
      </c>
      <c r="Y442" s="285" t="str">
        <f>IFERROR(__xludf.DUMMYFUNCTION("""COMPUTED_VALUE"""),"In Review")</f>
        <v>In Review</v>
      </c>
      <c r="Z442" s="284">
        <f>IFERROR(__xludf.DUMMYFUNCTION("""COMPUTED_VALUE"""),45244.0)</f>
        <v>45244</v>
      </c>
      <c r="AA442" s="165" t="str">
        <f>IFERROR(__xludf.DUMMYFUNCTION("""COMPUTED_VALUE"""),"Naveen")</f>
        <v>Naveen</v>
      </c>
      <c r="AB442" s="165" t="str">
        <f>IFERROR(__xludf.DUMMYFUNCTION("""COMPUTED_VALUE"""),"Workstations")</f>
        <v>Workstations</v>
      </c>
      <c r="AC442" s="165"/>
      <c r="AD442" s="165"/>
      <c r="AE442" s="165"/>
      <c r="AF442" s="165"/>
      <c r="AG442" s="165"/>
      <c r="AH442" s="165"/>
      <c r="AI442" s="165"/>
      <c r="AJ442" s="165"/>
      <c r="AK442" s="165"/>
      <c r="AL442" s="165"/>
    </row>
    <row r="443">
      <c r="A443" s="165"/>
      <c r="B443" s="165"/>
      <c r="C443" s="165"/>
      <c r="D443" s="165"/>
      <c r="E443" s="292"/>
      <c r="F443" s="277"/>
      <c r="G443" s="165"/>
      <c r="H443" s="277"/>
      <c r="I443" s="277"/>
      <c r="J443" s="165"/>
      <c r="K443" s="165"/>
      <c r="L443" s="165"/>
      <c r="M443" s="165"/>
      <c r="N443" s="165"/>
      <c r="O443" s="165"/>
      <c r="P443" s="165"/>
      <c r="Q443" s="165"/>
      <c r="R443" s="165"/>
      <c r="S443" s="165"/>
      <c r="T443" s="165"/>
      <c r="U443" s="165"/>
      <c r="V443" s="165"/>
      <c r="W443" s="165"/>
      <c r="X443" s="165" t="str">
        <f>IFERROR(__xludf.DUMMYFUNCTION("""COMPUTED_VALUE"""),"PM-MVP-04.05")</f>
        <v>PM-MVP-04.05</v>
      </c>
      <c r="Y443" s="285" t="str">
        <f>IFERROR(__xludf.DUMMYFUNCTION("""COMPUTED_VALUE"""),"In Review")</f>
        <v>In Review</v>
      </c>
      <c r="Z443" s="284">
        <f>IFERROR(__xludf.DUMMYFUNCTION("""COMPUTED_VALUE"""),45244.0)</f>
        <v>45244</v>
      </c>
      <c r="AA443" s="165" t="str">
        <f>IFERROR(__xludf.DUMMYFUNCTION("""COMPUTED_VALUE"""),"Naveen")</f>
        <v>Naveen</v>
      </c>
      <c r="AB443" s="165" t="str">
        <f>IFERROR(__xludf.DUMMYFUNCTION("""COMPUTED_VALUE"""),"Redesign")</f>
        <v>Redesign</v>
      </c>
      <c r="AC443" s="165"/>
      <c r="AD443" s="165"/>
      <c r="AE443" s="165"/>
      <c r="AF443" s="165"/>
      <c r="AG443" s="165"/>
      <c r="AH443" s="165"/>
      <c r="AI443" s="165"/>
      <c r="AJ443" s="165"/>
      <c r="AK443" s="165"/>
      <c r="AL443" s="165"/>
    </row>
    <row r="444">
      <c r="A444" s="165"/>
      <c r="B444" s="165"/>
      <c r="C444" s="165"/>
      <c r="D444" s="165"/>
      <c r="E444" s="292"/>
      <c r="F444" s="277"/>
      <c r="G444" s="165"/>
      <c r="H444" s="277"/>
      <c r="I444" s="277"/>
      <c r="J444" s="165"/>
      <c r="K444" s="165"/>
      <c r="L444" s="165"/>
      <c r="M444" s="165"/>
      <c r="N444" s="165"/>
      <c r="O444" s="165"/>
      <c r="P444" s="165"/>
      <c r="Q444" s="165"/>
      <c r="R444" s="165"/>
      <c r="S444" s="165"/>
      <c r="T444" s="165"/>
      <c r="U444" s="165"/>
      <c r="V444" s="165"/>
      <c r="W444" s="165"/>
      <c r="X444" s="165" t="str">
        <f>IFERROR(__xludf.DUMMYFUNCTION("""COMPUTED_VALUE"""),"CC-MVP-83.07")</f>
        <v>CC-MVP-83.07</v>
      </c>
      <c r="Y444" s="285" t="str">
        <f>IFERROR(__xludf.DUMMYFUNCTION("""COMPUTED_VALUE"""),"Not Started")</f>
        <v>Not Started</v>
      </c>
      <c r="Z444" s="284">
        <f>IFERROR(__xludf.DUMMYFUNCTION("""COMPUTED_VALUE"""),45245.0)</f>
        <v>45245</v>
      </c>
      <c r="AA444" s="165"/>
      <c r="AB444" s="165" t="str">
        <f>IFERROR(__xludf.DUMMYFUNCTION("""COMPUTED_VALUE"""),"Upload")</f>
        <v>Upload</v>
      </c>
      <c r="AC444" s="165"/>
      <c r="AD444" s="165"/>
      <c r="AE444" s="165"/>
      <c r="AF444" s="165"/>
      <c r="AG444" s="165"/>
      <c r="AH444" s="165"/>
      <c r="AI444" s="165"/>
      <c r="AJ444" s="165"/>
      <c r="AK444" s="165"/>
      <c r="AL444" s="165"/>
    </row>
    <row r="445">
      <c r="A445" s="165"/>
      <c r="B445" s="165"/>
      <c r="C445" s="165"/>
      <c r="D445" s="165"/>
      <c r="E445" s="292"/>
      <c r="F445" s="277"/>
      <c r="G445" s="165"/>
      <c r="H445" s="277"/>
      <c r="I445" s="277"/>
      <c r="J445" s="165"/>
      <c r="K445" s="165"/>
      <c r="L445" s="165"/>
      <c r="M445" s="165"/>
      <c r="N445" s="165"/>
      <c r="O445" s="165"/>
      <c r="P445" s="165"/>
      <c r="Q445" s="165"/>
      <c r="R445" s="165"/>
      <c r="S445" s="165"/>
      <c r="T445" s="165"/>
      <c r="U445" s="165"/>
      <c r="V445" s="165"/>
      <c r="W445" s="165"/>
      <c r="X445" s="165" t="str">
        <f>IFERROR(__xludf.DUMMYFUNCTION("""COMPUTED_VALUE"""),"CC-MVP-97.04")</f>
        <v>CC-MVP-97.04</v>
      </c>
      <c r="Y445" s="285" t="str">
        <f>IFERROR(__xludf.DUMMYFUNCTION("""COMPUTED_VALUE"""),"Not Started")</f>
        <v>Not Started</v>
      </c>
      <c r="Z445" s="284">
        <f>IFERROR(__xludf.DUMMYFUNCTION("""COMPUTED_VALUE"""),45245.0)</f>
        <v>45245</v>
      </c>
      <c r="AA445" s="165" t="str">
        <f>IFERROR(__xludf.DUMMYFUNCTION("""COMPUTED_VALUE"""),"Talha")</f>
        <v>Talha</v>
      </c>
      <c r="AB445" s="165" t="str">
        <f>IFERROR(__xludf.DUMMYFUNCTION("""COMPUTED_VALUE"""),"Upload")</f>
        <v>Upload</v>
      </c>
      <c r="AC445" s="165"/>
      <c r="AD445" s="165"/>
      <c r="AE445" s="165"/>
      <c r="AF445" s="165"/>
      <c r="AG445" s="165"/>
      <c r="AH445" s="165"/>
      <c r="AI445" s="165"/>
      <c r="AJ445" s="165"/>
      <c r="AK445" s="165"/>
      <c r="AL445" s="165"/>
    </row>
    <row r="446">
      <c r="A446" s="165"/>
      <c r="B446" s="165"/>
      <c r="C446" s="165"/>
      <c r="D446" s="165"/>
      <c r="E446" s="292"/>
      <c r="F446" s="277"/>
      <c r="G446" s="165"/>
      <c r="H446" s="277"/>
      <c r="I446" s="277"/>
      <c r="J446" s="165"/>
      <c r="K446" s="165"/>
      <c r="L446" s="165"/>
      <c r="M446" s="165"/>
      <c r="N446" s="165"/>
      <c r="O446" s="165"/>
      <c r="P446" s="165"/>
      <c r="Q446" s="165"/>
      <c r="R446" s="165"/>
      <c r="S446" s="165"/>
      <c r="T446" s="165"/>
      <c r="U446" s="165"/>
      <c r="V446" s="165"/>
      <c r="W446" s="165"/>
      <c r="X446" s="165" t="str">
        <f>IFERROR(__xludf.DUMMYFUNCTION("""COMPUTED_VALUE"""),"CC-MVP-110.04")</f>
        <v>CC-MVP-110.04</v>
      </c>
      <c r="Y446" s="285" t="str">
        <f>IFERROR(__xludf.DUMMYFUNCTION("""COMPUTED_VALUE"""),"Not Started")</f>
        <v>Not Started</v>
      </c>
      <c r="Z446" s="284">
        <f>IFERROR(__xludf.DUMMYFUNCTION("""COMPUTED_VALUE"""),45245.0)</f>
        <v>45245</v>
      </c>
      <c r="AA446" s="165" t="str">
        <f>IFERROR(__xludf.DUMMYFUNCTION("""COMPUTED_VALUE"""),"Tazeen")</f>
        <v>Tazeen</v>
      </c>
      <c r="AB446" s="165" t="str">
        <f>IFERROR(__xludf.DUMMYFUNCTION("""COMPUTED_VALUE"""),"Upload")</f>
        <v>Upload</v>
      </c>
      <c r="AC446" s="165"/>
      <c r="AD446" s="165"/>
      <c r="AE446" s="165"/>
      <c r="AF446" s="165"/>
      <c r="AG446" s="165"/>
      <c r="AH446" s="165"/>
      <c r="AI446" s="165"/>
      <c r="AJ446" s="165"/>
      <c r="AK446" s="165"/>
      <c r="AL446" s="165"/>
    </row>
    <row r="447">
      <c r="A447" s="165"/>
      <c r="B447" s="165"/>
      <c r="C447" s="165"/>
      <c r="D447" s="165"/>
      <c r="E447" s="292"/>
      <c r="F447" s="277"/>
      <c r="G447" s="165"/>
      <c r="H447" s="277"/>
      <c r="I447" s="277"/>
      <c r="J447" s="165"/>
      <c r="K447" s="165"/>
      <c r="L447" s="165"/>
      <c r="M447" s="165"/>
      <c r="N447" s="165"/>
      <c r="O447" s="165"/>
      <c r="P447" s="165"/>
      <c r="Q447" s="165"/>
      <c r="R447" s="165"/>
      <c r="S447" s="165"/>
      <c r="T447" s="165"/>
      <c r="U447" s="165"/>
      <c r="V447" s="165"/>
      <c r="W447" s="165"/>
      <c r="X447" s="165" t="str">
        <f>IFERROR(__xludf.DUMMYFUNCTION("""COMPUTED_VALUE"""),"CC-MVP-89.05")</f>
        <v>CC-MVP-89.05</v>
      </c>
      <c r="Y447" s="285" t="str">
        <f>IFERROR(__xludf.DUMMYFUNCTION("""COMPUTED_VALUE"""),"Not Started")</f>
        <v>Not Started</v>
      </c>
      <c r="Z447" s="284">
        <f>IFERROR(__xludf.DUMMYFUNCTION("""COMPUTED_VALUE"""),45245.0)</f>
        <v>45245</v>
      </c>
      <c r="AA447" s="165" t="str">
        <f>IFERROR(__xludf.DUMMYFUNCTION("""COMPUTED_VALUE"""),"Naveen")</f>
        <v>Naveen</v>
      </c>
      <c r="AB447" s="165" t="str">
        <f>IFERROR(__xludf.DUMMYFUNCTION("""COMPUTED_VALUE"""),"Thumbnail")</f>
        <v>Thumbnail</v>
      </c>
      <c r="AC447" s="165"/>
      <c r="AD447" s="165"/>
      <c r="AE447" s="165"/>
      <c r="AF447" s="165"/>
      <c r="AG447" s="165"/>
      <c r="AH447" s="165"/>
      <c r="AI447" s="165"/>
      <c r="AJ447" s="165"/>
      <c r="AK447" s="165"/>
      <c r="AL447" s="165"/>
    </row>
    <row r="448">
      <c r="A448" s="165"/>
      <c r="B448" s="165"/>
      <c r="C448" s="165"/>
      <c r="D448" s="165"/>
      <c r="E448" s="292"/>
      <c r="F448" s="277"/>
      <c r="G448" s="165"/>
      <c r="H448" s="277"/>
      <c r="I448" s="277"/>
      <c r="J448" s="165"/>
      <c r="K448" s="165"/>
      <c r="L448" s="165"/>
      <c r="M448" s="165"/>
      <c r="N448" s="165"/>
      <c r="O448" s="165"/>
      <c r="P448" s="165"/>
      <c r="Q448" s="165"/>
      <c r="R448" s="165"/>
      <c r="S448" s="165"/>
      <c r="T448" s="165"/>
      <c r="U448" s="165"/>
      <c r="V448" s="165"/>
      <c r="W448" s="165"/>
      <c r="X448" s="165" t="str">
        <f>IFERROR(__xludf.DUMMYFUNCTION("""COMPUTED_VALUE"""),"CC-MVP-86.06")</f>
        <v>CC-MVP-86.06</v>
      </c>
      <c r="Y448" s="285" t="str">
        <f>IFERROR(__xludf.DUMMYFUNCTION("""COMPUTED_VALUE"""),"Not Started")</f>
        <v>Not Started</v>
      </c>
      <c r="Z448" s="284">
        <f>IFERROR(__xludf.DUMMYFUNCTION("""COMPUTED_VALUE"""),45245.0)</f>
        <v>45245</v>
      </c>
      <c r="AA448" s="165" t="str">
        <f>IFERROR(__xludf.DUMMYFUNCTION("""COMPUTED_VALUE"""),"Naveen")</f>
        <v>Naveen</v>
      </c>
      <c r="AB448" s="165" t="str">
        <f>IFERROR(__xludf.DUMMYFUNCTION("""COMPUTED_VALUE"""),"Thumbnail")</f>
        <v>Thumbnail</v>
      </c>
      <c r="AC448" s="165"/>
      <c r="AD448" s="165"/>
      <c r="AE448" s="165"/>
      <c r="AF448" s="165"/>
      <c r="AG448" s="165"/>
      <c r="AH448" s="165"/>
      <c r="AI448" s="165"/>
      <c r="AJ448" s="165"/>
      <c r="AK448" s="165"/>
      <c r="AL448" s="165"/>
    </row>
    <row r="449">
      <c r="A449" s="165"/>
      <c r="B449" s="165"/>
      <c r="C449" s="165"/>
      <c r="D449" s="165"/>
      <c r="E449" s="292"/>
      <c r="F449" s="277"/>
      <c r="G449" s="165"/>
      <c r="H449" s="277"/>
      <c r="I449" s="277"/>
      <c r="J449" s="165"/>
      <c r="K449" s="165"/>
      <c r="L449" s="165"/>
      <c r="M449" s="165"/>
      <c r="N449" s="165"/>
      <c r="O449" s="165"/>
      <c r="P449" s="165"/>
      <c r="Q449" s="165"/>
      <c r="R449" s="165"/>
      <c r="S449" s="165"/>
      <c r="T449" s="165"/>
      <c r="U449" s="165"/>
      <c r="V449" s="165"/>
      <c r="W449" s="165"/>
      <c r="X449" s="165" t="str">
        <f>IFERROR(__xludf.DUMMYFUNCTION("""COMPUTED_VALUE"""),"CC-MVP-103.02")</f>
        <v>CC-MVP-103.02</v>
      </c>
      <c r="Y449" s="285" t="str">
        <f>IFERROR(__xludf.DUMMYFUNCTION("""COMPUTED_VALUE"""),"Not Started")</f>
        <v>Not Started</v>
      </c>
      <c r="Z449" s="284">
        <f>IFERROR(__xludf.DUMMYFUNCTION("""COMPUTED_VALUE"""),45245.0)</f>
        <v>45245</v>
      </c>
      <c r="AA449" s="165" t="str">
        <f>IFERROR(__xludf.DUMMYFUNCTION("""COMPUTED_VALUE"""),"Nasser")</f>
        <v>Nasser</v>
      </c>
      <c r="AB449" s="165" t="str">
        <f>IFERROR(__xludf.DUMMYFUNCTION("""COMPUTED_VALUE"""),"Edit")</f>
        <v>Edit</v>
      </c>
      <c r="AC449" s="165"/>
      <c r="AD449" s="165"/>
      <c r="AE449" s="165"/>
      <c r="AF449" s="165"/>
      <c r="AG449" s="165"/>
      <c r="AH449" s="165"/>
      <c r="AI449" s="165"/>
      <c r="AJ449" s="165"/>
      <c r="AK449" s="165"/>
      <c r="AL449" s="165"/>
    </row>
    <row r="450">
      <c r="A450" s="165"/>
      <c r="B450" s="165"/>
      <c r="C450" s="165"/>
      <c r="D450" s="165"/>
      <c r="E450" s="292"/>
      <c r="F450" s="277"/>
      <c r="G450" s="165"/>
      <c r="H450" s="277"/>
      <c r="I450" s="277"/>
      <c r="J450" s="165"/>
      <c r="K450" s="165"/>
      <c r="L450" s="165"/>
      <c r="M450" s="165"/>
      <c r="N450" s="165"/>
      <c r="O450" s="165"/>
      <c r="P450" s="165"/>
      <c r="Q450" s="165"/>
      <c r="R450" s="165"/>
      <c r="S450" s="165"/>
      <c r="T450" s="165"/>
      <c r="U450" s="165"/>
      <c r="V450" s="165"/>
      <c r="W450" s="165"/>
      <c r="X450" s="165" t="str">
        <f>IFERROR(__xludf.DUMMYFUNCTION("""COMPUTED_VALUE"""),"CC-MVP-114.05")</f>
        <v>CC-MVP-114.05</v>
      </c>
      <c r="Y450" s="285" t="str">
        <f>IFERROR(__xludf.DUMMYFUNCTION("""COMPUTED_VALUE"""),"Not Started")</f>
        <v>Not Started</v>
      </c>
      <c r="Z450" s="284">
        <f>IFERROR(__xludf.DUMMYFUNCTION("""COMPUTED_VALUE"""),45245.0)</f>
        <v>45245</v>
      </c>
      <c r="AA450" s="165" t="str">
        <f>IFERROR(__xludf.DUMMYFUNCTION("""COMPUTED_VALUE"""),"Jayanth")</f>
        <v>Jayanth</v>
      </c>
      <c r="AB450" s="165" t="str">
        <f>IFERROR(__xludf.DUMMYFUNCTION("""COMPUTED_VALUE"""),"Edit")</f>
        <v>Edit</v>
      </c>
      <c r="AC450" s="165"/>
      <c r="AD450" s="165"/>
      <c r="AE450" s="165"/>
      <c r="AF450" s="165"/>
      <c r="AG450" s="165"/>
      <c r="AH450" s="165"/>
      <c r="AI450" s="165"/>
      <c r="AJ450" s="165"/>
      <c r="AK450" s="165"/>
      <c r="AL450" s="165"/>
    </row>
    <row r="451">
      <c r="A451" s="165"/>
      <c r="B451" s="165"/>
      <c r="C451" s="165"/>
      <c r="D451" s="165"/>
      <c r="E451" s="292"/>
      <c r="F451" s="277"/>
      <c r="G451" s="165"/>
      <c r="H451" s="277"/>
      <c r="I451" s="277"/>
      <c r="J451" s="165"/>
      <c r="K451" s="165"/>
      <c r="L451" s="165"/>
      <c r="M451" s="165"/>
      <c r="N451" s="165"/>
      <c r="O451" s="165"/>
      <c r="P451" s="165"/>
      <c r="Q451" s="165"/>
      <c r="R451" s="165"/>
      <c r="S451" s="165"/>
      <c r="T451" s="165"/>
      <c r="U451" s="165"/>
      <c r="V451" s="165"/>
      <c r="W451" s="165"/>
      <c r="X451" s="165" t="str">
        <f>IFERROR(__xludf.DUMMYFUNCTION("""COMPUTED_VALUE"""),"CC-MVP-108.01")</f>
        <v>CC-MVP-108.01</v>
      </c>
      <c r="Y451" s="285" t="str">
        <f>IFERROR(__xludf.DUMMYFUNCTION("""COMPUTED_VALUE"""),"Not Started")</f>
        <v>Not Started</v>
      </c>
      <c r="Z451" s="284">
        <f>IFERROR(__xludf.DUMMYFUNCTION("""COMPUTED_VALUE"""),45245.0)</f>
        <v>45245</v>
      </c>
      <c r="AA451" s="165" t="str">
        <f>IFERROR(__xludf.DUMMYFUNCTION("""COMPUTED_VALUE"""),"Tazeen")</f>
        <v>Tazeen</v>
      </c>
      <c r="AB451" s="165" t="str">
        <f>IFERROR(__xludf.DUMMYFUNCTION("""COMPUTED_VALUE"""),"Script")</f>
        <v>Script</v>
      </c>
      <c r="AC451" s="165"/>
      <c r="AD451" s="165"/>
      <c r="AE451" s="165"/>
      <c r="AF451" s="165"/>
      <c r="AG451" s="165"/>
      <c r="AH451" s="165"/>
      <c r="AI451" s="165"/>
      <c r="AJ451" s="165"/>
      <c r="AK451" s="165"/>
      <c r="AL451" s="165"/>
    </row>
    <row r="452">
      <c r="A452" s="165"/>
      <c r="B452" s="165"/>
      <c r="C452" s="165"/>
      <c r="D452" s="165"/>
      <c r="E452" s="292"/>
      <c r="F452" s="277"/>
      <c r="G452" s="165"/>
      <c r="H452" s="277"/>
      <c r="I452" s="277"/>
      <c r="J452" s="165"/>
      <c r="K452" s="165"/>
      <c r="L452" s="165"/>
      <c r="M452" s="165"/>
      <c r="N452" s="165"/>
      <c r="O452" s="165"/>
      <c r="P452" s="165"/>
      <c r="Q452" s="165"/>
      <c r="R452" s="165"/>
      <c r="S452" s="165"/>
      <c r="T452" s="165"/>
      <c r="U452" s="165"/>
      <c r="V452" s="165"/>
      <c r="W452" s="165"/>
      <c r="X452" s="165" t="str">
        <f>IFERROR(__xludf.DUMMYFUNCTION("""COMPUTED_VALUE"""),"CC-MVP-111.01")</f>
        <v>CC-MVP-111.01</v>
      </c>
      <c r="Y452" s="285" t="str">
        <f>IFERROR(__xludf.DUMMYFUNCTION("""COMPUTED_VALUE"""),"Not Started")</f>
        <v>Not Started</v>
      </c>
      <c r="Z452" s="284">
        <f>IFERROR(__xludf.DUMMYFUNCTION("""COMPUTED_VALUE"""),45245.0)</f>
        <v>45245</v>
      </c>
      <c r="AA452" s="165" t="str">
        <f>IFERROR(__xludf.DUMMYFUNCTION("""COMPUTED_VALUE"""),"Nasser")</f>
        <v>Nasser</v>
      </c>
      <c r="AB452" s="165" t="str">
        <f>IFERROR(__xludf.DUMMYFUNCTION("""COMPUTED_VALUE"""),"Script")</f>
        <v>Script</v>
      </c>
      <c r="AC452" s="165"/>
      <c r="AD452" s="165"/>
      <c r="AE452" s="165"/>
      <c r="AF452" s="165"/>
      <c r="AG452" s="165"/>
      <c r="AH452" s="165"/>
      <c r="AI452" s="165"/>
      <c r="AJ452" s="165"/>
      <c r="AK452" s="165"/>
      <c r="AL452" s="165"/>
    </row>
    <row r="453">
      <c r="A453" s="165"/>
      <c r="B453" s="165"/>
      <c r="C453" s="165"/>
      <c r="D453" s="165"/>
      <c r="E453" s="292"/>
      <c r="F453" s="277"/>
      <c r="G453" s="165"/>
      <c r="H453" s="277"/>
      <c r="I453" s="277"/>
      <c r="J453" s="165"/>
      <c r="K453" s="165"/>
      <c r="L453" s="165"/>
      <c r="M453" s="165"/>
      <c r="N453" s="165"/>
      <c r="O453" s="165"/>
      <c r="P453" s="165"/>
      <c r="Q453" s="165"/>
      <c r="R453" s="165"/>
      <c r="S453" s="165"/>
      <c r="T453" s="165"/>
      <c r="U453" s="165"/>
      <c r="V453" s="165"/>
      <c r="W453" s="165"/>
      <c r="X453" s="165" t="str">
        <f>IFERROR(__xludf.DUMMYFUNCTION("""COMPUTED_VALUE"""),"CC-MVP-112.02")</f>
        <v>CC-MVP-112.02</v>
      </c>
      <c r="Y453" s="285" t="str">
        <f>IFERROR(__xludf.DUMMYFUNCTION("""COMPUTED_VALUE"""),"Not Started")</f>
        <v>Not Started</v>
      </c>
      <c r="Z453" s="284">
        <f>IFERROR(__xludf.DUMMYFUNCTION("""COMPUTED_VALUE"""),45245.0)</f>
        <v>45245</v>
      </c>
      <c r="AA453" s="165" t="str">
        <f>IFERROR(__xludf.DUMMYFUNCTION("""COMPUTED_VALUE"""),"Akhil")</f>
        <v>Akhil</v>
      </c>
      <c r="AB453" s="165" t="str">
        <f>IFERROR(__xludf.DUMMYFUNCTION("""COMPUTED_VALUE"""),"Shoot")</f>
        <v>Shoot</v>
      </c>
      <c r="AC453" s="165"/>
      <c r="AD453" s="165"/>
      <c r="AE453" s="165"/>
      <c r="AF453" s="165"/>
      <c r="AG453" s="165"/>
      <c r="AH453" s="165"/>
      <c r="AI453" s="165"/>
      <c r="AJ453" s="165"/>
      <c r="AK453" s="165"/>
      <c r="AL453" s="165"/>
    </row>
    <row r="454">
      <c r="A454" s="165"/>
      <c r="B454" s="165"/>
      <c r="C454" s="165"/>
      <c r="D454" s="165"/>
      <c r="E454" s="292"/>
      <c r="F454" s="277"/>
      <c r="G454" s="165"/>
      <c r="H454" s="277"/>
      <c r="I454" s="277"/>
      <c r="J454" s="165"/>
      <c r="K454" s="165"/>
      <c r="L454" s="165"/>
      <c r="M454" s="165"/>
      <c r="N454" s="165"/>
      <c r="O454" s="165"/>
      <c r="P454" s="165"/>
      <c r="Q454" s="165"/>
      <c r="R454" s="165"/>
      <c r="S454" s="165"/>
      <c r="T454" s="165"/>
      <c r="U454" s="165"/>
      <c r="V454" s="165"/>
      <c r="W454" s="165"/>
      <c r="X454" s="165" t="str">
        <f>IFERROR(__xludf.DUMMYFUNCTION("""COMPUTED_VALUE"""),"CC-CTH-17.07")</f>
        <v>CC-CTH-17.07</v>
      </c>
      <c r="Y454" s="285" t="str">
        <f>IFERROR(__xludf.DUMMYFUNCTION("""COMPUTED_VALUE"""),"Not Started")</f>
        <v>Not Started</v>
      </c>
      <c r="Z454" s="284">
        <f>IFERROR(__xludf.DUMMYFUNCTION("""COMPUTED_VALUE"""),45245.0)</f>
        <v>45245</v>
      </c>
      <c r="AA454" s="165"/>
      <c r="AB454" s="165" t="str">
        <f>IFERROR(__xludf.DUMMYFUNCTION("""COMPUTED_VALUE"""),"Upload")</f>
        <v>Upload</v>
      </c>
      <c r="AC454" s="165"/>
      <c r="AD454" s="165"/>
      <c r="AE454" s="165"/>
      <c r="AF454" s="165"/>
      <c r="AG454" s="165"/>
      <c r="AH454" s="165"/>
      <c r="AI454" s="165"/>
      <c r="AJ454" s="165"/>
      <c r="AK454" s="165"/>
      <c r="AL454" s="165"/>
    </row>
    <row r="455">
      <c r="A455" s="165"/>
      <c r="B455" s="165"/>
      <c r="C455" s="165"/>
      <c r="D455" s="165"/>
      <c r="E455" s="292"/>
      <c r="F455" s="277"/>
      <c r="G455" s="165"/>
      <c r="H455" s="277"/>
      <c r="I455" s="277"/>
      <c r="J455" s="165"/>
      <c r="K455" s="165"/>
      <c r="L455" s="165"/>
      <c r="M455" s="165"/>
      <c r="N455" s="165"/>
      <c r="O455" s="165"/>
      <c r="P455" s="165"/>
      <c r="Q455" s="165"/>
      <c r="R455" s="165"/>
      <c r="S455" s="165"/>
      <c r="T455" s="165"/>
      <c r="U455" s="165"/>
      <c r="V455" s="165"/>
      <c r="W455" s="165"/>
      <c r="X455" s="165" t="str">
        <f>IFERROR(__xludf.DUMMYFUNCTION("""COMPUTED_VALUE"""),"CC-CTH-20.05")</f>
        <v>CC-CTH-20.05</v>
      </c>
      <c r="Y455" s="285" t="str">
        <f>IFERROR(__xludf.DUMMYFUNCTION("""COMPUTED_VALUE"""),"Not Started")</f>
        <v>Not Started</v>
      </c>
      <c r="Z455" s="284">
        <f>IFERROR(__xludf.DUMMYFUNCTION("""COMPUTED_VALUE"""),45245.0)</f>
        <v>45245</v>
      </c>
      <c r="AA455" s="165" t="str">
        <f>IFERROR(__xludf.DUMMYFUNCTION("""COMPUTED_VALUE"""),"Talha")</f>
        <v>Talha</v>
      </c>
      <c r="AB455" s="165" t="str">
        <f>IFERROR(__xludf.DUMMYFUNCTION("""COMPUTED_VALUE"""),"Edit")</f>
        <v>Edit</v>
      </c>
      <c r="AC455" s="165"/>
      <c r="AD455" s="165"/>
      <c r="AE455" s="165"/>
      <c r="AF455" s="165"/>
      <c r="AG455" s="165"/>
      <c r="AH455" s="165"/>
      <c r="AI455" s="165"/>
      <c r="AJ455" s="165"/>
      <c r="AK455" s="165"/>
      <c r="AL455" s="165"/>
    </row>
    <row r="456">
      <c r="A456" s="165"/>
      <c r="B456" s="165"/>
      <c r="C456" s="165"/>
      <c r="D456" s="165"/>
      <c r="E456" s="292"/>
      <c r="F456" s="277"/>
      <c r="G456" s="165"/>
      <c r="H456" s="277"/>
      <c r="I456" s="277"/>
      <c r="J456" s="165"/>
      <c r="K456" s="165"/>
      <c r="L456" s="165"/>
      <c r="M456" s="165"/>
      <c r="N456" s="165"/>
      <c r="O456" s="165"/>
      <c r="P456" s="165"/>
      <c r="Q456" s="165"/>
      <c r="R456" s="165"/>
      <c r="S456" s="165"/>
      <c r="T456" s="165"/>
      <c r="U456" s="165"/>
      <c r="V456" s="165"/>
      <c r="W456" s="165"/>
      <c r="X456" s="165" t="str">
        <f>IFERROR(__xludf.DUMMYFUNCTION("""COMPUTED_VALUE"""),"CC-INN-33.05")</f>
        <v>CC-INN-33.05</v>
      </c>
      <c r="Y456" s="285" t="str">
        <f>IFERROR(__xludf.DUMMYFUNCTION("""COMPUTED_VALUE"""),"Not Started")</f>
        <v>Not Started</v>
      </c>
      <c r="Z456" s="284">
        <f>IFERROR(__xludf.DUMMYFUNCTION("""COMPUTED_VALUE"""),45245.0)</f>
        <v>45245</v>
      </c>
      <c r="AA456" s="165" t="str">
        <f>IFERROR(__xludf.DUMMYFUNCTION("""COMPUTED_VALUE"""),"Naveen")</f>
        <v>Naveen</v>
      </c>
      <c r="AB456" s="165" t="str">
        <f>IFERROR(__xludf.DUMMYFUNCTION("""COMPUTED_VALUE"""),"Edit")</f>
        <v>Edit</v>
      </c>
      <c r="AC456" s="165"/>
      <c r="AD456" s="165"/>
      <c r="AE456" s="165"/>
      <c r="AF456" s="165"/>
      <c r="AG456" s="165"/>
      <c r="AH456" s="165"/>
      <c r="AI456" s="165"/>
      <c r="AJ456" s="165"/>
      <c r="AK456" s="165"/>
      <c r="AL456" s="165"/>
    </row>
    <row r="457">
      <c r="A457" s="165"/>
      <c r="B457" s="165"/>
      <c r="C457" s="165"/>
      <c r="D457" s="165"/>
      <c r="E457" s="292"/>
      <c r="F457" s="277"/>
      <c r="G457" s="165"/>
      <c r="H457" s="277"/>
      <c r="I457" s="277"/>
      <c r="J457" s="165"/>
      <c r="K457" s="165"/>
      <c r="L457" s="165"/>
      <c r="M457" s="165"/>
      <c r="N457" s="165"/>
      <c r="O457" s="165"/>
      <c r="P457" s="165"/>
      <c r="Q457" s="165"/>
      <c r="R457" s="165"/>
      <c r="S457" s="165"/>
      <c r="T457" s="165"/>
      <c r="U457" s="165"/>
      <c r="V457" s="165"/>
      <c r="W457" s="165"/>
      <c r="X457" s="165" t="str">
        <f>IFERROR(__xludf.DUMMYFUNCTION("""COMPUTED_VALUE"""),"PM-PTS-09.04")</f>
        <v>PM-PTS-09.04</v>
      </c>
      <c r="Y457" s="285" t="str">
        <f>IFERROR(__xludf.DUMMYFUNCTION("""COMPUTED_VALUE"""),"Not Started")</f>
        <v>Not Started</v>
      </c>
      <c r="Z457" s="284">
        <f>IFERROR(__xludf.DUMMYFUNCTION("""COMPUTED_VALUE"""),45245.0)</f>
        <v>45245</v>
      </c>
      <c r="AA457" s="165"/>
      <c r="AB457" s="165" t="str">
        <f>IFERROR(__xludf.DUMMYFUNCTION("""COMPUTED_VALUE"""),"Editor Notes")</f>
        <v>Editor Notes</v>
      </c>
      <c r="AC457" s="165"/>
      <c r="AD457" s="165"/>
      <c r="AE457" s="165"/>
      <c r="AF457" s="165"/>
      <c r="AG457" s="165"/>
      <c r="AH457" s="165"/>
      <c r="AI457" s="165"/>
      <c r="AJ457" s="165"/>
      <c r="AK457" s="165"/>
      <c r="AL457" s="165"/>
    </row>
    <row r="458">
      <c r="A458" s="165"/>
      <c r="B458" s="165"/>
      <c r="C458" s="165"/>
      <c r="D458" s="165"/>
      <c r="E458" s="292"/>
      <c r="F458" s="277"/>
      <c r="G458" s="165"/>
      <c r="H458" s="277"/>
      <c r="I458" s="277"/>
      <c r="J458" s="165"/>
      <c r="K458" s="165"/>
      <c r="L458" s="165"/>
      <c r="M458" s="165"/>
      <c r="N458" s="165"/>
      <c r="O458" s="165"/>
      <c r="P458" s="165"/>
      <c r="Q458" s="165"/>
      <c r="R458" s="165"/>
      <c r="S458" s="165"/>
      <c r="T458" s="165"/>
      <c r="U458" s="165"/>
      <c r="V458" s="165"/>
      <c r="W458" s="165"/>
      <c r="X458" s="165" t="str">
        <f>IFERROR(__xludf.DUMMYFUNCTION("""COMPUTED_VALUE"""),"CC-MVP-89.06")</f>
        <v>CC-MVP-89.06</v>
      </c>
      <c r="Y458" s="285" t="str">
        <f>IFERROR(__xludf.DUMMYFUNCTION("""COMPUTED_VALUE"""),"Not Started")</f>
        <v>Not Started</v>
      </c>
      <c r="Z458" s="284">
        <f>IFERROR(__xludf.DUMMYFUNCTION("""COMPUTED_VALUE"""),45246.0)</f>
        <v>45246</v>
      </c>
      <c r="AA458" s="165" t="str">
        <f>IFERROR(__xludf.DUMMYFUNCTION("""COMPUTED_VALUE"""),"Tazeen")</f>
        <v>Tazeen</v>
      </c>
      <c r="AB458" s="165" t="str">
        <f>IFERROR(__xludf.DUMMYFUNCTION("""COMPUTED_VALUE"""),"Upload")</f>
        <v>Upload</v>
      </c>
      <c r="AC458" s="165"/>
      <c r="AD458" s="165"/>
      <c r="AE458" s="165"/>
      <c r="AF458" s="165"/>
      <c r="AG458" s="165"/>
      <c r="AH458" s="165"/>
      <c r="AI458" s="165"/>
      <c r="AJ458" s="165"/>
      <c r="AK458" s="165"/>
      <c r="AL458" s="165"/>
    </row>
    <row r="459">
      <c r="A459" s="165"/>
      <c r="B459" s="165"/>
      <c r="C459" s="165"/>
      <c r="D459" s="165"/>
      <c r="E459" s="292"/>
      <c r="F459" s="277"/>
      <c r="G459" s="165"/>
      <c r="H459" s="277"/>
      <c r="I459" s="277"/>
      <c r="J459" s="165"/>
      <c r="K459" s="165"/>
      <c r="L459" s="165"/>
      <c r="M459" s="165"/>
      <c r="N459" s="165"/>
      <c r="O459" s="165"/>
      <c r="P459" s="165"/>
      <c r="Q459" s="165"/>
      <c r="R459" s="165"/>
      <c r="S459" s="165"/>
      <c r="T459" s="165"/>
      <c r="U459" s="165"/>
      <c r="V459" s="165"/>
      <c r="W459" s="165"/>
      <c r="X459" s="165" t="str">
        <f>IFERROR(__xludf.DUMMYFUNCTION("""COMPUTED_VALUE"""),"CC-MVP-86.07")</f>
        <v>CC-MVP-86.07</v>
      </c>
      <c r="Y459" s="285" t="str">
        <f>IFERROR(__xludf.DUMMYFUNCTION("""COMPUTED_VALUE"""),"Not Started")</f>
        <v>Not Started</v>
      </c>
      <c r="Z459" s="284">
        <f>IFERROR(__xludf.DUMMYFUNCTION("""COMPUTED_VALUE"""),45246.0)</f>
        <v>45246</v>
      </c>
      <c r="AA459" s="165" t="str">
        <f>IFERROR(__xludf.DUMMYFUNCTION("""COMPUTED_VALUE"""),"Talha")</f>
        <v>Talha</v>
      </c>
      <c r="AB459" s="165" t="str">
        <f>IFERROR(__xludf.DUMMYFUNCTION("""COMPUTED_VALUE"""),"Upload")</f>
        <v>Upload</v>
      </c>
      <c r="AC459" s="165"/>
      <c r="AD459" s="165"/>
      <c r="AE459" s="165"/>
      <c r="AF459" s="165"/>
      <c r="AG459" s="165"/>
      <c r="AH459" s="165"/>
      <c r="AI459" s="165"/>
      <c r="AJ459" s="165"/>
      <c r="AK459" s="165"/>
      <c r="AL459" s="165"/>
    </row>
    <row r="460">
      <c r="A460" s="165"/>
      <c r="B460" s="165"/>
      <c r="C460" s="165"/>
      <c r="D460" s="165"/>
      <c r="E460" s="292"/>
      <c r="F460" s="277"/>
      <c r="G460" s="165"/>
      <c r="H460" s="277"/>
      <c r="I460" s="277"/>
      <c r="J460" s="165"/>
      <c r="K460" s="165"/>
      <c r="L460" s="165"/>
      <c r="M460" s="165"/>
      <c r="N460" s="165"/>
      <c r="O460" s="165"/>
      <c r="P460" s="165"/>
      <c r="Q460" s="165"/>
      <c r="R460" s="165"/>
      <c r="S460" s="165"/>
      <c r="T460" s="165"/>
      <c r="U460" s="165"/>
      <c r="V460" s="165"/>
      <c r="W460" s="165"/>
      <c r="X460" s="165" t="str">
        <f>IFERROR(__xludf.DUMMYFUNCTION("""COMPUTED_VALUE"""),"CC-MVP-103.03")</f>
        <v>CC-MVP-103.03</v>
      </c>
      <c r="Y460" s="285" t="str">
        <f>IFERROR(__xludf.DUMMYFUNCTION("""COMPUTED_VALUE"""),"Not Started")</f>
        <v>Not Started</v>
      </c>
      <c r="Z460" s="284">
        <f>IFERROR(__xludf.DUMMYFUNCTION("""COMPUTED_VALUE"""),45246.0)</f>
        <v>45246</v>
      </c>
      <c r="AA460" s="165" t="str">
        <f>IFERROR(__xludf.DUMMYFUNCTION("""COMPUTED_VALUE"""),"Nasser")</f>
        <v>Nasser</v>
      </c>
      <c r="AB460" s="165" t="str">
        <f>IFERROR(__xludf.DUMMYFUNCTION("""COMPUTED_VALUE"""),"Finalise")</f>
        <v>Finalise</v>
      </c>
      <c r="AC460" s="165"/>
      <c r="AD460" s="165"/>
      <c r="AE460" s="165"/>
      <c r="AF460" s="165"/>
      <c r="AG460" s="165"/>
      <c r="AH460" s="165"/>
      <c r="AI460" s="165"/>
      <c r="AJ460" s="165"/>
      <c r="AK460" s="165"/>
      <c r="AL460" s="165"/>
    </row>
    <row r="461">
      <c r="A461" s="165"/>
      <c r="B461" s="165"/>
      <c r="C461" s="165"/>
      <c r="D461" s="165"/>
      <c r="E461" s="292"/>
      <c r="F461" s="277"/>
      <c r="G461" s="165"/>
      <c r="H461" s="277"/>
      <c r="I461" s="277"/>
      <c r="J461" s="165"/>
      <c r="K461" s="165"/>
      <c r="L461" s="165"/>
      <c r="M461" s="165"/>
      <c r="N461" s="165"/>
      <c r="O461" s="165"/>
      <c r="P461" s="165"/>
      <c r="Q461" s="165"/>
      <c r="R461" s="165"/>
      <c r="S461" s="165"/>
      <c r="T461" s="165"/>
      <c r="U461" s="165"/>
      <c r="V461" s="165"/>
      <c r="W461" s="165"/>
      <c r="X461" s="165" t="str">
        <f>IFERROR(__xludf.DUMMYFUNCTION("""COMPUTED_VALUE"""),"CC-MVP-114.06")</f>
        <v>CC-MVP-114.06</v>
      </c>
      <c r="Y461" s="285" t="str">
        <f>IFERROR(__xludf.DUMMYFUNCTION("""COMPUTED_VALUE"""),"Not Started")</f>
        <v>Not Started</v>
      </c>
      <c r="Z461" s="284">
        <f>IFERROR(__xludf.DUMMYFUNCTION("""COMPUTED_VALUE"""),45246.0)</f>
        <v>45246</v>
      </c>
      <c r="AA461" s="165" t="str">
        <f>IFERROR(__xludf.DUMMYFUNCTION("""COMPUTED_VALUE"""),"Naveen")</f>
        <v>Naveen</v>
      </c>
      <c r="AB461" s="165" t="str">
        <f>IFERROR(__xludf.DUMMYFUNCTION("""COMPUTED_VALUE"""),"Thumbnail")</f>
        <v>Thumbnail</v>
      </c>
      <c r="AC461" s="165"/>
      <c r="AD461" s="165"/>
      <c r="AE461" s="165"/>
      <c r="AF461" s="165"/>
      <c r="AG461" s="165"/>
      <c r="AH461" s="165"/>
      <c r="AI461" s="165"/>
      <c r="AJ461" s="165"/>
      <c r="AK461" s="165"/>
      <c r="AL461" s="165"/>
    </row>
    <row r="462">
      <c r="A462" s="165"/>
      <c r="B462" s="165"/>
      <c r="C462" s="165"/>
      <c r="D462" s="165"/>
      <c r="E462" s="292"/>
      <c r="F462" s="277"/>
      <c r="G462" s="165"/>
      <c r="H462" s="277"/>
      <c r="I462" s="277"/>
      <c r="J462" s="165"/>
      <c r="K462" s="165"/>
      <c r="L462" s="165"/>
      <c r="M462" s="165"/>
      <c r="N462" s="165"/>
      <c r="O462" s="165"/>
      <c r="P462" s="165"/>
      <c r="Q462" s="165"/>
      <c r="R462" s="165"/>
      <c r="S462" s="165"/>
      <c r="T462" s="165"/>
      <c r="U462" s="165"/>
      <c r="V462" s="165"/>
      <c r="W462" s="165"/>
      <c r="X462" s="165" t="str">
        <f>IFERROR(__xludf.DUMMYFUNCTION("""COMPUTED_VALUE"""),"CC-MVP-111.02")</f>
        <v>CC-MVP-111.02</v>
      </c>
      <c r="Y462" s="285" t="str">
        <f>IFERROR(__xludf.DUMMYFUNCTION("""COMPUTED_VALUE"""),"Not Started")</f>
        <v>Not Started</v>
      </c>
      <c r="Z462" s="284">
        <f>IFERROR(__xludf.DUMMYFUNCTION("""COMPUTED_VALUE"""),45246.0)</f>
        <v>45246</v>
      </c>
      <c r="AA462" s="165" t="str">
        <f>IFERROR(__xludf.DUMMYFUNCTION("""COMPUTED_VALUE"""),"Nasser")</f>
        <v>Nasser</v>
      </c>
      <c r="AB462" s="165" t="str">
        <f>IFERROR(__xludf.DUMMYFUNCTION("""COMPUTED_VALUE"""),"Edit")</f>
        <v>Edit</v>
      </c>
      <c r="AC462" s="165"/>
      <c r="AD462" s="165"/>
      <c r="AE462" s="165"/>
      <c r="AF462" s="165"/>
      <c r="AG462" s="165"/>
      <c r="AH462" s="165"/>
      <c r="AI462" s="165"/>
      <c r="AJ462" s="165"/>
      <c r="AK462" s="165"/>
      <c r="AL462" s="165"/>
    </row>
    <row r="463">
      <c r="A463" s="165"/>
      <c r="B463" s="165"/>
      <c r="C463" s="165"/>
      <c r="D463" s="165"/>
      <c r="E463" s="292"/>
      <c r="F463" s="277"/>
      <c r="G463" s="165"/>
      <c r="H463" s="277"/>
      <c r="I463" s="277"/>
      <c r="J463" s="165"/>
      <c r="K463" s="165"/>
      <c r="L463" s="165"/>
      <c r="M463" s="165"/>
      <c r="N463" s="165"/>
      <c r="O463" s="165"/>
      <c r="P463" s="165"/>
      <c r="Q463" s="165"/>
      <c r="R463" s="165"/>
      <c r="S463" s="165"/>
      <c r="T463" s="165"/>
      <c r="U463" s="165"/>
      <c r="V463" s="165"/>
      <c r="W463" s="165"/>
      <c r="X463" s="165" t="str">
        <f>IFERROR(__xludf.DUMMYFUNCTION("""COMPUTED_VALUE"""),"CC-MVP-113.01")</f>
        <v>CC-MVP-113.01</v>
      </c>
      <c r="Y463" s="285" t="str">
        <f>IFERROR(__xludf.DUMMYFUNCTION("""COMPUTED_VALUE"""),"Not Started")</f>
        <v>Not Started</v>
      </c>
      <c r="Z463" s="284">
        <f>IFERROR(__xludf.DUMMYFUNCTION("""COMPUTED_VALUE"""),45246.0)</f>
        <v>45246</v>
      </c>
      <c r="AA463" s="165" t="str">
        <f>IFERROR(__xludf.DUMMYFUNCTION("""COMPUTED_VALUE"""),"Naveen")</f>
        <v>Naveen</v>
      </c>
      <c r="AB463" s="165" t="str">
        <f>IFERROR(__xludf.DUMMYFUNCTION("""COMPUTED_VALUE"""),"Script")</f>
        <v>Script</v>
      </c>
      <c r="AC463" s="165"/>
      <c r="AD463" s="165"/>
      <c r="AE463" s="165"/>
      <c r="AF463" s="165"/>
      <c r="AG463" s="165"/>
      <c r="AH463" s="165"/>
      <c r="AI463" s="165"/>
      <c r="AJ463" s="165"/>
      <c r="AK463" s="165"/>
      <c r="AL463" s="165"/>
    </row>
    <row r="464">
      <c r="A464" s="165"/>
      <c r="B464" s="165"/>
      <c r="C464" s="165"/>
      <c r="D464" s="165"/>
      <c r="E464" s="292"/>
      <c r="F464" s="277"/>
      <c r="G464" s="165"/>
      <c r="H464" s="277"/>
      <c r="I464" s="277"/>
      <c r="J464" s="165"/>
      <c r="K464" s="165"/>
      <c r="L464" s="165"/>
      <c r="M464" s="165"/>
      <c r="N464" s="165"/>
      <c r="O464" s="165"/>
      <c r="P464" s="165"/>
      <c r="Q464" s="165"/>
      <c r="R464" s="165"/>
      <c r="S464" s="165"/>
      <c r="T464" s="165"/>
      <c r="U464" s="165"/>
      <c r="V464" s="165"/>
      <c r="W464" s="165"/>
      <c r="X464" s="165" t="str">
        <f>IFERROR(__xludf.DUMMYFUNCTION("""COMPUTED_VALUE"""),"CC-MVP-117.04")</f>
        <v>CC-MVP-117.04</v>
      </c>
      <c r="Y464" s="285" t="str">
        <f>IFERROR(__xludf.DUMMYFUNCTION("""COMPUTED_VALUE"""),"Not Started")</f>
        <v>Not Started</v>
      </c>
      <c r="Z464" s="284">
        <f>IFERROR(__xludf.DUMMYFUNCTION("""COMPUTED_VALUE"""),45246.0)</f>
        <v>45246</v>
      </c>
      <c r="AA464" s="165" t="str">
        <f>IFERROR(__xludf.DUMMYFUNCTION("""COMPUTED_VALUE"""),"Tazeen")</f>
        <v>Tazeen</v>
      </c>
      <c r="AB464" s="165" t="str">
        <f>IFERROR(__xludf.DUMMYFUNCTION("""COMPUTED_VALUE"""),"Upload")</f>
        <v>Upload</v>
      </c>
      <c r="AC464" s="165"/>
      <c r="AD464" s="165"/>
      <c r="AE464" s="165"/>
      <c r="AF464" s="165"/>
      <c r="AG464" s="165"/>
      <c r="AH464" s="165"/>
      <c r="AI464" s="165"/>
      <c r="AJ464" s="165"/>
      <c r="AK464" s="165"/>
      <c r="AL464" s="165"/>
    </row>
    <row r="465">
      <c r="A465" s="165"/>
      <c r="B465" s="165"/>
      <c r="C465" s="165"/>
      <c r="D465" s="165"/>
      <c r="E465" s="292"/>
      <c r="F465" s="277"/>
      <c r="G465" s="165"/>
      <c r="H465" s="277"/>
      <c r="I465" s="277"/>
      <c r="J465" s="165"/>
      <c r="K465" s="165"/>
      <c r="L465" s="165"/>
      <c r="M465" s="165"/>
      <c r="N465" s="165"/>
      <c r="O465" s="165"/>
      <c r="P465" s="165"/>
      <c r="Q465" s="165"/>
      <c r="R465" s="165"/>
      <c r="S465" s="165"/>
      <c r="T465" s="165"/>
      <c r="U465" s="165"/>
      <c r="V465" s="165"/>
      <c r="W465" s="165"/>
      <c r="X465" s="165" t="str">
        <f>IFERROR(__xludf.DUMMYFUNCTION("""COMPUTED_VALUE"""),"CC-MVP-118.04")</f>
        <v>CC-MVP-118.04</v>
      </c>
      <c r="Y465" s="285" t="str">
        <f>IFERROR(__xludf.DUMMYFUNCTION("""COMPUTED_VALUE"""),"Not Started")</f>
        <v>Not Started</v>
      </c>
      <c r="Z465" s="284">
        <f>IFERROR(__xludf.DUMMYFUNCTION("""COMPUTED_VALUE"""),45246.0)</f>
        <v>45246</v>
      </c>
      <c r="AA465" s="165"/>
      <c r="AB465" s="165" t="str">
        <f>IFERROR(__xludf.DUMMYFUNCTION("""COMPUTED_VALUE"""),"Editor Notes")</f>
        <v>Editor Notes</v>
      </c>
      <c r="AC465" s="165"/>
      <c r="AD465" s="165"/>
      <c r="AE465" s="165"/>
      <c r="AF465" s="165"/>
      <c r="AG465" s="165"/>
      <c r="AH465" s="165"/>
      <c r="AI465" s="165"/>
      <c r="AJ465" s="165"/>
      <c r="AK465" s="165"/>
      <c r="AL465" s="165"/>
    </row>
    <row r="466">
      <c r="A466" s="165"/>
      <c r="B466" s="165"/>
      <c r="C466" s="165"/>
      <c r="D466" s="165"/>
      <c r="E466" s="292"/>
      <c r="F466" s="277"/>
      <c r="G466" s="165"/>
      <c r="H466" s="277"/>
      <c r="I466" s="277"/>
      <c r="J466" s="165"/>
      <c r="K466" s="165"/>
      <c r="L466" s="165"/>
      <c r="M466" s="165"/>
      <c r="N466" s="165"/>
      <c r="O466" s="165"/>
      <c r="P466" s="165"/>
      <c r="Q466" s="165"/>
      <c r="R466" s="165"/>
      <c r="S466" s="165"/>
      <c r="T466" s="165"/>
      <c r="U466" s="165"/>
      <c r="V466" s="165"/>
      <c r="W466" s="165"/>
      <c r="X466" s="165" t="str">
        <f>IFERROR(__xludf.DUMMYFUNCTION("""COMPUTED_VALUE"""),"CC-CTH-18.05")</f>
        <v>CC-CTH-18.05</v>
      </c>
      <c r="Y466" s="285" t="str">
        <f>IFERROR(__xludf.DUMMYFUNCTION("""COMPUTED_VALUE"""),"Not Started")</f>
        <v>Not Started</v>
      </c>
      <c r="Z466" s="284">
        <f>IFERROR(__xludf.DUMMYFUNCTION("""COMPUTED_VALUE"""),45246.0)</f>
        <v>45246</v>
      </c>
      <c r="AA466" s="165" t="str">
        <f>IFERROR(__xludf.DUMMYFUNCTION("""COMPUTED_VALUE"""),"Talha")</f>
        <v>Talha</v>
      </c>
      <c r="AB466" s="165" t="str">
        <f>IFERROR(__xludf.DUMMYFUNCTION("""COMPUTED_VALUE"""),"Upload")</f>
        <v>Upload</v>
      </c>
      <c r="AC466" s="165"/>
      <c r="AD466" s="165"/>
      <c r="AE466" s="165"/>
      <c r="AF466" s="165"/>
      <c r="AG466" s="165"/>
      <c r="AH466" s="165"/>
      <c r="AI466" s="165"/>
      <c r="AJ466" s="165"/>
      <c r="AK466" s="165"/>
      <c r="AL466" s="165"/>
    </row>
    <row r="467">
      <c r="A467" s="165"/>
      <c r="B467" s="165"/>
      <c r="C467" s="165"/>
      <c r="D467" s="165"/>
      <c r="E467" s="292"/>
      <c r="F467" s="277"/>
      <c r="G467" s="165"/>
      <c r="H467" s="277"/>
      <c r="I467" s="277"/>
      <c r="J467" s="165"/>
      <c r="K467" s="165"/>
      <c r="L467" s="165"/>
      <c r="M467" s="165"/>
      <c r="N467" s="165"/>
      <c r="O467" s="165"/>
      <c r="P467" s="165"/>
      <c r="Q467" s="165"/>
      <c r="R467" s="165"/>
      <c r="S467" s="165"/>
      <c r="T467" s="165"/>
      <c r="U467" s="165"/>
      <c r="V467" s="165"/>
      <c r="W467" s="165"/>
      <c r="X467" s="165" t="str">
        <f>IFERROR(__xludf.DUMMYFUNCTION("""COMPUTED_VALUE"""),"CC-CTH-21.03")</f>
        <v>CC-CTH-21.03</v>
      </c>
      <c r="Y467" s="285" t="str">
        <f>IFERROR(__xludf.DUMMYFUNCTION("""COMPUTED_VALUE"""),"Not Started")</f>
        <v>Not Started</v>
      </c>
      <c r="Z467" s="284">
        <f>IFERROR(__xludf.DUMMYFUNCTION("""COMPUTED_VALUE"""),45246.0)</f>
        <v>45246</v>
      </c>
      <c r="AA467" s="165" t="str">
        <f>IFERROR(__xludf.DUMMYFUNCTION("""COMPUTED_VALUE"""),"Akhil")</f>
        <v>Akhil</v>
      </c>
      <c r="AB467" s="165" t="str">
        <f>IFERROR(__xludf.DUMMYFUNCTION("""COMPUTED_VALUE"""),"Edit")</f>
        <v>Edit</v>
      </c>
      <c r="AC467" s="165"/>
      <c r="AD467" s="165"/>
      <c r="AE467" s="165"/>
      <c r="AF467" s="165"/>
      <c r="AG467" s="165"/>
      <c r="AH467" s="165"/>
      <c r="AI467" s="165"/>
      <c r="AJ467" s="165"/>
      <c r="AK467" s="165"/>
      <c r="AL467" s="165"/>
    </row>
    <row r="468">
      <c r="A468" s="165"/>
      <c r="B468" s="165"/>
      <c r="C468" s="165"/>
      <c r="D468" s="165"/>
      <c r="E468" s="292"/>
      <c r="F468" s="277"/>
      <c r="G468" s="165"/>
      <c r="H468" s="277"/>
      <c r="I468" s="277"/>
      <c r="J468" s="165"/>
      <c r="K468" s="165"/>
      <c r="L468" s="165"/>
      <c r="M468" s="165"/>
      <c r="N468" s="165"/>
      <c r="O468" s="165"/>
      <c r="P468" s="165"/>
      <c r="Q468" s="165"/>
      <c r="R468" s="165"/>
      <c r="S468" s="165"/>
      <c r="T468" s="165"/>
      <c r="U468" s="165"/>
      <c r="V468" s="165"/>
      <c r="W468" s="165"/>
      <c r="X468" s="165" t="str">
        <f>IFERROR(__xludf.DUMMYFUNCTION("""COMPUTED_VALUE"""),"CC-INN-33.06")</f>
        <v>CC-INN-33.06</v>
      </c>
      <c r="Y468" s="285" t="str">
        <f>IFERROR(__xludf.DUMMYFUNCTION("""COMPUTED_VALUE"""),"Not Started")</f>
        <v>Not Started</v>
      </c>
      <c r="Z468" s="284">
        <f>IFERROR(__xludf.DUMMYFUNCTION("""COMPUTED_VALUE"""),45246.0)</f>
        <v>45246</v>
      </c>
      <c r="AA468" s="165" t="str">
        <f>IFERROR(__xludf.DUMMYFUNCTION("""COMPUTED_VALUE"""),"Naveen")</f>
        <v>Naveen</v>
      </c>
      <c r="AB468" s="165" t="str">
        <f>IFERROR(__xludf.DUMMYFUNCTION("""COMPUTED_VALUE"""),"Thumbnail")</f>
        <v>Thumbnail</v>
      </c>
      <c r="AC468" s="165"/>
      <c r="AD468" s="165"/>
      <c r="AE468" s="165"/>
      <c r="AF468" s="165"/>
      <c r="AG468" s="165"/>
      <c r="AH468" s="165"/>
      <c r="AI468" s="165"/>
      <c r="AJ468" s="165"/>
      <c r="AK468" s="165"/>
      <c r="AL468" s="165"/>
    </row>
    <row r="469">
      <c r="A469" s="165"/>
      <c r="B469" s="165"/>
      <c r="C469" s="165"/>
      <c r="D469" s="165"/>
      <c r="E469" s="292"/>
      <c r="F469" s="277"/>
      <c r="G469" s="165"/>
      <c r="H469" s="277"/>
      <c r="I469" s="277"/>
      <c r="J469" s="165"/>
      <c r="K469" s="165"/>
      <c r="L469" s="165"/>
      <c r="M469" s="165"/>
      <c r="N469" s="165"/>
      <c r="O469" s="165"/>
      <c r="P469" s="165"/>
      <c r="Q469" s="165"/>
      <c r="R469" s="165"/>
      <c r="S469" s="165"/>
      <c r="T469" s="165"/>
      <c r="U469" s="165"/>
      <c r="V469" s="165"/>
      <c r="W469" s="165"/>
      <c r="X469" s="165" t="str">
        <f>IFERROR(__xludf.DUMMYFUNCTION("""COMPUTED_VALUE"""),"CC-MVP-103.04")</f>
        <v>CC-MVP-103.04</v>
      </c>
      <c r="Y469" s="285" t="str">
        <f>IFERROR(__xludf.DUMMYFUNCTION("""COMPUTED_VALUE"""),"Not Started")</f>
        <v>Not Started</v>
      </c>
      <c r="Z469" s="284">
        <f>IFERROR(__xludf.DUMMYFUNCTION("""COMPUTED_VALUE"""),45247.0)</f>
        <v>45247</v>
      </c>
      <c r="AA469" s="165" t="str">
        <f>IFERROR(__xludf.DUMMYFUNCTION("""COMPUTED_VALUE"""),"Nasser")</f>
        <v>Nasser</v>
      </c>
      <c r="AB469" s="165" t="str">
        <f>IFERROR(__xludf.DUMMYFUNCTION("""COMPUTED_VALUE"""),"Upload")</f>
        <v>Upload</v>
      </c>
      <c r="AC469" s="165"/>
      <c r="AD469" s="165"/>
      <c r="AE469" s="165"/>
      <c r="AF469" s="165"/>
      <c r="AG469" s="165"/>
      <c r="AH469" s="165"/>
      <c r="AI469" s="165"/>
      <c r="AJ469" s="165"/>
      <c r="AK469" s="165"/>
      <c r="AL469" s="165"/>
    </row>
    <row r="470">
      <c r="A470" s="165"/>
      <c r="B470" s="165"/>
      <c r="C470" s="165"/>
      <c r="D470" s="165"/>
      <c r="E470" s="292"/>
      <c r="F470" s="277"/>
      <c r="G470" s="165"/>
      <c r="H470" s="277"/>
      <c r="I470" s="277"/>
      <c r="J470" s="165"/>
      <c r="K470" s="165"/>
      <c r="L470" s="165"/>
      <c r="M470" s="165"/>
      <c r="N470" s="165"/>
      <c r="O470" s="165"/>
      <c r="P470" s="165"/>
      <c r="Q470" s="165"/>
      <c r="R470" s="165"/>
      <c r="S470" s="165"/>
      <c r="T470" s="165"/>
      <c r="U470" s="165"/>
      <c r="V470" s="165"/>
      <c r="W470" s="165"/>
      <c r="X470" s="165" t="str">
        <f>IFERROR(__xludf.DUMMYFUNCTION("""COMPUTED_VALUE"""),"CC-MVP-114.07")</f>
        <v>CC-MVP-114.07</v>
      </c>
      <c r="Y470" s="285" t="str">
        <f>IFERROR(__xludf.DUMMYFUNCTION("""COMPUTED_VALUE"""),"Not Started")</f>
        <v>Not Started</v>
      </c>
      <c r="Z470" s="284">
        <f>IFERROR(__xludf.DUMMYFUNCTION("""COMPUTED_VALUE"""),45247.0)</f>
        <v>45247</v>
      </c>
      <c r="AA470" s="165" t="str">
        <f>IFERROR(__xludf.DUMMYFUNCTION("""COMPUTED_VALUE"""),"Tazeen")</f>
        <v>Tazeen</v>
      </c>
      <c r="AB470" s="165" t="str">
        <f>IFERROR(__xludf.DUMMYFUNCTION("""COMPUTED_VALUE"""),"Upload")</f>
        <v>Upload</v>
      </c>
      <c r="AC470" s="165"/>
      <c r="AD470" s="165"/>
      <c r="AE470" s="165"/>
      <c r="AF470" s="165"/>
      <c r="AG470" s="165"/>
      <c r="AH470" s="165"/>
      <c r="AI470" s="165"/>
      <c r="AJ470" s="165"/>
      <c r="AK470" s="165"/>
      <c r="AL470" s="165"/>
    </row>
    <row r="471">
      <c r="A471" s="165"/>
      <c r="B471" s="165"/>
      <c r="C471" s="165"/>
      <c r="D471" s="165"/>
      <c r="E471" s="292"/>
      <c r="F471" s="277"/>
      <c r="G471" s="165"/>
      <c r="H471" s="277"/>
      <c r="I471" s="277"/>
      <c r="J471" s="165"/>
      <c r="K471" s="165"/>
      <c r="L471" s="165"/>
      <c r="M471" s="165"/>
      <c r="N471" s="165"/>
      <c r="O471" s="165"/>
      <c r="P471" s="165"/>
      <c r="Q471" s="165"/>
      <c r="R471" s="165"/>
      <c r="S471" s="165"/>
      <c r="T471" s="165"/>
      <c r="U471" s="165"/>
      <c r="V471" s="165"/>
      <c r="W471" s="165"/>
      <c r="X471" s="165" t="str">
        <f>IFERROR(__xludf.DUMMYFUNCTION("""COMPUTED_VALUE"""),"CC-MVP-111.03")</f>
        <v>CC-MVP-111.03</v>
      </c>
      <c r="Y471" s="285" t="str">
        <f>IFERROR(__xludf.DUMMYFUNCTION("""COMPUTED_VALUE"""),"Not Started")</f>
        <v>Not Started</v>
      </c>
      <c r="Z471" s="284">
        <f>IFERROR(__xludf.DUMMYFUNCTION("""COMPUTED_VALUE"""),45247.0)</f>
        <v>45247</v>
      </c>
      <c r="AA471" s="165" t="str">
        <f>IFERROR(__xludf.DUMMYFUNCTION("""COMPUTED_VALUE"""),"Nasser")</f>
        <v>Nasser</v>
      </c>
      <c r="AB471" s="165" t="str">
        <f>IFERROR(__xludf.DUMMYFUNCTION("""COMPUTED_VALUE"""),"Finalise")</f>
        <v>Finalise</v>
      </c>
      <c r="AC471" s="165"/>
      <c r="AD471" s="165"/>
      <c r="AE471" s="165"/>
      <c r="AF471" s="165"/>
      <c r="AG471" s="165"/>
      <c r="AH471" s="165"/>
      <c r="AI471" s="165"/>
      <c r="AJ471" s="165"/>
      <c r="AK471" s="165"/>
      <c r="AL471" s="165"/>
    </row>
    <row r="472">
      <c r="A472" s="165"/>
      <c r="B472" s="165"/>
      <c r="C472" s="165"/>
      <c r="D472" s="165"/>
      <c r="E472" s="292"/>
      <c r="F472" s="277"/>
      <c r="G472" s="165"/>
      <c r="H472" s="277"/>
      <c r="I472" s="277"/>
      <c r="J472" s="165"/>
      <c r="K472" s="165"/>
      <c r="L472" s="165"/>
      <c r="M472" s="165"/>
      <c r="N472" s="165"/>
      <c r="O472" s="165"/>
      <c r="P472" s="165"/>
      <c r="Q472" s="165"/>
      <c r="R472" s="165"/>
      <c r="S472" s="165"/>
      <c r="T472" s="165"/>
      <c r="U472" s="165"/>
      <c r="V472" s="165"/>
      <c r="W472" s="165"/>
      <c r="X472" s="165" t="str">
        <f>IFERROR(__xludf.DUMMYFUNCTION("""COMPUTED_VALUE"""),"CC-MVP-112.04")</f>
        <v>CC-MVP-112.04</v>
      </c>
      <c r="Y472" s="285" t="str">
        <f>IFERROR(__xludf.DUMMYFUNCTION("""COMPUTED_VALUE"""),"Not Started")</f>
        <v>Not Started</v>
      </c>
      <c r="Z472" s="284">
        <f>IFERROR(__xludf.DUMMYFUNCTION("""COMPUTED_VALUE"""),45247.0)</f>
        <v>45247</v>
      </c>
      <c r="AA472" s="165" t="str">
        <f>IFERROR(__xludf.DUMMYFUNCTION("""COMPUTED_VALUE"""),"Tazeen")</f>
        <v>Tazeen</v>
      </c>
      <c r="AB472" s="165" t="str">
        <f>IFERROR(__xludf.DUMMYFUNCTION("""COMPUTED_VALUE"""),"Editor Notes")</f>
        <v>Editor Notes</v>
      </c>
      <c r="AC472" s="165"/>
      <c r="AD472" s="165"/>
      <c r="AE472" s="165"/>
      <c r="AF472" s="165"/>
      <c r="AG472" s="165"/>
      <c r="AH472" s="165"/>
      <c r="AI472" s="165"/>
      <c r="AJ472" s="165"/>
      <c r="AK472" s="165"/>
      <c r="AL472" s="165"/>
    </row>
    <row r="473">
      <c r="A473" s="165"/>
      <c r="B473" s="165"/>
      <c r="C473" s="165"/>
      <c r="D473" s="165"/>
      <c r="E473" s="292"/>
      <c r="F473" s="277"/>
      <c r="G473" s="165"/>
      <c r="H473" s="277"/>
      <c r="I473" s="277"/>
      <c r="J473" s="165"/>
      <c r="K473" s="165"/>
      <c r="L473" s="165"/>
      <c r="M473" s="165"/>
      <c r="N473" s="165"/>
      <c r="O473" s="165"/>
      <c r="P473" s="165"/>
      <c r="Q473" s="165"/>
      <c r="R473" s="165"/>
      <c r="S473" s="165"/>
      <c r="T473" s="165"/>
      <c r="U473" s="165"/>
      <c r="V473" s="165"/>
      <c r="W473" s="165"/>
      <c r="X473" s="165" t="str">
        <f>IFERROR(__xludf.DUMMYFUNCTION("""COMPUTED_VALUE"""),"CC-MVP-93.01")</f>
        <v>CC-MVP-93.01</v>
      </c>
      <c r="Y473" s="285" t="str">
        <f>IFERROR(__xludf.DUMMYFUNCTION("""COMPUTED_VALUE"""),"Not Started")</f>
        <v>Not Started</v>
      </c>
      <c r="Z473" s="284">
        <f>IFERROR(__xludf.DUMMYFUNCTION("""COMPUTED_VALUE"""),45247.0)</f>
        <v>45247</v>
      </c>
      <c r="AA473" s="165" t="str">
        <f>IFERROR(__xludf.DUMMYFUNCTION("""COMPUTED_VALUE"""),"Nasser")</f>
        <v>Nasser</v>
      </c>
      <c r="AB473" s="165" t="str">
        <f>IFERROR(__xludf.DUMMYFUNCTION("""COMPUTED_VALUE"""),"Script")</f>
        <v>Script</v>
      </c>
      <c r="AC473" s="165"/>
      <c r="AD473" s="165"/>
      <c r="AE473" s="165"/>
      <c r="AF473" s="165"/>
      <c r="AG473" s="165"/>
      <c r="AH473" s="165"/>
      <c r="AI473" s="165"/>
      <c r="AJ473" s="165"/>
      <c r="AK473" s="165"/>
      <c r="AL473" s="165"/>
    </row>
    <row r="474">
      <c r="A474" s="165"/>
      <c r="B474" s="165"/>
      <c r="C474" s="165"/>
      <c r="D474" s="165"/>
      <c r="E474" s="292"/>
      <c r="F474" s="277"/>
      <c r="G474" s="165"/>
      <c r="H474" s="277"/>
      <c r="I474" s="277"/>
      <c r="J474" s="165"/>
      <c r="K474" s="165"/>
      <c r="L474" s="165"/>
      <c r="M474" s="165"/>
      <c r="N474" s="165"/>
      <c r="O474" s="165"/>
      <c r="P474" s="165"/>
      <c r="Q474" s="165"/>
      <c r="R474" s="165"/>
      <c r="S474" s="165"/>
      <c r="T474" s="165"/>
      <c r="U474" s="165"/>
      <c r="V474" s="165"/>
      <c r="W474" s="165"/>
      <c r="X474" s="165" t="str">
        <f>IFERROR(__xludf.DUMMYFUNCTION("""COMPUTED_VALUE"""),"CC-MVP-109.02")</f>
        <v>CC-MVP-109.02</v>
      </c>
      <c r="Y474" s="285" t="str">
        <f>IFERROR(__xludf.DUMMYFUNCTION("""COMPUTED_VALUE"""),"Not Started")</f>
        <v>Not Started</v>
      </c>
      <c r="Z474" s="284">
        <f>IFERROR(__xludf.DUMMYFUNCTION("""COMPUTED_VALUE"""),45247.0)</f>
        <v>45247</v>
      </c>
      <c r="AA474" s="165" t="str">
        <f>IFERROR(__xludf.DUMMYFUNCTION("""COMPUTED_VALUE"""),"Tazeen")</f>
        <v>Tazeen</v>
      </c>
      <c r="AB474" s="165" t="str">
        <f>IFERROR(__xludf.DUMMYFUNCTION("""COMPUTED_VALUE"""),"Transcript")</f>
        <v>Transcript</v>
      </c>
      <c r="AC474" s="165"/>
      <c r="AD474" s="165"/>
      <c r="AE474" s="165"/>
      <c r="AF474" s="165"/>
      <c r="AG474" s="165"/>
      <c r="AH474" s="165"/>
      <c r="AI474" s="165"/>
      <c r="AJ474" s="165"/>
      <c r="AK474" s="165"/>
      <c r="AL474" s="165"/>
    </row>
    <row r="475">
      <c r="A475" s="165"/>
      <c r="B475" s="165"/>
      <c r="C475" s="165"/>
      <c r="D475" s="165"/>
      <c r="E475" s="292"/>
      <c r="F475" s="277"/>
      <c r="G475" s="165"/>
      <c r="H475" s="277"/>
      <c r="I475" s="277"/>
      <c r="J475" s="165"/>
      <c r="K475" s="165"/>
      <c r="L475" s="165"/>
      <c r="M475" s="165"/>
      <c r="N475" s="165"/>
      <c r="O475" s="165"/>
      <c r="P475" s="165"/>
      <c r="Q475" s="165"/>
      <c r="R475" s="165"/>
      <c r="S475" s="165"/>
      <c r="T475" s="165"/>
      <c r="U475" s="165"/>
      <c r="V475" s="165"/>
      <c r="W475" s="165"/>
      <c r="X475" s="165" t="str">
        <f>IFERROR(__xludf.DUMMYFUNCTION("""COMPUTED_VALUE"""),"CC-CTH-19.04")</f>
        <v>CC-CTH-19.04</v>
      </c>
      <c r="Y475" s="285" t="str">
        <f>IFERROR(__xludf.DUMMYFUNCTION("""COMPUTED_VALUE"""),"Not Started")</f>
        <v>Not Started</v>
      </c>
      <c r="Z475" s="284">
        <f>IFERROR(__xludf.DUMMYFUNCTION("""COMPUTED_VALUE"""),45247.0)</f>
        <v>45247</v>
      </c>
      <c r="AA475" s="165" t="str">
        <f>IFERROR(__xludf.DUMMYFUNCTION("""COMPUTED_VALUE"""),"Talha")</f>
        <v>Talha</v>
      </c>
      <c r="AB475" s="165" t="str">
        <f>IFERROR(__xludf.DUMMYFUNCTION("""COMPUTED_VALUE"""),"Upload")</f>
        <v>Upload</v>
      </c>
      <c r="AC475" s="165"/>
      <c r="AD475" s="165"/>
      <c r="AE475" s="165"/>
      <c r="AF475" s="165"/>
      <c r="AG475" s="165"/>
      <c r="AH475" s="165"/>
      <c r="AI475" s="165"/>
      <c r="AJ475" s="165"/>
      <c r="AK475" s="165"/>
      <c r="AL475" s="165"/>
    </row>
    <row r="476">
      <c r="A476" s="165"/>
      <c r="B476" s="165"/>
      <c r="C476" s="165"/>
      <c r="D476" s="165"/>
      <c r="E476" s="292"/>
      <c r="F476" s="277"/>
      <c r="G476" s="165"/>
      <c r="H476" s="277"/>
      <c r="I476" s="277"/>
      <c r="J476" s="165"/>
      <c r="K476" s="165"/>
      <c r="L476" s="165"/>
      <c r="M476" s="165"/>
      <c r="N476" s="165"/>
      <c r="O476" s="165"/>
      <c r="P476" s="165"/>
      <c r="Q476" s="165"/>
      <c r="R476" s="165"/>
      <c r="S476" s="165"/>
      <c r="T476" s="165"/>
      <c r="U476" s="165"/>
      <c r="V476" s="165"/>
      <c r="W476" s="165"/>
      <c r="X476" s="165" t="str">
        <f>IFERROR(__xludf.DUMMYFUNCTION("""COMPUTED_VALUE"""),"CC-INN-33.07")</f>
        <v>CC-INN-33.07</v>
      </c>
      <c r="Y476" s="285" t="str">
        <f>IFERROR(__xludf.DUMMYFUNCTION("""COMPUTED_VALUE"""),"Not Started")</f>
        <v>Not Started</v>
      </c>
      <c r="Z476" s="284">
        <f>IFERROR(__xludf.DUMMYFUNCTION("""COMPUTED_VALUE"""),45247.0)</f>
        <v>45247</v>
      </c>
      <c r="AA476" s="165" t="str">
        <f>IFERROR(__xludf.DUMMYFUNCTION("""COMPUTED_VALUE"""),"Naveen")</f>
        <v>Naveen</v>
      </c>
      <c r="AB476" s="165" t="str">
        <f>IFERROR(__xludf.DUMMYFUNCTION("""COMPUTED_VALUE"""),"Upload")</f>
        <v>Upload</v>
      </c>
      <c r="AC476" s="165"/>
      <c r="AD476" s="165"/>
      <c r="AE476" s="165"/>
      <c r="AF476" s="165"/>
      <c r="AG476" s="165"/>
      <c r="AH476" s="165"/>
      <c r="AI476" s="165"/>
      <c r="AJ476" s="165"/>
      <c r="AK476" s="165"/>
      <c r="AL476" s="165"/>
    </row>
    <row r="477">
      <c r="A477" s="165"/>
      <c r="B477" s="165"/>
      <c r="C477" s="165"/>
      <c r="D477" s="165"/>
      <c r="E477" s="292"/>
      <c r="F477" s="277"/>
      <c r="G477" s="165"/>
      <c r="H477" s="277"/>
      <c r="I477" s="277"/>
      <c r="J477" s="165"/>
      <c r="K477" s="165"/>
      <c r="L477" s="165"/>
      <c r="M477" s="165"/>
      <c r="N477" s="165"/>
      <c r="O477" s="165"/>
      <c r="P477" s="165"/>
      <c r="Q477" s="165"/>
      <c r="R477" s="165"/>
      <c r="S477" s="165"/>
      <c r="T477" s="165"/>
      <c r="U477" s="165"/>
      <c r="V477" s="165"/>
      <c r="W477" s="165"/>
      <c r="X477" s="165" t="str">
        <f>IFERROR(__xludf.DUMMYFUNCTION("""COMPUTED_VALUE"""),"PM-PTS-09.05")</f>
        <v>PM-PTS-09.05</v>
      </c>
      <c r="Y477" s="285" t="str">
        <f>IFERROR(__xludf.DUMMYFUNCTION("""COMPUTED_VALUE"""),"Not Started")</f>
        <v>Not Started</v>
      </c>
      <c r="Z477" s="284">
        <f>IFERROR(__xludf.DUMMYFUNCTION("""COMPUTED_VALUE"""),45247.0)</f>
        <v>45247</v>
      </c>
      <c r="AA477" s="165"/>
      <c r="AB477" s="165" t="str">
        <f>IFERROR(__xludf.DUMMYFUNCTION("""COMPUTED_VALUE"""),"Edit")</f>
        <v>Edit</v>
      </c>
      <c r="AC477" s="165"/>
      <c r="AD477" s="165"/>
      <c r="AE477" s="165"/>
      <c r="AF477" s="165"/>
      <c r="AG477" s="165"/>
      <c r="AH477" s="165"/>
      <c r="AI477" s="165"/>
      <c r="AJ477" s="165"/>
      <c r="AK477" s="165"/>
      <c r="AL477" s="165"/>
    </row>
    <row r="478">
      <c r="A478" s="165"/>
      <c r="B478" s="165"/>
      <c r="C478" s="165"/>
      <c r="D478" s="165"/>
      <c r="E478" s="292"/>
      <c r="F478" s="277"/>
      <c r="G478" s="165"/>
      <c r="H478" s="277"/>
      <c r="I478" s="277"/>
      <c r="J478" s="165"/>
      <c r="K478" s="165"/>
      <c r="L478" s="165"/>
      <c r="M478" s="165"/>
      <c r="N478" s="165"/>
      <c r="O478" s="165"/>
      <c r="P478" s="165"/>
      <c r="Q478" s="165"/>
      <c r="R478" s="165"/>
      <c r="S478" s="165"/>
      <c r="T478" s="165"/>
      <c r="U478" s="165"/>
      <c r="V478" s="165"/>
      <c r="W478" s="165"/>
      <c r="X478" s="165" t="str">
        <f>IFERROR(__xludf.DUMMYFUNCTION("""COMPUTED_VALUE"""),"CC-MVP-108.04")</f>
        <v>CC-MVP-108.04</v>
      </c>
      <c r="Y478" s="285" t="str">
        <f>IFERROR(__xludf.DUMMYFUNCTION("""COMPUTED_VALUE"""),"Not Started")</f>
        <v>Not Started</v>
      </c>
      <c r="Z478" s="284">
        <f>IFERROR(__xludf.DUMMYFUNCTION("""COMPUTED_VALUE"""),45248.0)</f>
        <v>45248</v>
      </c>
      <c r="AA478" s="165" t="str">
        <f>IFERROR(__xludf.DUMMYFUNCTION("""COMPUTED_VALUE"""),"Tazeen")</f>
        <v>Tazeen</v>
      </c>
      <c r="AB478" s="165" t="str">
        <f>IFERROR(__xludf.DUMMYFUNCTION("""COMPUTED_VALUE"""),"Upload")</f>
        <v>Upload</v>
      </c>
      <c r="AC478" s="165"/>
      <c r="AD478" s="165"/>
      <c r="AE478" s="165"/>
      <c r="AF478" s="165"/>
      <c r="AG478" s="165"/>
      <c r="AH478" s="165"/>
      <c r="AI478" s="165"/>
      <c r="AJ478" s="165"/>
      <c r="AK478" s="165"/>
      <c r="AL478" s="165"/>
    </row>
    <row r="479">
      <c r="A479" s="165"/>
      <c r="B479" s="165"/>
      <c r="C479" s="165"/>
      <c r="D479" s="165"/>
      <c r="E479" s="292"/>
      <c r="F479" s="277"/>
      <c r="G479" s="165"/>
      <c r="H479" s="277"/>
      <c r="I479" s="277"/>
      <c r="J479" s="165"/>
      <c r="K479" s="165"/>
      <c r="L479" s="165"/>
      <c r="M479" s="165"/>
      <c r="N479" s="165"/>
      <c r="O479" s="165"/>
      <c r="P479" s="165"/>
      <c r="Q479" s="165"/>
      <c r="R479" s="165"/>
      <c r="S479" s="165"/>
      <c r="T479" s="165"/>
      <c r="U479" s="165"/>
      <c r="V479" s="165"/>
      <c r="W479" s="165"/>
      <c r="X479" s="165" t="str">
        <f>IFERROR(__xludf.DUMMYFUNCTION("""COMPUTED_VALUE"""),"CC-MVP-111.04")</f>
        <v>CC-MVP-111.04</v>
      </c>
      <c r="Y479" s="285" t="str">
        <f>IFERROR(__xludf.DUMMYFUNCTION("""COMPUTED_VALUE"""),"Not Started")</f>
        <v>Not Started</v>
      </c>
      <c r="Z479" s="284">
        <f>IFERROR(__xludf.DUMMYFUNCTION("""COMPUTED_VALUE"""),45248.0)</f>
        <v>45248</v>
      </c>
      <c r="AA479" s="165" t="str">
        <f>IFERROR(__xludf.DUMMYFUNCTION("""COMPUTED_VALUE"""),"Nasser")</f>
        <v>Nasser</v>
      </c>
      <c r="AB479" s="165" t="str">
        <f>IFERROR(__xludf.DUMMYFUNCTION("""COMPUTED_VALUE"""),"Upload")</f>
        <v>Upload</v>
      </c>
      <c r="AC479" s="165"/>
      <c r="AD479" s="165"/>
      <c r="AE479" s="165"/>
      <c r="AF479" s="165"/>
      <c r="AG479" s="165"/>
      <c r="AH479" s="165"/>
      <c r="AI479" s="165"/>
      <c r="AJ479" s="165"/>
      <c r="AK479" s="165"/>
      <c r="AL479" s="165"/>
    </row>
    <row r="480">
      <c r="A480" s="165"/>
      <c r="B480" s="165"/>
      <c r="C480" s="165"/>
      <c r="D480" s="165"/>
      <c r="E480" s="292"/>
      <c r="F480" s="277"/>
      <c r="G480" s="165"/>
      <c r="H480" s="277"/>
      <c r="I480" s="277"/>
      <c r="J480" s="165"/>
      <c r="K480" s="165"/>
      <c r="L480" s="165"/>
      <c r="M480" s="165"/>
      <c r="N480" s="165"/>
      <c r="O480" s="165"/>
      <c r="P480" s="165"/>
      <c r="Q480" s="165"/>
      <c r="R480" s="165"/>
      <c r="S480" s="165"/>
      <c r="T480" s="165"/>
      <c r="U480" s="165"/>
      <c r="V480" s="165"/>
      <c r="W480" s="165"/>
      <c r="X480" s="165" t="str">
        <f>IFERROR(__xludf.DUMMYFUNCTION("""COMPUTED_VALUE"""),"CC-MVP-113.03")</f>
        <v>CC-MVP-113.03</v>
      </c>
      <c r="Y480" s="285" t="str">
        <f>IFERROR(__xludf.DUMMYFUNCTION("""COMPUTED_VALUE"""),"Not Started")</f>
        <v>Not Started</v>
      </c>
      <c r="Z480" s="284">
        <f>IFERROR(__xludf.DUMMYFUNCTION("""COMPUTED_VALUE"""),45248.0)</f>
        <v>45248</v>
      </c>
      <c r="AA480" s="165" t="str">
        <f>IFERROR(__xludf.DUMMYFUNCTION("""COMPUTED_VALUE"""),"Naveen")</f>
        <v>Naveen</v>
      </c>
      <c r="AB480" s="165" t="str">
        <f>IFERROR(__xludf.DUMMYFUNCTION("""COMPUTED_VALUE"""),"Edit")</f>
        <v>Edit</v>
      </c>
      <c r="AC480" s="165"/>
      <c r="AD480" s="165"/>
      <c r="AE480" s="165"/>
      <c r="AF480" s="165"/>
      <c r="AG480" s="165"/>
      <c r="AH480" s="165"/>
      <c r="AI480" s="165"/>
      <c r="AJ480" s="165"/>
      <c r="AK480" s="165"/>
      <c r="AL480" s="165"/>
    </row>
    <row r="481">
      <c r="A481" s="165"/>
      <c r="B481" s="165"/>
      <c r="C481" s="165"/>
      <c r="D481" s="165"/>
      <c r="E481" s="292"/>
      <c r="F481" s="277"/>
      <c r="G481" s="165"/>
      <c r="H481" s="277"/>
      <c r="I481" s="277"/>
      <c r="J481" s="165"/>
      <c r="K481" s="165"/>
      <c r="L481" s="165"/>
      <c r="M481" s="165"/>
      <c r="N481" s="165"/>
      <c r="O481" s="165"/>
      <c r="P481" s="165"/>
      <c r="Q481" s="165"/>
      <c r="R481" s="165"/>
      <c r="S481" s="165"/>
      <c r="T481" s="165"/>
      <c r="U481" s="165"/>
      <c r="V481" s="165"/>
      <c r="W481" s="165"/>
      <c r="X481" s="165" t="str">
        <f>IFERROR(__xludf.DUMMYFUNCTION("""COMPUTED_VALUE"""),"CC-MVP-112.05")</f>
        <v>CC-MVP-112.05</v>
      </c>
      <c r="Y481" s="285" t="str">
        <f>IFERROR(__xludf.DUMMYFUNCTION("""COMPUTED_VALUE"""),"Not Started")</f>
        <v>Not Started</v>
      </c>
      <c r="Z481" s="284">
        <f>IFERROR(__xludf.DUMMYFUNCTION("""COMPUTED_VALUE"""),45248.0)</f>
        <v>45248</v>
      </c>
      <c r="AA481" s="165" t="str">
        <f>IFERROR(__xludf.DUMMYFUNCTION("""COMPUTED_VALUE"""),"Akhil")</f>
        <v>Akhil</v>
      </c>
      <c r="AB481" s="165" t="str">
        <f>IFERROR(__xludf.DUMMYFUNCTION("""COMPUTED_VALUE"""),"Edit")</f>
        <v>Edit</v>
      </c>
      <c r="AC481" s="165"/>
      <c r="AD481" s="165"/>
      <c r="AE481" s="165"/>
      <c r="AF481" s="165"/>
      <c r="AG481" s="165"/>
      <c r="AH481" s="165"/>
      <c r="AI481" s="165"/>
      <c r="AJ481" s="165"/>
      <c r="AK481" s="165"/>
      <c r="AL481" s="165"/>
    </row>
    <row r="482">
      <c r="A482" s="165"/>
      <c r="B482" s="165"/>
      <c r="C482" s="165"/>
      <c r="D482" s="165"/>
      <c r="E482" s="292"/>
      <c r="F482" s="277"/>
      <c r="G482" s="165"/>
      <c r="H482" s="277"/>
      <c r="I482" s="277"/>
      <c r="J482" s="165"/>
      <c r="K482" s="165"/>
      <c r="L482" s="165"/>
      <c r="M482" s="165"/>
      <c r="N482" s="165"/>
      <c r="O482" s="165"/>
      <c r="P482" s="165"/>
      <c r="Q482" s="165"/>
      <c r="R482" s="165"/>
      <c r="S482" s="165"/>
      <c r="T482" s="165"/>
      <c r="U482" s="165"/>
      <c r="V482" s="165"/>
      <c r="W482" s="165"/>
      <c r="X482" s="165" t="str">
        <f>IFERROR(__xludf.DUMMYFUNCTION("""COMPUTED_VALUE"""),"CC-MVP-104.02")</f>
        <v>CC-MVP-104.02</v>
      </c>
      <c r="Y482" s="285" t="str">
        <f>IFERROR(__xludf.DUMMYFUNCTION("""COMPUTED_VALUE"""),"Not Started")</f>
        <v>Not Started</v>
      </c>
      <c r="Z482" s="284">
        <f>IFERROR(__xludf.DUMMYFUNCTION("""COMPUTED_VALUE"""),45248.0)</f>
        <v>45248</v>
      </c>
      <c r="AA482" s="165" t="str">
        <f>IFERROR(__xludf.DUMMYFUNCTION("""COMPUTED_VALUE"""),"Ahmer")</f>
        <v>Ahmer</v>
      </c>
      <c r="AB482" s="165" t="str">
        <f>IFERROR(__xludf.DUMMYFUNCTION("""COMPUTED_VALUE"""),"Script")</f>
        <v>Script</v>
      </c>
      <c r="AC482" s="165"/>
      <c r="AD482" s="165"/>
      <c r="AE482" s="165"/>
      <c r="AF482" s="165"/>
      <c r="AG482" s="165"/>
      <c r="AH482" s="165"/>
      <c r="AI482" s="165"/>
      <c r="AJ482" s="165"/>
      <c r="AK482" s="165"/>
      <c r="AL482" s="165"/>
    </row>
    <row r="483">
      <c r="A483" s="165"/>
      <c r="B483" s="165"/>
      <c r="C483" s="165"/>
      <c r="D483" s="165"/>
      <c r="E483" s="292"/>
      <c r="F483" s="277"/>
      <c r="G483" s="165"/>
      <c r="H483" s="277"/>
      <c r="I483" s="277"/>
      <c r="J483" s="165"/>
      <c r="K483" s="165"/>
      <c r="L483" s="165"/>
      <c r="M483" s="165"/>
      <c r="N483" s="165"/>
      <c r="O483" s="165"/>
      <c r="P483" s="165"/>
      <c r="Q483" s="165"/>
      <c r="R483" s="165"/>
      <c r="S483" s="165"/>
      <c r="T483" s="165"/>
      <c r="U483" s="165"/>
      <c r="V483" s="165"/>
      <c r="W483" s="165"/>
      <c r="X483" s="165" t="str">
        <f>IFERROR(__xludf.DUMMYFUNCTION("""COMPUTED_VALUE"""),"CC-MVP-93.02")</f>
        <v>CC-MVP-93.02</v>
      </c>
      <c r="Y483" s="285" t="str">
        <f>IFERROR(__xludf.DUMMYFUNCTION("""COMPUTED_VALUE"""),"Not Started")</f>
        <v>Not Started</v>
      </c>
      <c r="Z483" s="284">
        <f>IFERROR(__xludf.DUMMYFUNCTION("""COMPUTED_VALUE"""),45248.0)</f>
        <v>45248</v>
      </c>
      <c r="AA483" s="165" t="str">
        <f>IFERROR(__xludf.DUMMYFUNCTION("""COMPUTED_VALUE"""),"Naveen")</f>
        <v>Naveen</v>
      </c>
      <c r="AB483" s="165" t="str">
        <f>IFERROR(__xludf.DUMMYFUNCTION("""COMPUTED_VALUE"""),"Shoot")</f>
        <v>Shoot</v>
      </c>
      <c r="AC483" s="165"/>
      <c r="AD483" s="165"/>
      <c r="AE483" s="165"/>
      <c r="AF483" s="165"/>
      <c r="AG483" s="165"/>
      <c r="AH483" s="165"/>
      <c r="AI483" s="165"/>
      <c r="AJ483" s="165"/>
      <c r="AK483" s="165"/>
      <c r="AL483" s="165"/>
    </row>
    <row r="484">
      <c r="A484" s="165"/>
      <c r="B484" s="165"/>
      <c r="C484" s="165"/>
      <c r="D484" s="165"/>
      <c r="E484" s="292"/>
      <c r="F484" s="277"/>
      <c r="G484" s="165"/>
      <c r="H484" s="277"/>
      <c r="I484" s="277"/>
      <c r="J484" s="165"/>
      <c r="K484" s="165"/>
      <c r="L484" s="165"/>
      <c r="M484" s="165"/>
      <c r="N484" s="165"/>
      <c r="O484" s="165"/>
      <c r="P484" s="165"/>
      <c r="Q484" s="165"/>
      <c r="R484" s="165"/>
      <c r="S484" s="165"/>
      <c r="T484" s="165"/>
      <c r="U484" s="165"/>
      <c r="V484" s="165"/>
      <c r="W484" s="165"/>
      <c r="X484" s="165" t="str">
        <f>IFERROR(__xludf.DUMMYFUNCTION("""COMPUTED_VALUE"""),"CC-MVP-109.01")</f>
        <v>CC-MVP-109.01</v>
      </c>
      <c r="Y484" s="285" t="str">
        <f>IFERROR(__xludf.DUMMYFUNCTION("""COMPUTED_VALUE"""),"Not Started")</f>
        <v>Not Started</v>
      </c>
      <c r="Z484" s="284">
        <f>IFERROR(__xludf.DUMMYFUNCTION("""COMPUTED_VALUE"""),45248.0)</f>
        <v>45248</v>
      </c>
      <c r="AA484" s="165" t="str">
        <f>IFERROR(__xludf.DUMMYFUNCTION("""COMPUTED_VALUE"""),"Tazeen")</f>
        <v>Tazeen</v>
      </c>
      <c r="AB484" s="165" t="str">
        <f>IFERROR(__xludf.DUMMYFUNCTION("""COMPUTED_VALUE"""),"Script")</f>
        <v>Script</v>
      </c>
      <c r="AC484" s="165"/>
      <c r="AD484" s="165"/>
      <c r="AE484" s="165"/>
      <c r="AF484" s="165"/>
      <c r="AG484" s="165"/>
      <c r="AH484" s="165"/>
      <c r="AI484" s="165"/>
      <c r="AJ484" s="165"/>
      <c r="AK484" s="165"/>
      <c r="AL484" s="165"/>
    </row>
    <row r="485">
      <c r="A485" s="165"/>
      <c r="B485" s="165"/>
      <c r="C485" s="165"/>
      <c r="D485" s="165"/>
      <c r="E485" s="292"/>
      <c r="F485" s="277"/>
      <c r="G485" s="165"/>
      <c r="H485" s="277"/>
      <c r="I485" s="277"/>
      <c r="J485" s="165"/>
      <c r="K485" s="165"/>
      <c r="L485" s="165"/>
      <c r="M485" s="165"/>
      <c r="N485" s="165"/>
      <c r="O485" s="165"/>
      <c r="P485" s="165"/>
      <c r="Q485" s="165"/>
      <c r="R485" s="165"/>
      <c r="S485" s="165"/>
      <c r="T485" s="165"/>
      <c r="U485" s="165"/>
      <c r="V485" s="165"/>
      <c r="W485" s="165"/>
      <c r="X485" s="165" t="str">
        <f>IFERROR(__xludf.DUMMYFUNCTION("""COMPUTED_VALUE"""),"CC-MVP-116.05")</f>
        <v>CC-MVP-116.05</v>
      </c>
      <c r="Y485" s="285" t="str">
        <f>IFERROR(__xludf.DUMMYFUNCTION("""COMPUTED_VALUE"""),"Not Started")</f>
        <v>Not Started</v>
      </c>
      <c r="Z485" s="284">
        <f>IFERROR(__xludf.DUMMYFUNCTION("""COMPUTED_VALUE"""),45248.0)</f>
        <v>45248</v>
      </c>
      <c r="AA485" s="165" t="str">
        <f>IFERROR(__xludf.DUMMYFUNCTION("""COMPUTED_VALUE"""),"Jayanth")</f>
        <v>Jayanth</v>
      </c>
      <c r="AB485" s="165" t="str">
        <f>IFERROR(__xludf.DUMMYFUNCTION("""COMPUTED_VALUE"""),"Edit")</f>
        <v>Edit</v>
      </c>
      <c r="AC485" s="165"/>
      <c r="AD485" s="165"/>
      <c r="AE485" s="165"/>
      <c r="AF485" s="165"/>
      <c r="AG485" s="165"/>
      <c r="AH485" s="165"/>
      <c r="AI485" s="165"/>
      <c r="AJ485" s="165"/>
      <c r="AK485" s="165"/>
      <c r="AL485" s="165"/>
    </row>
    <row r="486">
      <c r="A486" s="165"/>
      <c r="B486" s="165"/>
      <c r="C486" s="165"/>
      <c r="D486" s="165"/>
      <c r="E486" s="292"/>
      <c r="F486" s="277"/>
      <c r="G486" s="165"/>
      <c r="H486" s="277"/>
      <c r="I486" s="277"/>
      <c r="J486" s="165"/>
      <c r="K486" s="165"/>
      <c r="L486" s="165"/>
      <c r="M486" s="165"/>
      <c r="N486" s="165"/>
      <c r="O486" s="165"/>
      <c r="P486" s="165"/>
      <c r="Q486" s="165"/>
      <c r="R486" s="165"/>
      <c r="S486" s="165"/>
      <c r="T486" s="165"/>
      <c r="U486" s="165"/>
      <c r="V486" s="165"/>
      <c r="W486" s="165"/>
      <c r="X486" s="165" t="str">
        <f>IFERROR(__xludf.DUMMYFUNCTION("""COMPUTED_VALUE"""),"CC-MVP-118.05")</f>
        <v>CC-MVP-118.05</v>
      </c>
      <c r="Y486" s="285" t="str">
        <f>IFERROR(__xludf.DUMMYFUNCTION("""COMPUTED_VALUE"""),"Not Started")</f>
        <v>Not Started</v>
      </c>
      <c r="Z486" s="284">
        <f>IFERROR(__xludf.DUMMYFUNCTION("""COMPUTED_VALUE"""),45248.0)</f>
        <v>45248</v>
      </c>
      <c r="AA486" s="165"/>
      <c r="AB486" s="165" t="str">
        <f>IFERROR(__xludf.DUMMYFUNCTION("""COMPUTED_VALUE"""),"Edit")</f>
        <v>Edit</v>
      </c>
      <c r="AC486" s="165"/>
      <c r="AD486" s="165"/>
      <c r="AE486" s="165"/>
      <c r="AF486" s="165"/>
      <c r="AG486" s="165"/>
      <c r="AH486" s="165"/>
      <c r="AI486" s="165"/>
      <c r="AJ486" s="165"/>
      <c r="AK486" s="165"/>
      <c r="AL486" s="165"/>
    </row>
    <row r="487">
      <c r="A487" s="165"/>
      <c r="B487" s="165"/>
      <c r="C487" s="165"/>
      <c r="D487" s="165"/>
      <c r="E487" s="292"/>
      <c r="F487" s="277"/>
      <c r="G487" s="165"/>
      <c r="H487" s="277"/>
      <c r="I487" s="277"/>
      <c r="J487" s="165"/>
      <c r="K487" s="165"/>
      <c r="L487" s="165"/>
      <c r="M487" s="165"/>
      <c r="N487" s="165"/>
      <c r="O487" s="165"/>
      <c r="P487" s="165"/>
      <c r="Q487" s="165"/>
      <c r="R487" s="165"/>
      <c r="S487" s="165"/>
      <c r="T487" s="165"/>
      <c r="U487" s="165"/>
      <c r="V487" s="165"/>
      <c r="W487" s="165"/>
      <c r="X487" s="165" t="str">
        <f>IFERROR(__xludf.DUMMYFUNCTION("""COMPUTED_VALUE"""),"CC-CTH-20.07")</f>
        <v>CC-CTH-20.07</v>
      </c>
      <c r="Y487" s="285" t="str">
        <f>IFERROR(__xludf.DUMMYFUNCTION("""COMPUTED_VALUE"""),"Not Started")</f>
        <v>Not Started</v>
      </c>
      <c r="Z487" s="284">
        <f>IFERROR(__xludf.DUMMYFUNCTION("""COMPUTED_VALUE"""),45248.0)</f>
        <v>45248</v>
      </c>
      <c r="AA487" s="165" t="str">
        <f>IFERROR(__xludf.DUMMYFUNCTION("""COMPUTED_VALUE"""),"Talha")</f>
        <v>Talha</v>
      </c>
      <c r="AB487" s="165" t="str">
        <f>IFERROR(__xludf.DUMMYFUNCTION("""COMPUTED_VALUE"""),"Upload")</f>
        <v>Upload</v>
      </c>
      <c r="AC487" s="165"/>
      <c r="AD487" s="165"/>
      <c r="AE487" s="165"/>
      <c r="AF487" s="165"/>
      <c r="AG487" s="165"/>
      <c r="AH487" s="165"/>
      <c r="AI487" s="165"/>
      <c r="AJ487" s="165"/>
      <c r="AK487" s="165"/>
      <c r="AL487" s="165"/>
    </row>
    <row r="488">
      <c r="A488" s="165"/>
      <c r="B488" s="165"/>
      <c r="C488" s="165"/>
      <c r="D488" s="165"/>
      <c r="E488" s="292"/>
      <c r="F488" s="277"/>
      <c r="G488" s="165"/>
      <c r="H488" s="277"/>
      <c r="I488" s="277"/>
      <c r="J488" s="165"/>
      <c r="K488" s="165"/>
      <c r="L488" s="165"/>
      <c r="M488" s="165"/>
      <c r="N488" s="165"/>
      <c r="O488" s="165"/>
      <c r="P488" s="165"/>
      <c r="Q488" s="165"/>
      <c r="R488" s="165"/>
      <c r="S488" s="165"/>
      <c r="T488" s="165"/>
      <c r="U488" s="165"/>
      <c r="V488" s="165"/>
      <c r="W488" s="165"/>
      <c r="X488" s="165" t="str">
        <f>IFERROR(__xludf.DUMMYFUNCTION("""COMPUTED_VALUE"""),"PM-MAC-01.08")</f>
        <v>PM-MAC-01.08</v>
      </c>
      <c r="Y488" s="285" t="str">
        <f>IFERROR(__xludf.DUMMYFUNCTION("""COMPUTED_VALUE"""),"In Review")</f>
        <v>In Review</v>
      </c>
      <c r="Z488" s="284">
        <f>IFERROR(__xludf.DUMMYFUNCTION("""COMPUTED_VALUE"""),45248.0)</f>
        <v>45248</v>
      </c>
      <c r="AA488" s="165" t="str">
        <f>IFERROR(__xludf.DUMMYFUNCTION("""COMPUTED_VALUE"""),"Talha")</f>
        <v>Talha</v>
      </c>
      <c r="AB488" s="165" t="str">
        <f>IFERROR(__xludf.DUMMYFUNCTION("""COMPUTED_VALUE"""),"Home")</f>
        <v>Home</v>
      </c>
      <c r="AC488" s="165"/>
      <c r="AD488" s="165"/>
      <c r="AE488" s="165"/>
      <c r="AF488" s="165"/>
      <c r="AG488" s="165"/>
      <c r="AH488" s="165"/>
      <c r="AI488" s="165"/>
      <c r="AJ488" s="165"/>
      <c r="AK488" s="165"/>
      <c r="AL488" s="165"/>
    </row>
    <row r="489">
      <c r="A489" s="165"/>
      <c r="B489" s="165"/>
      <c r="C489" s="165"/>
      <c r="D489" s="165"/>
      <c r="E489" s="292"/>
      <c r="F489" s="277"/>
      <c r="G489" s="165"/>
      <c r="H489" s="277"/>
      <c r="I489" s="277"/>
      <c r="J489" s="165"/>
      <c r="K489" s="165"/>
      <c r="L489" s="165"/>
      <c r="M489" s="165"/>
      <c r="N489" s="165"/>
      <c r="O489" s="165"/>
      <c r="P489" s="165"/>
      <c r="Q489" s="165"/>
      <c r="R489" s="165"/>
      <c r="S489" s="165"/>
      <c r="T489" s="165"/>
      <c r="U489" s="165"/>
      <c r="V489" s="165"/>
      <c r="W489" s="165"/>
      <c r="X489" s="165" t="str">
        <f>IFERROR(__xludf.DUMMYFUNCTION("""COMPUTED_VALUE"""),"PM-MAC-01.09")</f>
        <v>PM-MAC-01.09</v>
      </c>
      <c r="Y489" s="285" t="str">
        <f>IFERROR(__xludf.DUMMYFUNCTION("""COMPUTED_VALUE"""),"In Review")</f>
        <v>In Review</v>
      </c>
      <c r="Z489" s="284">
        <f>IFERROR(__xludf.DUMMYFUNCTION("""COMPUTED_VALUE"""),45248.0)</f>
        <v>45248</v>
      </c>
      <c r="AA489" s="165" t="str">
        <f>IFERROR(__xludf.DUMMYFUNCTION("""COMPUTED_VALUE"""),"Talha")</f>
        <v>Talha</v>
      </c>
      <c r="AB489" s="165" t="str">
        <f>IFERROR(__xludf.DUMMYFUNCTION("""COMPUTED_VALUE"""),"About-Us")</f>
        <v>About-Us</v>
      </c>
      <c r="AC489" s="165"/>
      <c r="AD489" s="165"/>
      <c r="AE489" s="165"/>
      <c r="AF489" s="165"/>
      <c r="AG489" s="165"/>
      <c r="AH489" s="165"/>
      <c r="AI489" s="165"/>
      <c r="AJ489" s="165"/>
      <c r="AK489" s="165"/>
      <c r="AL489" s="165"/>
    </row>
    <row r="490">
      <c r="A490" s="165"/>
      <c r="B490" s="165"/>
      <c r="C490" s="165"/>
      <c r="D490" s="165"/>
      <c r="E490" s="292"/>
      <c r="F490" s="277"/>
      <c r="G490" s="165"/>
      <c r="H490" s="277"/>
      <c r="I490" s="277"/>
      <c r="J490" s="165"/>
      <c r="K490" s="165"/>
      <c r="L490" s="165"/>
      <c r="M490" s="165"/>
      <c r="N490" s="165"/>
      <c r="O490" s="165"/>
      <c r="P490" s="165"/>
      <c r="Q490" s="165"/>
      <c r="R490" s="165"/>
      <c r="S490" s="165"/>
      <c r="T490" s="165"/>
      <c r="U490" s="165"/>
      <c r="V490" s="165"/>
      <c r="W490" s="165"/>
      <c r="X490" s="165" t="str">
        <f>IFERROR(__xludf.DUMMYFUNCTION("""COMPUTED_VALUE"""),"PM-MAC-01.10")</f>
        <v>PM-MAC-01.10</v>
      </c>
      <c r="Y490" s="285" t="str">
        <f>IFERROR(__xludf.DUMMYFUNCTION("""COMPUTED_VALUE"""),"In Review")</f>
        <v>In Review</v>
      </c>
      <c r="Z490" s="284">
        <f>IFERROR(__xludf.DUMMYFUNCTION("""COMPUTED_VALUE"""),45248.0)</f>
        <v>45248</v>
      </c>
      <c r="AA490" s="165" t="str">
        <f>IFERROR(__xludf.DUMMYFUNCTION("""COMPUTED_VALUE"""),"Talha")</f>
        <v>Talha</v>
      </c>
      <c r="AB490" s="165" t="str">
        <f>IFERROR(__xludf.DUMMYFUNCTION("""COMPUTED_VALUE"""),"Contact")</f>
        <v>Contact</v>
      </c>
      <c r="AC490" s="165"/>
      <c r="AD490" s="165"/>
      <c r="AE490" s="165"/>
      <c r="AF490" s="165"/>
      <c r="AG490" s="165"/>
      <c r="AH490" s="165"/>
      <c r="AI490" s="165"/>
      <c r="AJ490" s="165"/>
      <c r="AK490" s="165"/>
      <c r="AL490" s="165"/>
    </row>
    <row r="491">
      <c r="A491" s="165"/>
      <c r="B491" s="165"/>
      <c r="C491" s="165"/>
      <c r="D491" s="165"/>
      <c r="E491" s="292"/>
      <c r="F491" s="277"/>
      <c r="G491" s="165"/>
      <c r="H491" s="277"/>
      <c r="I491" s="277"/>
      <c r="J491" s="165"/>
      <c r="K491" s="165"/>
      <c r="L491" s="165"/>
      <c r="M491" s="165"/>
      <c r="N491" s="165"/>
      <c r="O491" s="165"/>
      <c r="P491" s="165"/>
      <c r="Q491" s="165"/>
      <c r="R491" s="165"/>
      <c r="S491" s="165"/>
      <c r="T491" s="165"/>
      <c r="U491" s="165"/>
      <c r="V491" s="165"/>
      <c r="W491" s="165"/>
      <c r="X491" s="165" t="str">
        <f>IFERROR(__xludf.DUMMYFUNCTION("""COMPUTED_VALUE"""),"PM-MAC-01.11")</f>
        <v>PM-MAC-01.11</v>
      </c>
      <c r="Y491" s="285" t="str">
        <f>IFERROR(__xludf.DUMMYFUNCTION("""COMPUTED_VALUE"""),"In Review")</f>
        <v>In Review</v>
      </c>
      <c r="Z491" s="284">
        <f>IFERROR(__xludf.DUMMYFUNCTION("""COMPUTED_VALUE"""),45248.0)</f>
        <v>45248</v>
      </c>
      <c r="AA491" s="165" t="str">
        <f>IFERROR(__xludf.DUMMYFUNCTION("""COMPUTED_VALUE"""),"Talha")</f>
        <v>Talha</v>
      </c>
      <c r="AB491" s="165" t="str">
        <f>IFERROR(__xludf.DUMMYFUNCTION("""COMPUTED_VALUE"""),"Courses")</f>
        <v>Courses</v>
      </c>
      <c r="AC491" s="165"/>
      <c r="AD491" s="165"/>
      <c r="AE491" s="165"/>
      <c r="AF491" s="165"/>
      <c r="AG491" s="165"/>
      <c r="AH491" s="165"/>
      <c r="AI491" s="165"/>
      <c r="AJ491" s="165"/>
      <c r="AK491" s="165"/>
      <c r="AL491" s="165"/>
    </row>
    <row r="492">
      <c r="A492" s="165"/>
      <c r="B492" s="165"/>
      <c r="C492" s="165"/>
      <c r="D492" s="165"/>
      <c r="E492" s="292"/>
      <c r="F492" s="277"/>
      <c r="G492" s="165"/>
      <c r="H492" s="277"/>
      <c r="I492" s="277"/>
      <c r="J492" s="165"/>
      <c r="K492" s="165"/>
      <c r="L492" s="165"/>
      <c r="M492" s="165"/>
      <c r="N492" s="165"/>
      <c r="O492" s="165"/>
      <c r="P492" s="165"/>
      <c r="Q492" s="165"/>
      <c r="R492" s="165"/>
      <c r="S492" s="165"/>
      <c r="T492" s="165"/>
      <c r="U492" s="165"/>
      <c r="V492" s="165"/>
      <c r="W492" s="165"/>
      <c r="X492" s="165" t="str">
        <f>IFERROR(__xludf.DUMMYFUNCTION("""COMPUTED_VALUE"""),"PM-MAC-01.12")</f>
        <v>PM-MAC-01.12</v>
      </c>
      <c r="Y492" s="285" t="str">
        <f>IFERROR(__xludf.DUMMYFUNCTION("""COMPUTED_VALUE"""),"In Review")</f>
        <v>In Review</v>
      </c>
      <c r="Z492" s="284">
        <f>IFERROR(__xludf.DUMMYFUNCTION("""COMPUTED_VALUE"""),45248.0)</f>
        <v>45248</v>
      </c>
      <c r="AA492" s="165" t="str">
        <f>IFERROR(__xludf.DUMMYFUNCTION("""COMPUTED_VALUE"""),"Talha")</f>
        <v>Talha</v>
      </c>
      <c r="AB492" s="165" t="str">
        <f>IFERROR(__xludf.DUMMYFUNCTION("""COMPUTED_VALUE"""),"Blogs")</f>
        <v>Blogs</v>
      </c>
      <c r="AC492" s="165"/>
      <c r="AD492" s="165"/>
      <c r="AE492" s="165"/>
      <c r="AF492" s="165"/>
      <c r="AG492" s="165"/>
      <c r="AH492" s="165"/>
      <c r="AI492" s="165"/>
      <c r="AJ492" s="165"/>
      <c r="AK492" s="165"/>
      <c r="AL492" s="165"/>
    </row>
    <row r="493">
      <c r="A493" s="165"/>
      <c r="B493" s="165"/>
      <c r="C493" s="165"/>
      <c r="D493" s="165"/>
      <c r="E493" s="292"/>
      <c r="F493" s="277"/>
      <c r="G493" s="165"/>
      <c r="H493" s="277"/>
      <c r="I493" s="277"/>
      <c r="J493" s="165"/>
      <c r="K493" s="165"/>
      <c r="L493" s="165"/>
      <c r="M493" s="165"/>
      <c r="N493" s="165"/>
      <c r="O493" s="165"/>
      <c r="P493" s="165"/>
      <c r="Q493" s="165"/>
      <c r="R493" s="165"/>
      <c r="S493" s="165"/>
      <c r="T493" s="165"/>
      <c r="U493" s="165"/>
      <c r="V493" s="165"/>
      <c r="W493" s="165"/>
      <c r="X493" s="165" t="str">
        <f>IFERROR(__xludf.DUMMYFUNCTION("""COMPUTED_VALUE"""),"PM-MYD-01.05")</f>
        <v>PM-MYD-01.05</v>
      </c>
      <c r="Y493" s="285" t="str">
        <f>IFERROR(__xludf.DUMMYFUNCTION("""COMPUTED_VALUE"""),"Not Started")</f>
        <v>Not Started</v>
      </c>
      <c r="Z493" s="284">
        <f>IFERROR(__xludf.DUMMYFUNCTION("""COMPUTED_VALUE"""),45248.0)</f>
        <v>45248</v>
      </c>
      <c r="AA493" s="165" t="str">
        <f>IFERROR(__xludf.DUMMYFUNCTION("""COMPUTED_VALUE"""),"Nasser")</f>
        <v>Nasser</v>
      </c>
      <c r="AB493" s="165" t="str">
        <f>IFERROR(__xludf.DUMMYFUNCTION("""COMPUTED_VALUE"""),"Branding &amp; Delivery")</f>
        <v>Branding &amp; Delivery</v>
      </c>
      <c r="AC493" s="165"/>
      <c r="AD493" s="165"/>
      <c r="AE493" s="165"/>
      <c r="AF493" s="165"/>
      <c r="AG493" s="165"/>
      <c r="AH493" s="165"/>
      <c r="AI493" s="165"/>
      <c r="AJ493" s="165"/>
      <c r="AK493" s="165"/>
      <c r="AL493" s="165"/>
    </row>
    <row r="494">
      <c r="A494" s="165"/>
      <c r="B494" s="165"/>
      <c r="C494" s="165"/>
      <c r="D494" s="165"/>
      <c r="E494" s="292"/>
      <c r="F494" s="277"/>
      <c r="G494" s="165"/>
      <c r="H494" s="277"/>
      <c r="I494" s="277"/>
      <c r="J494" s="165"/>
      <c r="K494" s="165"/>
      <c r="L494" s="165"/>
      <c r="M494" s="165"/>
      <c r="N494" s="165"/>
      <c r="O494" s="165"/>
      <c r="P494" s="165"/>
      <c r="Q494" s="165"/>
      <c r="R494" s="165"/>
      <c r="S494" s="165"/>
      <c r="T494" s="165"/>
      <c r="U494" s="165"/>
      <c r="V494" s="165"/>
      <c r="W494" s="165"/>
      <c r="X494" s="165" t="str">
        <f>IFERROR(__xludf.DUMMYFUNCTION("""COMPUTED_VALUE"""),"CC-MVP-113.04")</f>
        <v>CC-MVP-113.04</v>
      </c>
      <c r="Y494" s="285" t="str">
        <f>IFERROR(__xludf.DUMMYFUNCTION("""COMPUTED_VALUE"""),"Not Started")</f>
        <v>Not Started</v>
      </c>
      <c r="Z494" s="284">
        <f>IFERROR(__xludf.DUMMYFUNCTION("""COMPUTED_VALUE"""),45249.0)</f>
        <v>45249</v>
      </c>
      <c r="AA494" s="165" t="str">
        <f>IFERROR(__xludf.DUMMYFUNCTION("""COMPUTED_VALUE"""),"Naveen")</f>
        <v>Naveen</v>
      </c>
      <c r="AB494" s="165" t="str">
        <f>IFERROR(__xludf.DUMMYFUNCTION("""COMPUTED_VALUE"""),"Upload")</f>
        <v>Upload</v>
      </c>
      <c r="AC494" s="165"/>
      <c r="AD494" s="165"/>
      <c r="AE494" s="165"/>
      <c r="AF494" s="165"/>
      <c r="AG494" s="165"/>
      <c r="AH494" s="165"/>
      <c r="AI494" s="165"/>
      <c r="AJ494" s="165"/>
      <c r="AK494" s="165"/>
      <c r="AL494" s="165"/>
    </row>
    <row r="495">
      <c r="A495" s="165"/>
      <c r="B495" s="165"/>
      <c r="C495" s="165"/>
      <c r="D495" s="165"/>
      <c r="E495" s="292"/>
      <c r="F495" s="277"/>
      <c r="G495" s="165"/>
      <c r="H495" s="277"/>
      <c r="I495" s="277"/>
      <c r="J495" s="165"/>
      <c r="K495" s="165"/>
      <c r="L495" s="165"/>
      <c r="M495" s="165"/>
      <c r="N495" s="165"/>
      <c r="O495" s="165"/>
      <c r="P495" s="165"/>
      <c r="Q495" s="165"/>
      <c r="R495" s="165"/>
      <c r="S495" s="165"/>
      <c r="T495" s="165"/>
      <c r="U495" s="165"/>
      <c r="V495" s="165"/>
      <c r="W495" s="165"/>
      <c r="X495" s="165" t="str">
        <f>IFERROR(__xludf.DUMMYFUNCTION("""COMPUTED_VALUE"""),"CC-MVP-112.06")</f>
        <v>CC-MVP-112.06</v>
      </c>
      <c r="Y495" s="285" t="str">
        <f>IFERROR(__xludf.DUMMYFUNCTION("""COMPUTED_VALUE"""),"Not Started")</f>
        <v>Not Started</v>
      </c>
      <c r="Z495" s="284">
        <f>IFERROR(__xludf.DUMMYFUNCTION("""COMPUTED_VALUE"""),45249.0)</f>
        <v>45249</v>
      </c>
      <c r="AA495" s="165" t="str">
        <f>IFERROR(__xludf.DUMMYFUNCTION("""COMPUTED_VALUE"""),"Naveen")</f>
        <v>Naveen</v>
      </c>
      <c r="AB495" s="165" t="str">
        <f>IFERROR(__xludf.DUMMYFUNCTION("""COMPUTED_VALUE"""),"Thumbnail")</f>
        <v>Thumbnail</v>
      </c>
      <c r="AC495" s="165"/>
      <c r="AD495" s="165"/>
      <c r="AE495" s="165"/>
      <c r="AF495" s="165"/>
      <c r="AG495" s="165"/>
      <c r="AH495" s="165"/>
      <c r="AI495" s="165"/>
      <c r="AJ495" s="165"/>
      <c r="AK495" s="165"/>
      <c r="AL495" s="165"/>
    </row>
    <row r="496">
      <c r="A496" s="165"/>
      <c r="B496" s="165"/>
      <c r="C496" s="165"/>
      <c r="D496" s="165"/>
      <c r="E496" s="292"/>
      <c r="F496" s="277"/>
      <c r="G496" s="165"/>
      <c r="H496" s="277"/>
      <c r="I496" s="277"/>
      <c r="J496" s="165"/>
      <c r="K496" s="165"/>
      <c r="L496" s="165"/>
      <c r="M496" s="165"/>
      <c r="N496" s="165"/>
      <c r="O496" s="165"/>
      <c r="P496" s="165"/>
      <c r="Q496" s="165"/>
      <c r="R496" s="165"/>
      <c r="S496" s="165"/>
      <c r="T496" s="165"/>
      <c r="U496" s="165"/>
      <c r="V496" s="165"/>
      <c r="W496" s="165"/>
      <c r="X496" s="165" t="str">
        <f>IFERROR(__xludf.DUMMYFUNCTION("""COMPUTED_VALUE"""),"CC-MVP-93.03")</f>
        <v>CC-MVP-93.03</v>
      </c>
      <c r="Y496" s="285" t="str">
        <f>IFERROR(__xludf.DUMMYFUNCTION("""COMPUTED_VALUE"""),"Not Started")</f>
        <v>Not Started</v>
      </c>
      <c r="Z496" s="284">
        <f>IFERROR(__xludf.DUMMYFUNCTION("""COMPUTED_VALUE"""),45249.0)</f>
        <v>45249</v>
      </c>
      <c r="AA496" s="165" t="str">
        <f>IFERROR(__xludf.DUMMYFUNCTION("""COMPUTED_VALUE"""),"Tazeen")</f>
        <v>Tazeen</v>
      </c>
      <c r="AB496" s="165" t="str">
        <f>IFERROR(__xludf.DUMMYFUNCTION("""COMPUTED_VALUE"""),"Editor Notes")</f>
        <v>Editor Notes</v>
      </c>
      <c r="AC496" s="165"/>
      <c r="AD496" s="165"/>
      <c r="AE496" s="165"/>
      <c r="AF496" s="165"/>
      <c r="AG496" s="165"/>
      <c r="AH496" s="165"/>
      <c r="AI496" s="165"/>
      <c r="AJ496" s="165"/>
      <c r="AK496" s="165"/>
      <c r="AL496" s="165"/>
    </row>
    <row r="497">
      <c r="A497" s="165"/>
      <c r="B497" s="165"/>
      <c r="C497" s="165"/>
      <c r="D497" s="165"/>
      <c r="E497" s="292"/>
      <c r="F497" s="277"/>
      <c r="G497" s="165"/>
      <c r="H497" s="277"/>
      <c r="I497" s="277"/>
      <c r="J497" s="165"/>
      <c r="K497" s="165"/>
      <c r="L497" s="165"/>
      <c r="M497" s="165"/>
      <c r="N497" s="165"/>
      <c r="O497" s="165"/>
      <c r="P497" s="165"/>
      <c r="Q497" s="165"/>
      <c r="R497" s="165"/>
      <c r="S497" s="165"/>
      <c r="T497" s="165"/>
      <c r="U497" s="165"/>
      <c r="V497" s="165"/>
      <c r="W497" s="165"/>
      <c r="X497" s="165" t="str">
        <f>IFERROR(__xludf.DUMMYFUNCTION("""COMPUTED_VALUE"""),"CC-MVP-109.03")</f>
        <v>CC-MVP-109.03</v>
      </c>
      <c r="Y497" s="285" t="str">
        <f>IFERROR(__xludf.DUMMYFUNCTION("""COMPUTED_VALUE"""),"Not Started")</f>
        <v>Not Started</v>
      </c>
      <c r="Z497" s="284">
        <f>IFERROR(__xludf.DUMMYFUNCTION("""COMPUTED_VALUE"""),45249.0)</f>
        <v>45249</v>
      </c>
      <c r="AA497" s="165" t="str">
        <f>IFERROR(__xludf.DUMMYFUNCTION("""COMPUTED_VALUE"""),"Tazeen")</f>
        <v>Tazeen</v>
      </c>
      <c r="AB497" s="165" t="str">
        <f>IFERROR(__xludf.DUMMYFUNCTION("""COMPUTED_VALUE"""),"Editor Notes")</f>
        <v>Editor Notes</v>
      </c>
      <c r="AC497" s="165"/>
      <c r="AD497" s="165"/>
      <c r="AE497" s="165"/>
      <c r="AF497" s="165"/>
      <c r="AG497" s="165"/>
      <c r="AH497" s="165"/>
      <c r="AI497" s="165"/>
      <c r="AJ497" s="165"/>
      <c r="AK497" s="165"/>
      <c r="AL497" s="165"/>
    </row>
    <row r="498">
      <c r="A498" s="165"/>
      <c r="B498" s="165"/>
      <c r="C498" s="165"/>
      <c r="D498" s="165"/>
      <c r="E498" s="292"/>
      <c r="F498" s="277"/>
      <c r="G498" s="165"/>
      <c r="H498" s="277"/>
      <c r="I498" s="277"/>
      <c r="J498" s="165"/>
      <c r="K498" s="165"/>
      <c r="L498" s="165"/>
      <c r="M498" s="165"/>
      <c r="N498" s="165"/>
      <c r="O498" s="165"/>
      <c r="P498" s="165"/>
      <c r="Q498" s="165"/>
      <c r="R498" s="165"/>
      <c r="S498" s="165"/>
      <c r="T498" s="165"/>
      <c r="U498" s="165"/>
      <c r="V498" s="165"/>
      <c r="W498" s="165"/>
      <c r="X498" s="165" t="str">
        <f>IFERROR(__xludf.DUMMYFUNCTION("""COMPUTED_VALUE"""),"CC-CTH-21.04")</f>
        <v>CC-CTH-21.04</v>
      </c>
      <c r="Y498" s="285" t="str">
        <f>IFERROR(__xludf.DUMMYFUNCTION("""COMPUTED_VALUE"""),"Not Started")</f>
        <v>Not Started</v>
      </c>
      <c r="Z498" s="284">
        <f>IFERROR(__xludf.DUMMYFUNCTION("""COMPUTED_VALUE"""),45249.0)</f>
        <v>45249</v>
      </c>
      <c r="AA498" s="165" t="str">
        <f>IFERROR(__xludf.DUMMYFUNCTION("""COMPUTED_VALUE"""),"Talha")</f>
        <v>Talha</v>
      </c>
      <c r="AB498" s="165" t="str">
        <f>IFERROR(__xludf.DUMMYFUNCTION("""COMPUTED_VALUE"""),"Upload")</f>
        <v>Upload</v>
      </c>
      <c r="AC498" s="165"/>
      <c r="AD498" s="165"/>
      <c r="AE498" s="165"/>
      <c r="AF498" s="165"/>
      <c r="AG498" s="165"/>
      <c r="AH498" s="165"/>
      <c r="AI498" s="165"/>
      <c r="AJ498" s="165"/>
      <c r="AK498" s="165"/>
      <c r="AL498" s="165"/>
    </row>
    <row r="499">
      <c r="A499" s="165"/>
      <c r="B499" s="165"/>
      <c r="C499" s="165"/>
      <c r="D499" s="165"/>
      <c r="E499" s="292"/>
      <c r="F499" s="277"/>
      <c r="G499" s="165"/>
      <c r="H499" s="277"/>
      <c r="I499" s="277"/>
      <c r="J499" s="165"/>
      <c r="K499" s="165"/>
      <c r="L499" s="165"/>
      <c r="M499" s="165"/>
      <c r="N499" s="165"/>
      <c r="O499" s="165"/>
      <c r="P499" s="165"/>
      <c r="Q499" s="165"/>
      <c r="R499" s="165"/>
      <c r="S499" s="165"/>
      <c r="T499" s="165"/>
      <c r="U499" s="165"/>
      <c r="V499" s="165"/>
      <c r="W499" s="165"/>
      <c r="X499" s="165" t="str">
        <f>IFERROR(__xludf.DUMMYFUNCTION("""COMPUTED_VALUE"""),"PM-PTS-09.06")</f>
        <v>PM-PTS-09.06</v>
      </c>
      <c r="Y499" s="285" t="str">
        <f>IFERROR(__xludf.DUMMYFUNCTION("""COMPUTED_VALUE"""),"Not Started")</f>
        <v>Not Started</v>
      </c>
      <c r="Z499" s="284">
        <f>IFERROR(__xludf.DUMMYFUNCTION("""COMPUTED_VALUE"""),45249.0)</f>
        <v>45249</v>
      </c>
      <c r="AA499" s="165"/>
      <c r="AB499" s="165" t="str">
        <f>IFERROR(__xludf.DUMMYFUNCTION("""COMPUTED_VALUE"""),"Finalise")</f>
        <v>Finalise</v>
      </c>
      <c r="AC499" s="165"/>
      <c r="AD499" s="165"/>
      <c r="AE499" s="165"/>
      <c r="AF499" s="165"/>
      <c r="AG499" s="165"/>
      <c r="AH499" s="165"/>
      <c r="AI499" s="165"/>
      <c r="AJ499" s="165"/>
      <c r="AK499" s="165"/>
      <c r="AL499" s="165"/>
    </row>
    <row r="500">
      <c r="A500" s="165"/>
      <c r="B500" s="165"/>
      <c r="C500" s="165"/>
      <c r="D500" s="165"/>
      <c r="E500" s="292"/>
      <c r="F500" s="277"/>
      <c r="G500" s="165"/>
      <c r="H500" s="277"/>
      <c r="I500" s="277"/>
      <c r="J500" s="165"/>
      <c r="K500" s="165"/>
      <c r="L500" s="165"/>
      <c r="M500" s="165"/>
      <c r="N500" s="165"/>
      <c r="O500" s="165"/>
      <c r="P500" s="165"/>
      <c r="Q500" s="165"/>
      <c r="R500" s="165"/>
      <c r="S500" s="165"/>
      <c r="T500" s="165"/>
      <c r="U500" s="165"/>
      <c r="V500" s="165"/>
      <c r="W500" s="165"/>
      <c r="X500" s="165" t="str">
        <f>IFERROR(__xludf.DUMMYFUNCTION("""COMPUTED_VALUE"""),"CC-MVP-112.07")</f>
        <v>CC-MVP-112.07</v>
      </c>
      <c r="Y500" s="285" t="str">
        <f>IFERROR(__xludf.DUMMYFUNCTION("""COMPUTED_VALUE"""),"Not Started")</f>
        <v>Not Started</v>
      </c>
      <c r="Z500" s="284">
        <f>IFERROR(__xludf.DUMMYFUNCTION("""COMPUTED_VALUE"""),45250.0)</f>
        <v>45250</v>
      </c>
      <c r="AA500" s="165" t="str">
        <f>IFERROR(__xludf.DUMMYFUNCTION("""COMPUTED_VALUE"""),"Tazeen")</f>
        <v>Tazeen</v>
      </c>
      <c r="AB500" s="165" t="str">
        <f>IFERROR(__xludf.DUMMYFUNCTION("""COMPUTED_VALUE"""),"Upload")</f>
        <v>Upload</v>
      </c>
      <c r="AC500" s="165"/>
      <c r="AD500" s="165"/>
      <c r="AE500" s="165"/>
      <c r="AF500" s="165"/>
      <c r="AG500" s="165"/>
      <c r="AH500" s="165"/>
      <c r="AI500" s="165"/>
      <c r="AJ500" s="165"/>
      <c r="AK500" s="165"/>
      <c r="AL500" s="165"/>
    </row>
    <row r="501">
      <c r="A501" s="165"/>
      <c r="B501" s="165"/>
      <c r="C501" s="165"/>
      <c r="D501" s="165"/>
      <c r="E501" s="292"/>
      <c r="F501" s="277"/>
      <c r="G501" s="165"/>
      <c r="H501" s="277"/>
      <c r="I501" s="277"/>
      <c r="J501" s="165"/>
      <c r="K501" s="165"/>
      <c r="L501" s="165"/>
      <c r="M501" s="165"/>
      <c r="N501" s="165"/>
      <c r="O501" s="165"/>
      <c r="P501" s="165"/>
      <c r="Q501" s="165"/>
      <c r="R501" s="165"/>
      <c r="S501" s="165"/>
      <c r="T501" s="165"/>
      <c r="U501" s="165"/>
      <c r="V501" s="165"/>
      <c r="W501" s="165"/>
      <c r="X501" s="165" t="str">
        <f>IFERROR(__xludf.DUMMYFUNCTION("""COMPUTED_VALUE"""),"CC-MVP-104.04")</f>
        <v>CC-MVP-104.04</v>
      </c>
      <c r="Y501" s="285" t="str">
        <f>IFERROR(__xludf.DUMMYFUNCTION("""COMPUTED_VALUE"""),"Not Started")</f>
        <v>Not Started</v>
      </c>
      <c r="Z501" s="284">
        <f>IFERROR(__xludf.DUMMYFUNCTION("""COMPUTED_VALUE"""),45250.0)</f>
        <v>45250</v>
      </c>
      <c r="AA501" s="165" t="str">
        <f>IFERROR(__xludf.DUMMYFUNCTION("""COMPUTED_VALUE"""),"Nasser")</f>
        <v>Nasser</v>
      </c>
      <c r="AB501" s="165" t="str">
        <f>IFERROR(__xludf.DUMMYFUNCTION("""COMPUTED_VALUE"""),"Upload")</f>
        <v>Upload</v>
      </c>
      <c r="AC501" s="165"/>
      <c r="AD501" s="165"/>
      <c r="AE501" s="165"/>
      <c r="AF501" s="165"/>
      <c r="AG501" s="165"/>
      <c r="AH501" s="165"/>
      <c r="AI501" s="165"/>
      <c r="AJ501" s="165"/>
      <c r="AK501" s="165"/>
      <c r="AL501" s="165"/>
    </row>
    <row r="502">
      <c r="A502" s="165"/>
      <c r="B502" s="165"/>
      <c r="C502" s="165"/>
      <c r="D502" s="165"/>
      <c r="E502" s="292"/>
      <c r="F502" s="277"/>
      <c r="G502" s="165"/>
      <c r="H502" s="277"/>
      <c r="I502" s="277"/>
      <c r="J502" s="165"/>
      <c r="K502" s="165"/>
      <c r="L502" s="165"/>
      <c r="M502" s="165"/>
      <c r="N502" s="165"/>
      <c r="O502" s="165"/>
      <c r="P502" s="165"/>
      <c r="Q502" s="165"/>
      <c r="R502" s="165"/>
      <c r="S502" s="165"/>
      <c r="T502" s="165"/>
      <c r="U502" s="165"/>
      <c r="V502" s="165"/>
      <c r="W502" s="165"/>
      <c r="X502" s="165" t="str">
        <f>IFERROR(__xludf.DUMMYFUNCTION("""COMPUTED_VALUE"""),"CC-MVP-93.04")</f>
        <v>CC-MVP-93.04</v>
      </c>
      <c r="Y502" s="285" t="str">
        <f>IFERROR(__xludf.DUMMYFUNCTION("""COMPUTED_VALUE"""),"Not Started")</f>
        <v>Not Started</v>
      </c>
      <c r="Z502" s="284">
        <f>IFERROR(__xludf.DUMMYFUNCTION("""COMPUTED_VALUE"""),45250.0)</f>
        <v>45250</v>
      </c>
      <c r="AA502" s="165" t="str">
        <f>IFERROR(__xludf.DUMMYFUNCTION("""COMPUTED_VALUE"""),"Freelancer")</f>
        <v>Freelancer</v>
      </c>
      <c r="AB502" s="165" t="str">
        <f>IFERROR(__xludf.DUMMYFUNCTION("""COMPUTED_VALUE"""),"Edit")</f>
        <v>Edit</v>
      </c>
      <c r="AC502" s="165"/>
      <c r="AD502" s="165"/>
      <c r="AE502" s="165"/>
      <c r="AF502" s="165"/>
      <c r="AG502" s="165"/>
      <c r="AH502" s="165"/>
      <c r="AI502" s="165"/>
      <c r="AJ502" s="165"/>
      <c r="AK502" s="165"/>
      <c r="AL502" s="165"/>
    </row>
    <row r="503">
      <c r="A503" s="165"/>
      <c r="B503" s="165"/>
      <c r="C503" s="165"/>
      <c r="D503" s="165"/>
      <c r="E503" s="292"/>
      <c r="F503" s="277"/>
      <c r="G503" s="165"/>
      <c r="H503" s="277"/>
      <c r="I503" s="277"/>
      <c r="J503" s="165"/>
      <c r="K503" s="165"/>
      <c r="L503" s="165"/>
      <c r="M503" s="165"/>
      <c r="N503" s="165"/>
      <c r="O503" s="165"/>
      <c r="P503" s="165"/>
      <c r="Q503" s="165"/>
      <c r="R503" s="165"/>
      <c r="S503" s="165"/>
      <c r="T503" s="165"/>
      <c r="U503" s="165"/>
      <c r="V503" s="165"/>
      <c r="W503" s="165"/>
      <c r="X503" s="165" t="str">
        <f>IFERROR(__xludf.DUMMYFUNCTION("""COMPUTED_VALUE"""),"CC-MVP-116.06")</f>
        <v>CC-MVP-116.06</v>
      </c>
      <c r="Y503" s="285" t="str">
        <f>IFERROR(__xludf.DUMMYFUNCTION("""COMPUTED_VALUE"""),"Not Started")</f>
        <v>Not Started</v>
      </c>
      <c r="Z503" s="284">
        <f>IFERROR(__xludf.DUMMYFUNCTION("""COMPUTED_VALUE"""),45250.0)</f>
        <v>45250</v>
      </c>
      <c r="AA503" s="165" t="str">
        <f>IFERROR(__xludf.DUMMYFUNCTION("""COMPUTED_VALUE"""),"Akhil")</f>
        <v>Akhil</v>
      </c>
      <c r="AB503" s="165" t="str">
        <f>IFERROR(__xludf.DUMMYFUNCTION("""COMPUTED_VALUE"""),"Thumbnail")</f>
        <v>Thumbnail</v>
      </c>
      <c r="AC503" s="165"/>
      <c r="AD503" s="165"/>
      <c r="AE503" s="165"/>
      <c r="AF503" s="165"/>
      <c r="AG503" s="165"/>
      <c r="AH503" s="165"/>
      <c r="AI503" s="165"/>
      <c r="AJ503" s="165"/>
      <c r="AK503" s="165"/>
      <c r="AL503" s="165"/>
    </row>
    <row r="504">
      <c r="A504" s="165"/>
      <c r="B504" s="165"/>
      <c r="C504" s="165"/>
      <c r="D504" s="165"/>
      <c r="E504" s="292"/>
      <c r="F504" s="277"/>
      <c r="G504" s="165"/>
      <c r="H504" s="277"/>
      <c r="I504" s="277"/>
      <c r="J504" s="165"/>
      <c r="K504" s="165"/>
      <c r="L504" s="165"/>
      <c r="M504" s="165"/>
      <c r="N504" s="165"/>
      <c r="O504" s="165"/>
      <c r="P504" s="165"/>
      <c r="Q504" s="165"/>
      <c r="R504" s="165"/>
      <c r="S504" s="165"/>
      <c r="T504" s="165"/>
      <c r="U504" s="165"/>
      <c r="V504" s="165"/>
      <c r="W504" s="165"/>
      <c r="X504" s="165" t="str">
        <f>IFERROR(__xludf.DUMMYFUNCTION("""COMPUTED_VALUE"""),"CC-MVP-109.04")</f>
        <v>CC-MVP-109.04</v>
      </c>
      <c r="Y504" s="285" t="str">
        <f>IFERROR(__xludf.DUMMYFUNCTION("""COMPUTED_VALUE"""),"Not Started")</f>
        <v>Not Started</v>
      </c>
      <c r="Z504" s="284">
        <f>IFERROR(__xludf.DUMMYFUNCTION("""COMPUTED_VALUE"""),45250.0)</f>
        <v>45250</v>
      </c>
      <c r="AA504" s="165" t="str">
        <f>IFERROR(__xludf.DUMMYFUNCTION("""COMPUTED_VALUE"""),"Freelancer")</f>
        <v>Freelancer</v>
      </c>
      <c r="AB504" s="165" t="str">
        <f>IFERROR(__xludf.DUMMYFUNCTION("""COMPUTED_VALUE"""),"Edit")</f>
        <v>Edit</v>
      </c>
      <c r="AC504" s="165"/>
      <c r="AD504" s="165"/>
      <c r="AE504" s="165"/>
      <c r="AF504" s="165"/>
      <c r="AG504" s="165"/>
      <c r="AH504" s="165"/>
      <c r="AI504" s="165"/>
      <c r="AJ504" s="165"/>
      <c r="AK504" s="165"/>
      <c r="AL504" s="165"/>
    </row>
    <row r="505">
      <c r="A505" s="165"/>
      <c r="B505" s="165"/>
      <c r="C505" s="165"/>
      <c r="D505" s="165"/>
      <c r="E505" s="292"/>
      <c r="F505" s="277"/>
      <c r="G505" s="165"/>
      <c r="H505" s="277"/>
      <c r="I505" s="277"/>
      <c r="J505" s="165"/>
      <c r="K505" s="165"/>
      <c r="L505" s="165"/>
      <c r="M505" s="165"/>
      <c r="N505" s="165"/>
      <c r="O505" s="165"/>
      <c r="P505" s="165"/>
      <c r="Q505" s="165"/>
      <c r="R505" s="165"/>
      <c r="S505" s="165"/>
      <c r="T505" s="165"/>
      <c r="U505" s="165"/>
      <c r="V505" s="165"/>
      <c r="W505" s="165"/>
      <c r="X505" s="165" t="str">
        <f>IFERROR(__xludf.DUMMYFUNCTION("""COMPUTED_VALUE"""),"CC-MVP-16.02")</f>
        <v>CC-MVP-16.02</v>
      </c>
      <c r="Y505" s="285" t="str">
        <f>IFERROR(__xludf.DUMMYFUNCTION("""COMPUTED_VALUE"""),"Not Started")</f>
        <v>Not Started</v>
      </c>
      <c r="Z505" s="284">
        <f>IFERROR(__xludf.DUMMYFUNCTION("""COMPUTED_VALUE"""),45250.0)</f>
        <v>45250</v>
      </c>
      <c r="AA505" s="165" t="str">
        <f>IFERROR(__xludf.DUMMYFUNCTION("""COMPUTED_VALUE"""),"Naveen")</f>
        <v>Naveen</v>
      </c>
      <c r="AB505" s="165" t="str">
        <f>IFERROR(__xludf.DUMMYFUNCTION("""COMPUTED_VALUE"""),"Shoot")</f>
        <v>Shoot</v>
      </c>
      <c r="AC505" s="165"/>
      <c r="AD505" s="165"/>
      <c r="AE505" s="165"/>
      <c r="AF505" s="165"/>
      <c r="AG505" s="165"/>
      <c r="AH505" s="165"/>
      <c r="AI505" s="165"/>
      <c r="AJ505" s="165"/>
      <c r="AK505" s="165"/>
      <c r="AL505" s="165"/>
    </row>
    <row r="506">
      <c r="A506" s="165"/>
      <c r="B506" s="165"/>
      <c r="C506" s="165"/>
      <c r="D506" s="165"/>
      <c r="E506" s="292"/>
      <c r="F506" s="277"/>
      <c r="G506" s="165"/>
      <c r="H506" s="277"/>
      <c r="I506" s="277"/>
      <c r="J506" s="165"/>
      <c r="K506" s="165"/>
      <c r="L506" s="165"/>
      <c r="M506" s="165"/>
      <c r="N506" s="165"/>
      <c r="O506" s="165"/>
      <c r="P506" s="165"/>
      <c r="Q506" s="165"/>
      <c r="R506" s="165"/>
      <c r="S506" s="165"/>
      <c r="T506" s="165"/>
      <c r="U506" s="165"/>
      <c r="V506" s="165"/>
      <c r="W506" s="165"/>
      <c r="X506" s="165" t="str">
        <f>IFERROR(__xludf.DUMMYFUNCTION("""COMPUTED_VALUE"""),"CC-MVP-118.06")</f>
        <v>CC-MVP-118.06</v>
      </c>
      <c r="Y506" s="285" t="str">
        <f>IFERROR(__xludf.DUMMYFUNCTION("""COMPUTED_VALUE"""),"Not Started")</f>
        <v>Not Started</v>
      </c>
      <c r="Z506" s="284">
        <f>IFERROR(__xludf.DUMMYFUNCTION("""COMPUTED_VALUE"""),45250.0)</f>
        <v>45250</v>
      </c>
      <c r="AA506" s="165"/>
      <c r="AB506" s="165" t="str">
        <f>IFERROR(__xludf.DUMMYFUNCTION("""COMPUTED_VALUE"""),"Thumbnail")</f>
        <v>Thumbnail</v>
      </c>
      <c r="AC506" s="165"/>
      <c r="AD506" s="165"/>
      <c r="AE506" s="165"/>
      <c r="AF506" s="165"/>
      <c r="AG506" s="165"/>
      <c r="AH506" s="165"/>
      <c r="AI506" s="165"/>
      <c r="AJ506" s="165"/>
      <c r="AK506" s="165"/>
      <c r="AL506" s="165"/>
    </row>
    <row r="507">
      <c r="A507" s="165"/>
      <c r="B507" s="165"/>
      <c r="C507" s="165"/>
      <c r="D507" s="165"/>
      <c r="E507" s="292"/>
      <c r="F507" s="277"/>
      <c r="G507" s="165"/>
      <c r="H507" s="277"/>
      <c r="I507" s="277"/>
      <c r="J507" s="165"/>
      <c r="K507" s="165"/>
      <c r="L507" s="165"/>
      <c r="M507" s="165"/>
      <c r="N507" s="165"/>
      <c r="O507" s="165"/>
      <c r="P507" s="165"/>
      <c r="Q507" s="165"/>
      <c r="R507" s="165"/>
      <c r="S507" s="165"/>
      <c r="T507" s="165"/>
      <c r="U507" s="165"/>
      <c r="V507" s="165"/>
      <c r="W507" s="165"/>
      <c r="X507" s="165" t="str">
        <f>IFERROR(__xludf.DUMMYFUNCTION("""COMPUTED_VALUE"""),"CC-MVP-93.05")</f>
        <v>CC-MVP-93.05</v>
      </c>
      <c r="Y507" s="285" t="str">
        <f>IFERROR(__xludf.DUMMYFUNCTION("""COMPUTED_VALUE"""),"Not Started")</f>
        <v>Not Started</v>
      </c>
      <c r="Z507" s="284">
        <f>IFERROR(__xludf.DUMMYFUNCTION("""COMPUTED_VALUE"""),45251.0)</f>
        <v>45251</v>
      </c>
      <c r="AA507" s="165" t="str">
        <f>IFERROR(__xludf.DUMMYFUNCTION("""COMPUTED_VALUE"""),"Naveen")</f>
        <v>Naveen</v>
      </c>
      <c r="AB507" s="165" t="str">
        <f>IFERROR(__xludf.DUMMYFUNCTION("""COMPUTED_VALUE"""),"Thumbnail")</f>
        <v>Thumbnail</v>
      </c>
      <c r="AC507" s="165"/>
      <c r="AD507" s="165"/>
      <c r="AE507" s="165"/>
      <c r="AF507" s="165"/>
      <c r="AG507" s="165"/>
      <c r="AH507" s="165"/>
      <c r="AI507" s="165"/>
      <c r="AJ507" s="165"/>
      <c r="AK507" s="165"/>
      <c r="AL507" s="165"/>
    </row>
    <row r="508">
      <c r="A508" s="165"/>
      <c r="B508" s="165"/>
      <c r="C508" s="165"/>
      <c r="D508" s="165"/>
      <c r="E508" s="292"/>
      <c r="F508" s="277"/>
      <c r="G508" s="165"/>
      <c r="H508" s="277"/>
      <c r="I508" s="277"/>
      <c r="J508" s="165"/>
      <c r="K508" s="165"/>
      <c r="L508" s="165"/>
      <c r="M508" s="165"/>
      <c r="N508" s="165"/>
      <c r="O508" s="165"/>
      <c r="P508" s="165"/>
      <c r="Q508" s="165"/>
      <c r="R508" s="165"/>
      <c r="S508" s="165"/>
      <c r="T508" s="165"/>
      <c r="U508" s="165"/>
      <c r="V508" s="165"/>
      <c r="W508" s="165"/>
      <c r="X508" s="165" t="str">
        <f>IFERROR(__xludf.DUMMYFUNCTION("""COMPUTED_VALUE"""),"CC-MVP-93.06")</f>
        <v>CC-MVP-93.06</v>
      </c>
      <c r="Y508" s="285" t="str">
        <f>IFERROR(__xludf.DUMMYFUNCTION("""COMPUTED_VALUE"""),"Not Started")</f>
        <v>Not Started</v>
      </c>
      <c r="Z508" s="284">
        <f>IFERROR(__xludf.DUMMYFUNCTION("""COMPUTED_VALUE"""),45251.0)</f>
        <v>45251</v>
      </c>
      <c r="AA508" s="165" t="str">
        <f>IFERROR(__xludf.DUMMYFUNCTION("""COMPUTED_VALUE"""),"Tazeen")</f>
        <v>Tazeen</v>
      </c>
      <c r="AB508" s="165" t="str">
        <f>IFERROR(__xludf.DUMMYFUNCTION("""COMPUTED_VALUE"""),"Upload")</f>
        <v>Upload</v>
      </c>
      <c r="AC508" s="165"/>
      <c r="AD508" s="165"/>
      <c r="AE508" s="165"/>
      <c r="AF508" s="165"/>
      <c r="AG508" s="165"/>
      <c r="AH508" s="165"/>
      <c r="AI508" s="165"/>
      <c r="AJ508" s="165"/>
      <c r="AK508" s="165"/>
      <c r="AL508" s="165"/>
    </row>
    <row r="509">
      <c r="A509" s="165"/>
      <c r="B509" s="165"/>
      <c r="C509" s="165"/>
      <c r="D509" s="165"/>
      <c r="E509" s="292"/>
      <c r="F509" s="277"/>
      <c r="G509" s="165"/>
      <c r="H509" s="277"/>
      <c r="I509" s="277"/>
      <c r="J509" s="165"/>
      <c r="K509" s="165"/>
      <c r="L509" s="165"/>
      <c r="M509" s="165"/>
      <c r="N509" s="165"/>
      <c r="O509" s="165"/>
      <c r="P509" s="165"/>
      <c r="Q509" s="165"/>
      <c r="R509" s="165"/>
      <c r="S509" s="165"/>
      <c r="T509" s="165"/>
      <c r="U509" s="165"/>
      <c r="V509" s="165"/>
      <c r="W509" s="165"/>
      <c r="X509" s="165" t="str">
        <f>IFERROR(__xludf.DUMMYFUNCTION("""COMPUTED_VALUE"""),"CC-MVP-109.04")</f>
        <v>CC-MVP-109.04</v>
      </c>
      <c r="Y509" s="285" t="str">
        <f>IFERROR(__xludf.DUMMYFUNCTION("""COMPUTED_VALUE"""),"Not Started")</f>
        <v>Not Started</v>
      </c>
      <c r="Z509" s="284">
        <f>IFERROR(__xludf.DUMMYFUNCTION("""COMPUTED_VALUE"""),45251.0)</f>
        <v>45251</v>
      </c>
      <c r="AA509" s="165" t="str">
        <f>IFERROR(__xludf.DUMMYFUNCTION("""COMPUTED_VALUE"""),"Tazeen")</f>
        <v>Tazeen</v>
      </c>
      <c r="AB509" s="165" t="str">
        <f>IFERROR(__xludf.DUMMYFUNCTION("""COMPUTED_VALUE"""),"Upload")</f>
        <v>Upload</v>
      </c>
      <c r="AC509" s="165"/>
      <c r="AD509" s="165"/>
      <c r="AE509" s="165"/>
      <c r="AF509" s="165"/>
      <c r="AG509" s="165"/>
      <c r="AH509" s="165"/>
      <c r="AI509" s="165"/>
      <c r="AJ509" s="165"/>
      <c r="AK509" s="165"/>
      <c r="AL509" s="165"/>
    </row>
    <row r="510">
      <c r="A510" s="165"/>
      <c r="B510" s="165"/>
      <c r="C510" s="165"/>
      <c r="D510" s="165"/>
      <c r="E510" s="292"/>
      <c r="F510" s="277"/>
      <c r="G510" s="165"/>
      <c r="H510" s="277"/>
      <c r="I510" s="277"/>
      <c r="J510" s="165"/>
      <c r="K510" s="165"/>
      <c r="L510" s="165"/>
      <c r="M510" s="165"/>
      <c r="N510" s="165"/>
      <c r="O510" s="165"/>
      <c r="P510" s="165"/>
      <c r="Q510" s="165"/>
      <c r="R510" s="165"/>
      <c r="S510" s="165"/>
      <c r="T510" s="165"/>
      <c r="U510" s="165"/>
      <c r="V510" s="165"/>
      <c r="W510" s="165"/>
      <c r="X510" s="165" t="str">
        <f>IFERROR(__xludf.DUMMYFUNCTION("""COMPUTED_VALUE"""),"CC-MVP-109.05")</f>
        <v>CC-MVP-109.05</v>
      </c>
      <c r="Y510" s="285" t="str">
        <f>IFERROR(__xludf.DUMMYFUNCTION("""COMPUTED_VALUE"""),"Not Started")</f>
        <v>Not Started</v>
      </c>
      <c r="Z510" s="284">
        <f>IFERROR(__xludf.DUMMYFUNCTION("""COMPUTED_VALUE"""),45251.0)</f>
        <v>45251</v>
      </c>
      <c r="AA510" s="165" t="str">
        <f>IFERROR(__xludf.DUMMYFUNCTION("""COMPUTED_VALUE"""),"Naveen")</f>
        <v>Naveen</v>
      </c>
      <c r="AB510" s="165" t="str">
        <f>IFERROR(__xludf.DUMMYFUNCTION("""COMPUTED_VALUE"""),"Thumbnail")</f>
        <v>Thumbnail</v>
      </c>
      <c r="AC510" s="165"/>
      <c r="AD510" s="165"/>
      <c r="AE510" s="165"/>
      <c r="AF510" s="165"/>
      <c r="AG510" s="165"/>
      <c r="AH510" s="165"/>
      <c r="AI510" s="165"/>
      <c r="AJ510" s="165"/>
      <c r="AK510" s="165"/>
      <c r="AL510" s="165"/>
    </row>
    <row r="511">
      <c r="A511" s="165"/>
      <c r="B511" s="165"/>
      <c r="C511" s="165"/>
      <c r="D511" s="165"/>
      <c r="E511" s="292"/>
      <c r="F511" s="277"/>
      <c r="G511" s="165"/>
      <c r="H511" s="277"/>
      <c r="I511" s="277"/>
      <c r="J511" s="165"/>
      <c r="K511" s="165"/>
      <c r="L511" s="165"/>
      <c r="M511" s="165"/>
      <c r="N511" s="165"/>
      <c r="O511" s="165"/>
      <c r="P511" s="165"/>
      <c r="Q511" s="165"/>
      <c r="R511" s="165"/>
      <c r="S511" s="165"/>
      <c r="T511" s="165"/>
      <c r="U511" s="165"/>
      <c r="V511" s="165"/>
      <c r="W511" s="165"/>
      <c r="X511" s="165" t="str">
        <f>IFERROR(__xludf.DUMMYFUNCTION("""COMPUTED_VALUE"""),"CC-MVP-16.03")</f>
        <v>CC-MVP-16.03</v>
      </c>
      <c r="Y511" s="285" t="str">
        <f>IFERROR(__xludf.DUMMYFUNCTION("""COMPUTED_VALUE"""),"Not Started")</f>
        <v>Not Started</v>
      </c>
      <c r="Z511" s="284">
        <f>IFERROR(__xludf.DUMMYFUNCTION("""COMPUTED_VALUE"""),45251.0)</f>
        <v>45251</v>
      </c>
      <c r="AA511" s="165" t="str">
        <f>IFERROR(__xludf.DUMMYFUNCTION("""COMPUTED_VALUE"""),"Tazeen")</f>
        <v>Tazeen</v>
      </c>
      <c r="AB511" s="165" t="str">
        <f>IFERROR(__xludf.DUMMYFUNCTION("""COMPUTED_VALUE"""),"Timeline")</f>
        <v>Timeline</v>
      </c>
      <c r="AC511" s="165"/>
      <c r="AD511" s="165"/>
      <c r="AE511" s="165"/>
      <c r="AF511" s="165"/>
      <c r="AG511" s="165"/>
      <c r="AH511" s="165"/>
      <c r="AI511" s="165"/>
      <c r="AJ511" s="165"/>
      <c r="AK511" s="165"/>
      <c r="AL511" s="165"/>
    </row>
    <row r="512">
      <c r="A512" s="165"/>
      <c r="B512" s="165"/>
      <c r="C512" s="165"/>
      <c r="D512" s="165"/>
      <c r="E512" s="292"/>
      <c r="F512" s="277"/>
      <c r="G512" s="165"/>
      <c r="H512" s="277"/>
      <c r="I512" s="277"/>
      <c r="J512" s="165"/>
      <c r="K512" s="165"/>
      <c r="L512" s="165"/>
      <c r="M512" s="165"/>
      <c r="N512" s="165"/>
      <c r="O512" s="165"/>
      <c r="P512" s="165"/>
      <c r="Q512" s="165"/>
      <c r="R512" s="165"/>
      <c r="S512" s="165"/>
      <c r="T512" s="165"/>
      <c r="U512" s="165"/>
      <c r="V512" s="165"/>
      <c r="W512" s="165"/>
      <c r="X512" s="165" t="str">
        <f>IFERROR(__xludf.DUMMYFUNCTION("""COMPUTED_VALUE"""),"PM-PTS-09.07")</f>
        <v>PM-PTS-09.07</v>
      </c>
      <c r="Y512" s="285" t="str">
        <f>IFERROR(__xludf.DUMMYFUNCTION("""COMPUTED_VALUE"""),"Not Started")</f>
        <v>Not Started</v>
      </c>
      <c r="Z512" s="284">
        <f>IFERROR(__xludf.DUMMYFUNCTION("""COMPUTED_VALUE"""),45251.0)</f>
        <v>45251</v>
      </c>
      <c r="AA512" s="165"/>
      <c r="AB512" s="165" t="str">
        <f>IFERROR(__xludf.DUMMYFUNCTION("""COMPUTED_VALUE"""),"Deliver")</f>
        <v>Deliver</v>
      </c>
      <c r="AC512" s="165"/>
      <c r="AD512" s="165"/>
      <c r="AE512" s="165"/>
      <c r="AF512" s="165"/>
      <c r="AG512" s="165"/>
      <c r="AH512" s="165"/>
      <c r="AI512" s="165"/>
      <c r="AJ512" s="165"/>
      <c r="AK512" s="165"/>
      <c r="AL512" s="165"/>
    </row>
    <row r="513">
      <c r="A513" s="165"/>
      <c r="B513" s="165"/>
      <c r="C513" s="165"/>
      <c r="D513" s="165"/>
      <c r="E513" s="292"/>
      <c r="F513" s="277"/>
      <c r="G513" s="165"/>
      <c r="H513" s="277"/>
      <c r="I513" s="277"/>
      <c r="J513" s="165"/>
      <c r="K513" s="165"/>
      <c r="L513" s="165"/>
      <c r="M513" s="165"/>
      <c r="N513" s="165"/>
      <c r="O513" s="165"/>
      <c r="P513" s="165"/>
      <c r="Q513" s="165"/>
      <c r="R513" s="165"/>
      <c r="S513" s="165"/>
      <c r="T513" s="165"/>
      <c r="U513" s="165"/>
      <c r="V513" s="165"/>
      <c r="W513" s="165"/>
      <c r="X513" s="165" t="str">
        <f>IFERROR(__xludf.DUMMYFUNCTION("""COMPUTED_VALUE"""),"CC-MVP-116.07")</f>
        <v>CC-MVP-116.07</v>
      </c>
      <c r="Y513" s="285" t="str">
        <f>IFERROR(__xludf.DUMMYFUNCTION("""COMPUTED_VALUE"""),"Not Started")</f>
        <v>Not Started</v>
      </c>
      <c r="Z513" s="284">
        <f>IFERROR(__xludf.DUMMYFUNCTION("""COMPUTED_VALUE"""),45252.0)</f>
        <v>45252</v>
      </c>
      <c r="AA513" s="165" t="str">
        <f>IFERROR(__xludf.DUMMYFUNCTION("""COMPUTED_VALUE"""),"Tazeen")</f>
        <v>Tazeen</v>
      </c>
      <c r="AB513" s="165" t="str">
        <f>IFERROR(__xludf.DUMMYFUNCTION("""COMPUTED_VALUE"""),"Upload")</f>
        <v>Upload</v>
      </c>
      <c r="AC513" s="165"/>
      <c r="AD513" s="165"/>
      <c r="AE513" s="165"/>
      <c r="AF513" s="165"/>
      <c r="AG513" s="165"/>
      <c r="AH513" s="165"/>
      <c r="AI513" s="165"/>
      <c r="AJ513" s="165"/>
      <c r="AK513" s="165"/>
      <c r="AL513" s="165"/>
    </row>
    <row r="514">
      <c r="A514" s="165"/>
      <c r="B514" s="165"/>
      <c r="C514" s="165"/>
      <c r="D514" s="165"/>
      <c r="E514" s="292"/>
      <c r="F514" s="277"/>
      <c r="G514" s="165"/>
      <c r="H514" s="277"/>
      <c r="I514" s="277"/>
      <c r="J514" s="165"/>
      <c r="K514" s="165"/>
      <c r="L514" s="165"/>
      <c r="M514" s="165"/>
      <c r="N514" s="165"/>
      <c r="O514" s="165"/>
      <c r="P514" s="165"/>
      <c r="Q514" s="165"/>
      <c r="R514" s="165"/>
      <c r="S514" s="165"/>
      <c r="T514" s="165"/>
      <c r="U514" s="165"/>
      <c r="V514" s="165"/>
      <c r="W514" s="165"/>
      <c r="X514" s="165" t="str">
        <f>IFERROR(__xludf.DUMMYFUNCTION("""COMPUTED_VALUE"""),"CC-MVP-109.06")</f>
        <v>CC-MVP-109.06</v>
      </c>
      <c r="Y514" s="285" t="str">
        <f>IFERROR(__xludf.DUMMYFUNCTION("""COMPUTED_VALUE"""),"Not Started")</f>
        <v>Not Started</v>
      </c>
      <c r="Z514" s="284">
        <f>IFERROR(__xludf.DUMMYFUNCTION("""COMPUTED_VALUE"""),45252.0)</f>
        <v>45252</v>
      </c>
      <c r="AA514" s="165" t="str">
        <f>IFERROR(__xludf.DUMMYFUNCTION("""COMPUTED_VALUE"""),"Tazeen")</f>
        <v>Tazeen</v>
      </c>
      <c r="AB514" s="165" t="str">
        <f>IFERROR(__xludf.DUMMYFUNCTION("""COMPUTED_VALUE"""),"Upload")</f>
        <v>Upload</v>
      </c>
      <c r="AC514" s="165"/>
      <c r="AD514" s="165"/>
      <c r="AE514" s="165"/>
      <c r="AF514" s="165"/>
      <c r="AG514" s="165"/>
      <c r="AH514" s="165"/>
      <c r="AI514" s="165"/>
      <c r="AJ514" s="165"/>
      <c r="AK514" s="165"/>
      <c r="AL514" s="165"/>
    </row>
    <row r="515">
      <c r="A515" s="165"/>
      <c r="B515" s="165"/>
      <c r="C515" s="165"/>
      <c r="D515" s="165"/>
      <c r="E515" s="292"/>
      <c r="F515" s="277"/>
      <c r="G515" s="165"/>
      <c r="H515" s="277"/>
      <c r="I515" s="277"/>
      <c r="J515" s="165"/>
      <c r="K515" s="165"/>
      <c r="L515" s="165"/>
      <c r="M515" s="165"/>
      <c r="N515" s="165"/>
      <c r="O515" s="165"/>
      <c r="P515" s="165"/>
      <c r="Q515" s="165"/>
      <c r="R515" s="165"/>
      <c r="S515" s="165"/>
      <c r="T515" s="165"/>
      <c r="U515" s="165"/>
      <c r="V515" s="165"/>
      <c r="W515" s="165"/>
      <c r="X515" s="165" t="str">
        <f>IFERROR(__xludf.DUMMYFUNCTION("""COMPUTED_VALUE"""),"CC-MVP-16.04")</f>
        <v>CC-MVP-16.04</v>
      </c>
      <c r="Y515" s="285" t="str">
        <f>IFERROR(__xludf.DUMMYFUNCTION("""COMPUTED_VALUE"""),"Not Started")</f>
        <v>Not Started</v>
      </c>
      <c r="Z515" s="284">
        <f>IFERROR(__xludf.DUMMYFUNCTION("""COMPUTED_VALUE"""),45252.0)</f>
        <v>45252</v>
      </c>
      <c r="AA515" s="165" t="str">
        <f>IFERROR(__xludf.DUMMYFUNCTION("""COMPUTED_VALUE"""),"Tazeen")</f>
        <v>Tazeen</v>
      </c>
      <c r="AB515" s="165" t="str">
        <f>IFERROR(__xludf.DUMMYFUNCTION("""COMPUTED_VALUE"""),"Editor Notes")</f>
        <v>Editor Notes</v>
      </c>
      <c r="AC515" s="165"/>
      <c r="AD515" s="165"/>
      <c r="AE515" s="165"/>
      <c r="AF515" s="165"/>
      <c r="AG515" s="165"/>
      <c r="AH515" s="165"/>
      <c r="AI515" s="165"/>
      <c r="AJ515" s="165"/>
      <c r="AK515" s="165"/>
      <c r="AL515" s="165"/>
    </row>
    <row r="516">
      <c r="A516" s="165"/>
      <c r="B516" s="165"/>
      <c r="C516" s="165"/>
      <c r="D516" s="165"/>
      <c r="E516" s="292"/>
      <c r="F516" s="277"/>
      <c r="G516" s="165"/>
      <c r="H516" s="277"/>
      <c r="I516" s="277"/>
      <c r="J516" s="165"/>
      <c r="K516" s="165"/>
      <c r="L516" s="165"/>
      <c r="M516" s="165"/>
      <c r="N516" s="165"/>
      <c r="O516" s="165"/>
      <c r="P516" s="165"/>
      <c r="Q516" s="165"/>
      <c r="R516" s="165"/>
      <c r="S516" s="165"/>
      <c r="T516" s="165"/>
      <c r="U516" s="165"/>
      <c r="V516" s="165"/>
      <c r="W516" s="165"/>
      <c r="X516" s="165" t="str">
        <f>IFERROR(__xludf.DUMMYFUNCTION("""COMPUTED_VALUE"""),"CC-MVP-118.07")</f>
        <v>CC-MVP-118.07</v>
      </c>
      <c r="Y516" s="285" t="str">
        <f>IFERROR(__xludf.DUMMYFUNCTION("""COMPUTED_VALUE"""),"Not Started")</f>
        <v>Not Started</v>
      </c>
      <c r="Z516" s="284">
        <f>IFERROR(__xludf.DUMMYFUNCTION("""COMPUTED_VALUE"""),45252.0)</f>
        <v>45252</v>
      </c>
      <c r="AA516" s="165"/>
      <c r="AB516" s="165" t="str">
        <f>IFERROR(__xludf.DUMMYFUNCTION("""COMPUTED_VALUE"""),"Upload")</f>
        <v>Upload</v>
      </c>
      <c r="AC516" s="165"/>
      <c r="AD516" s="165"/>
      <c r="AE516" s="165"/>
      <c r="AF516" s="165"/>
      <c r="AG516" s="165"/>
      <c r="AH516" s="165"/>
      <c r="AI516" s="165"/>
      <c r="AJ516" s="165"/>
      <c r="AK516" s="165"/>
      <c r="AL516" s="165"/>
    </row>
    <row r="517">
      <c r="A517" s="165"/>
      <c r="B517" s="165"/>
      <c r="C517" s="165"/>
      <c r="D517" s="165"/>
      <c r="E517" s="292"/>
      <c r="F517" s="277"/>
      <c r="G517" s="165"/>
      <c r="H517" s="277"/>
      <c r="I517" s="277"/>
      <c r="J517" s="165"/>
      <c r="K517" s="165"/>
      <c r="L517" s="165"/>
      <c r="M517" s="165"/>
      <c r="N517" s="165"/>
      <c r="O517" s="165"/>
      <c r="P517" s="165"/>
      <c r="Q517" s="165"/>
      <c r="R517" s="165"/>
      <c r="S517" s="165"/>
      <c r="T517" s="165"/>
      <c r="U517" s="165"/>
      <c r="V517" s="165"/>
      <c r="W517" s="165"/>
      <c r="X517" s="165" t="str">
        <f>IFERROR(__xludf.DUMMYFUNCTION("""COMPUTED_VALUE"""),"CC-MVP-16.05")</f>
        <v>CC-MVP-16.05</v>
      </c>
      <c r="Y517" s="285" t="str">
        <f>IFERROR(__xludf.DUMMYFUNCTION("""COMPUTED_VALUE"""),"Not Started")</f>
        <v>Not Started</v>
      </c>
      <c r="Z517" s="284">
        <f>IFERROR(__xludf.DUMMYFUNCTION("""COMPUTED_VALUE"""),45253.0)</f>
        <v>45253</v>
      </c>
      <c r="AA517" s="165" t="str">
        <f>IFERROR(__xludf.DUMMYFUNCTION("""COMPUTED_VALUE"""),"Freelancer")</f>
        <v>Freelancer</v>
      </c>
      <c r="AB517" s="165" t="str">
        <f>IFERROR(__xludf.DUMMYFUNCTION("""COMPUTED_VALUE"""),"Edit")</f>
        <v>Edit</v>
      </c>
      <c r="AC517" s="165"/>
      <c r="AD517" s="165"/>
      <c r="AE517" s="165"/>
      <c r="AF517" s="165"/>
      <c r="AG517" s="165"/>
      <c r="AH517" s="165"/>
      <c r="AI517" s="165"/>
      <c r="AJ517" s="165"/>
      <c r="AK517" s="165"/>
      <c r="AL517" s="165"/>
    </row>
    <row r="518">
      <c r="A518" s="165"/>
      <c r="B518" s="165"/>
      <c r="C518" s="165"/>
      <c r="D518" s="165"/>
      <c r="E518" s="292"/>
      <c r="F518" s="277"/>
      <c r="G518" s="165"/>
      <c r="H518" s="277"/>
      <c r="I518" s="277"/>
      <c r="J518" s="165"/>
      <c r="K518" s="165"/>
      <c r="L518" s="165"/>
      <c r="M518" s="165"/>
      <c r="N518" s="165"/>
      <c r="O518" s="165"/>
      <c r="P518" s="165"/>
      <c r="Q518" s="165"/>
      <c r="R518" s="165"/>
      <c r="S518" s="165"/>
      <c r="T518" s="165"/>
      <c r="U518" s="165"/>
      <c r="V518" s="165"/>
      <c r="W518" s="165"/>
      <c r="X518" s="165" t="str">
        <f>IFERROR(__xludf.DUMMYFUNCTION("""COMPUTED_VALUE"""),"CC-MVP-16.06")</f>
        <v>CC-MVP-16.06</v>
      </c>
      <c r="Y518" s="285" t="str">
        <f>IFERROR(__xludf.DUMMYFUNCTION("""COMPUTED_VALUE"""),"Not Started")</f>
        <v>Not Started</v>
      </c>
      <c r="Z518" s="284">
        <f>IFERROR(__xludf.DUMMYFUNCTION("""COMPUTED_VALUE"""),45254.0)</f>
        <v>45254</v>
      </c>
      <c r="AA518" s="165" t="str">
        <f>IFERROR(__xludf.DUMMYFUNCTION("""COMPUTED_VALUE"""),"Naveen")</f>
        <v>Naveen</v>
      </c>
      <c r="AB518" s="165" t="str">
        <f>IFERROR(__xludf.DUMMYFUNCTION("""COMPUTED_VALUE"""),"Thumbnail")</f>
        <v>Thumbnail</v>
      </c>
      <c r="AC518" s="165"/>
      <c r="AD518" s="165"/>
      <c r="AE518" s="165"/>
      <c r="AF518" s="165"/>
      <c r="AG518" s="165"/>
      <c r="AH518" s="165"/>
      <c r="AI518" s="165"/>
      <c r="AJ518" s="165"/>
      <c r="AK518" s="165"/>
      <c r="AL518" s="165"/>
    </row>
    <row r="519">
      <c r="A519" s="165"/>
      <c r="B519" s="165"/>
      <c r="C519" s="165"/>
      <c r="D519" s="165"/>
      <c r="E519" s="292"/>
      <c r="F519" s="277"/>
      <c r="G519" s="165"/>
      <c r="H519" s="277"/>
      <c r="I519" s="277"/>
      <c r="J519" s="165"/>
      <c r="K519" s="165"/>
      <c r="L519" s="165"/>
      <c r="M519" s="165"/>
      <c r="N519" s="165"/>
      <c r="O519" s="165"/>
      <c r="P519" s="165"/>
      <c r="Q519" s="165"/>
      <c r="R519" s="165"/>
      <c r="S519" s="165"/>
      <c r="T519" s="165"/>
      <c r="U519" s="165"/>
      <c r="V519" s="165"/>
      <c r="W519" s="165"/>
      <c r="X519" s="165" t="str">
        <f>IFERROR(__xludf.DUMMYFUNCTION("""COMPUTED_VALUE"""),"CC-MVP-16.07")</f>
        <v>CC-MVP-16.07</v>
      </c>
      <c r="Y519" s="285" t="str">
        <f>IFERROR(__xludf.DUMMYFUNCTION("""COMPUTED_VALUE"""),"Not Started")</f>
        <v>Not Started</v>
      </c>
      <c r="Z519" s="284">
        <f>IFERROR(__xludf.DUMMYFUNCTION("""COMPUTED_VALUE"""),45255.0)</f>
        <v>45255</v>
      </c>
      <c r="AA519" s="165" t="str">
        <f>IFERROR(__xludf.DUMMYFUNCTION("""COMPUTED_VALUE"""),"Talha")</f>
        <v>Talha</v>
      </c>
      <c r="AB519" s="165" t="str">
        <f>IFERROR(__xludf.DUMMYFUNCTION("""COMPUTED_VALUE"""),"Upload")</f>
        <v>Upload</v>
      </c>
      <c r="AC519" s="165"/>
      <c r="AD519" s="165"/>
      <c r="AE519" s="165"/>
      <c r="AF519" s="165"/>
      <c r="AG519" s="165"/>
      <c r="AH519" s="165"/>
      <c r="AI519" s="165"/>
      <c r="AJ519" s="165"/>
      <c r="AK519" s="165"/>
      <c r="AL519" s="165"/>
    </row>
    <row r="520">
      <c r="A520" s="165"/>
      <c r="B520" s="165"/>
      <c r="C520" s="165"/>
      <c r="D520" s="165"/>
      <c r="E520" s="292"/>
      <c r="F520" s="277"/>
      <c r="G520" s="165"/>
      <c r="H520" s="277"/>
      <c r="I520" s="277"/>
      <c r="J520" s="165"/>
      <c r="K520" s="165"/>
      <c r="L520" s="165"/>
      <c r="M520" s="165"/>
      <c r="N520" s="165"/>
      <c r="O520" s="165"/>
      <c r="P520" s="165"/>
      <c r="Q520" s="165"/>
      <c r="R520" s="165"/>
      <c r="S520" s="165"/>
      <c r="T520" s="165"/>
      <c r="U520" s="165"/>
      <c r="V520" s="165"/>
      <c r="W520" s="165"/>
      <c r="X520" s="165"/>
      <c r="Y520" s="285"/>
      <c r="Z520" s="165"/>
      <c r="AA520" s="165"/>
      <c r="AB520" s="165"/>
      <c r="AC520" s="165"/>
      <c r="AD520" s="165"/>
      <c r="AE520" s="165"/>
      <c r="AF520" s="165"/>
      <c r="AG520" s="165"/>
      <c r="AH520" s="165"/>
      <c r="AI520" s="165"/>
      <c r="AJ520" s="165"/>
      <c r="AK520" s="165"/>
      <c r="AL520" s="165"/>
    </row>
    <row r="521">
      <c r="A521" s="165"/>
      <c r="B521" s="165"/>
      <c r="C521" s="165"/>
      <c r="D521" s="165"/>
      <c r="E521" s="292"/>
      <c r="F521" s="277"/>
      <c r="G521" s="165"/>
      <c r="H521" s="277"/>
      <c r="I521" s="277"/>
      <c r="J521" s="165"/>
      <c r="K521" s="165"/>
      <c r="L521" s="165"/>
      <c r="M521" s="165"/>
      <c r="N521" s="165"/>
      <c r="O521" s="165"/>
      <c r="P521" s="165"/>
      <c r="Q521" s="165"/>
      <c r="R521" s="165"/>
      <c r="S521" s="165"/>
      <c r="T521" s="165"/>
      <c r="U521" s="165"/>
      <c r="V521" s="165"/>
      <c r="W521" s="165"/>
      <c r="X521" s="165"/>
      <c r="Y521" s="285"/>
      <c r="Z521" s="165"/>
      <c r="AA521" s="165"/>
      <c r="AB521" s="165"/>
      <c r="AC521" s="165"/>
      <c r="AD521" s="165"/>
      <c r="AE521" s="165"/>
      <c r="AF521" s="165"/>
      <c r="AG521" s="165"/>
      <c r="AH521" s="165"/>
      <c r="AI521" s="165"/>
      <c r="AJ521" s="165"/>
      <c r="AK521" s="165"/>
      <c r="AL521" s="165"/>
    </row>
    <row r="522">
      <c r="A522" s="165"/>
      <c r="B522" s="165"/>
      <c r="C522" s="165"/>
      <c r="D522" s="165"/>
      <c r="E522" s="292"/>
      <c r="F522" s="277"/>
      <c r="G522" s="165"/>
      <c r="H522" s="277"/>
      <c r="I522" s="277"/>
      <c r="J522" s="165"/>
      <c r="K522" s="165"/>
      <c r="L522" s="165"/>
      <c r="M522" s="165"/>
      <c r="N522" s="165"/>
      <c r="O522" s="165"/>
      <c r="P522" s="165"/>
      <c r="Q522" s="165"/>
      <c r="R522" s="165"/>
      <c r="S522" s="165"/>
      <c r="T522" s="165"/>
      <c r="U522" s="165"/>
      <c r="V522" s="165"/>
      <c r="W522" s="165"/>
      <c r="X522" s="165"/>
      <c r="Y522" s="285"/>
      <c r="Z522" s="165"/>
      <c r="AA522" s="165"/>
      <c r="AB522" s="165"/>
      <c r="AC522" s="165"/>
      <c r="AD522" s="165"/>
      <c r="AE522" s="165"/>
      <c r="AF522" s="165"/>
      <c r="AG522" s="165"/>
      <c r="AH522" s="165"/>
      <c r="AI522" s="165"/>
      <c r="AJ522" s="165"/>
      <c r="AK522" s="165"/>
      <c r="AL522" s="165"/>
    </row>
    <row r="523">
      <c r="A523" s="165"/>
      <c r="B523" s="165"/>
      <c r="C523" s="165"/>
      <c r="D523" s="165"/>
      <c r="E523" s="292"/>
      <c r="F523" s="277"/>
      <c r="G523" s="165"/>
      <c r="H523" s="277"/>
      <c r="I523" s="277"/>
      <c r="J523" s="165"/>
      <c r="K523" s="165"/>
      <c r="L523" s="165"/>
      <c r="M523" s="165"/>
      <c r="N523" s="165"/>
      <c r="O523" s="165"/>
      <c r="P523" s="165"/>
      <c r="Q523" s="165"/>
      <c r="R523" s="165"/>
      <c r="S523" s="165"/>
      <c r="T523" s="165"/>
      <c r="U523" s="165"/>
      <c r="V523" s="165"/>
      <c r="W523" s="165"/>
      <c r="X523" s="165"/>
      <c r="Y523" s="285"/>
      <c r="Z523" s="165"/>
      <c r="AA523" s="165"/>
      <c r="AB523" s="165"/>
      <c r="AC523" s="165"/>
      <c r="AD523" s="165"/>
      <c r="AE523" s="165"/>
      <c r="AF523" s="165"/>
      <c r="AG523" s="165"/>
      <c r="AH523" s="165"/>
      <c r="AI523" s="165"/>
      <c r="AJ523" s="165"/>
      <c r="AK523" s="165"/>
      <c r="AL523" s="165"/>
    </row>
    <row r="524">
      <c r="A524" s="165"/>
      <c r="B524" s="165"/>
      <c r="C524" s="165"/>
      <c r="D524" s="165"/>
      <c r="E524" s="292"/>
      <c r="F524" s="277"/>
      <c r="G524" s="165"/>
      <c r="H524" s="277"/>
      <c r="I524" s="277"/>
      <c r="J524" s="165"/>
      <c r="K524" s="165"/>
      <c r="L524" s="165"/>
      <c r="M524" s="165"/>
      <c r="N524" s="165"/>
      <c r="O524" s="165"/>
      <c r="P524" s="165"/>
      <c r="Q524" s="165"/>
      <c r="R524" s="165"/>
      <c r="S524" s="165"/>
      <c r="T524" s="165"/>
      <c r="U524" s="165"/>
      <c r="V524" s="165"/>
      <c r="W524" s="165"/>
      <c r="X524" s="165"/>
      <c r="Y524" s="285"/>
      <c r="Z524" s="165"/>
      <c r="AA524" s="165"/>
      <c r="AB524" s="165"/>
      <c r="AC524" s="165"/>
      <c r="AD524" s="165"/>
      <c r="AE524" s="165"/>
      <c r="AF524" s="165"/>
      <c r="AG524" s="165"/>
      <c r="AH524" s="165"/>
      <c r="AI524" s="165"/>
      <c r="AJ524" s="165"/>
      <c r="AK524" s="165"/>
      <c r="AL524" s="165"/>
    </row>
    <row r="525">
      <c r="A525" s="165"/>
      <c r="B525" s="165"/>
      <c r="C525" s="165"/>
      <c r="D525" s="165"/>
      <c r="E525" s="292"/>
      <c r="F525" s="277"/>
      <c r="G525" s="165"/>
      <c r="H525" s="277"/>
      <c r="I525" s="277"/>
      <c r="J525" s="165"/>
      <c r="K525" s="165"/>
      <c r="L525" s="165"/>
      <c r="M525" s="165"/>
      <c r="N525" s="165"/>
      <c r="O525" s="165"/>
      <c r="P525" s="165"/>
      <c r="Q525" s="165"/>
      <c r="R525" s="165"/>
      <c r="S525" s="165"/>
      <c r="T525" s="165"/>
      <c r="U525" s="165"/>
      <c r="V525" s="165"/>
      <c r="W525" s="165"/>
      <c r="X525" s="165"/>
      <c r="Y525" s="285"/>
      <c r="Z525" s="165"/>
      <c r="AA525" s="165"/>
      <c r="AB525" s="165"/>
      <c r="AC525" s="165"/>
      <c r="AD525" s="165"/>
      <c r="AE525" s="165"/>
      <c r="AF525" s="165"/>
      <c r="AG525" s="165"/>
      <c r="AH525" s="165"/>
      <c r="AI525" s="165"/>
      <c r="AJ525" s="165"/>
      <c r="AK525" s="165"/>
      <c r="AL525" s="165"/>
    </row>
    <row r="526">
      <c r="A526" s="165"/>
      <c r="B526" s="165"/>
      <c r="C526" s="165"/>
      <c r="D526" s="165"/>
      <c r="E526" s="292"/>
      <c r="F526" s="277"/>
      <c r="G526" s="165"/>
      <c r="H526" s="277"/>
      <c r="I526" s="277"/>
      <c r="J526" s="165"/>
      <c r="K526" s="165"/>
      <c r="L526" s="165"/>
      <c r="M526" s="165"/>
      <c r="N526" s="165"/>
      <c r="O526" s="165"/>
      <c r="P526" s="165"/>
      <c r="Q526" s="165"/>
      <c r="R526" s="165"/>
      <c r="S526" s="165"/>
      <c r="T526" s="165"/>
      <c r="U526" s="165"/>
      <c r="V526" s="165"/>
      <c r="W526" s="165"/>
      <c r="X526" s="165"/>
      <c r="Y526" s="285"/>
      <c r="Z526" s="165"/>
      <c r="AA526" s="165"/>
      <c r="AB526" s="165"/>
      <c r="AC526" s="165"/>
      <c r="AD526" s="165"/>
      <c r="AE526" s="165"/>
      <c r="AF526" s="165"/>
      <c r="AG526" s="165"/>
      <c r="AH526" s="165"/>
      <c r="AI526" s="165"/>
      <c r="AJ526" s="165"/>
      <c r="AK526" s="165"/>
      <c r="AL526" s="165"/>
    </row>
    <row r="527">
      <c r="A527" s="165"/>
      <c r="B527" s="165"/>
      <c r="C527" s="165"/>
      <c r="D527" s="165"/>
      <c r="E527" s="292"/>
      <c r="F527" s="277"/>
      <c r="G527" s="165"/>
      <c r="H527" s="277"/>
      <c r="I527" s="277"/>
      <c r="J527" s="165"/>
      <c r="K527" s="165"/>
      <c r="L527" s="165"/>
      <c r="M527" s="165"/>
      <c r="N527" s="165"/>
      <c r="O527" s="165"/>
      <c r="P527" s="165"/>
      <c r="Q527" s="165"/>
      <c r="R527" s="165"/>
      <c r="S527" s="165"/>
      <c r="T527" s="165"/>
      <c r="U527" s="165"/>
      <c r="V527" s="165"/>
      <c r="W527" s="165"/>
      <c r="X527" s="165"/>
      <c r="Y527" s="285"/>
      <c r="Z527" s="165"/>
      <c r="AA527" s="165"/>
      <c r="AB527" s="165"/>
      <c r="AC527" s="165"/>
      <c r="AD527" s="165"/>
      <c r="AE527" s="165"/>
      <c r="AF527" s="165"/>
      <c r="AG527" s="165"/>
      <c r="AH527" s="165"/>
      <c r="AI527" s="165"/>
      <c r="AJ527" s="165"/>
      <c r="AK527" s="165"/>
      <c r="AL527" s="165"/>
    </row>
    <row r="528">
      <c r="A528" s="165"/>
      <c r="B528" s="165"/>
      <c r="C528" s="165"/>
      <c r="D528" s="165"/>
      <c r="E528" s="292"/>
      <c r="F528" s="277"/>
      <c r="G528" s="165"/>
      <c r="H528" s="277"/>
      <c r="I528" s="277"/>
      <c r="J528" s="165"/>
      <c r="K528" s="165"/>
      <c r="L528" s="165"/>
      <c r="M528" s="165"/>
      <c r="N528" s="165"/>
      <c r="O528" s="165"/>
      <c r="P528" s="165"/>
      <c r="Q528" s="165"/>
      <c r="R528" s="165"/>
      <c r="S528" s="165"/>
      <c r="T528" s="165"/>
      <c r="U528" s="165"/>
      <c r="V528" s="165"/>
      <c r="W528" s="165"/>
      <c r="X528" s="165"/>
      <c r="Y528" s="285"/>
      <c r="Z528" s="165"/>
      <c r="AA528" s="165"/>
      <c r="AB528" s="165"/>
      <c r="AC528" s="165"/>
      <c r="AD528" s="165"/>
      <c r="AE528" s="165"/>
      <c r="AF528" s="165"/>
      <c r="AG528" s="165"/>
      <c r="AH528" s="165"/>
      <c r="AI528" s="165"/>
      <c r="AJ528" s="165"/>
      <c r="AK528" s="165"/>
      <c r="AL528" s="165"/>
    </row>
    <row r="529">
      <c r="A529" s="165"/>
      <c r="B529" s="165"/>
      <c r="C529" s="165"/>
      <c r="D529" s="165"/>
      <c r="E529" s="292"/>
      <c r="F529" s="277"/>
      <c r="G529" s="165"/>
      <c r="H529" s="277"/>
      <c r="I529" s="277"/>
      <c r="J529" s="165"/>
      <c r="K529" s="165"/>
      <c r="L529" s="165"/>
      <c r="M529" s="165"/>
      <c r="N529" s="165"/>
      <c r="O529" s="165"/>
      <c r="P529" s="165"/>
      <c r="Q529" s="165"/>
      <c r="R529" s="165"/>
      <c r="S529" s="165"/>
      <c r="T529" s="165"/>
      <c r="U529" s="165"/>
      <c r="V529" s="165"/>
      <c r="W529" s="165"/>
      <c r="X529" s="165"/>
      <c r="Y529" s="285"/>
      <c r="Z529" s="165"/>
      <c r="AA529" s="165"/>
      <c r="AB529" s="165"/>
      <c r="AC529" s="165"/>
      <c r="AD529" s="165"/>
      <c r="AE529" s="165"/>
      <c r="AF529" s="165"/>
      <c r="AG529" s="165"/>
      <c r="AH529" s="165"/>
      <c r="AI529" s="165"/>
      <c r="AJ529" s="165"/>
      <c r="AK529" s="165"/>
      <c r="AL529" s="165"/>
    </row>
    <row r="530">
      <c r="A530" s="165"/>
      <c r="B530" s="165"/>
      <c r="C530" s="165"/>
      <c r="D530" s="165"/>
      <c r="E530" s="292"/>
      <c r="F530" s="277"/>
      <c r="G530" s="165"/>
      <c r="H530" s="277"/>
      <c r="I530" s="277"/>
      <c r="J530" s="165"/>
      <c r="K530" s="165"/>
      <c r="L530" s="165"/>
      <c r="M530" s="165"/>
      <c r="N530" s="165"/>
      <c r="O530" s="165"/>
      <c r="P530" s="165"/>
      <c r="Q530" s="165"/>
      <c r="R530" s="165"/>
      <c r="S530" s="165"/>
      <c r="T530" s="165"/>
      <c r="U530" s="165"/>
      <c r="V530" s="165"/>
      <c r="W530" s="165"/>
      <c r="X530" s="165"/>
      <c r="Y530" s="285"/>
      <c r="Z530" s="165"/>
      <c r="AA530" s="165"/>
      <c r="AB530" s="165"/>
      <c r="AC530" s="165"/>
      <c r="AD530" s="165"/>
      <c r="AE530" s="165"/>
      <c r="AF530" s="165"/>
      <c r="AG530" s="165"/>
      <c r="AH530" s="165"/>
      <c r="AI530" s="165"/>
      <c r="AJ530" s="165"/>
      <c r="AK530" s="165"/>
      <c r="AL530" s="165"/>
    </row>
    <row r="531">
      <c r="A531" s="165"/>
      <c r="B531" s="165"/>
      <c r="C531" s="165"/>
      <c r="D531" s="165"/>
      <c r="E531" s="292"/>
      <c r="F531" s="277"/>
      <c r="G531" s="165"/>
      <c r="H531" s="277"/>
      <c r="I531" s="277"/>
      <c r="J531" s="165"/>
      <c r="K531" s="165"/>
      <c r="L531" s="165"/>
      <c r="M531" s="165"/>
      <c r="N531" s="165"/>
      <c r="O531" s="165"/>
      <c r="P531" s="165"/>
      <c r="Q531" s="165"/>
      <c r="R531" s="165"/>
      <c r="S531" s="165"/>
      <c r="T531" s="165"/>
      <c r="U531" s="165"/>
      <c r="V531" s="165"/>
      <c r="W531" s="165"/>
      <c r="X531" s="165"/>
      <c r="Y531" s="285"/>
      <c r="Z531" s="165"/>
      <c r="AA531" s="165"/>
      <c r="AB531" s="165"/>
      <c r="AC531" s="165"/>
      <c r="AD531" s="165"/>
      <c r="AE531" s="165"/>
      <c r="AF531" s="165"/>
      <c r="AG531" s="165"/>
      <c r="AH531" s="165"/>
      <c r="AI531" s="165"/>
      <c r="AJ531" s="165"/>
      <c r="AK531" s="165"/>
      <c r="AL531" s="165"/>
    </row>
    <row r="532">
      <c r="A532" s="165"/>
      <c r="B532" s="165"/>
      <c r="C532" s="165"/>
      <c r="D532" s="165"/>
      <c r="E532" s="292"/>
      <c r="F532" s="277"/>
      <c r="G532" s="165"/>
      <c r="H532" s="277"/>
      <c r="I532" s="277"/>
      <c r="J532" s="165"/>
      <c r="K532" s="165"/>
      <c r="L532" s="165"/>
      <c r="M532" s="165"/>
      <c r="N532" s="165"/>
      <c r="O532" s="165"/>
      <c r="P532" s="165"/>
      <c r="Q532" s="165"/>
      <c r="R532" s="165"/>
      <c r="S532" s="165"/>
      <c r="T532" s="165"/>
      <c r="U532" s="165"/>
      <c r="V532" s="165"/>
      <c r="W532" s="165"/>
      <c r="X532" s="165"/>
      <c r="Y532" s="285"/>
      <c r="Z532" s="165"/>
      <c r="AA532" s="165"/>
      <c r="AB532" s="165"/>
      <c r="AC532" s="165"/>
      <c r="AD532" s="165"/>
      <c r="AE532" s="165"/>
      <c r="AF532" s="165"/>
      <c r="AG532" s="165"/>
      <c r="AH532" s="165"/>
      <c r="AI532" s="165"/>
      <c r="AJ532" s="165"/>
      <c r="AK532" s="165"/>
      <c r="AL532" s="165"/>
    </row>
    <row r="533">
      <c r="A533" s="165"/>
      <c r="B533" s="165"/>
      <c r="C533" s="165"/>
      <c r="D533" s="165"/>
      <c r="E533" s="292"/>
      <c r="F533" s="277"/>
      <c r="G533" s="165"/>
      <c r="H533" s="277"/>
      <c r="I533" s="277"/>
      <c r="J533" s="165"/>
      <c r="K533" s="165"/>
      <c r="L533" s="165"/>
      <c r="M533" s="165"/>
      <c r="N533" s="165"/>
      <c r="O533" s="165"/>
      <c r="P533" s="165"/>
      <c r="Q533" s="165"/>
      <c r="R533" s="165"/>
      <c r="S533" s="165"/>
      <c r="T533" s="165"/>
      <c r="U533" s="165"/>
      <c r="V533" s="165"/>
      <c r="W533" s="165"/>
      <c r="X533" s="165"/>
      <c r="Y533" s="285"/>
      <c r="Z533" s="165"/>
      <c r="AA533" s="165"/>
      <c r="AB533" s="165"/>
      <c r="AC533" s="165"/>
      <c r="AD533" s="165"/>
      <c r="AE533" s="165"/>
      <c r="AF533" s="165"/>
      <c r="AG533" s="165"/>
      <c r="AH533" s="165"/>
      <c r="AI533" s="165"/>
      <c r="AJ533" s="165"/>
      <c r="AK533" s="165"/>
      <c r="AL533" s="165"/>
    </row>
    <row r="534">
      <c r="A534" s="165"/>
      <c r="B534" s="165"/>
      <c r="C534" s="165"/>
      <c r="D534" s="165"/>
      <c r="E534" s="292"/>
      <c r="F534" s="277"/>
      <c r="G534" s="165"/>
      <c r="H534" s="277"/>
      <c r="I534" s="277"/>
      <c r="J534" s="165"/>
      <c r="K534" s="165"/>
      <c r="L534" s="165"/>
      <c r="M534" s="165"/>
      <c r="N534" s="165"/>
      <c r="O534" s="165"/>
      <c r="P534" s="165"/>
      <c r="Q534" s="165"/>
      <c r="R534" s="165"/>
      <c r="S534" s="165"/>
      <c r="T534" s="165"/>
      <c r="U534" s="165"/>
      <c r="V534" s="165"/>
      <c r="W534" s="165"/>
      <c r="X534" s="165"/>
      <c r="Y534" s="285"/>
      <c r="Z534" s="165"/>
      <c r="AA534" s="165"/>
      <c r="AB534" s="165"/>
      <c r="AC534" s="165"/>
      <c r="AD534" s="165"/>
      <c r="AE534" s="165"/>
      <c r="AF534" s="165"/>
      <c r="AG534" s="165"/>
      <c r="AH534" s="165"/>
      <c r="AI534" s="165"/>
      <c r="AJ534" s="165"/>
      <c r="AK534" s="165"/>
      <c r="AL534" s="165"/>
    </row>
    <row r="535">
      <c r="A535" s="165"/>
      <c r="B535" s="165"/>
      <c r="C535" s="165"/>
      <c r="D535" s="165"/>
      <c r="E535" s="292"/>
      <c r="F535" s="277"/>
      <c r="G535" s="165"/>
      <c r="H535" s="277"/>
      <c r="I535" s="277"/>
      <c r="J535" s="165"/>
      <c r="K535" s="165"/>
      <c r="L535" s="165"/>
      <c r="M535" s="165"/>
      <c r="N535" s="165"/>
      <c r="O535" s="165"/>
      <c r="P535" s="165"/>
      <c r="Q535" s="165"/>
      <c r="R535" s="165"/>
      <c r="S535" s="165"/>
      <c r="T535" s="165"/>
      <c r="U535" s="165"/>
      <c r="V535" s="165"/>
      <c r="W535" s="165"/>
      <c r="X535" s="165"/>
      <c r="Y535" s="285"/>
      <c r="Z535" s="165"/>
      <c r="AA535" s="165"/>
      <c r="AB535" s="165"/>
      <c r="AC535" s="165"/>
      <c r="AD535" s="165"/>
      <c r="AE535" s="165"/>
      <c r="AF535" s="165"/>
      <c r="AG535" s="165"/>
      <c r="AH535" s="165"/>
      <c r="AI535" s="165"/>
      <c r="AJ535" s="165"/>
      <c r="AK535" s="165"/>
      <c r="AL535" s="165"/>
    </row>
    <row r="536">
      <c r="A536" s="165"/>
      <c r="B536" s="165"/>
      <c r="C536" s="165"/>
      <c r="D536" s="165"/>
      <c r="E536" s="292"/>
      <c r="F536" s="277"/>
      <c r="G536" s="165"/>
      <c r="H536" s="277"/>
      <c r="I536" s="277"/>
      <c r="J536" s="165"/>
      <c r="K536" s="165"/>
      <c r="L536" s="165"/>
      <c r="M536" s="165"/>
      <c r="N536" s="165"/>
      <c r="O536" s="165"/>
      <c r="P536" s="165"/>
      <c r="Q536" s="165"/>
      <c r="R536" s="165"/>
      <c r="S536" s="165"/>
      <c r="T536" s="165"/>
      <c r="U536" s="165"/>
      <c r="V536" s="165"/>
      <c r="W536" s="165"/>
      <c r="X536" s="165"/>
      <c r="Y536" s="285"/>
      <c r="Z536" s="165"/>
      <c r="AA536" s="165"/>
      <c r="AB536" s="165"/>
      <c r="AC536" s="165"/>
      <c r="AD536" s="165"/>
      <c r="AE536" s="165"/>
      <c r="AF536" s="165"/>
      <c r="AG536" s="165"/>
      <c r="AH536" s="165"/>
      <c r="AI536" s="165"/>
      <c r="AJ536" s="165"/>
      <c r="AK536" s="165"/>
      <c r="AL536" s="165"/>
    </row>
    <row r="537">
      <c r="A537" s="165"/>
      <c r="B537" s="165"/>
      <c r="C537" s="165"/>
      <c r="D537" s="165"/>
      <c r="E537" s="292"/>
      <c r="F537" s="277"/>
      <c r="G537" s="165"/>
      <c r="H537" s="277"/>
      <c r="I537" s="277"/>
      <c r="J537" s="165"/>
      <c r="K537" s="165"/>
      <c r="L537" s="165"/>
      <c r="M537" s="165"/>
      <c r="N537" s="165"/>
      <c r="O537" s="165"/>
      <c r="P537" s="165"/>
      <c r="Q537" s="165"/>
      <c r="R537" s="165"/>
      <c r="S537" s="165"/>
      <c r="T537" s="165"/>
      <c r="U537" s="165"/>
      <c r="V537" s="165"/>
      <c r="W537" s="165"/>
      <c r="X537" s="165"/>
      <c r="Y537" s="285"/>
      <c r="Z537" s="165"/>
      <c r="AA537" s="165"/>
      <c r="AB537" s="165"/>
      <c r="AC537" s="165"/>
      <c r="AD537" s="165"/>
      <c r="AE537" s="165"/>
      <c r="AF537" s="165"/>
      <c r="AG537" s="165"/>
      <c r="AH537" s="165"/>
      <c r="AI537" s="165"/>
      <c r="AJ537" s="165"/>
      <c r="AK537" s="165"/>
      <c r="AL537" s="165"/>
    </row>
    <row r="538">
      <c r="A538" s="165"/>
      <c r="B538" s="165"/>
      <c r="C538" s="165"/>
      <c r="D538" s="165"/>
      <c r="E538" s="292"/>
      <c r="F538" s="277"/>
      <c r="G538" s="165"/>
      <c r="H538" s="277"/>
      <c r="I538" s="277"/>
      <c r="J538" s="165"/>
      <c r="K538" s="165"/>
      <c r="L538" s="165"/>
      <c r="M538" s="165"/>
      <c r="N538" s="165"/>
      <c r="O538" s="165"/>
      <c r="P538" s="165"/>
      <c r="Q538" s="165"/>
      <c r="R538" s="165"/>
      <c r="S538" s="165"/>
      <c r="T538" s="165"/>
      <c r="U538" s="165"/>
      <c r="V538" s="165"/>
      <c r="W538" s="165"/>
      <c r="X538" s="165"/>
      <c r="Y538" s="285"/>
      <c r="Z538" s="165"/>
      <c r="AA538" s="165"/>
      <c r="AB538" s="165"/>
      <c r="AC538" s="165"/>
      <c r="AD538" s="165"/>
      <c r="AE538" s="165"/>
      <c r="AF538" s="165"/>
      <c r="AG538" s="165"/>
      <c r="AH538" s="165"/>
      <c r="AI538" s="165"/>
      <c r="AJ538" s="165"/>
      <c r="AK538" s="165"/>
      <c r="AL538" s="165"/>
    </row>
    <row r="539">
      <c r="A539" s="165"/>
      <c r="B539" s="165"/>
      <c r="C539" s="165"/>
      <c r="D539" s="165"/>
      <c r="E539" s="292"/>
      <c r="F539" s="277"/>
      <c r="G539" s="165"/>
      <c r="H539" s="277"/>
      <c r="I539" s="277"/>
      <c r="J539" s="165"/>
      <c r="K539" s="165"/>
      <c r="L539" s="165"/>
      <c r="M539" s="165"/>
      <c r="N539" s="165"/>
      <c r="O539" s="165"/>
      <c r="P539" s="165"/>
      <c r="Q539" s="165"/>
      <c r="R539" s="165"/>
      <c r="S539" s="165"/>
      <c r="T539" s="165"/>
      <c r="U539" s="165"/>
      <c r="V539" s="165"/>
      <c r="W539" s="165"/>
      <c r="X539" s="165"/>
      <c r="Y539" s="285"/>
      <c r="Z539" s="165"/>
      <c r="AA539" s="165"/>
      <c r="AB539" s="165"/>
      <c r="AC539" s="165"/>
      <c r="AD539" s="165"/>
      <c r="AE539" s="165"/>
      <c r="AF539" s="165"/>
      <c r="AG539" s="165"/>
      <c r="AH539" s="165"/>
      <c r="AI539" s="165"/>
      <c r="AJ539" s="165"/>
      <c r="AK539" s="165"/>
      <c r="AL539" s="165"/>
    </row>
    <row r="540">
      <c r="A540" s="165"/>
      <c r="B540" s="165"/>
      <c r="C540" s="165"/>
      <c r="D540" s="165"/>
      <c r="E540" s="292"/>
      <c r="F540" s="277"/>
      <c r="G540" s="165"/>
      <c r="H540" s="277"/>
      <c r="I540" s="277"/>
      <c r="J540" s="165"/>
      <c r="K540" s="165"/>
      <c r="L540" s="165"/>
      <c r="M540" s="165"/>
      <c r="N540" s="165"/>
      <c r="O540" s="165"/>
      <c r="P540" s="165"/>
      <c r="Q540" s="165"/>
      <c r="R540" s="165"/>
      <c r="S540" s="165"/>
      <c r="T540" s="165"/>
      <c r="U540" s="165"/>
      <c r="V540" s="165"/>
      <c r="W540" s="165"/>
      <c r="X540" s="165"/>
      <c r="Y540" s="285"/>
      <c r="Z540" s="165"/>
      <c r="AA540" s="165"/>
      <c r="AB540" s="165"/>
      <c r="AC540" s="165"/>
      <c r="AD540" s="165"/>
      <c r="AE540" s="165"/>
      <c r="AF540" s="165"/>
      <c r="AG540" s="165"/>
      <c r="AH540" s="165"/>
      <c r="AI540" s="165"/>
      <c r="AJ540" s="165"/>
      <c r="AK540" s="165"/>
      <c r="AL540" s="165"/>
    </row>
    <row r="541">
      <c r="A541" s="165"/>
      <c r="B541" s="165"/>
      <c r="C541" s="165"/>
      <c r="D541" s="165"/>
      <c r="E541" s="292"/>
      <c r="F541" s="277"/>
      <c r="G541" s="165"/>
      <c r="H541" s="277"/>
      <c r="I541" s="277"/>
      <c r="J541" s="165"/>
      <c r="K541" s="165"/>
      <c r="L541" s="165"/>
      <c r="M541" s="165"/>
      <c r="N541" s="165"/>
      <c r="O541" s="165"/>
      <c r="P541" s="165"/>
      <c r="Q541" s="165"/>
      <c r="R541" s="165"/>
      <c r="S541" s="165"/>
      <c r="T541" s="165"/>
      <c r="U541" s="165"/>
      <c r="V541" s="165"/>
      <c r="W541" s="165"/>
      <c r="X541" s="165"/>
      <c r="Y541" s="285"/>
      <c r="Z541" s="165"/>
      <c r="AA541" s="165"/>
      <c r="AB541" s="165"/>
      <c r="AC541" s="165"/>
      <c r="AD541" s="165"/>
      <c r="AE541" s="165"/>
      <c r="AF541" s="165"/>
      <c r="AG541" s="165"/>
      <c r="AH541" s="165"/>
      <c r="AI541" s="165"/>
      <c r="AJ541" s="165"/>
      <c r="AK541" s="165"/>
      <c r="AL541" s="165"/>
    </row>
    <row r="542">
      <c r="A542" s="165"/>
      <c r="B542" s="165"/>
      <c r="C542" s="165"/>
      <c r="D542" s="165"/>
      <c r="E542" s="292"/>
      <c r="F542" s="277"/>
      <c r="G542" s="165"/>
      <c r="H542" s="277"/>
      <c r="I542" s="277"/>
      <c r="J542" s="165"/>
      <c r="K542" s="165"/>
      <c r="L542" s="165"/>
      <c r="M542" s="165"/>
      <c r="N542" s="165"/>
      <c r="O542" s="165"/>
      <c r="P542" s="165"/>
      <c r="Q542" s="165"/>
      <c r="R542" s="165"/>
      <c r="S542" s="165"/>
      <c r="T542" s="165"/>
      <c r="U542" s="165"/>
      <c r="V542" s="165"/>
      <c r="W542" s="165"/>
      <c r="X542" s="165"/>
      <c r="Y542" s="285"/>
      <c r="Z542" s="165"/>
      <c r="AA542" s="165"/>
      <c r="AB542" s="165"/>
      <c r="AC542" s="165"/>
      <c r="AD542" s="165"/>
      <c r="AE542" s="165"/>
      <c r="AF542" s="165"/>
      <c r="AG542" s="165"/>
      <c r="AH542" s="165"/>
      <c r="AI542" s="165"/>
      <c r="AJ542" s="165"/>
      <c r="AK542" s="165"/>
      <c r="AL542" s="165"/>
    </row>
    <row r="543">
      <c r="A543" s="165"/>
      <c r="B543" s="165"/>
      <c r="C543" s="165"/>
      <c r="D543" s="165"/>
      <c r="E543" s="292"/>
      <c r="F543" s="277"/>
      <c r="G543" s="165"/>
      <c r="H543" s="277"/>
      <c r="I543" s="277"/>
      <c r="J543" s="165"/>
      <c r="K543" s="165"/>
      <c r="L543" s="165"/>
      <c r="M543" s="165"/>
      <c r="N543" s="165"/>
      <c r="O543" s="165"/>
      <c r="P543" s="165"/>
      <c r="Q543" s="165"/>
      <c r="R543" s="165"/>
      <c r="S543" s="165"/>
      <c r="T543" s="165"/>
      <c r="U543" s="165"/>
      <c r="V543" s="165"/>
      <c r="W543" s="165"/>
      <c r="X543" s="165"/>
      <c r="Y543" s="285"/>
      <c r="Z543" s="165"/>
      <c r="AA543" s="165"/>
      <c r="AB543" s="165"/>
      <c r="AC543" s="165"/>
      <c r="AD543" s="165"/>
      <c r="AE543" s="165"/>
      <c r="AF543" s="165"/>
      <c r="AG543" s="165"/>
      <c r="AH543" s="165"/>
      <c r="AI543" s="165"/>
      <c r="AJ543" s="165"/>
      <c r="AK543" s="165"/>
      <c r="AL543" s="165"/>
    </row>
    <row r="544">
      <c r="A544" s="165"/>
      <c r="B544" s="165"/>
      <c r="C544" s="165"/>
      <c r="D544" s="165"/>
      <c r="E544" s="292"/>
      <c r="F544" s="277"/>
      <c r="G544" s="165"/>
      <c r="H544" s="277"/>
      <c r="I544" s="277"/>
      <c r="J544" s="165"/>
      <c r="K544" s="165"/>
      <c r="L544" s="165"/>
      <c r="M544" s="165"/>
      <c r="N544" s="165"/>
      <c r="O544" s="165"/>
      <c r="P544" s="165"/>
      <c r="Q544" s="165"/>
      <c r="R544" s="165"/>
      <c r="S544" s="165"/>
      <c r="T544" s="165"/>
      <c r="U544" s="165"/>
      <c r="V544" s="165"/>
      <c r="W544" s="165"/>
      <c r="X544" s="165"/>
      <c r="Y544" s="285"/>
      <c r="Z544" s="165"/>
      <c r="AA544" s="165"/>
      <c r="AB544" s="165"/>
      <c r="AC544" s="165"/>
      <c r="AD544" s="165"/>
      <c r="AE544" s="165"/>
      <c r="AF544" s="165"/>
      <c r="AG544" s="165"/>
      <c r="AH544" s="165"/>
      <c r="AI544" s="165"/>
      <c r="AJ544" s="165"/>
      <c r="AK544" s="165"/>
      <c r="AL544" s="165"/>
    </row>
    <row r="545">
      <c r="A545" s="165"/>
      <c r="B545" s="165"/>
      <c r="C545" s="165"/>
      <c r="D545" s="165"/>
      <c r="E545" s="292"/>
      <c r="F545" s="277"/>
      <c r="G545" s="165"/>
      <c r="H545" s="277"/>
      <c r="I545" s="277"/>
      <c r="J545" s="165"/>
      <c r="K545" s="165"/>
      <c r="L545" s="165"/>
      <c r="M545" s="165"/>
      <c r="N545" s="165"/>
      <c r="O545" s="165"/>
      <c r="P545" s="165"/>
      <c r="Q545" s="165"/>
      <c r="R545" s="165"/>
      <c r="S545" s="165"/>
      <c r="T545" s="165"/>
      <c r="U545" s="165"/>
      <c r="V545" s="165"/>
      <c r="W545" s="165"/>
      <c r="X545" s="165"/>
      <c r="Y545" s="285"/>
      <c r="Z545" s="165"/>
      <c r="AA545" s="165"/>
      <c r="AB545" s="165"/>
      <c r="AC545" s="165"/>
      <c r="AD545" s="165"/>
      <c r="AE545" s="165"/>
      <c r="AF545" s="165"/>
      <c r="AG545" s="165"/>
      <c r="AH545" s="165"/>
      <c r="AI545" s="165"/>
      <c r="AJ545" s="165"/>
      <c r="AK545" s="165"/>
      <c r="AL545" s="165"/>
    </row>
    <row r="546">
      <c r="A546" s="165"/>
      <c r="B546" s="165"/>
      <c r="C546" s="165"/>
      <c r="D546" s="165"/>
      <c r="E546" s="292"/>
      <c r="F546" s="277"/>
      <c r="G546" s="165"/>
      <c r="H546" s="277"/>
      <c r="I546" s="277"/>
      <c r="J546" s="165"/>
      <c r="K546" s="165"/>
      <c r="L546" s="165"/>
      <c r="M546" s="165"/>
      <c r="N546" s="165"/>
      <c r="O546" s="165"/>
      <c r="P546" s="165"/>
      <c r="Q546" s="165"/>
      <c r="R546" s="165"/>
      <c r="S546" s="165"/>
      <c r="T546" s="165"/>
      <c r="U546" s="165"/>
      <c r="V546" s="165"/>
      <c r="W546" s="165"/>
      <c r="X546" s="165"/>
      <c r="Y546" s="285"/>
      <c r="Z546" s="165"/>
      <c r="AA546" s="165"/>
      <c r="AB546" s="165"/>
      <c r="AC546" s="165"/>
      <c r="AD546" s="165"/>
      <c r="AE546" s="165"/>
      <c r="AF546" s="165"/>
      <c r="AG546" s="165"/>
      <c r="AH546" s="165"/>
      <c r="AI546" s="165"/>
      <c r="AJ546" s="165"/>
      <c r="AK546" s="165"/>
      <c r="AL546" s="165"/>
    </row>
    <row r="547">
      <c r="A547" s="165"/>
      <c r="B547" s="165"/>
      <c r="C547" s="165"/>
      <c r="D547" s="165"/>
      <c r="E547" s="292"/>
      <c r="F547" s="277"/>
      <c r="G547" s="165"/>
      <c r="H547" s="277"/>
      <c r="I547" s="277"/>
      <c r="J547" s="165"/>
      <c r="K547" s="165"/>
      <c r="L547" s="165"/>
      <c r="M547" s="165"/>
      <c r="N547" s="165"/>
      <c r="O547" s="165"/>
      <c r="P547" s="165"/>
      <c r="Q547" s="165"/>
      <c r="R547" s="165"/>
      <c r="S547" s="165"/>
      <c r="T547" s="165"/>
      <c r="U547" s="165"/>
      <c r="V547" s="165"/>
      <c r="W547" s="165"/>
      <c r="X547" s="165"/>
      <c r="Y547" s="285"/>
      <c r="Z547" s="165"/>
      <c r="AA547" s="165"/>
      <c r="AB547" s="165"/>
      <c r="AC547" s="165"/>
      <c r="AD547" s="165"/>
      <c r="AE547" s="165"/>
      <c r="AF547" s="165"/>
      <c r="AG547" s="165"/>
      <c r="AH547" s="165"/>
      <c r="AI547" s="165"/>
      <c r="AJ547" s="165"/>
      <c r="AK547" s="165"/>
      <c r="AL547" s="165"/>
    </row>
    <row r="548">
      <c r="A548" s="165"/>
      <c r="B548" s="165"/>
      <c r="C548" s="165"/>
      <c r="D548" s="165"/>
      <c r="E548" s="292"/>
      <c r="F548" s="277"/>
      <c r="G548" s="165"/>
      <c r="H548" s="277"/>
      <c r="I548" s="277"/>
      <c r="J548" s="165"/>
      <c r="K548" s="165"/>
      <c r="L548" s="165"/>
      <c r="M548" s="165"/>
      <c r="N548" s="165"/>
      <c r="O548" s="165"/>
      <c r="P548" s="165"/>
      <c r="Q548" s="165"/>
      <c r="R548" s="165"/>
      <c r="S548" s="165"/>
      <c r="T548" s="165"/>
      <c r="U548" s="165"/>
      <c r="V548" s="165"/>
      <c r="W548" s="165"/>
      <c r="X548" s="165"/>
      <c r="Y548" s="285"/>
      <c r="Z548" s="165"/>
      <c r="AA548" s="165"/>
      <c r="AB548" s="165"/>
      <c r="AC548" s="165"/>
      <c r="AD548" s="165"/>
      <c r="AE548" s="165"/>
      <c r="AF548" s="165"/>
      <c r="AG548" s="165"/>
      <c r="AH548" s="165"/>
      <c r="AI548" s="165"/>
      <c r="AJ548" s="165"/>
      <c r="AK548" s="165"/>
      <c r="AL548" s="165"/>
    </row>
    <row r="549">
      <c r="A549" s="165"/>
      <c r="B549" s="165"/>
      <c r="C549" s="165"/>
      <c r="D549" s="165"/>
      <c r="E549" s="292"/>
      <c r="F549" s="277"/>
      <c r="G549" s="165"/>
      <c r="H549" s="277"/>
      <c r="I549" s="277"/>
      <c r="J549" s="165"/>
      <c r="K549" s="165"/>
      <c r="L549" s="165"/>
      <c r="M549" s="165"/>
      <c r="N549" s="165"/>
      <c r="O549" s="165"/>
      <c r="P549" s="165"/>
      <c r="Q549" s="165"/>
      <c r="R549" s="165"/>
      <c r="S549" s="165"/>
      <c r="T549" s="165"/>
      <c r="U549" s="165"/>
      <c r="V549" s="165"/>
      <c r="W549" s="165"/>
      <c r="X549" s="165"/>
      <c r="Y549" s="285"/>
      <c r="Z549" s="165"/>
      <c r="AA549" s="165"/>
      <c r="AB549" s="165"/>
      <c r="AC549" s="165"/>
      <c r="AD549" s="165"/>
      <c r="AE549" s="165"/>
      <c r="AF549" s="165"/>
      <c r="AG549" s="165"/>
      <c r="AH549" s="165"/>
      <c r="AI549" s="165"/>
      <c r="AJ549" s="165"/>
      <c r="AK549" s="165"/>
      <c r="AL549" s="165"/>
    </row>
    <row r="550">
      <c r="A550" s="165"/>
      <c r="B550" s="165"/>
      <c r="C550" s="165"/>
      <c r="D550" s="165"/>
      <c r="E550" s="292"/>
      <c r="F550" s="277"/>
      <c r="G550" s="165"/>
      <c r="H550" s="277"/>
      <c r="I550" s="277"/>
      <c r="J550" s="165"/>
      <c r="K550" s="165"/>
      <c r="L550" s="165"/>
      <c r="M550" s="165"/>
      <c r="N550" s="165"/>
      <c r="O550" s="165"/>
      <c r="P550" s="165"/>
      <c r="Q550" s="165"/>
      <c r="R550" s="165"/>
      <c r="S550" s="165"/>
      <c r="T550" s="165"/>
      <c r="U550" s="165"/>
      <c r="V550" s="165"/>
      <c r="W550" s="165"/>
      <c r="X550" s="165"/>
      <c r="Y550" s="285"/>
      <c r="Z550" s="165"/>
      <c r="AA550" s="165"/>
      <c r="AB550" s="165"/>
      <c r="AC550" s="165"/>
      <c r="AD550" s="165"/>
      <c r="AE550" s="165"/>
      <c r="AF550" s="165"/>
      <c r="AG550" s="165"/>
      <c r="AH550" s="165"/>
      <c r="AI550" s="165"/>
      <c r="AJ550" s="165"/>
      <c r="AK550" s="165"/>
      <c r="AL550" s="165"/>
    </row>
    <row r="551">
      <c r="A551" s="165"/>
      <c r="B551" s="165"/>
      <c r="C551" s="165"/>
      <c r="D551" s="165"/>
      <c r="E551" s="292"/>
      <c r="F551" s="277"/>
      <c r="G551" s="165"/>
      <c r="H551" s="277"/>
      <c r="I551" s="277"/>
      <c r="J551" s="165"/>
      <c r="K551" s="165"/>
      <c r="L551" s="165"/>
      <c r="M551" s="165"/>
      <c r="N551" s="165"/>
      <c r="O551" s="165"/>
      <c r="P551" s="165"/>
      <c r="Q551" s="165"/>
      <c r="R551" s="165"/>
      <c r="S551" s="165"/>
      <c r="T551" s="165"/>
      <c r="U551" s="165"/>
      <c r="V551" s="165"/>
      <c r="W551" s="165"/>
      <c r="X551" s="165"/>
      <c r="Y551" s="285"/>
      <c r="Z551" s="165"/>
      <c r="AA551" s="165"/>
      <c r="AB551" s="165"/>
      <c r="AC551" s="165"/>
      <c r="AD551" s="165"/>
      <c r="AE551" s="165"/>
      <c r="AF551" s="165"/>
      <c r="AG551" s="165"/>
      <c r="AH551" s="165"/>
      <c r="AI551" s="165"/>
      <c r="AJ551" s="165"/>
      <c r="AK551" s="165"/>
      <c r="AL551" s="165"/>
    </row>
    <row r="552">
      <c r="A552" s="165"/>
      <c r="B552" s="165"/>
      <c r="C552" s="165"/>
      <c r="D552" s="165"/>
      <c r="E552" s="292"/>
      <c r="F552" s="277"/>
      <c r="G552" s="165"/>
      <c r="H552" s="277"/>
      <c r="I552" s="277"/>
      <c r="J552" s="165"/>
      <c r="K552" s="165"/>
      <c r="L552" s="165"/>
      <c r="M552" s="165"/>
      <c r="N552" s="165"/>
      <c r="O552" s="165"/>
      <c r="P552" s="165"/>
      <c r="Q552" s="165"/>
      <c r="R552" s="165"/>
      <c r="S552" s="165"/>
      <c r="T552" s="165"/>
      <c r="U552" s="165"/>
      <c r="V552" s="165"/>
      <c r="W552" s="165"/>
      <c r="X552" s="165"/>
      <c r="Y552" s="285"/>
      <c r="Z552" s="165"/>
      <c r="AA552" s="165"/>
      <c r="AB552" s="165"/>
      <c r="AC552" s="165"/>
      <c r="AD552" s="165"/>
      <c r="AE552" s="165"/>
      <c r="AF552" s="165"/>
      <c r="AG552" s="165"/>
      <c r="AH552" s="165"/>
      <c r="AI552" s="165"/>
      <c r="AJ552" s="165"/>
      <c r="AK552" s="165"/>
      <c r="AL552" s="165"/>
    </row>
    <row r="553">
      <c r="A553" s="165"/>
      <c r="B553" s="165"/>
      <c r="C553" s="165"/>
      <c r="D553" s="165"/>
      <c r="E553" s="292"/>
      <c r="F553" s="277"/>
      <c r="G553" s="165"/>
      <c r="H553" s="277"/>
      <c r="I553" s="277"/>
      <c r="J553" s="165"/>
      <c r="K553" s="165"/>
      <c r="L553" s="165"/>
      <c r="M553" s="165"/>
      <c r="N553" s="165"/>
      <c r="O553" s="165"/>
      <c r="P553" s="165"/>
      <c r="Q553" s="165"/>
      <c r="R553" s="165"/>
      <c r="S553" s="165"/>
      <c r="T553" s="165"/>
      <c r="U553" s="165"/>
      <c r="V553" s="165"/>
      <c r="W553" s="165"/>
      <c r="X553" s="165"/>
      <c r="Y553" s="285"/>
      <c r="Z553" s="165"/>
      <c r="AA553" s="165"/>
      <c r="AB553" s="165"/>
      <c r="AC553" s="165"/>
      <c r="AD553" s="165"/>
      <c r="AE553" s="165"/>
      <c r="AF553" s="165"/>
      <c r="AG553" s="165"/>
      <c r="AH553" s="165"/>
      <c r="AI553" s="165"/>
      <c r="AJ553" s="165"/>
      <c r="AK553" s="165"/>
      <c r="AL553" s="165"/>
    </row>
    <row r="554">
      <c r="A554" s="165"/>
      <c r="B554" s="165"/>
      <c r="C554" s="165"/>
      <c r="D554" s="165"/>
      <c r="E554" s="292"/>
      <c r="F554" s="277"/>
      <c r="G554" s="165"/>
      <c r="H554" s="277"/>
      <c r="I554" s="277"/>
      <c r="J554" s="165"/>
      <c r="K554" s="165"/>
      <c r="L554" s="165"/>
      <c r="M554" s="165"/>
      <c r="N554" s="165"/>
      <c r="O554" s="165"/>
      <c r="P554" s="165"/>
      <c r="Q554" s="165"/>
      <c r="R554" s="165"/>
      <c r="S554" s="165"/>
      <c r="T554" s="165"/>
      <c r="U554" s="165"/>
      <c r="V554" s="165"/>
      <c r="W554" s="165"/>
      <c r="X554" s="165"/>
      <c r="Y554" s="285"/>
      <c r="Z554" s="165"/>
      <c r="AA554" s="165"/>
      <c r="AB554" s="165"/>
      <c r="AC554" s="165"/>
      <c r="AD554" s="165"/>
      <c r="AE554" s="165"/>
      <c r="AF554" s="165"/>
      <c r="AG554" s="165"/>
      <c r="AH554" s="165"/>
      <c r="AI554" s="165"/>
      <c r="AJ554" s="165"/>
      <c r="AK554" s="165"/>
      <c r="AL554" s="165"/>
    </row>
    <row r="555">
      <c r="A555" s="165"/>
      <c r="B555" s="165"/>
      <c r="C555" s="165"/>
      <c r="D555" s="165"/>
      <c r="E555" s="292"/>
      <c r="F555" s="277"/>
      <c r="G555" s="165"/>
      <c r="H555" s="277"/>
      <c r="I555" s="277"/>
      <c r="J555" s="165"/>
      <c r="K555" s="165"/>
      <c r="L555" s="165"/>
      <c r="M555" s="165"/>
      <c r="N555" s="165"/>
      <c r="O555" s="165"/>
      <c r="P555" s="165"/>
      <c r="Q555" s="165"/>
      <c r="R555" s="165"/>
      <c r="S555" s="165"/>
      <c r="T555" s="165"/>
      <c r="U555" s="165"/>
      <c r="V555" s="165"/>
      <c r="W555" s="165"/>
      <c r="X555" s="165"/>
      <c r="Y555" s="285"/>
      <c r="Z555" s="165"/>
      <c r="AA555" s="165"/>
      <c r="AB555" s="165"/>
      <c r="AC555" s="165"/>
      <c r="AD555" s="165"/>
      <c r="AE555" s="165"/>
      <c r="AF555" s="165"/>
      <c r="AG555" s="165"/>
      <c r="AH555" s="165"/>
      <c r="AI555" s="165"/>
      <c r="AJ555" s="165"/>
      <c r="AK555" s="165"/>
      <c r="AL555" s="165"/>
    </row>
    <row r="556">
      <c r="A556" s="165"/>
      <c r="B556" s="165"/>
      <c r="C556" s="165"/>
      <c r="D556" s="165"/>
      <c r="E556" s="292"/>
      <c r="F556" s="277"/>
      <c r="G556" s="165"/>
      <c r="H556" s="277"/>
      <c r="I556" s="277"/>
      <c r="J556" s="165"/>
      <c r="K556" s="165"/>
      <c r="L556" s="165"/>
      <c r="M556" s="165"/>
      <c r="N556" s="165"/>
      <c r="O556" s="165"/>
      <c r="P556" s="165"/>
      <c r="Q556" s="165"/>
      <c r="R556" s="165"/>
      <c r="S556" s="165"/>
      <c r="T556" s="165"/>
      <c r="U556" s="165"/>
      <c r="V556" s="165"/>
      <c r="W556" s="165"/>
      <c r="X556" s="165"/>
      <c r="Y556" s="285"/>
      <c r="Z556" s="165"/>
      <c r="AA556" s="165"/>
      <c r="AB556" s="165"/>
      <c r="AC556" s="165"/>
      <c r="AD556" s="165"/>
      <c r="AE556" s="165"/>
      <c r="AF556" s="165"/>
      <c r="AG556" s="165"/>
      <c r="AH556" s="165"/>
      <c r="AI556" s="165"/>
      <c r="AJ556" s="165"/>
      <c r="AK556" s="165"/>
      <c r="AL556" s="165"/>
    </row>
    <row r="557">
      <c r="A557" s="165"/>
      <c r="B557" s="165"/>
      <c r="C557" s="165"/>
      <c r="D557" s="165"/>
      <c r="E557" s="292"/>
      <c r="F557" s="277"/>
      <c r="G557" s="165"/>
      <c r="H557" s="277"/>
      <c r="I557" s="277"/>
      <c r="J557" s="165"/>
      <c r="K557" s="165"/>
      <c r="L557" s="165"/>
      <c r="M557" s="165"/>
      <c r="N557" s="165"/>
      <c r="O557" s="165"/>
      <c r="P557" s="165"/>
      <c r="Q557" s="165"/>
      <c r="R557" s="165"/>
      <c r="S557" s="165"/>
      <c r="T557" s="165"/>
      <c r="U557" s="165"/>
      <c r="V557" s="165"/>
      <c r="W557" s="165"/>
      <c r="X557" s="165"/>
      <c r="Y557" s="285"/>
      <c r="Z557" s="165"/>
      <c r="AA557" s="165"/>
      <c r="AB557" s="165"/>
      <c r="AC557" s="165"/>
      <c r="AD557" s="165"/>
      <c r="AE557" s="165"/>
      <c r="AF557" s="165"/>
      <c r="AG557" s="165"/>
      <c r="AH557" s="165"/>
      <c r="AI557" s="165"/>
      <c r="AJ557" s="165"/>
      <c r="AK557" s="165"/>
      <c r="AL557" s="165"/>
    </row>
    <row r="558">
      <c r="A558" s="165"/>
      <c r="B558" s="165"/>
      <c r="C558" s="165"/>
      <c r="D558" s="165"/>
      <c r="E558" s="292"/>
      <c r="F558" s="277"/>
      <c r="G558" s="165"/>
      <c r="H558" s="277"/>
      <c r="I558" s="277"/>
      <c r="J558" s="165"/>
      <c r="K558" s="165"/>
      <c r="L558" s="165"/>
      <c r="M558" s="165"/>
      <c r="N558" s="165"/>
      <c r="O558" s="165"/>
      <c r="P558" s="165"/>
      <c r="Q558" s="165"/>
      <c r="R558" s="165"/>
      <c r="S558" s="165"/>
      <c r="T558" s="165"/>
      <c r="U558" s="165"/>
      <c r="V558" s="165"/>
      <c r="W558" s="165"/>
      <c r="X558" s="165"/>
      <c r="Y558" s="285"/>
      <c r="Z558" s="165"/>
      <c r="AA558" s="165"/>
      <c r="AB558" s="165"/>
      <c r="AC558" s="165"/>
      <c r="AD558" s="165"/>
      <c r="AE558" s="165"/>
      <c r="AF558" s="165"/>
      <c r="AG558" s="165"/>
      <c r="AH558" s="165"/>
      <c r="AI558" s="165"/>
      <c r="AJ558" s="165"/>
      <c r="AK558" s="165"/>
      <c r="AL558" s="165"/>
    </row>
    <row r="559">
      <c r="A559" s="165"/>
      <c r="B559" s="165"/>
      <c r="C559" s="165"/>
      <c r="D559" s="165"/>
      <c r="E559" s="292"/>
      <c r="F559" s="277"/>
      <c r="G559" s="165"/>
      <c r="H559" s="277"/>
      <c r="I559" s="277"/>
      <c r="J559" s="165"/>
      <c r="K559" s="165"/>
      <c r="L559" s="165"/>
      <c r="M559" s="165"/>
      <c r="N559" s="165"/>
      <c r="O559" s="165"/>
      <c r="P559" s="165"/>
      <c r="Q559" s="165"/>
      <c r="R559" s="165"/>
      <c r="S559" s="165"/>
      <c r="T559" s="165"/>
      <c r="U559" s="165"/>
      <c r="V559" s="165"/>
      <c r="W559" s="165"/>
      <c r="X559" s="165"/>
      <c r="Y559" s="285"/>
      <c r="Z559" s="165"/>
      <c r="AA559" s="165"/>
      <c r="AB559" s="165"/>
      <c r="AC559" s="165"/>
      <c r="AD559" s="165"/>
      <c r="AE559" s="165"/>
      <c r="AF559" s="165"/>
      <c r="AG559" s="165"/>
      <c r="AH559" s="165"/>
      <c r="AI559" s="165"/>
      <c r="AJ559" s="165"/>
      <c r="AK559" s="165"/>
      <c r="AL559" s="165"/>
    </row>
    <row r="560">
      <c r="A560" s="165"/>
      <c r="B560" s="165"/>
      <c r="C560" s="165"/>
      <c r="D560" s="165"/>
      <c r="E560" s="292"/>
      <c r="F560" s="277"/>
      <c r="G560" s="165"/>
      <c r="H560" s="277"/>
      <c r="I560" s="277"/>
      <c r="J560" s="165"/>
      <c r="K560" s="165"/>
      <c r="L560" s="165"/>
      <c r="M560" s="165"/>
      <c r="N560" s="165"/>
      <c r="O560" s="165"/>
      <c r="P560" s="165"/>
      <c r="Q560" s="165"/>
      <c r="R560" s="165"/>
      <c r="S560" s="165"/>
      <c r="T560" s="165"/>
      <c r="U560" s="165"/>
      <c r="V560" s="165"/>
      <c r="W560" s="165"/>
      <c r="X560" s="165"/>
      <c r="Y560" s="285"/>
      <c r="Z560" s="165"/>
      <c r="AA560" s="165"/>
      <c r="AB560" s="165"/>
      <c r="AC560" s="165"/>
      <c r="AD560" s="165"/>
      <c r="AE560" s="165"/>
      <c r="AF560" s="165"/>
      <c r="AG560" s="165"/>
      <c r="AH560" s="165"/>
      <c r="AI560" s="165"/>
      <c r="AJ560" s="165"/>
      <c r="AK560" s="165"/>
      <c r="AL560" s="165"/>
    </row>
    <row r="561">
      <c r="A561" s="165"/>
      <c r="B561" s="165"/>
      <c r="C561" s="165"/>
      <c r="D561" s="165"/>
      <c r="E561" s="292"/>
      <c r="F561" s="277"/>
      <c r="G561" s="165"/>
      <c r="H561" s="277"/>
      <c r="I561" s="277"/>
      <c r="J561" s="165"/>
      <c r="K561" s="165"/>
      <c r="L561" s="165"/>
      <c r="M561" s="165"/>
      <c r="N561" s="165"/>
      <c r="O561" s="165"/>
      <c r="P561" s="165"/>
      <c r="Q561" s="165"/>
      <c r="R561" s="165"/>
      <c r="S561" s="165"/>
      <c r="T561" s="165"/>
      <c r="U561" s="165"/>
      <c r="V561" s="165"/>
      <c r="W561" s="165"/>
      <c r="X561" s="165"/>
      <c r="Y561" s="285"/>
      <c r="Z561" s="165"/>
      <c r="AA561" s="165"/>
      <c r="AB561" s="165"/>
      <c r="AC561" s="165"/>
      <c r="AD561" s="165"/>
      <c r="AE561" s="165"/>
      <c r="AF561" s="165"/>
      <c r="AG561" s="165"/>
      <c r="AH561" s="165"/>
      <c r="AI561" s="165"/>
      <c r="AJ561" s="165"/>
      <c r="AK561" s="165"/>
      <c r="AL561" s="165"/>
    </row>
    <row r="562">
      <c r="A562" s="165"/>
      <c r="B562" s="165"/>
      <c r="C562" s="165"/>
      <c r="D562" s="165"/>
      <c r="E562" s="292"/>
      <c r="F562" s="277"/>
      <c r="G562" s="165"/>
      <c r="H562" s="277"/>
      <c r="I562" s="277"/>
      <c r="J562" s="165"/>
      <c r="K562" s="165"/>
      <c r="L562" s="165"/>
      <c r="M562" s="165"/>
      <c r="N562" s="165"/>
      <c r="O562" s="165"/>
      <c r="P562" s="165"/>
      <c r="Q562" s="165"/>
      <c r="R562" s="165"/>
      <c r="S562" s="165"/>
      <c r="T562" s="165"/>
      <c r="U562" s="165"/>
      <c r="V562" s="165"/>
      <c r="W562" s="165"/>
      <c r="X562" s="165"/>
      <c r="Y562" s="285"/>
      <c r="Z562" s="165"/>
      <c r="AA562" s="165"/>
      <c r="AB562" s="165"/>
      <c r="AC562" s="165"/>
      <c r="AD562" s="165"/>
      <c r="AE562" s="165"/>
      <c r="AF562" s="165"/>
      <c r="AG562" s="165"/>
      <c r="AH562" s="165"/>
      <c r="AI562" s="165"/>
      <c r="AJ562" s="165"/>
      <c r="AK562" s="165"/>
      <c r="AL562" s="165"/>
    </row>
    <row r="563">
      <c r="A563" s="165"/>
      <c r="B563" s="165"/>
      <c r="C563" s="165"/>
      <c r="D563" s="165"/>
      <c r="E563" s="292"/>
      <c r="F563" s="277"/>
      <c r="G563" s="165"/>
      <c r="H563" s="277"/>
      <c r="I563" s="277"/>
      <c r="J563" s="165"/>
      <c r="K563" s="165"/>
      <c r="L563" s="165"/>
      <c r="M563" s="165"/>
      <c r="N563" s="165"/>
      <c r="O563" s="165"/>
      <c r="P563" s="165"/>
      <c r="Q563" s="165"/>
      <c r="R563" s="165"/>
      <c r="S563" s="165"/>
      <c r="T563" s="165"/>
      <c r="U563" s="165"/>
      <c r="V563" s="165"/>
      <c r="W563" s="165"/>
      <c r="X563" s="165"/>
      <c r="Y563" s="285"/>
      <c r="Z563" s="165"/>
      <c r="AA563" s="165"/>
      <c r="AB563" s="165"/>
      <c r="AC563" s="165"/>
      <c r="AD563" s="165"/>
      <c r="AE563" s="165"/>
      <c r="AF563" s="165"/>
      <c r="AG563" s="165"/>
      <c r="AH563" s="165"/>
      <c r="AI563" s="165"/>
      <c r="AJ563" s="165"/>
      <c r="AK563" s="165"/>
      <c r="AL563" s="165"/>
    </row>
    <row r="564">
      <c r="A564" s="165"/>
      <c r="B564" s="165"/>
      <c r="C564" s="165"/>
      <c r="D564" s="165"/>
      <c r="E564" s="292"/>
      <c r="F564" s="277"/>
      <c r="G564" s="165"/>
      <c r="H564" s="277"/>
      <c r="I564" s="277"/>
      <c r="J564" s="165"/>
      <c r="K564" s="165"/>
      <c r="L564" s="165"/>
      <c r="M564" s="165"/>
      <c r="N564" s="165"/>
      <c r="O564" s="165"/>
      <c r="P564" s="165"/>
      <c r="Q564" s="165"/>
      <c r="R564" s="165"/>
      <c r="S564" s="165"/>
      <c r="T564" s="165"/>
      <c r="U564" s="165"/>
      <c r="V564" s="165"/>
      <c r="W564" s="165"/>
      <c r="X564" s="165"/>
      <c r="Y564" s="285"/>
      <c r="Z564" s="165"/>
      <c r="AA564" s="165"/>
      <c r="AB564" s="165"/>
      <c r="AC564" s="165"/>
      <c r="AD564" s="165"/>
      <c r="AE564" s="165"/>
      <c r="AF564" s="165"/>
      <c r="AG564" s="165"/>
      <c r="AH564" s="165"/>
      <c r="AI564" s="165"/>
      <c r="AJ564" s="165"/>
      <c r="AK564" s="165"/>
      <c r="AL564" s="165"/>
    </row>
    <row r="565">
      <c r="A565" s="165"/>
      <c r="B565" s="165"/>
      <c r="C565" s="165"/>
      <c r="D565" s="165"/>
      <c r="E565" s="292"/>
      <c r="F565" s="277"/>
      <c r="G565" s="165"/>
      <c r="H565" s="277"/>
      <c r="I565" s="277"/>
      <c r="J565" s="165"/>
      <c r="K565" s="165"/>
      <c r="L565" s="165"/>
      <c r="M565" s="165"/>
      <c r="N565" s="165"/>
      <c r="O565" s="165"/>
      <c r="P565" s="165"/>
      <c r="Q565" s="165"/>
      <c r="R565" s="165"/>
      <c r="S565" s="165"/>
      <c r="T565" s="165"/>
      <c r="U565" s="165"/>
      <c r="V565" s="165"/>
      <c r="W565" s="165"/>
      <c r="X565" s="165"/>
      <c r="Y565" s="285"/>
      <c r="Z565" s="165"/>
      <c r="AA565" s="165"/>
      <c r="AB565" s="165"/>
      <c r="AC565" s="165"/>
      <c r="AD565" s="165"/>
      <c r="AE565" s="165"/>
      <c r="AF565" s="165"/>
      <c r="AG565" s="165"/>
      <c r="AH565" s="165"/>
      <c r="AI565" s="165"/>
      <c r="AJ565" s="165"/>
      <c r="AK565" s="165"/>
      <c r="AL565" s="165"/>
    </row>
    <row r="566">
      <c r="A566" s="165"/>
      <c r="B566" s="165"/>
      <c r="C566" s="165"/>
      <c r="D566" s="165"/>
      <c r="E566" s="292"/>
      <c r="F566" s="277"/>
      <c r="G566" s="165"/>
      <c r="H566" s="277"/>
      <c r="I566" s="277"/>
      <c r="J566" s="165"/>
      <c r="K566" s="165"/>
      <c r="L566" s="165"/>
      <c r="M566" s="165"/>
      <c r="N566" s="165"/>
      <c r="O566" s="165"/>
      <c r="P566" s="165"/>
      <c r="Q566" s="165"/>
      <c r="R566" s="165"/>
      <c r="S566" s="165"/>
      <c r="T566" s="165"/>
      <c r="U566" s="165"/>
      <c r="V566" s="165"/>
      <c r="W566" s="165"/>
      <c r="X566" s="165"/>
      <c r="Y566" s="285"/>
      <c r="Z566" s="165"/>
      <c r="AA566" s="165"/>
      <c r="AB566" s="165"/>
      <c r="AC566" s="165"/>
      <c r="AD566" s="165"/>
      <c r="AE566" s="165"/>
      <c r="AF566" s="165"/>
      <c r="AG566" s="165"/>
      <c r="AH566" s="165"/>
      <c r="AI566" s="165"/>
      <c r="AJ566" s="165"/>
      <c r="AK566" s="165"/>
      <c r="AL566" s="165"/>
    </row>
    <row r="567">
      <c r="A567" s="165"/>
      <c r="B567" s="165"/>
      <c r="C567" s="165"/>
      <c r="D567" s="165"/>
      <c r="E567" s="292"/>
      <c r="F567" s="277"/>
      <c r="G567" s="165"/>
      <c r="H567" s="277"/>
      <c r="I567" s="277"/>
      <c r="J567" s="165"/>
      <c r="K567" s="165"/>
      <c r="L567" s="165"/>
      <c r="M567" s="165"/>
      <c r="N567" s="165"/>
      <c r="O567" s="165"/>
      <c r="P567" s="165"/>
      <c r="Q567" s="165"/>
      <c r="R567" s="165"/>
      <c r="S567" s="165"/>
      <c r="T567" s="165"/>
      <c r="U567" s="165"/>
      <c r="V567" s="165"/>
      <c r="W567" s="165"/>
      <c r="X567" s="165"/>
      <c r="Y567" s="285"/>
      <c r="Z567" s="165"/>
      <c r="AA567" s="165"/>
      <c r="AB567" s="165"/>
      <c r="AC567" s="165"/>
      <c r="AD567" s="165"/>
      <c r="AE567" s="165"/>
      <c r="AF567" s="165"/>
      <c r="AG567" s="165"/>
      <c r="AH567" s="165"/>
      <c r="AI567" s="165"/>
      <c r="AJ567" s="165"/>
      <c r="AK567" s="165"/>
      <c r="AL567" s="165"/>
    </row>
    <row r="568">
      <c r="A568" s="165"/>
      <c r="B568" s="165"/>
      <c r="C568" s="165"/>
      <c r="D568" s="165"/>
      <c r="E568" s="292"/>
      <c r="F568" s="277"/>
      <c r="G568" s="165"/>
      <c r="H568" s="277"/>
      <c r="I568" s="277"/>
      <c r="J568" s="165"/>
      <c r="K568" s="165"/>
      <c r="L568" s="165"/>
      <c r="M568" s="165"/>
      <c r="N568" s="165"/>
      <c r="O568" s="165"/>
      <c r="P568" s="165"/>
      <c r="Q568" s="165"/>
      <c r="R568" s="165"/>
      <c r="S568" s="165"/>
      <c r="T568" s="165"/>
      <c r="U568" s="165"/>
      <c r="V568" s="165"/>
      <c r="W568" s="165"/>
      <c r="X568" s="165"/>
      <c r="Y568" s="285"/>
      <c r="Z568" s="165"/>
      <c r="AA568" s="165"/>
      <c r="AB568" s="165"/>
      <c r="AC568" s="165"/>
      <c r="AD568" s="165"/>
      <c r="AE568" s="165"/>
      <c r="AF568" s="165"/>
      <c r="AG568" s="165"/>
      <c r="AH568" s="165"/>
      <c r="AI568" s="165"/>
      <c r="AJ568" s="165"/>
      <c r="AK568" s="165"/>
      <c r="AL568" s="165"/>
    </row>
    <row r="569">
      <c r="A569" s="165"/>
      <c r="B569" s="165"/>
      <c r="C569" s="165"/>
      <c r="D569" s="165"/>
      <c r="E569" s="292"/>
      <c r="F569" s="277"/>
      <c r="G569" s="165"/>
      <c r="H569" s="277"/>
      <c r="I569" s="277"/>
      <c r="J569" s="165"/>
      <c r="K569" s="165"/>
      <c r="L569" s="165"/>
      <c r="M569" s="165"/>
      <c r="N569" s="165"/>
      <c r="O569" s="165"/>
      <c r="P569" s="165"/>
      <c r="Q569" s="165"/>
      <c r="R569" s="165"/>
      <c r="S569" s="165"/>
      <c r="T569" s="165"/>
      <c r="U569" s="165"/>
      <c r="V569" s="165"/>
      <c r="W569" s="165"/>
      <c r="X569" s="165"/>
      <c r="Y569" s="285"/>
      <c r="Z569" s="165"/>
      <c r="AA569" s="165"/>
      <c r="AB569" s="165"/>
      <c r="AC569" s="165"/>
      <c r="AD569" s="165"/>
      <c r="AE569" s="165"/>
      <c r="AF569" s="165"/>
      <c r="AG569" s="165"/>
      <c r="AH569" s="165"/>
      <c r="AI569" s="165"/>
      <c r="AJ569" s="165"/>
      <c r="AK569" s="165"/>
      <c r="AL569" s="165"/>
    </row>
    <row r="570">
      <c r="A570" s="165"/>
      <c r="B570" s="165"/>
      <c r="C570" s="165"/>
      <c r="D570" s="165"/>
      <c r="E570" s="292"/>
      <c r="F570" s="277"/>
      <c r="G570" s="165"/>
      <c r="H570" s="277"/>
      <c r="I570" s="277"/>
      <c r="J570" s="165"/>
      <c r="K570" s="165"/>
      <c r="L570" s="165"/>
      <c r="M570" s="165"/>
      <c r="N570" s="165"/>
      <c r="O570" s="165"/>
      <c r="P570" s="165"/>
      <c r="Q570" s="165"/>
      <c r="R570" s="165"/>
      <c r="S570" s="165"/>
      <c r="T570" s="165"/>
      <c r="U570" s="165"/>
      <c r="V570" s="165"/>
      <c r="W570" s="165"/>
      <c r="X570" s="165"/>
      <c r="Y570" s="285"/>
      <c r="Z570" s="165"/>
      <c r="AA570" s="165"/>
      <c r="AB570" s="165"/>
      <c r="AC570" s="165"/>
      <c r="AD570" s="165"/>
      <c r="AE570" s="165"/>
      <c r="AF570" s="165"/>
      <c r="AG570" s="165"/>
      <c r="AH570" s="165"/>
      <c r="AI570" s="165"/>
      <c r="AJ570" s="165"/>
      <c r="AK570" s="165"/>
      <c r="AL570" s="165"/>
    </row>
    <row r="571">
      <c r="A571" s="165"/>
      <c r="B571" s="165"/>
      <c r="C571" s="165"/>
      <c r="D571" s="165"/>
      <c r="E571" s="292"/>
      <c r="F571" s="277"/>
      <c r="G571" s="165"/>
      <c r="H571" s="277"/>
      <c r="I571" s="277"/>
      <c r="J571" s="165"/>
      <c r="K571" s="165"/>
      <c r="L571" s="165"/>
      <c r="M571" s="165"/>
      <c r="N571" s="165"/>
      <c r="O571" s="165"/>
      <c r="P571" s="165"/>
      <c r="Q571" s="165"/>
      <c r="R571" s="165"/>
      <c r="S571" s="165"/>
      <c r="T571" s="165"/>
      <c r="U571" s="165"/>
      <c r="V571" s="165"/>
      <c r="W571" s="165"/>
      <c r="X571" s="165"/>
      <c r="Y571" s="285"/>
      <c r="Z571" s="165"/>
      <c r="AA571" s="165"/>
      <c r="AB571" s="165"/>
      <c r="AC571" s="165"/>
      <c r="AD571" s="165"/>
      <c r="AE571" s="165"/>
      <c r="AF571" s="165"/>
      <c r="AG571" s="165"/>
      <c r="AH571" s="165"/>
      <c r="AI571" s="165"/>
      <c r="AJ571" s="165"/>
      <c r="AK571" s="165"/>
      <c r="AL571" s="165"/>
    </row>
    <row r="572">
      <c r="A572" s="165"/>
      <c r="B572" s="165"/>
      <c r="C572" s="165"/>
      <c r="D572" s="165"/>
      <c r="E572" s="292"/>
      <c r="F572" s="277"/>
      <c r="G572" s="165"/>
      <c r="H572" s="277"/>
      <c r="I572" s="277"/>
      <c r="J572" s="165"/>
      <c r="K572" s="165"/>
      <c r="L572" s="165"/>
      <c r="M572" s="165"/>
      <c r="N572" s="165"/>
      <c r="O572" s="165"/>
      <c r="P572" s="165"/>
      <c r="Q572" s="165"/>
      <c r="R572" s="165"/>
      <c r="S572" s="165"/>
      <c r="T572" s="165"/>
      <c r="U572" s="165"/>
      <c r="V572" s="165"/>
      <c r="W572" s="165"/>
      <c r="X572" s="165"/>
      <c r="Y572" s="285"/>
      <c r="Z572" s="165"/>
      <c r="AA572" s="165"/>
      <c r="AB572" s="165"/>
      <c r="AC572" s="165"/>
      <c r="AD572" s="165"/>
      <c r="AE572" s="165"/>
      <c r="AF572" s="165"/>
      <c r="AG572" s="165"/>
      <c r="AH572" s="165"/>
      <c r="AI572" s="165"/>
      <c r="AJ572" s="165"/>
      <c r="AK572" s="165"/>
      <c r="AL572" s="165"/>
    </row>
    <row r="573">
      <c r="A573" s="165"/>
      <c r="B573" s="165"/>
      <c r="C573" s="165"/>
      <c r="D573" s="165"/>
      <c r="E573" s="292"/>
      <c r="F573" s="277"/>
      <c r="G573" s="165"/>
      <c r="H573" s="277"/>
      <c r="I573" s="277"/>
      <c r="J573" s="165"/>
      <c r="K573" s="165"/>
      <c r="L573" s="165"/>
      <c r="M573" s="165"/>
      <c r="N573" s="165"/>
      <c r="O573" s="165"/>
      <c r="P573" s="165"/>
      <c r="Q573" s="165"/>
      <c r="R573" s="165"/>
      <c r="S573" s="165"/>
      <c r="T573" s="165"/>
      <c r="U573" s="165"/>
      <c r="V573" s="165"/>
      <c r="W573" s="165"/>
      <c r="X573" s="165"/>
      <c r="Y573" s="285"/>
      <c r="Z573" s="165"/>
      <c r="AA573" s="165"/>
      <c r="AB573" s="165"/>
      <c r="AC573" s="165"/>
      <c r="AD573" s="165"/>
      <c r="AE573" s="165"/>
      <c r="AF573" s="165"/>
      <c r="AG573" s="165"/>
      <c r="AH573" s="165"/>
      <c r="AI573" s="165"/>
      <c r="AJ573" s="165"/>
      <c r="AK573" s="165"/>
      <c r="AL573" s="165"/>
    </row>
    <row r="574">
      <c r="A574" s="165"/>
      <c r="B574" s="165"/>
      <c r="C574" s="165"/>
      <c r="D574" s="165"/>
      <c r="E574" s="292"/>
      <c r="F574" s="277"/>
      <c r="G574" s="165"/>
      <c r="H574" s="277"/>
      <c r="I574" s="277"/>
      <c r="J574" s="165"/>
      <c r="K574" s="165"/>
      <c r="L574" s="165"/>
      <c r="M574" s="165"/>
      <c r="N574" s="165"/>
      <c r="O574" s="165"/>
      <c r="P574" s="165"/>
      <c r="Q574" s="165"/>
      <c r="R574" s="165"/>
      <c r="S574" s="165"/>
      <c r="T574" s="165"/>
      <c r="U574" s="165"/>
      <c r="V574" s="165"/>
      <c r="W574" s="165"/>
      <c r="X574" s="165"/>
      <c r="Y574" s="285"/>
      <c r="Z574" s="165"/>
      <c r="AA574" s="165"/>
      <c r="AB574" s="165"/>
      <c r="AC574" s="165"/>
      <c r="AD574" s="165"/>
      <c r="AE574" s="165"/>
      <c r="AF574" s="165"/>
      <c r="AG574" s="165"/>
      <c r="AH574" s="165"/>
      <c r="AI574" s="165"/>
      <c r="AJ574" s="165"/>
      <c r="AK574" s="165"/>
      <c r="AL574" s="165"/>
    </row>
    <row r="575">
      <c r="A575" s="165"/>
      <c r="B575" s="165"/>
      <c r="C575" s="165"/>
      <c r="D575" s="165"/>
      <c r="E575" s="292"/>
      <c r="F575" s="277"/>
      <c r="G575" s="165"/>
      <c r="H575" s="277"/>
      <c r="I575" s="277"/>
      <c r="J575" s="165"/>
      <c r="K575" s="165"/>
      <c r="L575" s="165"/>
      <c r="M575" s="165"/>
      <c r="N575" s="165"/>
      <c r="O575" s="165"/>
      <c r="P575" s="165"/>
      <c r="Q575" s="165"/>
      <c r="R575" s="165"/>
      <c r="S575" s="165"/>
      <c r="T575" s="165"/>
      <c r="U575" s="165"/>
      <c r="V575" s="165"/>
      <c r="W575" s="165"/>
      <c r="X575" s="165"/>
      <c r="Y575" s="285"/>
      <c r="Z575" s="165"/>
      <c r="AA575" s="165"/>
      <c r="AB575" s="165"/>
      <c r="AC575" s="165"/>
      <c r="AD575" s="165"/>
      <c r="AE575" s="165"/>
      <c r="AF575" s="165"/>
      <c r="AG575" s="165"/>
      <c r="AH575" s="165"/>
      <c r="AI575" s="165"/>
      <c r="AJ575" s="165"/>
      <c r="AK575" s="165"/>
      <c r="AL575" s="165"/>
    </row>
    <row r="576">
      <c r="A576" s="165"/>
      <c r="B576" s="165"/>
      <c r="C576" s="165"/>
      <c r="D576" s="165"/>
      <c r="E576" s="292"/>
      <c r="F576" s="277"/>
      <c r="G576" s="165"/>
      <c r="H576" s="277"/>
      <c r="I576" s="277"/>
      <c r="J576" s="165"/>
      <c r="K576" s="165"/>
      <c r="L576" s="165"/>
      <c r="M576" s="165"/>
      <c r="N576" s="165"/>
      <c r="O576" s="165"/>
      <c r="P576" s="165"/>
      <c r="Q576" s="165"/>
      <c r="R576" s="165"/>
      <c r="S576" s="165"/>
      <c r="T576" s="165"/>
      <c r="U576" s="165"/>
      <c r="V576" s="165"/>
      <c r="W576" s="165"/>
      <c r="X576" s="165"/>
      <c r="Y576" s="285"/>
      <c r="Z576" s="165"/>
      <c r="AA576" s="165"/>
      <c r="AB576" s="165"/>
      <c r="AC576" s="165"/>
      <c r="AD576" s="165"/>
      <c r="AE576" s="165"/>
      <c r="AF576" s="165"/>
      <c r="AG576" s="165"/>
      <c r="AH576" s="165"/>
      <c r="AI576" s="165"/>
      <c r="AJ576" s="165"/>
      <c r="AK576" s="165"/>
      <c r="AL576" s="165"/>
    </row>
    <row r="577">
      <c r="A577" s="165"/>
      <c r="B577" s="165"/>
      <c r="C577" s="165"/>
      <c r="D577" s="165"/>
      <c r="E577" s="292"/>
      <c r="F577" s="277"/>
      <c r="G577" s="165"/>
      <c r="H577" s="277"/>
      <c r="I577" s="277"/>
      <c r="J577" s="165"/>
      <c r="K577" s="165"/>
      <c r="L577" s="165"/>
      <c r="M577" s="165"/>
      <c r="N577" s="165"/>
      <c r="O577" s="165"/>
      <c r="P577" s="165"/>
      <c r="Q577" s="165"/>
      <c r="R577" s="165"/>
      <c r="S577" s="165"/>
      <c r="T577" s="165"/>
      <c r="U577" s="165"/>
      <c r="V577" s="165"/>
      <c r="W577" s="165"/>
      <c r="X577" s="165"/>
      <c r="Y577" s="285"/>
      <c r="Z577" s="165"/>
      <c r="AA577" s="165"/>
      <c r="AB577" s="165"/>
      <c r="AC577" s="165"/>
      <c r="AD577" s="165"/>
      <c r="AE577" s="165"/>
      <c r="AF577" s="165"/>
      <c r="AG577" s="165"/>
      <c r="AH577" s="165"/>
      <c r="AI577" s="165"/>
      <c r="AJ577" s="165"/>
      <c r="AK577" s="165"/>
      <c r="AL577" s="165"/>
    </row>
    <row r="578">
      <c r="A578" s="165"/>
      <c r="B578" s="165"/>
      <c r="C578" s="165"/>
      <c r="D578" s="165"/>
      <c r="E578" s="292"/>
      <c r="F578" s="277"/>
      <c r="G578" s="165"/>
      <c r="H578" s="277"/>
      <c r="I578" s="277"/>
      <c r="J578" s="165"/>
      <c r="K578" s="165"/>
      <c r="L578" s="165"/>
      <c r="M578" s="165"/>
      <c r="N578" s="165"/>
      <c r="O578" s="165"/>
      <c r="P578" s="165"/>
      <c r="Q578" s="165"/>
      <c r="R578" s="165"/>
      <c r="S578" s="165"/>
      <c r="T578" s="165"/>
      <c r="U578" s="165"/>
      <c r="V578" s="165"/>
      <c r="W578" s="165"/>
      <c r="X578" s="165"/>
      <c r="Y578" s="285"/>
      <c r="Z578" s="165"/>
      <c r="AA578" s="165"/>
      <c r="AB578" s="165"/>
      <c r="AC578" s="165"/>
      <c r="AD578" s="165"/>
      <c r="AE578" s="165"/>
      <c r="AF578" s="165"/>
      <c r="AG578" s="165"/>
      <c r="AH578" s="165"/>
      <c r="AI578" s="165"/>
      <c r="AJ578" s="165"/>
      <c r="AK578" s="165"/>
      <c r="AL578" s="165"/>
    </row>
    <row r="579">
      <c r="A579" s="165"/>
      <c r="B579" s="165"/>
      <c r="C579" s="165"/>
      <c r="D579" s="165"/>
      <c r="E579" s="292"/>
      <c r="F579" s="277"/>
      <c r="G579" s="165"/>
      <c r="H579" s="277"/>
      <c r="I579" s="277"/>
      <c r="J579" s="165"/>
      <c r="K579" s="165"/>
      <c r="L579" s="165"/>
      <c r="M579" s="165"/>
      <c r="N579" s="165"/>
      <c r="O579" s="165"/>
      <c r="P579" s="165"/>
      <c r="Q579" s="165"/>
      <c r="R579" s="165"/>
      <c r="S579" s="165"/>
      <c r="T579" s="165"/>
      <c r="U579" s="165"/>
      <c r="V579" s="165"/>
      <c r="W579" s="165"/>
      <c r="X579" s="165"/>
      <c r="Y579" s="285"/>
      <c r="Z579" s="165"/>
      <c r="AA579" s="165"/>
      <c r="AB579" s="165"/>
      <c r="AC579" s="165"/>
      <c r="AD579" s="165"/>
      <c r="AE579" s="165"/>
      <c r="AF579" s="165"/>
      <c r="AG579" s="165"/>
      <c r="AH579" s="165"/>
      <c r="AI579" s="165"/>
      <c r="AJ579" s="165"/>
      <c r="AK579" s="165"/>
      <c r="AL579" s="165"/>
    </row>
    <row r="580">
      <c r="A580" s="165"/>
      <c r="B580" s="165"/>
      <c r="C580" s="165"/>
      <c r="D580" s="165"/>
      <c r="E580" s="292"/>
      <c r="F580" s="277"/>
      <c r="G580" s="165"/>
      <c r="H580" s="277"/>
      <c r="I580" s="277"/>
      <c r="J580" s="165"/>
      <c r="K580" s="165"/>
      <c r="L580" s="165"/>
      <c r="M580" s="165"/>
      <c r="N580" s="165"/>
      <c r="O580" s="165"/>
      <c r="P580" s="165"/>
      <c r="Q580" s="165"/>
      <c r="R580" s="165"/>
      <c r="S580" s="165"/>
      <c r="T580" s="165"/>
      <c r="U580" s="165"/>
      <c r="V580" s="165"/>
      <c r="W580" s="165"/>
      <c r="X580" s="165"/>
      <c r="Y580" s="285"/>
      <c r="Z580" s="165"/>
      <c r="AA580" s="165"/>
      <c r="AB580" s="165"/>
      <c r="AC580" s="165"/>
      <c r="AD580" s="165"/>
      <c r="AE580" s="165"/>
      <c r="AF580" s="165"/>
      <c r="AG580" s="165"/>
      <c r="AH580" s="165"/>
      <c r="AI580" s="165"/>
      <c r="AJ580" s="165"/>
      <c r="AK580" s="165"/>
      <c r="AL580" s="165"/>
    </row>
    <row r="581">
      <c r="A581" s="165"/>
      <c r="B581" s="165"/>
      <c r="C581" s="165"/>
      <c r="D581" s="165"/>
      <c r="E581" s="292"/>
      <c r="F581" s="277"/>
      <c r="G581" s="165"/>
      <c r="H581" s="277"/>
      <c r="I581" s="277"/>
      <c r="J581" s="165"/>
      <c r="K581" s="165"/>
      <c r="L581" s="165"/>
      <c r="M581" s="165"/>
      <c r="N581" s="165"/>
      <c r="O581" s="165"/>
      <c r="P581" s="165"/>
      <c r="Q581" s="165"/>
      <c r="R581" s="165"/>
      <c r="S581" s="165"/>
      <c r="T581" s="165"/>
      <c r="U581" s="165"/>
      <c r="V581" s="165"/>
      <c r="W581" s="165"/>
      <c r="X581" s="165"/>
      <c r="Y581" s="285"/>
      <c r="Z581" s="165"/>
      <c r="AA581" s="165"/>
      <c r="AB581" s="165"/>
      <c r="AC581" s="165"/>
      <c r="AD581" s="165"/>
      <c r="AE581" s="165"/>
      <c r="AF581" s="165"/>
      <c r="AG581" s="165"/>
      <c r="AH581" s="165"/>
      <c r="AI581" s="165"/>
      <c r="AJ581" s="165"/>
      <c r="AK581" s="165"/>
      <c r="AL581" s="165"/>
    </row>
    <row r="582">
      <c r="A582" s="165"/>
      <c r="B582" s="165"/>
      <c r="C582" s="165"/>
      <c r="D582" s="165"/>
      <c r="E582" s="292"/>
      <c r="F582" s="277"/>
      <c r="G582" s="165"/>
      <c r="H582" s="277"/>
      <c r="I582" s="277"/>
      <c r="J582" s="165"/>
      <c r="K582" s="165"/>
      <c r="L582" s="165"/>
      <c r="M582" s="165"/>
      <c r="N582" s="165"/>
      <c r="O582" s="165"/>
      <c r="P582" s="165"/>
      <c r="Q582" s="165"/>
      <c r="R582" s="165"/>
      <c r="S582" s="165"/>
      <c r="T582" s="165"/>
      <c r="U582" s="165"/>
      <c r="V582" s="165"/>
      <c r="W582" s="165"/>
      <c r="X582" s="165"/>
      <c r="Y582" s="285"/>
      <c r="Z582" s="165"/>
      <c r="AA582" s="165"/>
      <c r="AB582" s="165"/>
      <c r="AC582" s="165"/>
      <c r="AD582" s="165"/>
      <c r="AE582" s="165"/>
      <c r="AF582" s="165"/>
      <c r="AG582" s="165"/>
      <c r="AH582" s="165"/>
      <c r="AI582" s="165"/>
      <c r="AJ582" s="165"/>
      <c r="AK582" s="165"/>
      <c r="AL582" s="165"/>
    </row>
    <row r="583">
      <c r="A583" s="165"/>
      <c r="B583" s="165"/>
      <c r="C583" s="165"/>
      <c r="D583" s="165"/>
      <c r="E583" s="292"/>
      <c r="F583" s="277"/>
      <c r="G583" s="165"/>
      <c r="H583" s="277"/>
      <c r="I583" s="277"/>
      <c r="J583" s="165"/>
      <c r="K583" s="165"/>
      <c r="L583" s="165"/>
      <c r="M583" s="165"/>
      <c r="N583" s="165"/>
      <c r="O583" s="165"/>
      <c r="P583" s="165"/>
      <c r="Q583" s="165"/>
      <c r="R583" s="165"/>
      <c r="S583" s="165"/>
      <c r="T583" s="165"/>
      <c r="U583" s="165"/>
      <c r="V583" s="165"/>
      <c r="W583" s="165"/>
      <c r="X583" s="165"/>
      <c r="Y583" s="285"/>
      <c r="Z583" s="165"/>
      <c r="AA583" s="165"/>
      <c r="AB583" s="165"/>
      <c r="AC583" s="165"/>
      <c r="AD583" s="165"/>
      <c r="AE583" s="165"/>
      <c r="AF583" s="165"/>
      <c r="AG583" s="165"/>
      <c r="AH583" s="165"/>
      <c r="AI583" s="165"/>
      <c r="AJ583" s="165"/>
      <c r="AK583" s="165"/>
      <c r="AL583" s="165"/>
    </row>
    <row r="584">
      <c r="A584" s="165"/>
      <c r="B584" s="165"/>
      <c r="C584" s="165"/>
      <c r="D584" s="165"/>
      <c r="E584" s="292"/>
      <c r="F584" s="277"/>
      <c r="G584" s="165"/>
      <c r="H584" s="277"/>
      <c r="I584" s="277"/>
      <c r="J584" s="165"/>
      <c r="K584" s="165"/>
      <c r="L584" s="165"/>
      <c r="M584" s="165"/>
      <c r="N584" s="165"/>
      <c r="O584" s="165"/>
      <c r="P584" s="165"/>
      <c r="Q584" s="165"/>
      <c r="R584" s="165"/>
      <c r="S584" s="165"/>
      <c r="T584" s="165"/>
      <c r="U584" s="165"/>
      <c r="V584" s="165"/>
      <c r="W584" s="165"/>
      <c r="X584" s="165"/>
      <c r="Y584" s="285"/>
      <c r="Z584" s="165"/>
      <c r="AA584" s="165"/>
      <c r="AB584" s="165"/>
      <c r="AC584" s="165"/>
      <c r="AD584" s="165"/>
      <c r="AE584" s="165"/>
      <c r="AF584" s="165"/>
      <c r="AG584" s="165"/>
      <c r="AH584" s="165"/>
      <c r="AI584" s="165"/>
      <c r="AJ584" s="165"/>
      <c r="AK584" s="165"/>
      <c r="AL584" s="165"/>
    </row>
    <row r="585">
      <c r="A585" s="165"/>
      <c r="B585" s="165"/>
      <c r="C585" s="165"/>
      <c r="D585" s="165"/>
      <c r="E585" s="292"/>
      <c r="F585" s="277"/>
      <c r="G585" s="165"/>
      <c r="H585" s="277"/>
      <c r="I585" s="277"/>
      <c r="J585" s="165"/>
      <c r="K585" s="165"/>
      <c r="L585" s="165"/>
      <c r="M585" s="165"/>
      <c r="N585" s="165"/>
      <c r="O585" s="165"/>
      <c r="P585" s="165"/>
      <c r="Q585" s="165"/>
      <c r="R585" s="165"/>
      <c r="S585" s="165"/>
      <c r="T585" s="165"/>
      <c r="U585" s="165"/>
      <c r="V585" s="165"/>
      <c r="W585" s="165"/>
      <c r="X585" s="165"/>
      <c r="Y585" s="285"/>
      <c r="Z585" s="165"/>
      <c r="AA585" s="165"/>
      <c r="AB585" s="165"/>
      <c r="AC585" s="165"/>
      <c r="AD585" s="165"/>
      <c r="AE585" s="165"/>
      <c r="AF585" s="165"/>
      <c r="AG585" s="165"/>
      <c r="AH585" s="165"/>
      <c r="AI585" s="165"/>
      <c r="AJ585" s="165"/>
      <c r="AK585" s="165"/>
      <c r="AL585" s="165"/>
    </row>
    <row r="586">
      <c r="A586" s="165"/>
      <c r="B586" s="165"/>
      <c r="C586" s="165"/>
      <c r="D586" s="165"/>
      <c r="E586" s="292"/>
      <c r="F586" s="277"/>
      <c r="G586" s="165"/>
      <c r="H586" s="277"/>
      <c r="I586" s="277"/>
      <c r="J586" s="165"/>
      <c r="K586" s="165"/>
      <c r="L586" s="165"/>
      <c r="M586" s="165"/>
      <c r="N586" s="165"/>
      <c r="O586" s="165"/>
      <c r="P586" s="165"/>
      <c r="Q586" s="165"/>
      <c r="R586" s="165"/>
      <c r="S586" s="165"/>
      <c r="T586" s="165"/>
      <c r="U586" s="165"/>
      <c r="V586" s="165"/>
      <c r="W586" s="165"/>
      <c r="X586" s="165"/>
      <c r="Y586" s="285"/>
      <c r="Z586" s="165"/>
      <c r="AA586" s="165"/>
      <c r="AB586" s="165"/>
      <c r="AC586" s="165"/>
      <c r="AD586" s="165"/>
      <c r="AE586" s="165"/>
      <c r="AF586" s="165"/>
      <c r="AG586" s="165"/>
      <c r="AH586" s="165"/>
      <c r="AI586" s="165"/>
      <c r="AJ586" s="165"/>
      <c r="AK586" s="165"/>
      <c r="AL586" s="165"/>
    </row>
    <row r="587">
      <c r="A587" s="165"/>
      <c r="B587" s="165"/>
      <c r="C587" s="165"/>
      <c r="D587" s="165"/>
      <c r="E587" s="292"/>
      <c r="F587" s="277"/>
      <c r="G587" s="165"/>
      <c r="H587" s="277"/>
      <c r="I587" s="277"/>
      <c r="J587" s="165"/>
      <c r="K587" s="165"/>
      <c r="L587" s="165"/>
      <c r="M587" s="165"/>
      <c r="N587" s="165"/>
      <c r="O587" s="165"/>
      <c r="P587" s="165"/>
      <c r="Q587" s="165"/>
      <c r="R587" s="165"/>
      <c r="S587" s="165"/>
      <c r="T587" s="165"/>
      <c r="U587" s="165"/>
      <c r="V587" s="165"/>
      <c r="W587" s="165"/>
      <c r="X587" s="165"/>
      <c r="Y587" s="285"/>
      <c r="Z587" s="165"/>
      <c r="AA587" s="165"/>
      <c r="AB587" s="165"/>
      <c r="AC587" s="165"/>
      <c r="AD587" s="165"/>
      <c r="AE587" s="165"/>
      <c r="AF587" s="165"/>
      <c r="AG587" s="165"/>
      <c r="AH587" s="165"/>
      <c r="AI587" s="165"/>
      <c r="AJ587" s="165"/>
      <c r="AK587" s="165"/>
      <c r="AL587" s="165"/>
    </row>
    <row r="588">
      <c r="A588" s="165"/>
      <c r="B588" s="165"/>
      <c r="C588" s="165"/>
      <c r="D588" s="165"/>
      <c r="E588" s="292"/>
      <c r="F588" s="277"/>
      <c r="G588" s="165"/>
      <c r="H588" s="277"/>
      <c r="I588" s="277"/>
      <c r="J588" s="165"/>
      <c r="K588" s="165"/>
      <c r="L588" s="165"/>
      <c r="M588" s="165"/>
      <c r="N588" s="165"/>
      <c r="O588" s="165"/>
      <c r="P588" s="165"/>
      <c r="Q588" s="165"/>
      <c r="R588" s="165"/>
      <c r="S588" s="165"/>
      <c r="T588" s="165"/>
      <c r="U588" s="165"/>
      <c r="V588" s="165"/>
      <c r="W588" s="165"/>
      <c r="X588" s="165"/>
      <c r="Y588" s="285"/>
      <c r="Z588" s="165"/>
      <c r="AA588" s="165"/>
      <c r="AB588" s="165"/>
      <c r="AC588" s="165"/>
      <c r="AD588" s="165"/>
      <c r="AE588" s="165"/>
      <c r="AF588" s="165"/>
      <c r="AG588" s="165"/>
      <c r="AH588" s="165"/>
      <c r="AI588" s="165"/>
      <c r="AJ588" s="165"/>
      <c r="AK588" s="165"/>
      <c r="AL588" s="165"/>
    </row>
    <row r="589">
      <c r="A589" s="165"/>
      <c r="B589" s="165"/>
      <c r="C589" s="165"/>
      <c r="D589" s="165"/>
      <c r="E589" s="292"/>
      <c r="F589" s="277"/>
      <c r="G589" s="165"/>
      <c r="H589" s="277"/>
      <c r="I589" s="277"/>
      <c r="J589" s="165"/>
      <c r="K589" s="165"/>
      <c r="L589" s="165"/>
      <c r="M589" s="165"/>
      <c r="N589" s="165"/>
      <c r="O589" s="165"/>
      <c r="P589" s="165"/>
      <c r="Q589" s="165"/>
      <c r="R589" s="165"/>
      <c r="S589" s="165"/>
      <c r="T589" s="165"/>
      <c r="U589" s="165"/>
      <c r="V589" s="165"/>
      <c r="W589" s="165"/>
      <c r="X589" s="165"/>
      <c r="Y589" s="285"/>
      <c r="Z589" s="165"/>
      <c r="AA589" s="165"/>
      <c r="AB589" s="165"/>
      <c r="AC589" s="165"/>
      <c r="AD589" s="165"/>
      <c r="AE589" s="165"/>
      <c r="AF589" s="165"/>
      <c r="AG589" s="165"/>
      <c r="AH589" s="165"/>
      <c r="AI589" s="165"/>
      <c r="AJ589" s="165"/>
      <c r="AK589" s="165"/>
      <c r="AL589" s="165"/>
    </row>
    <row r="590">
      <c r="A590" s="165"/>
      <c r="B590" s="165"/>
      <c r="C590" s="165"/>
      <c r="D590" s="165"/>
      <c r="E590" s="292"/>
      <c r="F590" s="277"/>
      <c r="G590" s="165"/>
      <c r="H590" s="277"/>
      <c r="I590" s="277"/>
      <c r="J590" s="165"/>
      <c r="K590" s="165"/>
      <c r="L590" s="165"/>
      <c r="M590" s="165"/>
      <c r="N590" s="165"/>
      <c r="O590" s="165"/>
      <c r="P590" s="165"/>
      <c r="Q590" s="165"/>
      <c r="R590" s="165"/>
      <c r="S590" s="165"/>
      <c r="T590" s="165"/>
      <c r="U590" s="165"/>
      <c r="V590" s="165"/>
      <c r="W590" s="165"/>
      <c r="X590" s="165"/>
      <c r="Y590" s="285"/>
      <c r="Z590" s="165"/>
      <c r="AA590" s="165"/>
      <c r="AB590" s="165"/>
      <c r="AC590" s="165"/>
      <c r="AD590" s="165"/>
      <c r="AE590" s="165"/>
      <c r="AF590" s="165"/>
      <c r="AG590" s="165"/>
      <c r="AH590" s="165"/>
      <c r="AI590" s="165"/>
      <c r="AJ590" s="165"/>
      <c r="AK590" s="165"/>
      <c r="AL590" s="165"/>
    </row>
    <row r="591">
      <c r="A591" s="165"/>
      <c r="B591" s="165"/>
      <c r="C591" s="165"/>
      <c r="D591" s="165"/>
      <c r="E591" s="292"/>
      <c r="F591" s="277"/>
      <c r="G591" s="165"/>
      <c r="H591" s="277"/>
      <c r="I591" s="277"/>
      <c r="J591" s="165"/>
      <c r="K591" s="165"/>
      <c r="L591" s="165"/>
      <c r="M591" s="165"/>
      <c r="N591" s="165"/>
      <c r="O591" s="165"/>
      <c r="P591" s="165"/>
      <c r="Q591" s="165"/>
      <c r="R591" s="165"/>
      <c r="S591" s="165"/>
      <c r="T591" s="165"/>
      <c r="U591" s="165"/>
      <c r="V591" s="165"/>
      <c r="W591" s="165"/>
      <c r="X591" s="165"/>
      <c r="Y591" s="285"/>
      <c r="Z591" s="165"/>
      <c r="AA591" s="165"/>
      <c r="AB591" s="165"/>
      <c r="AC591" s="165"/>
      <c r="AD591" s="165"/>
      <c r="AE591" s="165"/>
      <c r="AF591" s="165"/>
      <c r="AG591" s="165"/>
      <c r="AH591" s="165"/>
      <c r="AI591" s="165"/>
      <c r="AJ591" s="165"/>
      <c r="AK591" s="165"/>
      <c r="AL591" s="165"/>
    </row>
    <row r="592">
      <c r="A592" s="165"/>
      <c r="B592" s="165"/>
      <c r="C592" s="165"/>
      <c r="D592" s="165"/>
      <c r="E592" s="292"/>
      <c r="F592" s="277"/>
      <c r="G592" s="165"/>
      <c r="H592" s="277"/>
      <c r="I592" s="277"/>
      <c r="J592" s="165"/>
      <c r="K592" s="165"/>
      <c r="L592" s="165"/>
      <c r="M592" s="165"/>
      <c r="N592" s="165"/>
      <c r="O592" s="165"/>
      <c r="P592" s="165"/>
      <c r="Q592" s="165"/>
      <c r="R592" s="165"/>
      <c r="S592" s="165"/>
      <c r="T592" s="165"/>
      <c r="U592" s="165"/>
      <c r="V592" s="165"/>
      <c r="W592" s="165"/>
      <c r="X592" s="165"/>
      <c r="Y592" s="285"/>
      <c r="Z592" s="165"/>
      <c r="AA592" s="165"/>
      <c r="AB592" s="165"/>
      <c r="AC592" s="165"/>
      <c r="AD592" s="165"/>
      <c r="AE592" s="165"/>
      <c r="AF592" s="165"/>
      <c r="AG592" s="165"/>
      <c r="AH592" s="165"/>
      <c r="AI592" s="165"/>
      <c r="AJ592" s="165"/>
      <c r="AK592" s="165"/>
      <c r="AL592" s="165"/>
    </row>
    <row r="593">
      <c r="A593" s="165"/>
      <c r="B593" s="165"/>
      <c r="C593" s="165"/>
      <c r="D593" s="165"/>
      <c r="E593" s="292"/>
      <c r="F593" s="277"/>
      <c r="G593" s="165"/>
      <c r="H593" s="277"/>
      <c r="I593" s="277"/>
      <c r="J593" s="165"/>
      <c r="K593" s="165"/>
      <c r="L593" s="165"/>
      <c r="M593" s="165"/>
      <c r="N593" s="165"/>
      <c r="O593" s="165"/>
      <c r="P593" s="165"/>
      <c r="Q593" s="165"/>
      <c r="R593" s="165"/>
      <c r="S593" s="165"/>
      <c r="T593" s="165"/>
      <c r="U593" s="165"/>
      <c r="V593" s="165"/>
      <c r="W593" s="165"/>
      <c r="X593" s="165"/>
      <c r="Y593" s="285"/>
      <c r="Z593" s="165"/>
      <c r="AA593" s="165"/>
      <c r="AB593" s="165"/>
      <c r="AC593" s="165"/>
      <c r="AD593" s="165"/>
      <c r="AE593" s="165"/>
      <c r="AF593" s="165"/>
      <c r="AG593" s="165"/>
      <c r="AH593" s="165"/>
      <c r="AI593" s="165"/>
      <c r="AJ593" s="165"/>
      <c r="AK593" s="165"/>
      <c r="AL593" s="165"/>
    </row>
    <row r="594">
      <c r="A594" s="165"/>
      <c r="B594" s="165"/>
      <c r="C594" s="165"/>
      <c r="D594" s="165"/>
      <c r="E594" s="292"/>
      <c r="F594" s="277"/>
      <c r="G594" s="165"/>
      <c r="H594" s="277"/>
      <c r="I594" s="277"/>
      <c r="J594" s="165"/>
      <c r="K594" s="165"/>
      <c r="L594" s="165"/>
      <c r="M594" s="165"/>
      <c r="N594" s="165"/>
      <c r="O594" s="165"/>
      <c r="P594" s="165"/>
      <c r="Q594" s="165"/>
      <c r="R594" s="165"/>
      <c r="S594" s="165"/>
      <c r="T594" s="165"/>
      <c r="U594" s="165"/>
      <c r="V594" s="165"/>
      <c r="W594" s="165"/>
      <c r="X594" s="165"/>
      <c r="Y594" s="285"/>
      <c r="Z594" s="165"/>
      <c r="AA594" s="165"/>
      <c r="AB594" s="165"/>
      <c r="AC594" s="165"/>
      <c r="AD594" s="165"/>
      <c r="AE594" s="165"/>
      <c r="AF594" s="165"/>
      <c r="AG594" s="165"/>
      <c r="AH594" s="165"/>
      <c r="AI594" s="165"/>
      <c r="AJ594" s="165"/>
      <c r="AK594" s="165"/>
      <c r="AL594" s="165"/>
    </row>
    <row r="595">
      <c r="A595" s="165"/>
      <c r="B595" s="165"/>
      <c r="C595" s="165"/>
      <c r="D595" s="165"/>
      <c r="E595" s="292"/>
      <c r="F595" s="277"/>
      <c r="G595" s="165"/>
      <c r="H595" s="277"/>
      <c r="I595" s="277"/>
      <c r="J595" s="165"/>
      <c r="K595" s="165"/>
      <c r="L595" s="165"/>
      <c r="M595" s="165"/>
      <c r="N595" s="165"/>
      <c r="O595" s="165"/>
      <c r="P595" s="165"/>
      <c r="Q595" s="165"/>
      <c r="R595" s="165"/>
      <c r="S595" s="165"/>
      <c r="T595" s="165"/>
      <c r="U595" s="165"/>
      <c r="V595" s="165"/>
      <c r="W595" s="165"/>
      <c r="X595" s="165"/>
      <c r="Y595" s="285"/>
      <c r="Z595" s="165"/>
      <c r="AA595" s="165"/>
      <c r="AB595" s="165"/>
      <c r="AC595" s="165"/>
      <c r="AD595" s="165"/>
      <c r="AE595" s="165"/>
      <c r="AF595" s="165"/>
      <c r="AG595" s="165"/>
      <c r="AH595" s="165"/>
      <c r="AI595" s="165"/>
      <c r="AJ595" s="165"/>
      <c r="AK595" s="165"/>
      <c r="AL595" s="165"/>
    </row>
    <row r="596">
      <c r="A596" s="165"/>
      <c r="B596" s="165"/>
      <c r="C596" s="165"/>
      <c r="D596" s="165"/>
      <c r="E596" s="292"/>
      <c r="F596" s="277"/>
      <c r="G596" s="165"/>
      <c r="H596" s="277"/>
      <c r="I596" s="277"/>
      <c r="J596" s="165"/>
      <c r="K596" s="165"/>
      <c r="L596" s="165"/>
      <c r="M596" s="165"/>
      <c r="N596" s="165"/>
      <c r="O596" s="165"/>
      <c r="P596" s="165"/>
      <c r="Q596" s="165"/>
      <c r="R596" s="165"/>
      <c r="S596" s="165"/>
      <c r="T596" s="165"/>
      <c r="U596" s="165"/>
      <c r="V596" s="165"/>
      <c r="W596" s="165"/>
      <c r="X596" s="165"/>
      <c r="Y596" s="285"/>
      <c r="Z596" s="165"/>
      <c r="AA596" s="165"/>
      <c r="AB596" s="165"/>
      <c r="AC596" s="165"/>
      <c r="AD596" s="165"/>
      <c r="AE596" s="165"/>
      <c r="AF596" s="165"/>
      <c r="AG596" s="165"/>
      <c r="AH596" s="165"/>
      <c r="AI596" s="165"/>
      <c r="AJ596" s="165"/>
      <c r="AK596" s="165"/>
      <c r="AL596" s="165"/>
    </row>
    <row r="597">
      <c r="A597" s="165"/>
      <c r="B597" s="165"/>
      <c r="C597" s="165"/>
      <c r="D597" s="165"/>
      <c r="E597" s="292"/>
      <c r="F597" s="277"/>
      <c r="G597" s="165"/>
      <c r="H597" s="277"/>
      <c r="I597" s="277"/>
      <c r="J597" s="165"/>
      <c r="K597" s="165"/>
      <c r="L597" s="165"/>
      <c r="M597" s="165"/>
      <c r="N597" s="165"/>
      <c r="O597" s="165"/>
      <c r="P597" s="165"/>
      <c r="Q597" s="165"/>
      <c r="R597" s="165"/>
      <c r="S597" s="165"/>
      <c r="T597" s="165"/>
      <c r="U597" s="165"/>
      <c r="V597" s="165"/>
      <c r="W597" s="165"/>
      <c r="X597" s="165"/>
      <c r="Y597" s="285"/>
      <c r="Z597" s="165"/>
      <c r="AA597" s="165"/>
      <c r="AB597" s="165"/>
      <c r="AC597" s="165"/>
      <c r="AD597" s="165"/>
      <c r="AE597" s="165"/>
      <c r="AF597" s="165"/>
      <c r="AG597" s="165"/>
      <c r="AH597" s="165"/>
      <c r="AI597" s="165"/>
      <c r="AJ597" s="165"/>
      <c r="AK597" s="165"/>
      <c r="AL597" s="165"/>
    </row>
    <row r="598">
      <c r="A598" s="165"/>
      <c r="B598" s="165"/>
      <c r="C598" s="165"/>
      <c r="D598" s="165"/>
      <c r="E598" s="292"/>
      <c r="F598" s="277"/>
      <c r="G598" s="165"/>
      <c r="H598" s="277"/>
      <c r="I598" s="277"/>
      <c r="J598" s="165"/>
      <c r="K598" s="165"/>
      <c r="L598" s="165"/>
      <c r="M598" s="165"/>
      <c r="N598" s="165"/>
      <c r="O598" s="165"/>
      <c r="P598" s="165"/>
      <c r="Q598" s="165"/>
      <c r="R598" s="165"/>
      <c r="S598" s="165"/>
      <c r="T598" s="165"/>
      <c r="U598" s="165"/>
      <c r="V598" s="165"/>
      <c r="W598" s="165"/>
      <c r="X598" s="165"/>
      <c r="Y598" s="285"/>
      <c r="Z598" s="165"/>
      <c r="AA598" s="165"/>
      <c r="AB598" s="165"/>
      <c r="AC598" s="165"/>
      <c r="AD598" s="165"/>
      <c r="AE598" s="165"/>
      <c r="AF598" s="165"/>
      <c r="AG598" s="165"/>
      <c r="AH598" s="165"/>
      <c r="AI598" s="165"/>
      <c r="AJ598" s="165"/>
      <c r="AK598" s="165"/>
      <c r="AL598" s="165"/>
    </row>
    <row r="599">
      <c r="A599" s="165"/>
      <c r="B599" s="165"/>
      <c r="C599" s="165"/>
      <c r="D599" s="165"/>
      <c r="E599" s="292"/>
      <c r="F599" s="277"/>
      <c r="G599" s="165"/>
      <c r="H599" s="277"/>
      <c r="I599" s="277"/>
      <c r="J599" s="165"/>
      <c r="K599" s="165"/>
      <c r="L599" s="165"/>
      <c r="M599" s="165"/>
      <c r="N599" s="165"/>
      <c r="O599" s="165"/>
      <c r="P599" s="165"/>
      <c r="Q599" s="165"/>
      <c r="R599" s="165"/>
      <c r="S599" s="165"/>
      <c r="T599" s="165"/>
      <c r="U599" s="165"/>
      <c r="V599" s="165"/>
      <c r="W599" s="165"/>
      <c r="X599" s="165"/>
      <c r="Y599" s="285"/>
      <c r="Z599" s="165"/>
      <c r="AA599" s="165"/>
      <c r="AB599" s="165"/>
      <c r="AC599" s="165"/>
      <c r="AD599" s="165"/>
      <c r="AE599" s="165"/>
      <c r="AF599" s="165"/>
      <c r="AG599" s="165"/>
      <c r="AH599" s="165"/>
      <c r="AI599" s="165"/>
      <c r="AJ599" s="165"/>
      <c r="AK599" s="165"/>
      <c r="AL599" s="165"/>
    </row>
    <row r="600">
      <c r="A600" s="165"/>
      <c r="B600" s="165"/>
      <c r="C600" s="165"/>
      <c r="D600" s="165"/>
      <c r="E600" s="292"/>
      <c r="F600" s="277"/>
      <c r="G600" s="165"/>
      <c r="H600" s="277"/>
      <c r="I600" s="277"/>
      <c r="J600" s="165"/>
      <c r="K600" s="165"/>
      <c r="L600" s="165"/>
      <c r="M600" s="165"/>
      <c r="N600" s="165"/>
      <c r="O600" s="165"/>
      <c r="P600" s="165"/>
      <c r="Q600" s="165"/>
      <c r="R600" s="165"/>
      <c r="S600" s="165"/>
      <c r="T600" s="165"/>
      <c r="U600" s="165"/>
      <c r="V600" s="165"/>
      <c r="W600" s="165"/>
      <c r="X600" s="165"/>
      <c r="Y600" s="285"/>
      <c r="Z600" s="165"/>
      <c r="AA600" s="165"/>
      <c r="AB600" s="165"/>
      <c r="AC600" s="165"/>
      <c r="AD600" s="165"/>
      <c r="AE600" s="165"/>
      <c r="AF600" s="165"/>
      <c r="AG600" s="165"/>
      <c r="AH600" s="165"/>
      <c r="AI600" s="165"/>
      <c r="AJ600" s="165"/>
      <c r="AK600" s="165"/>
      <c r="AL600" s="165"/>
    </row>
    <row r="601">
      <c r="A601" s="165"/>
      <c r="B601" s="165"/>
      <c r="C601" s="165"/>
      <c r="D601" s="165"/>
      <c r="E601" s="292"/>
      <c r="F601" s="277"/>
      <c r="G601" s="165"/>
      <c r="H601" s="277"/>
      <c r="I601" s="277"/>
      <c r="J601" s="165"/>
      <c r="K601" s="165"/>
      <c r="L601" s="165"/>
      <c r="M601" s="165"/>
      <c r="N601" s="165"/>
      <c r="O601" s="165"/>
      <c r="P601" s="165"/>
      <c r="Q601" s="165"/>
      <c r="R601" s="165"/>
      <c r="S601" s="165"/>
      <c r="T601" s="165"/>
      <c r="U601" s="165"/>
      <c r="V601" s="165"/>
      <c r="W601" s="165"/>
      <c r="X601" s="165"/>
      <c r="Y601" s="285"/>
      <c r="Z601" s="165"/>
      <c r="AA601" s="165"/>
      <c r="AB601" s="165"/>
      <c r="AC601" s="165"/>
      <c r="AD601" s="165"/>
      <c r="AE601" s="165"/>
      <c r="AF601" s="165"/>
      <c r="AG601" s="165"/>
      <c r="AH601" s="165"/>
      <c r="AI601" s="165"/>
      <c r="AJ601" s="165"/>
      <c r="AK601" s="165"/>
      <c r="AL601" s="165"/>
    </row>
    <row r="602">
      <c r="A602" s="165"/>
      <c r="B602" s="165"/>
      <c r="C602" s="165"/>
      <c r="D602" s="165"/>
      <c r="E602" s="292"/>
      <c r="F602" s="277"/>
      <c r="G602" s="165"/>
      <c r="H602" s="277"/>
      <c r="I602" s="277"/>
      <c r="J602" s="165"/>
      <c r="K602" s="165"/>
      <c r="L602" s="165"/>
      <c r="M602" s="165"/>
      <c r="N602" s="165"/>
      <c r="O602" s="165"/>
      <c r="P602" s="165"/>
      <c r="Q602" s="165"/>
      <c r="R602" s="165"/>
      <c r="S602" s="165"/>
      <c r="T602" s="165"/>
      <c r="U602" s="165"/>
      <c r="V602" s="165"/>
      <c r="W602" s="165"/>
      <c r="X602" s="165"/>
      <c r="Y602" s="285"/>
      <c r="Z602" s="165"/>
      <c r="AA602" s="165"/>
      <c r="AB602" s="165"/>
      <c r="AC602" s="165"/>
      <c r="AD602" s="165"/>
      <c r="AE602" s="165"/>
      <c r="AF602" s="165"/>
      <c r="AG602" s="165"/>
      <c r="AH602" s="165"/>
      <c r="AI602" s="165"/>
      <c r="AJ602" s="165"/>
      <c r="AK602" s="165"/>
      <c r="AL602" s="165"/>
    </row>
    <row r="603">
      <c r="A603" s="165"/>
      <c r="B603" s="165"/>
      <c r="C603" s="165"/>
      <c r="D603" s="165"/>
      <c r="E603" s="292"/>
      <c r="F603" s="277"/>
      <c r="G603" s="165"/>
      <c r="H603" s="277"/>
      <c r="I603" s="277"/>
      <c r="J603" s="165"/>
      <c r="K603" s="165"/>
      <c r="L603" s="165"/>
      <c r="M603" s="165"/>
      <c r="N603" s="165"/>
      <c r="O603" s="165"/>
      <c r="P603" s="165"/>
      <c r="Q603" s="165"/>
      <c r="R603" s="165"/>
      <c r="S603" s="165"/>
      <c r="T603" s="165"/>
      <c r="U603" s="165"/>
      <c r="V603" s="165"/>
      <c r="W603" s="165"/>
      <c r="X603" s="165"/>
      <c r="Y603" s="285"/>
      <c r="Z603" s="165"/>
      <c r="AA603" s="165"/>
      <c r="AB603" s="165"/>
      <c r="AC603" s="165"/>
      <c r="AD603" s="165"/>
      <c r="AE603" s="165"/>
      <c r="AF603" s="165"/>
      <c r="AG603" s="165"/>
      <c r="AH603" s="165"/>
      <c r="AI603" s="165"/>
      <c r="AJ603" s="165"/>
      <c r="AK603" s="165"/>
      <c r="AL603" s="165"/>
    </row>
    <row r="604">
      <c r="A604" s="165"/>
      <c r="B604" s="165"/>
      <c r="C604" s="165"/>
      <c r="D604" s="165"/>
      <c r="E604" s="292"/>
      <c r="F604" s="277"/>
      <c r="G604" s="165"/>
      <c r="H604" s="277"/>
      <c r="I604" s="277"/>
      <c r="J604" s="165"/>
      <c r="K604" s="165"/>
      <c r="L604" s="165"/>
      <c r="M604" s="165"/>
      <c r="N604" s="165"/>
      <c r="O604" s="165"/>
      <c r="P604" s="165"/>
      <c r="Q604" s="165"/>
      <c r="R604" s="165"/>
      <c r="S604" s="165"/>
      <c r="T604" s="165"/>
      <c r="U604" s="165"/>
      <c r="V604" s="165"/>
      <c r="W604" s="165"/>
      <c r="X604" s="165"/>
      <c r="Y604" s="285"/>
      <c r="Z604" s="165"/>
      <c r="AA604" s="165"/>
      <c r="AB604" s="165"/>
      <c r="AC604" s="165"/>
      <c r="AD604" s="165"/>
      <c r="AE604" s="165"/>
      <c r="AF604" s="165"/>
      <c r="AG604" s="165"/>
      <c r="AH604" s="165"/>
      <c r="AI604" s="165"/>
      <c r="AJ604" s="165"/>
      <c r="AK604" s="165"/>
      <c r="AL604" s="165"/>
    </row>
    <row r="605">
      <c r="A605" s="165"/>
      <c r="B605" s="165"/>
      <c r="C605" s="165"/>
      <c r="D605" s="165"/>
      <c r="E605" s="292"/>
      <c r="F605" s="277"/>
      <c r="G605" s="165"/>
      <c r="H605" s="277"/>
      <c r="I605" s="277"/>
      <c r="J605" s="165"/>
      <c r="K605" s="165"/>
      <c r="L605" s="165"/>
      <c r="M605" s="165"/>
      <c r="N605" s="165"/>
      <c r="O605" s="165"/>
      <c r="P605" s="165"/>
      <c r="Q605" s="165"/>
      <c r="R605" s="165"/>
      <c r="S605" s="165"/>
      <c r="T605" s="165"/>
      <c r="U605" s="165"/>
      <c r="V605" s="165"/>
      <c r="W605" s="165"/>
      <c r="X605" s="165"/>
      <c r="Y605" s="285"/>
      <c r="Z605" s="165"/>
      <c r="AA605" s="165"/>
      <c r="AB605" s="165"/>
      <c r="AC605" s="165"/>
      <c r="AD605" s="165"/>
      <c r="AE605" s="165"/>
      <c r="AF605" s="165"/>
      <c r="AG605" s="165"/>
      <c r="AH605" s="165"/>
      <c r="AI605" s="165"/>
      <c r="AJ605" s="165"/>
      <c r="AK605" s="165"/>
      <c r="AL605" s="165"/>
    </row>
    <row r="606">
      <c r="A606" s="165"/>
      <c r="B606" s="165"/>
      <c r="C606" s="165"/>
      <c r="D606" s="165"/>
      <c r="E606" s="292"/>
      <c r="F606" s="277"/>
      <c r="G606" s="165"/>
      <c r="H606" s="277"/>
      <c r="I606" s="277"/>
      <c r="J606" s="165"/>
      <c r="K606" s="165"/>
      <c r="L606" s="165"/>
      <c r="M606" s="165"/>
      <c r="N606" s="165"/>
      <c r="O606" s="165"/>
      <c r="P606" s="165"/>
      <c r="Q606" s="165"/>
      <c r="R606" s="165"/>
      <c r="S606" s="165"/>
      <c r="T606" s="165"/>
      <c r="U606" s="165"/>
      <c r="V606" s="165"/>
      <c r="W606" s="165"/>
      <c r="X606" s="165"/>
      <c r="Y606" s="285"/>
      <c r="Z606" s="165"/>
      <c r="AA606" s="165"/>
      <c r="AB606" s="165"/>
      <c r="AC606" s="165"/>
      <c r="AD606" s="165"/>
      <c r="AE606" s="165"/>
      <c r="AF606" s="165"/>
      <c r="AG606" s="165"/>
      <c r="AH606" s="165"/>
      <c r="AI606" s="165"/>
      <c r="AJ606" s="165"/>
      <c r="AK606" s="165"/>
      <c r="AL606" s="165"/>
    </row>
    <row r="607">
      <c r="A607" s="165"/>
      <c r="B607" s="165"/>
      <c r="C607" s="165"/>
      <c r="D607" s="165"/>
      <c r="E607" s="292"/>
      <c r="F607" s="277"/>
      <c r="G607" s="165"/>
      <c r="H607" s="277"/>
      <c r="I607" s="277"/>
      <c r="J607" s="165"/>
      <c r="K607" s="165"/>
      <c r="L607" s="165"/>
      <c r="M607" s="165"/>
      <c r="N607" s="165"/>
      <c r="O607" s="165"/>
      <c r="P607" s="165"/>
      <c r="Q607" s="165"/>
      <c r="R607" s="165"/>
      <c r="S607" s="165"/>
      <c r="T607" s="165"/>
      <c r="U607" s="165"/>
      <c r="V607" s="165"/>
      <c r="W607" s="165"/>
      <c r="X607" s="165"/>
      <c r="Y607" s="285"/>
      <c r="Z607" s="165"/>
      <c r="AA607" s="165"/>
      <c r="AB607" s="165"/>
      <c r="AC607" s="165"/>
      <c r="AD607" s="165"/>
      <c r="AE607" s="165"/>
      <c r="AF607" s="165"/>
      <c r="AG607" s="165"/>
      <c r="AH607" s="165"/>
      <c r="AI607" s="165"/>
      <c r="AJ607" s="165"/>
      <c r="AK607" s="165"/>
      <c r="AL607" s="165"/>
    </row>
    <row r="608">
      <c r="A608" s="165"/>
      <c r="B608" s="165"/>
      <c r="C608" s="165"/>
      <c r="D608" s="165"/>
      <c r="E608" s="292"/>
      <c r="F608" s="277"/>
      <c r="G608" s="165"/>
      <c r="H608" s="277"/>
      <c r="I608" s="277"/>
      <c r="J608" s="165"/>
      <c r="K608" s="165"/>
      <c r="L608" s="165"/>
      <c r="M608" s="165"/>
      <c r="N608" s="165"/>
      <c r="O608" s="165"/>
      <c r="P608" s="165"/>
      <c r="Q608" s="165"/>
      <c r="R608" s="165"/>
      <c r="S608" s="165"/>
      <c r="T608" s="165"/>
      <c r="U608" s="165"/>
      <c r="V608" s="165"/>
      <c r="W608" s="165"/>
      <c r="X608" s="165"/>
      <c r="Y608" s="285"/>
      <c r="Z608" s="165"/>
      <c r="AA608" s="165"/>
      <c r="AB608" s="165"/>
      <c r="AC608" s="165"/>
      <c r="AD608" s="165"/>
      <c r="AE608" s="165"/>
      <c r="AF608" s="165"/>
      <c r="AG608" s="165"/>
      <c r="AH608" s="165"/>
      <c r="AI608" s="165"/>
      <c r="AJ608" s="165"/>
      <c r="AK608" s="165"/>
      <c r="AL608" s="165"/>
    </row>
    <row r="609">
      <c r="A609" s="165"/>
      <c r="B609" s="165"/>
      <c r="C609" s="165"/>
      <c r="D609" s="165"/>
      <c r="E609" s="292"/>
      <c r="F609" s="277"/>
      <c r="G609" s="165"/>
      <c r="H609" s="277"/>
      <c r="I609" s="277"/>
      <c r="J609" s="165"/>
      <c r="K609" s="165"/>
      <c r="L609" s="165"/>
      <c r="M609" s="165"/>
      <c r="N609" s="165"/>
      <c r="O609" s="165"/>
      <c r="P609" s="165"/>
      <c r="Q609" s="165"/>
      <c r="R609" s="165"/>
      <c r="S609" s="165"/>
      <c r="T609" s="165"/>
      <c r="U609" s="165"/>
      <c r="V609" s="165"/>
      <c r="W609" s="165"/>
      <c r="X609" s="165"/>
      <c r="Y609" s="285"/>
      <c r="Z609" s="165"/>
      <c r="AA609" s="165"/>
      <c r="AB609" s="165"/>
      <c r="AC609" s="165"/>
      <c r="AD609" s="165"/>
      <c r="AE609" s="165"/>
      <c r="AF609" s="165"/>
      <c r="AG609" s="165"/>
      <c r="AH609" s="165"/>
      <c r="AI609" s="165"/>
      <c r="AJ609" s="165"/>
      <c r="AK609" s="165"/>
      <c r="AL609" s="165"/>
    </row>
    <row r="610">
      <c r="A610" s="165"/>
      <c r="B610" s="165"/>
      <c r="C610" s="165"/>
      <c r="D610" s="165"/>
      <c r="E610" s="292"/>
      <c r="F610" s="277"/>
      <c r="G610" s="165"/>
      <c r="H610" s="277"/>
      <c r="I610" s="277"/>
      <c r="J610" s="165"/>
      <c r="K610" s="165"/>
      <c r="L610" s="165"/>
      <c r="M610" s="165"/>
      <c r="N610" s="165"/>
      <c r="O610" s="165"/>
      <c r="P610" s="165"/>
      <c r="Q610" s="165"/>
      <c r="R610" s="165"/>
      <c r="S610" s="165"/>
      <c r="T610" s="165"/>
      <c r="U610" s="165"/>
      <c r="V610" s="165"/>
      <c r="W610" s="165"/>
      <c r="X610" s="165"/>
      <c r="Y610" s="285"/>
      <c r="Z610" s="165"/>
      <c r="AA610" s="165"/>
      <c r="AB610" s="165"/>
      <c r="AC610" s="165"/>
      <c r="AD610" s="165"/>
      <c r="AE610" s="165"/>
      <c r="AF610" s="165"/>
      <c r="AG610" s="165"/>
      <c r="AH610" s="165"/>
      <c r="AI610" s="165"/>
      <c r="AJ610" s="165"/>
      <c r="AK610" s="165"/>
      <c r="AL610" s="165"/>
    </row>
    <row r="611">
      <c r="A611" s="165"/>
      <c r="B611" s="165"/>
      <c r="C611" s="165"/>
      <c r="D611" s="165"/>
      <c r="E611" s="292"/>
      <c r="F611" s="277"/>
      <c r="G611" s="165"/>
      <c r="H611" s="277"/>
      <c r="I611" s="277"/>
      <c r="J611" s="165"/>
      <c r="K611" s="165"/>
      <c r="L611" s="165"/>
      <c r="M611" s="165"/>
      <c r="N611" s="165"/>
      <c r="O611" s="165"/>
      <c r="P611" s="165"/>
      <c r="Q611" s="165"/>
      <c r="R611" s="165"/>
      <c r="S611" s="165"/>
      <c r="T611" s="165"/>
      <c r="U611" s="165"/>
      <c r="V611" s="165"/>
      <c r="W611" s="165"/>
      <c r="X611" s="165"/>
      <c r="Y611" s="285"/>
      <c r="Z611" s="165"/>
      <c r="AA611" s="165"/>
      <c r="AB611" s="165"/>
      <c r="AC611" s="165"/>
      <c r="AD611" s="165"/>
      <c r="AE611" s="165"/>
      <c r="AF611" s="165"/>
      <c r="AG611" s="165"/>
      <c r="AH611" s="165"/>
      <c r="AI611" s="165"/>
      <c r="AJ611" s="165"/>
      <c r="AK611" s="165"/>
      <c r="AL611" s="165"/>
    </row>
    <row r="612">
      <c r="A612" s="165"/>
      <c r="B612" s="165"/>
      <c r="C612" s="165"/>
      <c r="D612" s="165"/>
      <c r="E612" s="292"/>
      <c r="F612" s="277"/>
      <c r="G612" s="165"/>
      <c r="H612" s="277"/>
      <c r="I612" s="277"/>
      <c r="J612" s="165"/>
      <c r="K612" s="165"/>
      <c r="L612" s="165"/>
      <c r="M612" s="165"/>
      <c r="N612" s="165"/>
      <c r="O612" s="165"/>
      <c r="P612" s="165"/>
      <c r="Q612" s="165"/>
      <c r="R612" s="165"/>
      <c r="S612" s="165"/>
      <c r="T612" s="165"/>
      <c r="U612" s="165"/>
      <c r="V612" s="165"/>
      <c r="W612" s="165"/>
      <c r="X612" s="165"/>
      <c r="Y612" s="285"/>
      <c r="Z612" s="165"/>
      <c r="AA612" s="165"/>
      <c r="AB612" s="165"/>
      <c r="AC612" s="165"/>
      <c r="AD612" s="165"/>
      <c r="AE612" s="165"/>
      <c r="AF612" s="165"/>
      <c r="AG612" s="165"/>
      <c r="AH612" s="165"/>
      <c r="AI612" s="165"/>
      <c r="AJ612" s="165"/>
      <c r="AK612" s="165"/>
      <c r="AL612" s="165"/>
    </row>
    <row r="613">
      <c r="A613" s="165"/>
      <c r="B613" s="165"/>
      <c r="C613" s="165"/>
      <c r="D613" s="165"/>
      <c r="E613" s="292"/>
      <c r="F613" s="277"/>
      <c r="G613" s="165"/>
      <c r="H613" s="277"/>
      <c r="I613" s="277"/>
      <c r="J613" s="165"/>
      <c r="K613" s="165"/>
      <c r="L613" s="165"/>
      <c r="M613" s="165"/>
      <c r="N613" s="165"/>
      <c r="O613" s="165"/>
      <c r="P613" s="165"/>
      <c r="Q613" s="165"/>
      <c r="R613" s="165"/>
      <c r="S613" s="165"/>
      <c r="T613" s="165"/>
      <c r="U613" s="165"/>
      <c r="V613" s="165"/>
      <c r="W613" s="165"/>
      <c r="X613" s="165"/>
      <c r="Y613" s="285"/>
      <c r="Z613" s="165"/>
      <c r="AA613" s="165"/>
      <c r="AB613" s="165"/>
      <c r="AC613" s="165"/>
      <c r="AD613" s="165"/>
      <c r="AE613" s="165"/>
      <c r="AF613" s="165"/>
      <c r="AG613" s="165"/>
      <c r="AH613" s="165"/>
      <c r="AI613" s="165"/>
      <c r="AJ613" s="165"/>
      <c r="AK613" s="165"/>
      <c r="AL613" s="165"/>
    </row>
    <row r="614">
      <c r="A614" s="165"/>
      <c r="B614" s="165"/>
      <c r="C614" s="165"/>
      <c r="D614" s="165"/>
      <c r="E614" s="292"/>
      <c r="F614" s="277"/>
      <c r="G614" s="165"/>
      <c r="H614" s="277"/>
      <c r="I614" s="277"/>
      <c r="J614" s="165"/>
      <c r="K614" s="165"/>
      <c r="L614" s="165"/>
      <c r="M614" s="165"/>
      <c r="N614" s="165"/>
      <c r="O614" s="165"/>
      <c r="P614" s="165"/>
      <c r="Q614" s="165"/>
      <c r="R614" s="165"/>
      <c r="S614" s="165"/>
      <c r="T614" s="165"/>
      <c r="U614" s="165"/>
      <c r="V614" s="165"/>
      <c r="W614" s="165"/>
      <c r="X614" s="165"/>
      <c r="Y614" s="285"/>
      <c r="Z614" s="165"/>
      <c r="AA614" s="165"/>
      <c r="AB614" s="165"/>
      <c r="AC614" s="165"/>
      <c r="AD614" s="165"/>
      <c r="AE614" s="165"/>
      <c r="AF614" s="165"/>
      <c r="AG614" s="165"/>
      <c r="AH614" s="165"/>
      <c r="AI614" s="165"/>
      <c r="AJ614" s="165"/>
      <c r="AK614" s="165"/>
      <c r="AL614" s="165"/>
    </row>
    <row r="615">
      <c r="A615" s="165"/>
      <c r="B615" s="165"/>
      <c r="C615" s="165"/>
      <c r="D615" s="165"/>
      <c r="E615" s="292"/>
      <c r="F615" s="277"/>
      <c r="G615" s="165"/>
      <c r="H615" s="277"/>
      <c r="I615" s="277"/>
      <c r="J615" s="165"/>
      <c r="K615" s="165"/>
      <c r="L615" s="165"/>
      <c r="M615" s="165"/>
      <c r="N615" s="165"/>
      <c r="O615" s="165"/>
      <c r="P615" s="165"/>
      <c r="Q615" s="165"/>
      <c r="R615" s="165"/>
      <c r="S615" s="165"/>
      <c r="T615" s="165"/>
      <c r="U615" s="165"/>
      <c r="V615" s="165"/>
      <c r="W615" s="165"/>
      <c r="X615" s="165"/>
      <c r="Y615" s="285"/>
      <c r="Z615" s="165"/>
      <c r="AA615" s="165"/>
      <c r="AB615" s="165"/>
      <c r="AC615" s="165"/>
      <c r="AD615" s="165"/>
      <c r="AE615" s="165"/>
      <c r="AF615" s="165"/>
      <c r="AG615" s="165"/>
      <c r="AH615" s="165"/>
      <c r="AI615" s="165"/>
      <c r="AJ615" s="165"/>
      <c r="AK615" s="165"/>
      <c r="AL615" s="165"/>
    </row>
    <row r="616">
      <c r="A616" s="165"/>
      <c r="B616" s="165"/>
      <c r="C616" s="165"/>
      <c r="D616" s="165"/>
      <c r="E616" s="292"/>
      <c r="F616" s="277"/>
      <c r="G616" s="165"/>
      <c r="H616" s="277"/>
      <c r="I616" s="277"/>
      <c r="J616" s="165"/>
      <c r="K616" s="165"/>
      <c r="L616" s="165"/>
      <c r="M616" s="165"/>
      <c r="N616" s="165"/>
      <c r="O616" s="165"/>
      <c r="P616" s="165"/>
      <c r="Q616" s="165"/>
      <c r="R616" s="165"/>
      <c r="S616" s="165"/>
      <c r="T616" s="165"/>
      <c r="U616" s="165"/>
      <c r="V616" s="165"/>
      <c r="W616" s="165"/>
      <c r="X616" s="165"/>
      <c r="Y616" s="285"/>
      <c r="Z616" s="165"/>
      <c r="AA616" s="165"/>
      <c r="AB616" s="165"/>
      <c r="AC616" s="165"/>
      <c r="AD616" s="165"/>
      <c r="AE616" s="165"/>
      <c r="AF616" s="165"/>
      <c r="AG616" s="165"/>
      <c r="AH616" s="165"/>
      <c r="AI616" s="165"/>
      <c r="AJ616" s="165"/>
      <c r="AK616" s="165"/>
      <c r="AL616" s="165"/>
    </row>
    <row r="617">
      <c r="A617" s="165"/>
      <c r="B617" s="165"/>
      <c r="C617" s="165"/>
      <c r="D617" s="165"/>
      <c r="E617" s="292"/>
      <c r="F617" s="277"/>
      <c r="G617" s="165"/>
      <c r="H617" s="277"/>
      <c r="I617" s="277"/>
      <c r="J617" s="165"/>
      <c r="K617" s="165"/>
      <c r="L617" s="165"/>
      <c r="M617" s="165"/>
      <c r="N617" s="165"/>
      <c r="O617" s="165"/>
      <c r="P617" s="165"/>
      <c r="Q617" s="165"/>
      <c r="R617" s="165"/>
      <c r="S617" s="165"/>
      <c r="T617" s="165"/>
      <c r="U617" s="165"/>
      <c r="V617" s="165"/>
      <c r="W617" s="165"/>
      <c r="X617" s="165"/>
      <c r="Y617" s="285"/>
      <c r="Z617" s="165"/>
      <c r="AA617" s="165"/>
      <c r="AB617" s="165"/>
      <c r="AC617" s="165"/>
      <c r="AD617" s="165"/>
      <c r="AE617" s="165"/>
      <c r="AF617" s="165"/>
      <c r="AG617" s="165"/>
      <c r="AH617" s="165"/>
      <c r="AI617" s="165"/>
      <c r="AJ617" s="165"/>
      <c r="AK617" s="165"/>
      <c r="AL617" s="165"/>
    </row>
    <row r="618">
      <c r="A618" s="165"/>
      <c r="B618" s="165"/>
      <c r="C618" s="165"/>
      <c r="D618" s="165"/>
      <c r="E618" s="292"/>
      <c r="F618" s="277"/>
      <c r="G618" s="165"/>
      <c r="H618" s="277"/>
      <c r="I618" s="277"/>
      <c r="J618" s="165"/>
      <c r="K618" s="165"/>
      <c r="L618" s="165"/>
      <c r="M618" s="165"/>
      <c r="N618" s="165"/>
      <c r="O618" s="165"/>
      <c r="P618" s="165"/>
      <c r="Q618" s="165"/>
      <c r="R618" s="165"/>
      <c r="S618" s="165"/>
      <c r="T618" s="165"/>
      <c r="U618" s="165"/>
      <c r="V618" s="165"/>
      <c r="W618" s="165"/>
      <c r="X618" s="165"/>
      <c r="Y618" s="285"/>
      <c r="Z618" s="165"/>
      <c r="AA618" s="165"/>
      <c r="AB618" s="165"/>
      <c r="AC618" s="165"/>
      <c r="AD618" s="165"/>
      <c r="AE618" s="165"/>
      <c r="AF618" s="165"/>
      <c r="AG618" s="165"/>
      <c r="AH618" s="165"/>
      <c r="AI618" s="165"/>
      <c r="AJ618" s="165"/>
      <c r="AK618" s="165"/>
      <c r="AL618" s="165"/>
    </row>
    <row r="619">
      <c r="A619" s="165"/>
      <c r="B619" s="165"/>
      <c r="C619" s="165"/>
      <c r="D619" s="165"/>
      <c r="E619" s="292"/>
      <c r="F619" s="277"/>
      <c r="G619" s="165"/>
      <c r="H619" s="277"/>
      <c r="I619" s="277"/>
      <c r="J619" s="165"/>
      <c r="K619" s="165"/>
      <c r="L619" s="165"/>
      <c r="M619" s="165"/>
      <c r="N619" s="165"/>
      <c r="O619" s="165"/>
      <c r="P619" s="165"/>
      <c r="Q619" s="165"/>
      <c r="R619" s="165"/>
      <c r="S619" s="165"/>
      <c r="T619" s="165"/>
      <c r="U619" s="165"/>
      <c r="V619" s="165"/>
      <c r="W619" s="165"/>
      <c r="X619" s="165"/>
      <c r="Y619" s="285"/>
      <c r="Z619" s="165"/>
      <c r="AA619" s="165"/>
      <c r="AB619" s="165"/>
      <c r="AC619" s="165"/>
      <c r="AD619" s="165"/>
      <c r="AE619" s="165"/>
      <c r="AF619" s="165"/>
      <c r="AG619" s="165"/>
      <c r="AH619" s="165"/>
      <c r="AI619" s="165"/>
      <c r="AJ619" s="165"/>
      <c r="AK619" s="165"/>
      <c r="AL619" s="165"/>
    </row>
    <row r="620">
      <c r="A620" s="165"/>
      <c r="B620" s="165"/>
      <c r="C620" s="165"/>
      <c r="D620" s="165"/>
      <c r="E620" s="292"/>
      <c r="F620" s="277"/>
      <c r="G620" s="165"/>
      <c r="H620" s="277"/>
      <c r="I620" s="277"/>
      <c r="J620" s="165"/>
      <c r="K620" s="165"/>
      <c r="L620" s="165"/>
      <c r="M620" s="165"/>
      <c r="N620" s="165"/>
      <c r="O620" s="165"/>
      <c r="P620" s="165"/>
      <c r="Q620" s="165"/>
      <c r="R620" s="165"/>
      <c r="S620" s="165"/>
      <c r="T620" s="165"/>
      <c r="U620" s="165"/>
      <c r="V620" s="165"/>
      <c r="W620" s="165"/>
      <c r="X620" s="165"/>
      <c r="Y620" s="285"/>
      <c r="Z620" s="165"/>
      <c r="AA620" s="165"/>
      <c r="AB620" s="165"/>
      <c r="AC620" s="165"/>
      <c r="AD620" s="165"/>
      <c r="AE620" s="165"/>
      <c r="AF620" s="165"/>
      <c r="AG620" s="165"/>
      <c r="AH620" s="165"/>
      <c r="AI620" s="165"/>
      <c r="AJ620" s="165"/>
      <c r="AK620" s="165"/>
      <c r="AL620" s="165"/>
    </row>
    <row r="621">
      <c r="A621" s="165"/>
      <c r="B621" s="165"/>
      <c r="C621" s="165"/>
      <c r="D621" s="165"/>
      <c r="E621" s="292"/>
      <c r="F621" s="277"/>
      <c r="G621" s="165"/>
      <c r="H621" s="277"/>
      <c r="I621" s="277"/>
      <c r="J621" s="165"/>
      <c r="K621" s="165"/>
      <c r="L621" s="165"/>
      <c r="M621" s="165"/>
      <c r="N621" s="165"/>
      <c r="O621" s="165"/>
      <c r="P621" s="165"/>
      <c r="Q621" s="165"/>
      <c r="R621" s="165"/>
      <c r="S621" s="165"/>
      <c r="T621" s="165"/>
      <c r="U621" s="165"/>
      <c r="V621" s="165"/>
      <c r="W621" s="165"/>
      <c r="X621" s="165"/>
      <c r="Y621" s="285"/>
      <c r="Z621" s="165"/>
      <c r="AA621" s="165"/>
      <c r="AB621" s="165"/>
      <c r="AC621" s="165"/>
      <c r="AD621" s="165"/>
      <c r="AE621" s="165"/>
      <c r="AF621" s="165"/>
      <c r="AG621" s="165"/>
      <c r="AH621" s="165"/>
      <c r="AI621" s="165"/>
      <c r="AJ621" s="165"/>
      <c r="AK621" s="165"/>
      <c r="AL621" s="165"/>
    </row>
    <row r="622">
      <c r="A622" s="165"/>
      <c r="B622" s="165"/>
      <c r="C622" s="165"/>
      <c r="D622" s="165"/>
      <c r="E622" s="292"/>
      <c r="F622" s="277"/>
      <c r="G622" s="165"/>
      <c r="H622" s="277"/>
      <c r="I622" s="277"/>
      <c r="J622" s="165"/>
      <c r="K622" s="165"/>
      <c r="L622" s="165"/>
      <c r="M622" s="165"/>
      <c r="N622" s="165"/>
      <c r="O622" s="165"/>
      <c r="P622" s="165"/>
      <c r="Q622" s="165"/>
      <c r="R622" s="165"/>
      <c r="S622" s="165"/>
      <c r="T622" s="165"/>
      <c r="U622" s="165"/>
      <c r="V622" s="165"/>
      <c r="W622" s="165"/>
      <c r="X622" s="165"/>
      <c r="Y622" s="285"/>
      <c r="Z622" s="165"/>
      <c r="AA622" s="165"/>
      <c r="AB622" s="165"/>
      <c r="AC622" s="165"/>
      <c r="AD622" s="165"/>
      <c r="AE622" s="165"/>
      <c r="AF622" s="165"/>
      <c r="AG622" s="165"/>
      <c r="AH622" s="165"/>
      <c r="AI622" s="165"/>
      <c r="AJ622" s="165"/>
      <c r="AK622" s="165"/>
      <c r="AL622" s="165"/>
    </row>
    <row r="623">
      <c r="A623" s="165"/>
      <c r="B623" s="165"/>
      <c r="C623" s="165"/>
      <c r="D623" s="165"/>
      <c r="E623" s="292"/>
      <c r="F623" s="277"/>
      <c r="G623" s="165"/>
      <c r="H623" s="277"/>
      <c r="I623" s="277"/>
      <c r="J623" s="165"/>
      <c r="K623" s="165"/>
      <c r="L623" s="165"/>
      <c r="M623" s="165"/>
      <c r="N623" s="165"/>
      <c r="O623" s="165"/>
      <c r="P623" s="165"/>
      <c r="Q623" s="165"/>
      <c r="R623" s="165"/>
      <c r="S623" s="165"/>
      <c r="T623" s="165"/>
      <c r="U623" s="165"/>
      <c r="V623" s="165"/>
      <c r="W623" s="165"/>
      <c r="X623" s="165"/>
      <c r="Y623" s="285"/>
      <c r="Z623" s="165"/>
      <c r="AA623" s="165"/>
      <c r="AB623" s="165"/>
      <c r="AC623" s="165"/>
      <c r="AD623" s="165"/>
      <c r="AE623" s="165"/>
      <c r="AF623" s="165"/>
      <c r="AG623" s="165"/>
      <c r="AH623" s="165"/>
      <c r="AI623" s="165"/>
      <c r="AJ623" s="165"/>
      <c r="AK623" s="165"/>
      <c r="AL623" s="165"/>
    </row>
    <row r="624">
      <c r="A624" s="165"/>
      <c r="B624" s="165"/>
      <c r="C624" s="165"/>
      <c r="D624" s="165"/>
      <c r="E624" s="292"/>
      <c r="F624" s="277"/>
      <c r="G624" s="165"/>
      <c r="H624" s="277"/>
      <c r="I624" s="277"/>
      <c r="J624" s="165"/>
      <c r="K624" s="165"/>
      <c r="L624" s="165"/>
      <c r="M624" s="165"/>
      <c r="N624" s="165"/>
      <c r="O624" s="165"/>
      <c r="P624" s="165"/>
      <c r="Q624" s="165"/>
      <c r="R624" s="165"/>
      <c r="S624" s="165"/>
      <c r="T624" s="165"/>
      <c r="U624" s="165"/>
      <c r="V624" s="165"/>
      <c r="W624" s="165"/>
      <c r="X624" s="165"/>
      <c r="Y624" s="285"/>
      <c r="Z624" s="165"/>
      <c r="AA624" s="165"/>
      <c r="AB624" s="165"/>
      <c r="AC624" s="165"/>
      <c r="AD624" s="165"/>
      <c r="AE624" s="165"/>
      <c r="AF624" s="165"/>
      <c r="AG624" s="165"/>
      <c r="AH624" s="165"/>
      <c r="AI624" s="165"/>
      <c r="AJ624" s="165"/>
      <c r="AK624" s="165"/>
      <c r="AL624" s="165"/>
    </row>
    <row r="625">
      <c r="A625" s="165"/>
      <c r="B625" s="165"/>
      <c r="C625" s="165"/>
      <c r="D625" s="165"/>
      <c r="E625" s="292"/>
      <c r="F625" s="277"/>
      <c r="G625" s="165"/>
      <c r="H625" s="277"/>
      <c r="I625" s="277"/>
      <c r="J625" s="165"/>
      <c r="K625" s="165"/>
      <c r="L625" s="165"/>
      <c r="M625" s="165"/>
      <c r="N625" s="165"/>
      <c r="O625" s="165"/>
      <c r="P625" s="165"/>
      <c r="Q625" s="165"/>
      <c r="R625" s="165"/>
      <c r="S625" s="165"/>
      <c r="T625" s="165"/>
      <c r="U625" s="165"/>
      <c r="V625" s="165"/>
      <c r="W625" s="165"/>
      <c r="X625" s="165"/>
      <c r="Y625" s="285"/>
      <c r="Z625" s="165"/>
      <c r="AA625" s="165"/>
      <c r="AB625" s="165"/>
      <c r="AC625" s="165"/>
      <c r="AD625" s="165"/>
      <c r="AE625" s="165"/>
      <c r="AF625" s="165"/>
      <c r="AG625" s="165"/>
      <c r="AH625" s="165"/>
      <c r="AI625" s="165"/>
      <c r="AJ625" s="165"/>
      <c r="AK625" s="165"/>
      <c r="AL625" s="165"/>
    </row>
    <row r="626">
      <c r="A626" s="165"/>
      <c r="B626" s="165"/>
      <c r="C626" s="165"/>
      <c r="D626" s="165"/>
      <c r="E626" s="292"/>
      <c r="F626" s="277"/>
      <c r="G626" s="165"/>
      <c r="H626" s="277"/>
      <c r="I626" s="277"/>
      <c r="J626" s="165"/>
      <c r="K626" s="165"/>
      <c r="L626" s="165"/>
      <c r="M626" s="165"/>
      <c r="N626" s="165"/>
      <c r="O626" s="165"/>
      <c r="P626" s="165"/>
      <c r="Q626" s="165"/>
      <c r="R626" s="165"/>
      <c r="S626" s="165"/>
      <c r="T626" s="165"/>
      <c r="U626" s="165"/>
      <c r="V626" s="165"/>
      <c r="W626" s="165"/>
      <c r="X626" s="165"/>
      <c r="Y626" s="285"/>
      <c r="Z626" s="165"/>
      <c r="AA626" s="165"/>
      <c r="AB626" s="165"/>
      <c r="AC626" s="165"/>
      <c r="AD626" s="165"/>
      <c r="AE626" s="165"/>
      <c r="AF626" s="165"/>
      <c r="AG626" s="165"/>
      <c r="AH626" s="165"/>
      <c r="AI626" s="165"/>
      <c r="AJ626" s="165"/>
      <c r="AK626" s="165"/>
      <c r="AL626" s="165"/>
    </row>
    <row r="627">
      <c r="A627" s="165"/>
      <c r="B627" s="165"/>
      <c r="C627" s="165"/>
      <c r="D627" s="165"/>
      <c r="E627" s="292"/>
      <c r="F627" s="277"/>
      <c r="G627" s="165"/>
      <c r="H627" s="277"/>
      <c r="I627" s="277"/>
      <c r="J627" s="165"/>
      <c r="K627" s="165"/>
      <c r="L627" s="165"/>
      <c r="M627" s="165"/>
      <c r="N627" s="165"/>
      <c r="O627" s="165"/>
      <c r="P627" s="165"/>
      <c r="Q627" s="165"/>
      <c r="R627" s="165"/>
      <c r="S627" s="165"/>
      <c r="T627" s="165"/>
      <c r="U627" s="165"/>
      <c r="V627" s="165"/>
      <c r="W627" s="165"/>
      <c r="X627" s="165"/>
      <c r="Y627" s="285"/>
      <c r="Z627" s="165"/>
      <c r="AA627" s="165"/>
      <c r="AB627" s="165"/>
      <c r="AC627" s="165"/>
      <c r="AD627" s="165"/>
      <c r="AE627" s="165"/>
      <c r="AF627" s="165"/>
      <c r="AG627" s="165"/>
      <c r="AH627" s="165"/>
      <c r="AI627" s="165"/>
      <c r="AJ627" s="165"/>
      <c r="AK627" s="165"/>
      <c r="AL627" s="165"/>
    </row>
    <row r="628">
      <c r="A628" s="165"/>
      <c r="B628" s="165"/>
      <c r="C628" s="165"/>
      <c r="D628" s="165"/>
      <c r="E628" s="292"/>
      <c r="F628" s="277"/>
      <c r="G628" s="165"/>
      <c r="H628" s="277"/>
      <c r="I628" s="277"/>
      <c r="J628" s="165"/>
      <c r="K628" s="165"/>
      <c r="L628" s="165"/>
      <c r="M628" s="165"/>
      <c r="N628" s="165"/>
      <c r="O628" s="165"/>
      <c r="P628" s="165"/>
      <c r="Q628" s="165"/>
      <c r="R628" s="165"/>
      <c r="S628" s="165"/>
      <c r="T628" s="165"/>
      <c r="U628" s="165"/>
      <c r="V628" s="165"/>
      <c r="W628" s="165"/>
      <c r="X628" s="165"/>
      <c r="Y628" s="285"/>
      <c r="Z628" s="165"/>
      <c r="AA628" s="165"/>
      <c r="AB628" s="165"/>
      <c r="AC628" s="165"/>
      <c r="AD628" s="165"/>
      <c r="AE628" s="165"/>
      <c r="AF628" s="165"/>
      <c r="AG628" s="165"/>
      <c r="AH628" s="165"/>
      <c r="AI628" s="165"/>
      <c r="AJ628" s="165"/>
      <c r="AK628" s="165"/>
      <c r="AL628" s="165"/>
    </row>
    <row r="629">
      <c r="A629" s="165"/>
      <c r="B629" s="165"/>
      <c r="C629" s="165"/>
      <c r="D629" s="165"/>
      <c r="E629" s="292"/>
      <c r="F629" s="277"/>
      <c r="G629" s="165"/>
      <c r="H629" s="277"/>
      <c r="I629" s="277"/>
      <c r="J629" s="165"/>
      <c r="K629" s="165"/>
      <c r="L629" s="165"/>
      <c r="M629" s="165"/>
      <c r="N629" s="165"/>
      <c r="O629" s="165"/>
      <c r="P629" s="165"/>
      <c r="Q629" s="165"/>
      <c r="R629" s="165"/>
      <c r="S629" s="165"/>
      <c r="T629" s="165"/>
      <c r="U629" s="165"/>
      <c r="V629" s="165"/>
      <c r="W629" s="165"/>
      <c r="X629" s="165"/>
      <c r="Y629" s="285"/>
      <c r="Z629" s="165"/>
      <c r="AA629" s="165"/>
      <c r="AB629" s="165"/>
      <c r="AC629" s="165"/>
      <c r="AD629" s="165"/>
      <c r="AE629" s="165"/>
      <c r="AF629" s="165"/>
      <c r="AG629" s="165"/>
      <c r="AH629" s="165"/>
      <c r="AI629" s="165"/>
      <c r="AJ629" s="165"/>
      <c r="AK629" s="165"/>
      <c r="AL629" s="165"/>
    </row>
    <row r="630">
      <c r="A630" s="165"/>
      <c r="B630" s="165"/>
      <c r="C630" s="165"/>
      <c r="D630" s="165"/>
      <c r="E630" s="292"/>
      <c r="F630" s="277"/>
      <c r="G630" s="165"/>
      <c r="H630" s="277"/>
      <c r="I630" s="277"/>
      <c r="J630" s="165"/>
      <c r="K630" s="165"/>
      <c r="L630" s="165"/>
      <c r="M630" s="165"/>
      <c r="N630" s="165"/>
      <c r="O630" s="165"/>
      <c r="P630" s="165"/>
      <c r="Q630" s="165"/>
      <c r="R630" s="165"/>
      <c r="S630" s="165"/>
      <c r="T630" s="165"/>
      <c r="U630" s="165"/>
      <c r="V630" s="165"/>
      <c r="W630" s="165"/>
      <c r="X630" s="165"/>
      <c r="Y630" s="285"/>
      <c r="Z630" s="165"/>
      <c r="AA630" s="165"/>
      <c r="AB630" s="165"/>
      <c r="AC630" s="165"/>
      <c r="AD630" s="165"/>
      <c r="AE630" s="165"/>
      <c r="AF630" s="165"/>
      <c r="AG630" s="165"/>
      <c r="AH630" s="165"/>
      <c r="AI630" s="165"/>
      <c r="AJ630" s="165"/>
      <c r="AK630" s="165"/>
      <c r="AL630" s="165"/>
    </row>
    <row r="631">
      <c r="A631" s="165"/>
      <c r="B631" s="165"/>
      <c r="C631" s="165"/>
      <c r="D631" s="165"/>
      <c r="E631" s="292"/>
      <c r="F631" s="277"/>
      <c r="G631" s="165"/>
      <c r="H631" s="277"/>
      <c r="I631" s="277"/>
      <c r="J631" s="165"/>
      <c r="K631" s="165"/>
      <c r="L631" s="165"/>
      <c r="M631" s="165"/>
      <c r="N631" s="165"/>
      <c r="O631" s="165"/>
      <c r="P631" s="165"/>
      <c r="Q631" s="165"/>
      <c r="R631" s="165"/>
      <c r="S631" s="165"/>
      <c r="T631" s="165"/>
      <c r="U631" s="165"/>
      <c r="V631" s="165"/>
      <c r="W631" s="165"/>
      <c r="X631" s="165"/>
      <c r="Y631" s="285"/>
      <c r="Z631" s="165"/>
      <c r="AA631" s="165"/>
      <c r="AB631" s="165"/>
      <c r="AC631" s="165"/>
      <c r="AD631" s="165"/>
      <c r="AE631" s="165"/>
      <c r="AF631" s="165"/>
      <c r="AG631" s="165"/>
      <c r="AH631" s="165"/>
      <c r="AI631" s="165"/>
      <c r="AJ631" s="165"/>
      <c r="AK631" s="165"/>
      <c r="AL631" s="165"/>
    </row>
    <row r="632">
      <c r="A632" s="165"/>
      <c r="B632" s="165"/>
      <c r="C632" s="165"/>
      <c r="D632" s="165"/>
      <c r="E632" s="292"/>
      <c r="F632" s="277"/>
      <c r="G632" s="165"/>
      <c r="H632" s="277"/>
      <c r="I632" s="277"/>
      <c r="J632" s="165"/>
      <c r="K632" s="165"/>
      <c r="L632" s="165"/>
      <c r="M632" s="165"/>
      <c r="N632" s="165"/>
      <c r="O632" s="165"/>
      <c r="P632" s="165"/>
      <c r="Q632" s="165"/>
      <c r="R632" s="165"/>
      <c r="S632" s="165"/>
      <c r="T632" s="165"/>
      <c r="U632" s="165"/>
      <c r="V632" s="165"/>
      <c r="W632" s="165"/>
      <c r="X632" s="165"/>
      <c r="Y632" s="285"/>
      <c r="Z632" s="165"/>
      <c r="AA632" s="165"/>
      <c r="AB632" s="165"/>
      <c r="AC632" s="165"/>
      <c r="AD632" s="165"/>
      <c r="AE632" s="165"/>
      <c r="AF632" s="165"/>
      <c r="AG632" s="165"/>
      <c r="AH632" s="165"/>
      <c r="AI632" s="165"/>
      <c r="AJ632" s="165"/>
      <c r="AK632" s="165"/>
      <c r="AL632" s="165"/>
    </row>
    <row r="633">
      <c r="A633" s="165"/>
      <c r="B633" s="165"/>
      <c r="C633" s="165"/>
      <c r="D633" s="165"/>
      <c r="E633" s="292"/>
      <c r="F633" s="277"/>
      <c r="G633" s="165"/>
      <c r="H633" s="277"/>
      <c r="I633" s="277"/>
      <c r="J633" s="165"/>
      <c r="K633" s="165"/>
      <c r="L633" s="165"/>
      <c r="M633" s="165"/>
      <c r="N633" s="165"/>
      <c r="O633" s="165"/>
      <c r="P633" s="165"/>
      <c r="Q633" s="165"/>
      <c r="R633" s="165"/>
      <c r="S633" s="165"/>
      <c r="T633" s="165"/>
      <c r="U633" s="165"/>
      <c r="V633" s="165"/>
      <c r="W633" s="165"/>
      <c r="X633" s="165"/>
      <c r="Y633" s="285"/>
      <c r="Z633" s="165"/>
      <c r="AA633" s="165"/>
      <c r="AB633" s="165"/>
      <c r="AC633" s="165"/>
      <c r="AD633" s="165"/>
      <c r="AE633" s="165"/>
      <c r="AF633" s="165"/>
      <c r="AG633" s="165"/>
      <c r="AH633" s="165"/>
      <c r="AI633" s="165"/>
      <c r="AJ633" s="165"/>
      <c r="AK633" s="165"/>
      <c r="AL633" s="165"/>
    </row>
    <row r="634">
      <c r="A634" s="165"/>
      <c r="B634" s="165"/>
      <c r="C634" s="165"/>
      <c r="D634" s="165"/>
      <c r="E634" s="292"/>
      <c r="F634" s="277"/>
      <c r="G634" s="165"/>
      <c r="H634" s="277"/>
      <c r="I634" s="277"/>
      <c r="J634" s="165"/>
      <c r="K634" s="165"/>
      <c r="L634" s="165"/>
      <c r="M634" s="165"/>
      <c r="N634" s="165"/>
      <c r="O634" s="165"/>
      <c r="P634" s="165"/>
      <c r="Q634" s="165"/>
      <c r="R634" s="165"/>
      <c r="S634" s="165"/>
      <c r="T634" s="165"/>
      <c r="U634" s="165"/>
      <c r="V634" s="165"/>
      <c r="W634" s="165"/>
      <c r="X634" s="165"/>
      <c r="Y634" s="285"/>
      <c r="Z634" s="165"/>
      <c r="AA634" s="165"/>
      <c r="AB634" s="165"/>
      <c r="AC634" s="165"/>
      <c r="AD634" s="165"/>
      <c r="AE634" s="165"/>
      <c r="AF634" s="165"/>
      <c r="AG634" s="165"/>
      <c r="AH634" s="165"/>
      <c r="AI634" s="165"/>
      <c r="AJ634" s="165"/>
      <c r="AK634" s="165"/>
      <c r="AL634" s="165"/>
    </row>
    <row r="635">
      <c r="A635" s="165"/>
      <c r="B635" s="165"/>
      <c r="C635" s="165"/>
      <c r="D635" s="165"/>
      <c r="E635" s="292"/>
      <c r="F635" s="277"/>
      <c r="G635" s="165"/>
      <c r="H635" s="277"/>
      <c r="I635" s="277"/>
      <c r="J635" s="165"/>
      <c r="K635" s="165"/>
      <c r="L635" s="165"/>
      <c r="M635" s="165"/>
      <c r="N635" s="165"/>
      <c r="O635" s="165"/>
      <c r="P635" s="165"/>
      <c r="Q635" s="165"/>
      <c r="R635" s="165"/>
      <c r="S635" s="165"/>
      <c r="T635" s="165"/>
      <c r="U635" s="165"/>
      <c r="V635" s="165"/>
      <c r="W635" s="165"/>
      <c r="X635" s="165"/>
      <c r="Y635" s="285"/>
      <c r="Z635" s="165"/>
      <c r="AA635" s="165"/>
      <c r="AB635" s="165"/>
      <c r="AC635" s="165"/>
      <c r="AD635" s="165"/>
      <c r="AE635" s="165"/>
      <c r="AF635" s="165"/>
      <c r="AG635" s="165"/>
      <c r="AH635" s="165"/>
      <c r="AI635" s="165"/>
      <c r="AJ635" s="165"/>
      <c r="AK635" s="165"/>
      <c r="AL635" s="165"/>
    </row>
    <row r="636">
      <c r="A636" s="165"/>
      <c r="B636" s="165"/>
      <c r="C636" s="165"/>
      <c r="D636" s="165"/>
      <c r="E636" s="292"/>
      <c r="F636" s="277"/>
      <c r="G636" s="165"/>
      <c r="H636" s="277"/>
      <c r="I636" s="277"/>
      <c r="J636" s="165"/>
      <c r="K636" s="165"/>
      <c r="L636" s="165"/>
      <c r="M636" s="165"/>
      <c r="N636" s="165"/>
      <c r="O636" s="165"/>
      <c r="P636" s="165"/>
      <c r="Q636" s="165"/>
      <c r="R636" s="165"/>
      <c r="S636" s="165"/>
      <c r="T636" s="165"/>
      <c r="U636" s="165"/>
      <c r="V636" s="165"/>
      <c r="W636" s="165"/>
      <c r="X636" s="165"/>
      <c r="Y636" s="285"/>
      <c r="Z636" s="165"/>
      <c r="AA636" s="165"/>
      <c r="AB636" s="165"/>
      <c r="AC636" s="165"/>
      <c r="AD636" s="165"/>
      <c r="AE636" s="165"/>
      <c r="AF636" s="165"/>
      <c r="AG636" s="165"/>
      <c r="AH636" s="165"/>
      <c r="AI636" s="165"/>
      <c r="AJ636" s="165"/>
      <c r="AK636" s="165"/>
      <c r="AL636" s="165"/>
    </row>
    <row r="637">
      <c r="A637" s="165"/>
      <c r="B637" s="165"/>
      <c r="C637" s="165"/>
      <c r="D637" s="165"/>
      <c r="E637" s="292"/>
      <c r="F637" s="277"/>
      <c r="G637" s="165"/>
      <c r="H637" s="277"/>
      <c r="I637" s="277"/>
      <c r="J637" s="165"/>
      <c r="K637" s="165"/>
      <c r="L637" s="165"/>
      <c r="M637" s="165"/>
      <c r="N637" s="165"/>
      <c r="O637" s="165"/>
      <c r="P637" s="165"/>
      <c r="Q637" s="165"/>
      <c r="R637" s="165"/>
      <c r="S637" s="165"/>
      <c r="T637" s="165"/>
      <c r="U637" s="165"/>
      <c r="V637" s="165"/>
      <c r="W637" s="165"/>
      <c r="X637" s="165"/>
      <c r="Y637" s="285"/>
      <c r="Z637" s="165"/>
      <c r="AA637" s="165"/>
      <c r="AB637" s="165"/>
      <c r="AC637" s="165"/>
      <c r="AD637" s="165"/>
      <c r="AE637" s="165"/>
      <c r="AF637" s="165"/>
      <c r="AG637" s="165"/>
      <c r="AH637" s="165"/>
      <c r="AI637" s="165"/>
      <c r="AJ637" s="165"/>
      <c r="AK637" s="165"/>
      <c r="AL637" s="165"/>
    </row>
    <row r="638">
      <c r="A638" s="165"/>
      <c r="B638" s="165"/>
      <c r="C638" s="165"/>
      <c r="D638" s="165"/>
      <c r="E638" s="292"/>
      <c r="F638" s="277"/>
      <c r="G638" s="165"/>
      <c r="H638" s="277"/>
      <c r="I638" s="277"/>
      <c r="J638" s="165"/>
      <c r="K638" s="165"/>
      <c r="L638" s="165"/>
      <c r="M638" s="165"/>
      <c r="N638" s="165"/>
      <c r="O638" s="165"/>
      <c r="P638" s="165"/>
      <c r="Q638" s="165"/>
      <c r="R638" s="165"/>
      <c r="S638" s="165"/>
      <c r="T638" s="165"/>
      <c r="U638" s="165"/>
      <c r="V638" s="165"/>
      <c r="W638" s="165"/>
      <c r="X638" s="165"/>
      <c r="Y638" s="285"/>
      <c r="Z638" s="165"/>
      <c r="AA638" s="165"/>
      <c r="AB638" s="165"/>
      <c r="AC638" s="165"/>
      <c r="AD638" s="165"/>
      <c r="AE638" s="165"/>
      <c r="AF638" s="165"/>
      <c r="AG638" s="165"/>
      <c r="AH638" s="165"/>
      <c r="AI638" s="165"/>
      <c r="AJ638" s="165"/>
      <c r="AK638" s="165"/>
      <c r="AL638" s="165"/>
    </row>
    <row r="639">
      <c r="A639" s="165"/>
      <c r="B639" s="165"/>
      <c r="C639" s="165"/>
      <c r="D639" s="165"/>
      <c r="E639" s="292"/>
      <c r="F639" s="277"/>
      <c r="G639" s="165"/>
      <c r="H639" s="277"/>
      <c r="I639" s="277"/>
      <c r="J639" s="165"/>
      <c r="K639" s="165"/>
      <c r="L639" s="165"/>
      <c r="M639" s="165"/>
      <c r="N639" s="165"/>
      <c r="O639" s="165"/>
      <c r="P639" s="165"/>
      <c r="Q639" s="165"/>
      <c r="R639" s="165"/>
      <c r="S639" s="165"/>
      <c r="T639" s="165"/>
      <c r="U639" s="165"/>
      <c r="V639" s="165"/>
      <c r="W639" s="165"/>
      <c r="X639" s="165"/>
      <c r="Y639" s="285"/>
      <c r="Z639" s="165"/>
      <c r="AA639" s="165"/>
      <c r="AB639" s="165"/>
      <c r="AC639" s="165"/>
      <c r="AD639" s="165"/>
      <c r="AE639" s="165"/>
      <c r="AF639" s="165"/>
      <c r="AG639" s="165"/>
      <c r="AH639" s="165"/>
      <c r="AI639" s="165"/>
      <c r="AJ639" s="165"/>
      <c r="AK639" s="165"/>
      <c r="AL639" s="165"/>
    </row>
    <row r="640">
      <c r="A640" s="165"/>
      <c r="B640" s="165"/>
      <c r="C640" s="165"/>
      <c r="D640" s="165"/>
      <c r="E640" s="292"/>
      <c r="F640" s="277"/>
      <c r="G640" s="165"/>
      <c r="H640" s="277"/>
      <c r="I640" s="277"/>
      <c r="J640" s="165"/>
      <c r="K640" s="165"/>
      <c r="L640" s="165"/>
      <c r="M640" s="165"/>
      <c r="N640" s="165"/>
      <c r="O640" s="165"/>
      <c r="P640" s="165"/>
      <c r="Q640" s="165"/>
      <c r="R640" s="165"/>
      <c r="S640" s="165"/>
      <c r="T640" s="165"/>
      <c r="U640" s="165"/>
      <c r="V640" s="165"/>
      <c r="W640" s="165"/>
      <c r="X640" s="165"/>
      <c r="Y640" s="285"/>
      <c r="Z640" s="165"/>
      <c r="AA640" s="165"/>
      <c r="AB640" s="165"/>
      <c r="AC640" s="165"/>
      <c r="AD640" s="165"/>
      <c r="AE640" s="165"/>
      <c r="AF640" s="165"/>
      <c r="AG640" s="165"/>
      <c r="AH640" s="165"/>
      <c r="AI640" s="165"/>
      <c r="AJ640" s="165"/>
      <c r="AK640" s="165"/>
      <c r="AL640" s="165"/>
    </row>
    <row r="641">
      <c r="A641" s="165"/>
      <c r="B641" s="165"/>
      <c r="C641" s="165"/>
      <c r="D641" s="165"/>
      <c r="E641" s="292"/>
      <c r="F641" s="277"/>
      <c r="G641" s="165"/>
      <c r="H641" s="277"/>
      <c r="I641" s="277"/>
      <c r="J641" s="165"/>
      <c r="K641" s="165"/>
      <c r="L641" s="165"/>
      <c r="M641" s="165"/>
      <c r="N641" s="165"/>
      <c r="O641" s="165"/>
      <c r="P641" s="165"/>
      <c r="Q641" s="165"/>
      <c r="R641" s="165"/>
      <c r="S641" s="165"/>
      <c r="T641" s="165"/>
      <c r="U641" s="165"/>
      <c r="V641" s="165"/>
      <c r="W641" s="165"/>
      <c r="X641" s="165"/>
      <c r="Y641" s="285"/>
      <c r="Z641" s="165"/>
      <c r="AA641" s="165"/>
      <c r="AB641" s="165"/>
      <c r="AC641" s="165"/>
      <c r="AD641" s="165"/>
      <c r="AE641" s="165"/>
      <c r="AF641" s="165"/>
      <c r="AG641" s="165"/>
      <c r="AH641" s="165"/>
      <c r="AI641" s="165"/>
      <c r="AJ641" s="165"/>
      <c r="AK641" s="165"/>
      <c r="AL641" s="165"/>
    </row>
    <row r="642">
      <c r="A642" s="165"/>
      <c r="B642" s="165"/>
      <c r="C642" s="165"/>
      <c r="D642" s="165"/>
      <c r="E642" s="292"/>
      <c r="F642" s="277"/>
      <c r="G642" s="165"/>
      <c r="H642" s="277"/>
      <c r="I642" s="277"/>
      <c r="J642" s="165"/>
      <c r="K642" s="165"/>
      <c r="L642" s="165"/>
      <c r="M642" s="165"/>
      <c r="N642" s="165"/>
      <c r="O642" s="165"/>
      <c r="P642" s="165"/>
      <c r="Q642" s="165"/>
      <c r="R642" s="165"/>
      <c r="S642" s="165"/>
      <c r="T642" s="165"/>
      <c r="U642" s="165"/>
      <c r="V642" s="165"/>
      <c r="W642" s="165"/>
      <c r="X642" s="165"/>
      <c r="Y642" s="285"/>
      <c r="Z642" s="165"/>
      <c r="AA642" s="165"/>
      <c r="AB642" s="165"/>
      <c r="AC642" s="165"/>
      <c r="AD642" s="165"/>
      <c r="AE642" s="165"/>
      <c r="AF642" s="165"/>
      <c r="AG642" s="165"/>
      <c r="AH642" s="165"/>
      <c r="AI642" s="165"/>
      <c r="AJ642" s="165"/>
      <c r="AK642" s="165"/>
      <c r="AL642" s="165"/>
    </row>
    <row r="643">
      <c r="A643" s="165"/>
      <c r="B643" s="165"/>
      <c r="C643" s="165"/>
      <c r="D643" s="165"/>
      <c r="E643" s="292"/>
      <c r="F643" s="277"/>
      <c r="G643" s="165"/>
      <c r="H643" s="277"/>
      <c r="I643" s="277"/>
      <c r="J643" s="165"/>
      <c r="K643" s="165"/>
      <c r="L643" s="165"/>
      <c r="M643" s="165"/>
      <c r="N643" s="165"/>
      <c r="O643" s="165"/>
      <c r="P643" s="165"/>
      <c r="Q643" s="165"/>
      <c r="R643" s="165"/>
      <c r="S643" s="165"/>
      <c r="T643" s="165"/>
      <c r="U643" s="165"/>
      <c r="V643" s="165"/>
      <c r="W643" s="165"/>
      <c r="X643" s="165"/>
      <c r="Y643" s="285"/>
      <c r="Z643" s="165"/>
      <c r="AA643" s="165"/>
      <c r="AB643" s="165"/>
      <c r="AC643" s="165"/>
      <c r="AD643" s="165"/>
      <c r="AE643" s="165"/>
      <c r="AF643" s="165"/>
      <c r="AG643" s="165"/>
      <c r="AH643" s="165"/>
      <c r="AI643" s="165"/>
      <c r="AJ643" s="165"/>
      <c r="AK643" s="165"/>
      <c r="AL643" s="165"/>
    </row>
    <row r="644">
      <c r="A644" s="165"/>
      <c r="B644" s="165"/>
      <c r="C644" s="165"/>
      <c r="D644" s="165"/>
      <c r="E644" s="292"/>
      <c r="F644" s="277"/>
      <c r="G644" s="165"/>
      <c r="H644" s="277"/>
      <c r="I644" s="277"/>
      <c r="J644" s="165"/>
      <c r="K644" s="165"/>
      <c r="L644" s="165"/>
      <c r="M644" s="165"/>
      <c r="N644" s="165"/>
      <c r="O644" s="165"/>
      <c r="P644" s="165"/>
      <c r="Q644" s="165"/>
      <c r="R644" s="165"/>
      <c r="S644" s="165"/>
      <c r="T644" s="165"/>
      <c r="U644" s="165"/>
      <c r="V644" s="165"/>
      <c r="W644" s="165"/>
      <c r="X644" s="165"/>
      <c r="Y644" s="285"/>
      <c r="Z644" s="165"/>
      <c r="AA644" s="165"/>
      <c r="AB644" s="165"/>
      <c r="AC644" s="165"/>
      <c r="AD644" s="165"/>
      <c r="AE644" s="165"/>
      <c r="AF644" s="165"/>
      <c r="AG644" s="165"/>
      <c r="AH644" s="165"/>
      <c r="AI644" s="165"/>
      <c r="AJ644" s="165"/>
      <c r="AK644" s="165"/>
      <c r="AL644" s="165"/>
    </row>
    <row r="645">
      <c r="A645" s="165"/>
      <c r="B645" s="165"/>
      <c r="C645" s="165"/>
      <c r="D645" s="165"/>
      <c r="E645" s="292"/>
      <c r="F645" s="277"/>
      <c r="G645" s="165"/>
      <c r="H645" s="277"/>
      <c r="I645" s="277"/>
      <c r="J645" s="165"/>
      <c r="K645" s="165"/>
      <c r="L645" s="165"/>
      <c r="M645" s="165"/>
      <c r="N645" s="165"/>
      <c r="O645" s="165"/>
      <c r="P645" s="165"/>
      <c r="Q645" s="165"/>
      <c r="R645" s="165"/>
      <c r="S645" s="165"/>
      <c r="T645" s="165"/>
      <c r="U645" s="165"/>
      <c r="V645" s="165"/>
      <c r="W645" s="165"/>
      <c r="X645" s="165"/>
      <c r="Y645" s="285"/>
      <c r="Z645" s="165"/>
      <c r="AA645" s="165"/>
      <c r="AB645" s="165"/>
      <c r="AC645" s="165"/>
      <c r="AD645" s="165"/>
      <c r="AE645" s="165"/>
      <c r="AF645" s="165"/>
      <c r="AG645" s="165"/>
      <c r="AH645" s="165"/>
      <c r="AI645" s="165"/>
      <c r="AJ645" s="165"/>
      <c r="AK645" s="165"/>
      <c r="AL645" s="165"/>
    </row>
    <row r="646">
      <c r="A646" s="165"/>
      <c r="B646" s="165"/>
      <c r="C646" s="165"/>
      <c r="D646" s="165"/>
      <c r="E646" s="292"/>
      <c r="F646" s="277"/>
      <c r="G646" s="165"/>
      <c r="H646" s="277"/>
      <c r="I646" s="277"/>
      <c r="J646" s="165"/>
      <c r="K646" s="165"/>
      <c r="L646" s="165"/>
      <c r="M646" s="165"/>
      <c r="N646" s="165"/>
      <c r="O646" s="165"/>
      <c r="P646" s="165"/>
      <c r="Q646" s="165"/>
      <c r="R646" s="165"/>
      <c r="S646" s="165"/>
      <c r="T646" s="165"/>
      <c r="U646" s="165"/>
      <c r="V646" s="165"/>
      <c r="W646" s="165"/>
      <c r="X646" s="165"/>
      <c r="Y646" s="285"/>
      <c r="Z646" s="165"/>
      <c r="AA646" s="165"/>
      <c r="AB646" s="165"/>
      <c r="AC646" s="165"/>
      <c r="AD646" s="165"/>
      <c r="AE646" s="165"/>
      <c r="AF646" s="165"/>
      <c r="AG646" s="165"/>
      <c r="AH646" s="165"/>
      <c r="AI646" s="165"/>
      <c r="AJ646" s="165"/>
      <c r="AK646" s="165"/>
      <c r="AL646" s="165"/>
    </row>
    <row r="647">
      <c r="A647" s="165"/>
      <c r="B647" s="165"/>
      <c r="C647" s="165"/>
      <c r="D647" s="165"/>
      <c r="E647" s="292"/>
      <c r="F647" s="277"/>
      <c r="G647" s="165"/>
      <c r="H647" s="277"/>
      <c r="I647" s="277"/>
      <c r="J647" s="165"/>
      <c r="K647" s="165"/>
      <c r="L647" s="165"/>
      <c r="M647" s="165"/>
      <c r="N647" s="165"/>
      <c r="O647" s="165"/>
      <c r="P647" s="165"/>
      <c r="Q647" s="165"/>
      <c r="R647" s="165"/>
      <c r="S647" s="165"/>
      <c r="T647" s="165"/>
      <c r="U647" s="165"/>
      <c r="V647" s="165"/>
      <c r="W647" s="165"/>
      <c r="X647" s="165"/>
      <c r="Y647" s="285"/>
      <c r="Z647" s="165"/>
      <c r="AA647" s="165"/>
      <c r="AB647" s="165"/>
      <c r="AC647" s="165"/>
      <c r="AD647" s="165"/>
      <c r="AE647" s="165"/>
      <c r="AF647" s="165"/>
      <c r="AG647" s="165"/>
      <c r="AH647" s="165"/>
      <c r="AI647" s="165"/>
      <c r="AJ647" s="165"/>
      <c r="AK647" s="165"/>
      <c r="AL647" s="165"/>
    </row>
    <row r="648">
      <c r="A648" s="165"/>
      <c r="B648" s="165"/>
      <c r="C648" s="165"/>
      <c r="D648" s="165"/>
      <c r="E648" s="292"/>
      <c r="F648" s="277"/>
      <c r="G648" s="165"/>
      <c r="H648" s="277"/>
      <c r="I648" s="277"/>
      <c r="J648" s="165"/>
      <c r="K648" s="165"/>
      <c r="L648" s="165"/>
      <c r="M648" s="165"/>
      <c r="N648" s="165"/>
      <c r="O648" s="165"/>
      <c r="P648" s="165"/>
      <c r="Q648" s="165"/>
      <c r="R648" s="165"/>
      <c r="S648" s="165"/>
      <c r="T648" s="165"/>
      <c r="U648" s="165"/>
      <c r="V648" s="165"/>
      <c r="W648" s="165"/>
      <c r="X648" s="165"/>
      <c r="Y648" s="285"/>
      <c r="Z648" s="165"/>
      <c r="AA648" s="165"/>
      <c r="AB648" s="165"/>
      <c r="AC648" s="165"/>
      <c r="AD648" s="165"/>
      <c r="AE648" s="165"/>
      <c r="AF648" s="165"/>
      <c r="AG648" s="165"/>
      <c r="AH648" s="165"/>
      <c r="AI648" s="165"/>
      <c r="AJ648" s="165"/>
      <c r="AK648" s="165"/>
      <c r="AL648" s="165"/>
    </row>
    <row r="649">
      <c r="A649" s="165"/>
      <c r="B649" s="165"/>
      <c r="C649" s="165"/>
      <c r="D649" s="165"/>
      <c r="E649" s="292"/>
      <c r="F649" s="277"/>
      <c r="G649" s="165"/>
      <c r="H649" s="277"/>
      <c r="I649" s="277"/>
      <c r="J649" s="165"/>
      <c r="K649" s="165"/>
      <c r="L649" s="165"/>
      <c r="M649" s="165"/>
      <c r="N649" s="165"/>
      <c r="O649" s="165"/>
      <c r="P649" s="165"/>
      <c r="Q649" s="165"/>
      <c r="R649" s="165"/>
      <c r="S649" s="165"/>
      <c r="T649" s="165"/>
      <c r="U649" s="165"/>
      <c r="V649" s="165"/>
      <c r="W649" s="165"/>
      <c r="X649" s="165"/>
      <c r="Y649" s="285"/>
      <c r="Z649" s="165"/>
      <c r="AA649" s="165"/>
      <c r="AB649" s="165"/>
      <c r="AC649" s="165"/>
      <c r="AD649" s="165"/>
      <c r="AE649" s="165"/>
      <c r="AF649" s="165"/>
      <c r="AG649" s="165"/>
      <c r="AH649" s="165"/>
      <c r="AI649" s="165"/>
      <c r="AJ649" s="165"/>
      <c r="AK649" s="165"/>
      <c r="AL649" s="165"/>
    </row>
    <row r="650">
      <c r="A650" s="165"/>
      <c r="B650" s="165"/>
      <c r="C650" s="165"/>
      <c r="D650" s="165"/>
      <c r="E650" s="292"/>
      <c r="F650" s="277"/>
      <c r="G650" s="165"/>
      <c r="H650" s="277"/>
      <c r="I650" s="277"/>
      <c r="J650" s="165"/>
      <c r="K650" s="165"/>
      <c r="L650" s="165"/>
      <c r="M650" s="165"/>
      <c r="N650" s="165"/>
      <c r="O650" s="165"/>
      <c r="P650" s="165"/>
      <c r="Q650" s="165"/>
      <c r="R650" s="165"/>
      <c r="S650" s="165"/>
      <c r="T650" s="165"/>
      <c r="U650" s="165"/>
      <c r="V650" s="165"/>
      <c r="W650" s="165"/>
      <c r="X650" s="165"/>
      <c r="Y650" s="285"/>
      <c r="Z650" s="165"/>
      <c r="AA650" s="165"/>
      <c r="AB650" s="165"/>
      <c r="AC650" s="165"/>
      <c r="AD650" s="165"/>
      <c r="AE650" s="165"/>
      <c r="AF650" s="165"/>
      <c r="AG650" s="165"/>
      <c r="AH650" s="165"/>
      <c r="AI650" s="165"/>
      <c r="AJ650" s="165"/>
      <c r="AK650" s="165"/>
      <c r="AL650" s="165"/>
    </row>
    <row r="651">
      <c r="A651" s="165"/>
      <c r="B651" s="165"/>
      <c r="C651" s="165"/>
      <c r="D651" s="165"/>
      <c r="E651" s="292"/>
      <c r="F651" s="277"/>
      <c r="G651" s="165"/>
      <c r="H651" s="277"/>
      <c r="I651" s="277"/>
      <c r="J651" s="165"/>
      <c r="K651" s="165"/>
      <c r="L651" s="165"/>
      <c r="M651" s="165"/>
      <c r="N651" s="165"/>
      <c r="O651" s="165"/>
      <c r="P651" s="165"/>
      <c r="Q651" s="165"/>
      <c r="R651" s="165"/>
      <c r="S651" s="165"/>
      <c r="T651" s="165"/>
      <c r="U651" s="165"/>
      <c r="V651" s="165"/>
      <c r="W651" s="165"/>
      <c r="X651" s="165"/>
      <c r="Y651" s="285"/>
      <c r="Z651" s="165"/>
      <c r="AA651" s="165"/>
      <c r="AB651" s="165"/>
      <c r="AC651" s="165"/>
      <c r="AD651" s="165"/>
      <c r="AE651" s="165"/>
      <c r="AF651" s="165"/>
      <c r="AG651" s="165"/>
      <c r="AH651" s="165"/>
      <c r="AI651" s="165"/>
      <c r="AJ651" s="165"/>
      <c r="AK651" s="165"/>
      <c r="AL651" s="165"/>
    </row>
    <row r="652">
      <c r="A652" s="165"/>
      <c r="B652" s="165"/>
      <c r="C652" s="165"/>
      <c r="D652" s="165"/>
      <c r="E652" s="292"/>
      <c r="F652" s="277"/>
      <c r="G652" s="165"/>
      <c r="H652" s="277"/>
      <c r="I652" s="277"/>
      <c r="J652" s="165"/>
      <c r="K652" s="165"/>
      <c r="L652" s="165"/>
      <c r="M652" s="165"/>
      <c r="N652" s="165"/>
      <c r="O652" s="165"/>
      <c r="P652" s="165"/>
      <c r="Q652" s="165"/>
      <c r="R652" s="165"/>
      <c r="S652" s="165"/>
      <c r="T652" s="165"/>
      <c r="U652" s="165"/>
      <c r="V652" s="165"/>
      <c r="W652" s="165"/>
      <c r="X652" s="165"/>
      <c r="Y652" s="285"/>
      <c r="Z652" s="165"/>
      <c r="AA652" s="165"/>
      <c r="AB652" s="165"/>
      <c r="AC652" s="165"/>
      <c r="AD652" s="165"/>
      <c r="AE652" s="165"/>
      <c r="AF652" s="165"/>
      <c r="AG652" s="165"/>
      <c r="AH652" s="165"/>
      <c r="AI652" s="165"/>
      <c r="AJ652" s="165"/>
      <c r="AK652" s="165"/>
      <c r="AL652" s="165"/>
    </row>
    <row r="653">
      <c r="A653" s="165"/>
      <c r="B653" s="165"/>
      <c r="C653" s="165"/>
      <c r="D653" s="165"/>
      <c r="E653" s="292"/>
      <c r="F653" s="277"/>
      <c r="G653" s="165"/>
      <c r="H653" s="277"/>
      <c r="I653" s="277"/>
      <c r="J653" s="165"/>
      <c r="K653" s="165"/>
      <c r="L653" s="165"/>
      <c r="M653" s="165"/>
      <c r="N653" s="165"/>
      <c r="O653" s="165"/>
      <c r="P653" s="165"/>
      <c r="Q653" s="165"/>
      <c r="R653" s="165"/>
      <c r="S653" s="165"/>
      <c r="T653" s="165"/>
      <c r="U653" s="165"/>
      <c r="V653" s="165"/>
      <c r="W653" s="165"/>
      <c r="X653" s="165"/>
      <c r="Y653" s="285"/>
      <c r="Z653" s="165"/>
      <c r="AA653" s="165"/>
      <c r="AB653" s="165"/>
      <c r="AC653" s="165"/>
      <c r="AD653" s="165"/>
      <c r="AE653" s="165"/>
      <c r="AF653" s="165"/>
      <c r="AG653" s="165"/>
      <c r="AH653" s="165"/>
      <c r="AI653" s="165"/>
      <c r="AJ653" s="165"/>
      <c r="AK653" s="165"/>
      <c r="AL653" s="165"/>
    </row>
    <row r="654">
      <c r="A654" s="165"/>
      <c r="B654" s="165"/>
      <c r="C654" s="165"/>
      <c r="D654" s="165"/>
      <c r="E654" s="292"/>
      <c r="F654" s="277"/>
      <c r="G654" s="165"/>
      <c r="H654" s="277"/>
      <c r="I654" s="277"/>
      <c r="J654" s="165"/>
      <c r="K654" s="165"/>
      <c r="L654" s="165"/>
      <c r="M654" s="165"/>
      <c r="N654" s="165"/>
      <c r="O654" s="165"/>
      <c r="P654" s="165"/>
      <c r="Q654" s="165"/>
      <c r="R654" s="165"/>
      <c r="S654" s="165"/>
      <c r="T654" s="165"/>
      <c r="U654" s="165"/>
      <c r="V654" s="165"/>
      <c r="W654" s="165"/>
      <c r="X654" s="165"/>
      <c r="Y654" s="285"/>
      <c r="Z654" s="165"/>
      <c r="AA654" s="165"/>
      <c r="AB654" s="165"/>
      <c r="AC654" s="165"/>
      <c r="AD654" s="165"/>
      <c r="AE654" s="165"/>
      <c r="AF654" s="165"/>
      <c r="AG654" s="165"/>
      <c r="AH654" s="165"/>
      <c r="AI654" s="165"/>
      <c r="AJ654" s="165"/>
      <c r="AK654" s="165"/>
      <c r="AL654" s="165"/>
    </row>
    <row r="655">
      <c r="A655" s="165"/>
      <c r="B655" s="165"/>
      <c r="C655" s="165"/>
      <c r="D655" s="165"/>
      <c r="E655" s="292"/>
      <c r="F655" s="277"/>
      <c r="G655" s="165"/>
      <c r="H655" s="277"/>
      <c r="I655" s="277"/>
      <c r="J655" s="165"/>
      <c r="K655" s="165"/>
      <c r="L655" s="165"/>
      <c r="M655" s="165"/>
      <c r="N655" s="165"/>
      <c r="O655" s="165"/>
      <c r="P655" s="165"/>
      <c r="Q655" s="165"/>
      <c r="R655" s="165"/>
      <c r="S655" s="165"/>
      <c r="T655" s="165"/>
      <c r="U655" s="165"/>
      <c r="V655" s="165"/>
      <c r="W655" s="165"/>
      <c r="X655" s="165"/>
      <c r="Y655" s="285"/>
      <c r="Z655" s="165"/>
      <c r="AA655" s="165"/>
      <c r="AB655" s="165"/>
      <c r="AC655" s="165"/>
      <c r="AD655" s="165"/>
      <c r="AE655" s="165"/>
      <c r="AF655" s="165"/>
      <c r="AG655" s="165"/>
      <c r="AH655" s="165"/>
      <c r="AI655" s="165"/>
      <c r="AJ655" s="165"/>
      <c r="AK655" s="165"/>
      <c r="AL655" s="165"/>
    </row>
    <row r="656">
      <c r="A656" s="165"/>
      <c r="B656" s="165"/>
      <c r="C656" s="165"/>
      <c r="D656" s="165"/>
      <c r="E656" s="292"/>
      <c r="F656" s="277"/>
      <c r="G656" s="165"/>
      <c r="H656" s="277"/>
      <c r="I656" s="277"/>
      <c r="J656" s="165"/>
      <c r="K656" s="165"/>
      <c r="L656" s="165"/>
      <c r="M656" s="165"/>
      <c r="N656" s="165"/>
      <c r="O656" s="165"/>
      <c r="P656" s="165"/>
      <c r="Q656" s="165"/>
      <c r="R656" s="165"/>
      <c r="S656" s="165"/>
      <c r="T656" s="165"/>
      <c r="U656" s="165"/>
      <c r="V656" s="165"/>
      <c r="W656" s="165"/>
      <c r="X656" s="165"/>
      <c r="Y656" s="285"/>
      <c r="Z656" s="165"/>
      <c r="AA656" s="165"/>
      <c r="AB656" s="165"/>
      <c r="AC656" s="165"/>
      <c r="AD656" s="165"/>
      <c r="AE656" s="165"/>
      <c r="AF656" s="165"/>
      <c r="AG656" s="165"/>
      <c r="AH656" s="165"/>
      <c r="AI656" s="165"/>
      <c r="AJ656" s="165"/>
      <c r="AK656" s="165"/>
      <c r="AL656" s="165"/>
    </row>
    <row r="657">
      <c r="A657" s="165"/>
      <c r="B657" s="165"/>
      <c r="C657" s="165"/>
      <c r="D657" s="165"/>
      <c r="E657" s="292"/>
      <c r="F657" s="277"/>
      <c r="G657" s="165"/>
      <c r="H657" s="277"/>
      <c r="I657" s="277"/>
      <c r="J657" s="165"/>
      <c r="K657" s="165"/>
      <c r="L657" s="165"/>
      <c r="M657" s="165"/>
      <c r="N657" s="165"/>
      <c r="O657" s="165"/>
      <c r="P657" s="165"/>
      <c r="Q657" s="165"/>
      <c r="R657" s="165"/>
      <c r="S657" s="165"/>
      <c r="T657" s="165"/>
      <c r="U657" s="165"/>
      <c r="V657" s="165"/>
      <c r="W657" s="165"/>
      <c r="X657" s="165"/>
      <c r="Y657" s="285"/>
      <c r="Z657" s="165"/>
      <c r="AA657" s="165"/>
      <c r="AB657" s="165"/>
      <c r="AC657" s="165"/>
      <c r="AD657" s="165"/>
      <c r="AE657" s="165"/>
      <c r="AF657" s="165"/>
      <c r="AG657" s="165"/>
      <c r="AH657" s="165"/>
      <c r="AI657" s="165"/>
      <c r="AJ657" s="165"/>
      <c r="AK657" s="165"/>
      <c r="AL657" s="165"/>
    </row>
    <row r="658">
      <c r="A658" s="165"/>
      <c r="B658" s="165"/>
      <c r="C658" s="165"/>
      <c r="D658" s="165"/>
      <c r="E658" s="292"/>
      <c r="F658" s="277"/>
      <c r="G658" s="165"/>
      <c r="H658" s="277"/>
      <c r="I658" s="277"/>
      <c r="J658" s="165"/>
      <c r="K658" s="165"/>
      <c r="L658" s="165"/>
      <c r="M658" s="165"/>
      <c r="N658" s="165"/>
      <c r="O658" s="165"/>
      <c r="P658" s="165"/>
      <c r="Q658" s="165"/>
      <c r="R658" s="165"/>
      <c r="S658" s="165"/>
      <c r="T658" s="165"/>
      <c r="U658" s="165"/>
      <c r="V658" s="165"/>
      <c r="W658" s="165"/>
      <c r="X658" s="165"/>
      <c r="Y658" s="285"/>
      <c r="Z658" s="165"/>
      <c r="AA658" s="165"/>
      <c r="AB658" s="165"/>
      <c r="AC658" s="165"/>
      <c r="AD658" s="165"/>
      <c r="AE658" s="165"/>
      <c r="AF658" s="165"/>
      <c r="AG658" s="165"/>
      <c r="AH658" s="165"/>
      <c r="AI658" s="165"/>
      <c r="AJ658" s="165"/>
      <c r="AK658" s="165"/>
      <c r="AL658" s="165"/>
    </row>
    <row r="659">
      <c r="A659" s="165"/>
      <c r="B659" s="165"/>
      <c r="C659" s="165"/>
      <c r="D659" s="165"/>
      <c r="E659" s="292"/>
      <c r="F659" s="277"/>
      <c r="G659" s="165"/>
      <c r="H659" s="277"/>
      <c r="I659" s="277"/>
      <c r="J659" s="165"/>
      <c r="K659" s="165"/>
      <c r="L659" s="165"/>
      <c r="M659" s="165"/>
      <c r="N659" s="165"/>
      <c r="O659" s="165"/>
      <c r="P659" s="165"/>
      <c r="Q659" s="165"/>
      <c r="R659" s="165"/>
      <c r="S659" s="165"/>
      <c r="T659" s="165"/>
      <c r="U659" s="165"/>
      <c r="V659" s="165"/>
      <c r="W659" s="165"/>
      <c r="X659" s="165"/>
      <c r="Y659" s="285"/>
      <c r="Z659" s="165"/>
      <c r="AA659" s="165"/>
      <c r="AB659" s="165"/>
      <c r="AC659" s="165"/>
      <c r="AD659" s="165"/>
      <c r="AE659" s="165"/>
      <c r="AF659" s="165"/>
      <c r="AG659" s="165"/>
      <c r="AH659" s="165"/>
      <c r="AI659" s="165"/>
      <c r="AJ659" s="165"/>
      <c r="AK659" s="165"/>
      <c r="AL659" s="165"/>
    </row>
    <row r="660">
      <c r="A660" s="165"/>
      <c r="B660" s="165"/>
      <c r="C660" s="165"/>
      <c r="D660" s="165"/>
      <c r="E660" s="292"/>
      <c r="F660" s="277"/>
      <c r="G660" s="165"/>
      <c r="H660" s="277"/>
      <c r="I660" s="277"/>
      <c r="J660" s="165"/>
      <c r="K660" s="165"/>
      <c r="L660" s="165"/>
      <c r="M660" s="165"/>
      <c r="N660" s="165"/>
      <c r="O660" s="165"/>
      <c r="P660" s="165"/>
      <c r="Q660" s="165"/>
      <c r="R660" s="165"/>
      <c r="S660" s="165"/>
      <c r="T660" s="165"/>
      <c r="U660" s="165"/>
      <c r="V660" s="165"/>
      <c r="W660" s="165"/>
      <c r="X660" s="165"/>
      <c r="Y660" s="285"/>
      <c r="Z660" s="165"/>
      <c r="AA660" s="165"/>
      <c r="AB660" s="165"/>
      <c r="AC660" s="165"/>
      <c r="AD660" s="165"/>
      <c r="AE660" s="165"/>
      <c r="AF660" s="165"/>
      <c r="AG660" s="165"/>
      <c r="AH660" s="165"/>
      <c r="AI660" s="165"/>
      <c r="AJ660" s="165"/>
      <c r="AK660" s="165"/>
      <c r="AL660" s="165"/>
    </row>
    <row r="661">
      <c r="A661" s="165"/>
      <c r="B661" s="165"/>
      <c r="C661" s="165"/>
      <c r="D661" s="165"/>
      <c r="E661" s="292"/>
      <c r="F661" s="277"/>
      <c r="G661" s="165"/>
      <c r="H661" s="277"/>
      <c r="I661" s="277"/>
      <c r="J661" s="165"/>
      <c r="K661" s="165"/>
      <c r="L661" s="165"/>
      <c r="M661" s="165"/>
      <c r="N661" s="165"/>
      <c r="O661" s="165"/>
      <c r="P661" s="165"/>
      <c r="Q661" s="165"/>
      <c r="R661" s="165"/>
      <c r="S661" s="165"/>
      <c r="T661" s="165"/>
      <c r="U661" s="165"/>
      <c r="V661" s="165"/>
      <c r="W661" s="165"/>
      <c r="X661" s="165"/>
      <c r="Y661" s="285"/>
      <c r="Z661" s="165"/>
      <c r="AA661" s="165"/>
      <c r="AB661" s="165"/>
      <c r="AC661" s="165"/>
      <c r="AD661" s="165"/>
      <c r="AE661" s="165"/>
      <c r="AF661" s="165"/>
      <c r="AG661" s="165"/>
      <c r="AH661" s="165"/>
      <c r="AI661" s="165"/>
      <c r="AJ661" s="165"/>
      <c r="AK661" s="165"/>
      <c r="AL661" s="165"/>
    </row>
    <row r="662">
      <c r="A662" s="165"/>
      <c r="B662" s="165"/>
      <c r="C662" s="165"/>
      <c r="D662" s="165"/>
      <c r="E662" s="292"/>
      <c r="F662" s="277"/>
      <c r="G662" s="165"/>
      <c r="H662" s="277"/>
      <c r="I662" s="277"/>
      <c r="J662" s="165"/>
      <c r="K662" s="165"/>
      <c r="L662" s="165"/>
      <c r="M662" s="165"/>
      <c r="N662" s="165"/>
      <c r="O662" s="165"/>
      <c r="P662" s="165"/>
      <c r="Q662" s="165"/>
      <c r="R662" s="165"/>
      <c r="S662" s="165"/>
      <c r="T662" s="165"/>
      <c r="U662" s="165"/>
      <c r="V662" s="165"/>
      <c r="W662" s="165"/>
      <c r="X662" s="165"/>
      <c r="Y662" s="285"/>
      <c r="Z662" s="165"/>
      <c r="AA662" s="165"/>
      <c r="AB662" s="165"/>
      <c r="AC662" s="165"/>
      <c r="AD662" s="165"/>
      <c r="AE662" s="165"/>
      <c r="AF662" s="165"/>
      <c r="AG662" s="165"/>
      <c r="AH662" s="165"/>
      <c r="AI662" s="165"/>
      <c r="AJ662" s="165"/>
      <c r="AK662" s="165"/>
      <c r="AL662" s="165"/>
    </row>
    <row r="663">
      <c r="A663" s="165"/>
      <c r="B663" s="165"/>
      <c r="C663" s="165"/>
      <c r="D663" s="165"/>
      <c r="E663" s="292"/>
      <c r="F663" s="277"/>
      <c r="G663" s="165"/>
      <c r="H663" s="277"/>
      <c r="I663" s="277"/>
      <c r="J663" s="165"/>
      <c r="K663" s="165"/>
      <c r="L663" s="165"/>
      <c r="M663" s="165"/>
      <c r="N663" s="165"/>
      <c r="O663" s="165"/>
      <c r="P663" s="165"/>
      <c r="Q663" s="165"/>
      <c r="R663" s="165"/>
      <c r="S663" s="165"/>
      <c r="T663" s="165"/>
      <c r="U663" s="165"/>
      <c r="V663" s="165"/>
      <c r="W663" s="165"/>
      <c r="X663" s="165"/>
      <c r="Y663" s="285"/>
      <c r="Z663" s="165"/>
      <c r="AA663" s="165"/>
      <c r="AB663" s="165"/>
      <c r="AC663" s="165"/>
      <c r="AD663" s="165"/>
      <c r="AE663" s="165"/>
      <c r="AF663" s="165"/>
      <c r="AG663" s="165"/>
      <c r="AH663" s="165"/>
      <c r="AI663" s="165"/>
      <c r="AJ663" s="165"/>
      <c r="AK663" s="165"/>
      <c r="AL663" s="165"/>
    </row>
    <row r="664">
      <c r="A664" s="165"/>
      <c r="B664" s="165"/>
      <c r="C664" s="165"/>
      <c r="D664" s="165"/>
      <c r="E664" s="292"/>
      <c r="F664" s="277"/>
      <c r="G664" s="165"/>
      <c r="H664" s="277"/>
      <c r="I664" s="277"/>
      <c r="J664" s="165"/>
      <c r="K664" s="165"/>
      <c r="L664" s="165"/>
      <c r="M664" s="165"/>
      <c r="N664" s="165"/>
      <c r="O664" s="165"/>
      <c r="P664" s="165"/>
      <c r="Q664" s="165"/>
      <c r="R664" s="165"/>
      <c r="S664" s="165"/>
      <c r="T664" s="165"/>
      <c r="U664" s="165"/>
      <c r="V664" s="165"/>
      <c r="W664" s="165"/>
      <c r="X664" s="165"/>
      <c r="Y664" s="285"/>
      <c r="Z664" s="165"/>
      <c r="AA664" s="165"/>
      <c r="AB664" s="165"/>
      <c r="AC664" s="165"/>
      <c r="AD664" s="165"/>
      <c r="AE664" s="165"/>
      <c r="AF664" s="165"/>
      <c r="AG664" s="165"/>
      <c r="AH664" s="165"/>
      <c r="AI664" s="165"/>
      <c r="AJ664" s="165"/>
      <c r="AK664" s="165"/>
      <c r="AL664" s="165"/>
    </row>
    <row r="665">
      <c r="A665" s="165"/>
      <c r="B665" s="165"/>
      <c r="C665" s="165"/>
      <c r="D665" s="165"/>
      <c r="E665" s="292"/>
      <c r="F665" s="277"/>
      <c r="G665" s="165"/>
      <c r="H665" s="277"/>
      <c r="I665" s="277"/>
      <c r="J665" s="165"/>
      <c r="K665" s="165"/>
      <c r="L665" s="165"/>
      <c r="M665" s="165"/>
      <c r="N665" s="165"/>
      <c r="O665" s="165"/>
      <c r="P665" s="165"/>
      <c r="Q665" s="165"/>
      <c r="R665" s="165"/>
      <c r="S665" s="165"/>
      <c r="T665" s="165"/>
      <c r="U665" s="165"/>
      <c r="V665" s="165"/>
      <c r="W665" s="165"/>
      <c r="X665" s="165"/>
      <c r="Y665" s="285"/>
      <c r="Z665" s="165"/>
      <c r="AA665" s="165"/>
      <c r="AB665" s="165"/>
      <c r="AC665" s="165"/>
      <c r="AD665" s="165"/>
      <c r="AE665" s="165"/>
      <c r="AF665" s="165"/>
      <c r="AG665" s="165"/>
      <c r="AH665" s="165"/>
      <c r="AI665" s="165"/>
      <c r="AJ665" s="165"/>
      <c r="AK665" s="165"/>
      <c r="AL665" s="165"/>
    </row>
    <row r="666">
      <c r="A666" s="165"/>
      <c r="B666" s="165"/>
      <c r="C666" s="165"/>
      <c r="D666" s="165"/>
      <c r="E666" s="292"/>
      <c r="F666" s="277"/>
      <c r="G666" s="165"/>
      <c r="H666" s="277"/>
      <c r="I666" s="277"/>
      <c r="J666" s="165"/>
      <c r="K666" s="165"/>
      <c r="L666" s="165"/>
      <c r="M666" s="165"/>
      <c r="N666" s="165"/>
      <c r="O666" s="165"/>
      <c r="P666" s="165"/>
      <c r="Q666" s="165"/>
      <c r="R666" s="165"/>
      <c r="S666" s="165"/>
      <c r="T666" s="165"/>
      <c r="U666" s="165"/>
      <c r="V666" s="165"/>
      <c r="W666" s="165"/>
      <c r="X666" s="165"/>
      <c r="Y666" s="285"/>
      <c r="Z666" s="165"/>
      <c r="AA666" s="165"/>
      <c r="AB666" s="165"/>
      <c r="AC666" s="165"/>
      <c r="AD666" s="165"/>
      <c r="AE666" s="165"/>
      <c r="AF666" s="165"/>
      <c r="AG666" s="165"/>
      <c r="AH666" s="165"/>
      <c r="AI666" s="165"/>
      <c r="AJ666" s="165"/>
      <c r="AK666" s="165"/>
      <c r="AL666" s="165"/>
    </row>
    <row r="667">
      <c r="A667" s="165"/>
      <c r="B667" s="165"/>
      <c r="C667" s="165"/>
      <c r="D667" s="165"/>
      <c r="E667" s="292"/>
      <c r="F667" s="277"/>
      <c r="G667" s="165"/>
      <c r="H667" s="277"/>
      <c r="I667" s="277"/>
      <c r="J667" s="165"/>
      <c r="K667" s="165"/>
      <c r="L667" s="165"/>
      <c r="M667" s="165"/>
      <c r="N667" s="165"/>
      <c r="O667" s="165"/>
      <c r="P667" s="165"/>
      <c r="Q667" s="165"/>
      <c r="R667" s="165"/>
      <c r="S667" s="165"/>
      <c r="T667" s="165"/>
      <c r="U667" s="165"/>
      <c r="V667" s="165"/>
      <c r="W667" s="165"/>
      <c r="X667" s="165"/>
      <c r="Y667" s="285"/>
      <c r="Z667" s="165"/>
      <c r="AA667" s="165"/>
      <c r="AB667" s="165"/>
      <c r="AC667" s="165"/>
      <c r="AD667" s="165"/>
      <c r="AE667" s="165"/>
      <c r="AF667" s="165"/>
      <c r="AG667" s="165"/>
      <c r="AH667" s="165"/>
      <c r="AI667" s="165"/>
      <c r="AJ667" s="165"/>
      <c r="AK667" s="165"/>
      <c r="AL667" s="165"/>
    </row>
    <row r="668">
      <c r="A668" s="165"/>
      <c r="B668" s="165"/>
      <c r="C668" s="165"/>
      <c r="D668" s="165"/>
      <c r="E668" s="292"/>
      <c r="F668" s="277"/>
      <c r="G668" s="165"/>
      <c r="H668" s="277"/>
      <c r="I668" s="277"/>
      <c r="J668" s="165"/>
      <c r="K668" s="165"/>
      <c r="L668" s="165"/>
      <c r="M668" s="165"/>
      <c r="N668" s="165"/>
      <c r="O668" s="165"/>
      <c r="P668" s="165"/>
      <c r="Q668" s="165"/>
      <c r="R668" s="165"/>
      <c r="S668" s="165"/>
      <c r="T668" s="165"/>
      <c r="U668" s="165"/>
      <c r="V668" s="165"/>
      <c r="W668" s="165"/>
      <c r="X668" s="165"/>
      <c r="Y668" s="285"/>
      <c r="Z668" s="165"/>
      <c r="AA668" s="165"/>
      <c r="AB668" s="165"/>
      <c r="AC668" s="165"/>
      <c r="AD668" s="165"/>
      <c r="AE668" s="165"/>
      <c r="AF668" s="165"/>
      <c r="AG668" s="165"/>
      <c r="AH668" s="165"/>
      <c r="AI668" s="165"/>
      <c r="AJ668" s="165"/>
      <c r="AK668" s="165"/>
      <c r="AL668" s="165"/>
    </row>
    <row r="669">
      <c r="A669" s="165"/>
      <c r="B669" s="165"/>
      <c r="C669" s="165"/>
      <c r="D669" s="165"/>
      <c r="E669" s="292"/>
      <c r="F669" s="277"/>
      <c r="G669" s="165"/>
      <c r="H669" s="277"/>
      <c r="I669" s="277"/>
      <c r="J669" s="165"/>
      <c r="K669" s="165"/>
      <c r="L669" s="165"/>
      <c r="M669" s="165"/>
      <c r="N669" s="165"/>
      <c r="O669" s="165"/>
      <c r="P669" s="165"/>
      <c r="Q669" s="165"/>
      <c r="R669" s="165"/>
      <c r="S669" s="165"/>
      <c r="T669" s="165"/>
      <c r="U669" s="165"/>
      <c r="V669" s="165"/>
      <c r="W669" s="165"/>
      <c r="X669" s="165"/>
      <c r="Y669" s="285"/>
      <c r="Z669" s="165"/>
      <c r="AA669" s="165"/>
      <c r="AB669" s="165"/>
      <c r="AC669" s="165"/>
      <c r="AD669" s="165"/>
      <c r="AE669" s="165"/>
      <c r="AF669" s="165"/>
      <c r="AG669" s="165"/>
      <c r="AH669" s="165"/>
      <c r="AI669" s="165"/>
      <c r="AJ669" s="165"/>
      <c r="AK669" s="165"/>
      <c r="AL669" s="165"/>
    </row>
    <row r="670">
      <c r="A670" s="165"/>
      <c r="B670" s="165"/>
      <c r="C670" s="165"/>
      <c r="D670" s="165"/>
      <c r="E670" s="292"/>
      <c r="F670" s="277"/>
      <c r="G670" s="165"/>
      <c r="H670" s="277"/>
      <c r="I670" s="277"/>
      <c r="J670" s="165"/>
      <c r="K670" s="165"/>
      <c r="L670" s="165"/>
      <c r="M670" s="165"/>
      <c r="N670" s="165"/>
      <c r="O670" s="165"/>
      <c r="P670" s="165"/>
      <c r="Q670" s="165"/>
      <c r="R670" s="165"/>
      <c r="S670" s="165"/>
      <c r="T670" s="165"/>
      <c r="U670" s="165"/>
      <c r="V670" s="165"/>
      <c r="W670" s="165"/>
      <c r="X670" s="165"/>
      <c r="Y670" s="285"/>
      <c r="Z670" s="165"/>
      <c r="AA670" s="165"/>
      <c r="AB670" s="165"/>
      <c r="AC670" s="165"/>
      <c r="AD670" s="165"/>
      <c r="AE670" s="165"/>
      <c r="AF670" s="165"/>
      <c r="AG670" s="165"/>
      <c r="AH670" s="165"/>
      <c r="AI670" s="165"/>
      <c r="AJ670" s="165"/>
      <c r="AK670" s="165"/>
      <c r="AL670" s="165"/>
    </row>
    <row r="671">
      <c r="A671" s="165"/>
      <c r="B671" s="165"/>
      <c r="C671" s="165"/>
      <c r="D671" s="165"/>
      <c r="E671" s="292"/>
      <c r="F671" s="277"/>
      <c r="G671" s="165"/>
      <c r="H671" s="277"/>
      <c r="I671" s="277"/>
      <c r="J671" s="165"/>
      <c r="K671" s="165"/>
      <c r="L671" s="165"/>
      <c r="M671" s="165"/>
      <c r="N671" s="165"/>
      <c r="O671" s="165"/>
      <c r="P671" s="165"/>
      <c r="Q671" s="165"/>
      <c r="R671" s="165"/>
      <c r="S671" s="165"/>
      <c r="T671" s="165"/>
      <c r="U671" s="165"/>
      <c r="V671" s="165"/>
      <c r="W671" s="165"/>
      <c r="X671" s="165"/>
      <c r="Y671" s="285"/>
      <c r="Z671" s="165"/>
      <c r="AA671" s="165"/>
      <c r="AB671" s="165"/>
      <c r="AC671" s="165"/>
      <c r="AD671" s="165"/>
      <c r="AE671" s="165"/>
      <c r="AF671" s="165"/>
      <c r="AG671" s="165"/>
      <c r="AH671" s="165"/>
      <c r="AI671" s="165"/>
      <c r="AJ671" s="165"/>
      <c r="AK671" s="165"/>
      <c r="AL671" s="165"/>
    </row>
    <row r="672">
      <c r="A672" s="165"/>
      <c r="B672" s="165"/>
      <c r="C672" s="165"/>
      <c r="D672" s="165"/>
      <c r="E672" s="292"/>
      <c r="F672" s="277"/>
      <c r="G672" s="165"/>
      <c r="H672" s="277"/>
      <c r="I672" s="277"/>
      <c r="J672" s="165"/>
      <c r="K672" s="165"/>
      <c r="L672" s="165"/>
      <c r="M672" s="165"/>
      <c r="N672" s="165"/>
      <c r="O672" s="165"/>
      <c r="P672" s="165"/>
      <c r="Q672" s="165"/>
      <c r="R672" s="165"/>
      <c r="S672" s="165"/>
      <c r="T672" s="165"/>
      <c r="U672" s="165"/>
      <c r="V672" s="165"/>
      <c r="W672" s="165"/>
      <c r="X672" s="165"/>
      <c r="Y672" s="285"/>
      <c r="Z672" s="165"/>
      <c r="AA672" s="165"/>
      <c r="AB672" s="165"/>
      <c r="AC672" s="165"/>
      <c r="AD672" s="165"/>
      <c r="AE672" s="165"/>
      <c r="AF672" s="165"/>
      <c r="AG672" s="165"/>
      <c r="AH672" s="165"/>
      <c r="AI672" s="165"/>
      <c r="AJ672" s="165"/>
      <c r="AK672" s="165"/>
      <c r="AL672" s="165"/>
    </row>
    <row r="673">
      <c r="A673" s="165"/>
      <c r="B673" s="165"/>
      <c r="C673" s="165"/>
      <c r="D673" s="165"/>
      <c r="E673" s="292"/>
      <c r="F673" s="277"/>
      <c r="G673" s="165"/>
      <c r="H673" s="277"/>
      <c r="I673" s="277"/>
      <c r="J673" s="165"/>
      <c r="K673" s="165"/>
      <c r="L673" s="165"/>
      <c r="M673" s="165"/>
      <c r="N673" s="165"/>
      <c r="O673" s="165"/>
      <c r="P673" s="165"/>
      <c r="Q673" s="165"/>
      <c r="R673" s="165"/>
      <c r="S673" s="165"/>
      <c r="T673" s="165"/>
      <c r="U673" s="165"/>
      <c r="V673" s="165"/>
      <c r="W673" s="165"/>
      <c r="X673" s="165"/>
      <c r="Y673" s="285"/>
      <c r="Z673" s="165"/>
      <c r="AA673" s="165"/>
      <c r="AB673" s="165"/>
      <c r="AC673" s="165"/>
      <c r="AD673" s="165"/>
      <c r="AE673" s="165"/>
      <c r="AF673" s="165"/>
      <c r="AG673" s="165"/>
      <c r="AH673" s="165"/>
      <c r="AI673" s="165"/>
      <c r="AJ673" s="165"/>
      <c r="AK673" s="165"/>
      <c r="AL673" s="165"/>
    </row>
    <row r="674">
      <c r="A674" s="165"/>
      <c r="B674" s="165"/>
      <c r="C674" s="165"/>
      <c r="D674" s="165"/>
      <c r="E674" s="292"/>
      <c r="F674" s="277"/>
      <c r="G674" s="165"/>
      <c r="H674" s="277"/>
      <c r="I674" s="277"/>
      <c r="J674" s="165"/>
      <c r="K674" s="165"/>
      <c r="L674" s="165"/>
      <c r="M674" s="165"/>
      <c r="N674" s="165"/>
      <c r="O674" s="165"/>
      <c r="P674" s="165"/>
      <c r="Q674" s="165"/>
      <c r="R674" s="165"/>
      <c r="S674" s="165"/>
      <c r="T674" s="165"/>
      <c r="U674" s="165"/>
      <c r="V674" s="165"/>
      <c r="W674" s="165"/>
      <c r="X674" s="165"/>
      <c r="Y674" s="285"/>
      <c r="Z674" s="165"/>
      <c r="AA674" s="165"/>
      <c r="AB674" s="165"/>
      <c r="AC674" s="165"/>
      <c r="AD674" s="165"/>
      <c r="AE674" s="165"/>
      <c r="AF674" s="165"/>
      <c r="AG674" s="165"/>
      <c r="AH674" s="165"/>
      <c r="AI674" s="165"/>
      <c r="AJ674" s="165"/>
      <c r="AK674" s="165"/>
      <c r="AL674" s="165"/>
    </row>
    <row r="675">
      <c r="A675" s="165"/>
      <c r="B675" s="165"/>
      <c r="C675" s="165"/>
      <c r="D675" s="165"/>
      <c r="E675" s="292"/>
      <c r="F675" s="277"/>
      <c r="G675" s="165"/>
      <c r="H675" s="277"/>
      <c r="I675" s="277"/>
      <c r="J675" s="165"/>
      <c r="K675" s="165"/>
      <c r="L675" s="165"/>
      <c r="M675" s="165"/>
      <c r="N675" s="165"/>
      <c r="O675" s="165"/>
      <c r="P675" s="165"/>
      <c r="Q675" s="165"/>
      <c r="R675" s="165"/>
      <c r="S675" s="165"/>
      <c r="T675" s="165"/>
      <c r="U675" s="165"/>
      <c r="V675" s="165"/>
      <c r="W675" s="165"/>
      <c r="X675" s="165"/>
      <c r="Y675" s="285"/>
      <c r="Z675" s="165"/>
      <c r="AA675" s="165"/>
      <c r="AB675" s="165"/>
      <c r="AC675" s="165"/>
      <c r="AD675" s="165"/>
      <c r="AE675" s="165"/>
      <c r="AF675" s="165"/>
      <c r="AG675" s="165"/>
      <c r="AH675" s="165"/>
      <c r="AI675" s="165"/>
      <c r="AJ675" s="165"/>
      <c r="AK675" s="165"/>
      <c r="AL675" s="165"/>
    </row>
    <row r="676">
      <c r="A676" s="165"/>
      <c r="B676" s="165"/>
      <c r="C676" s="165"/>
      <c r="D676" s="165"/>
      <c r="E676" s="292"/>
      <c r="F676" s="277"/>
      <c r="G676" s="165"/>
      <c r="H676" s="277"/>
      <c r="I676" s="277"/>
      <c r="J676" s="165"/>
      <c r="K676" s="165"/>
      <c r="L676" s="165"/>
      <c r="M676" s="165"/>
      <c r="N676" s="165"/>
      <c r="O676" s="165"/>
      <c r="P676" s="165"/>
      <c r="Q676" s="165"/>
      <c r="R676" s="165"/>
      <c r="S676" s="165"/>
      <c r="T676" s="165"/>
      <c r="U676" s="165"/>
      <c r="V676" s="165"/>
      <c r="W676" s="165"/>
      <c r="X676" s="165"/>
      <c r="Y676" s="285"/>
      <c r="Z676" s="165"/>
      <c r="AA676" s="165"/>
      <c r="AB676" s="165"/>
      <c r="AC676" s="165"/>
      <c r="AD676" s="165"/>
      <c r="AE676" s="165"/>
      <c r="AF676" s="165"/>
      <c r="AG676" s="165"/>
      <c r="AH676" s="165"/>
      <c r="AI676" s="165"/>
      <c r="AJ676" s="165"/>
      <c r="AK676" s="165"/>
      <c r="AL676" s="165"/>
    </row>
    <row r="677">
      <c r="A677" s="165"/>
      <c r="B677" s="165"/>
      <c r="C677" s="165"/>
      <c r="D677" s="165"/>
      <c r="E677" s="292"/>
      <c r="F677" s="277"/>
      <c r="G677" s="165"/>
      <c r="H677" s="277"/>
      <c r="I677" s="277"/>
      <c r="J677" s="165"/>
      <c r="K677" s="165"/>
      <c r="L677" s="165"/>
      <c r="M677" s="165"/>
      <c r="N677" s="165"/>
      <c r="O677" s="165"/>
      <c r="P677" s="165"/>
      <c r="Q677" s="165"/>
      <c r="R677" s="165"/>
      <c r="S677" s="165"/>
      <c r="T677" s="165"/>
      <c r="U677" s="165"/>
      <c r="V677" s="165"/>
      <c r="W677" s="165"/>
      <c r="X677" s="165"/>
      <c r="Y677" s="285"/>
      <c r="Z677" s="165"/>
      <c r="AA677" s="165"/>
      <c r="AB677" s="165"/>
      <c r="AC677" s="165"/>
      <c r="AD677" s="165"/>
      <c r="AE677" s="165"/>
      <c r="AF677" s="165"/>
      <c r="AG677" s="165"/>
      <c r="AH677" s="165"/>
      <c r="AI677" s="165"/>
      <c r="AJ677" s="165"/>
      <c r="AK677" s="165"/>
      <c r="AL677" s="165"/>
    </row>
    <row r="678">
      <c r="A678" s="165"/>
      <c r="B678" s="165"/>
      <c r="C678" s="165"/>
      <c r="D678" s="165"/>
      <c r="E678" s="292"/>
      <c r="F678" s="277"/>
      <c r="G678" s="165"/>
      <c r="H678" s="277"/>
      <c r="I678" s="277"/>
      <c r="J678" s="165"/>
      <c r="K678" s="165"/>
      <c r="L678" s="165"/>
      <c r="M678" s="165"/>
      <c r="N678" s="165"/>
      <c r="O678" s="165"/>
      <c r="P678" s="165"/>
      <c r="Q678" s="165"/>
      <c r="R678" s="165"/>
      <c r="S678" s="165"/>
      <c r="T678" s="165"/>
      <c r="U678" s="165"/>
      <c r="V678" s="165"/>
      <c r="W678" s="165"/>
      <c r="X678" s="165"/>
      <c r="Y678" s="285"/>
      <c r="Z678" s="165"/>
      <c r="AA678" s="165"/>
      <c r="AB678" s="165"/>
      <c r="AC678" s="165"/>
      <c r="AD678" s="165"/>
      <c r="AE678" s="165"/>
      <c r="AF678" s="165"/>
      <c r="AG678" s="165"/>
      <c r="AH678" s="165"/>
      <c r="AI678" s="165"/>
      <c r="AJ678" s="165"/>
      <c r="AK678" s="165"/>
      <c r="AL678" s="165"/>
    </row>
    <row r="679">
      <c r="A679" s="165"/>
      <c r="B679" s="165"/>
      <c r="C679" s="165"/>
      <c r="D679" s="165"/>
      <c r="E679" s="292"/>
      <c r="F679" s="277"/>
      <c r="G679" s="165"/>
      <c r="H679" s="277"/>
      <c r="I679" s="277"/>
      <c r="J679" s="165"/>
      <c r="K679" s="165"/>
      <c r="L679" s="165"/>
      <c r="M679" s="165"/>
      <c r="N679" s="165"/>
      <c r="O679" s="165"/>
      <c r="P679" s="165"/>
      <c r="Q679" s="165"/>
      <c r="R679" s="165"/>
      <c r="S679" s="165"/>
      <c r="T679" s="165"/>
      <c r="U679" s="165"/>
      <c r="V679" s="165"/>
      <c r="W679" s="165"/>
      <c r="X679" s="165"/>
      <c r="Y679" s="285"/>
      <c r="Z679" s="165"/>
      <c r="AA679" s="165"/>
      <c r="AB679" s="165"/>
      <c r="AC679" s="165"/>
      <c r="AD679" s="165"/>
      <c r="AE679" s="165"/>
      <c r="AF679" s="165"/>
      <c r="AG679" s="165"/>
      <c r="AH679" s="165"/>
      <c r="AI679" s="165"/>
      <c r="AJ679" s="165"/>
      <c r="AK679" s="165"/>
      <c r="AL679" s="165"/>
    </row>
    <row r="680">
      <c r="A680" s="165"/>
      <c r="B680" s="165"/>
      <c r="C680" s="165"/>
      <c r="D680" s="165"/>
      <c r="E680" s="292"/>
      <c r="F680" s="277"/>
      <c r="G680" s="165"/>
      <c r="H680" s="277"/>
      <c r="I680" s="277"/>
      <c r="J680" s="165"/>
      <c r="K680" s="165"/>
      <c r="L680" s="165"/>
      <c r="M680" s="165"/>
      <c r="N680" s="165"/>
      <c r="O680" s="165"/>
      <c r="P680" s="165"/>
      <c r="Q680" s="165"/>
      <c r="R680" s="165"/>
      <c r="S680" s="165"/>
      <c r="T680" s="165"/>
      <c r="U680" s="165"/>
      <c r="V680" s="165"/>
      <c r="W680" s="165"/>
      <c r="X680" s="165"/>
      <c r="Y680" s="285"/>
      <c r="Z680" s="165"/>
      <c r="AA680" s="165"/>
      <c r="AB680" s="165"/>
      <c r="AC680" s="165"/>
      <c r="AD680" s="165"/>
      <c r="AE680" s="165"/>
      <c r="AF680" s="165"/>
      <c r="AG680" s="165"/>
      <c r="AH680" s="165"/>
      <c r="AI680" s="165"/>
      <c r="AJ680" s="165"/>
      <c r="AK680" s="165"/>
      <c r="AL680" s="165"/>
    </row>
    <row r="681">
      <c r="A681" s="165"/>
      <c r="B681" s="165"/>
      <c r="C681" s="165"/>
      <c r="D681" s="165"/>
      <c r="E681" s="292"/>
      <c r="F681" s="277"/>
      <c r="G681" s="165"/>
      <c r="H681" s="277"/>
      <c r="I681" s="277"/>
      <c r="J681" s="165"/>
      <c r="K681" s="165"/>
      <c r="L681" s="165"/>
      <c r="M681" s="165"/>
      <c r="N681" s="165"/>
      <c r="O681" s="165"/>
      <c r="P681" s="165"/>
      <c r="Q681" s="165"/>
      <c r="R681" s="165"/>
      <c r="S681" s="165"/>
      <c r="T681" s="165"/>
      <c r="U681" s="165"/>
      <c r="V681" s="165"/>
      <c r="W681" s="165"/>
      <c r="X681" s="165"/>
      <c r="Y681" s="285"/>
      <c r="Z681" s="165"/>
      <c r="AA681" s="165"/>
      <c r="AB681" s="165"/>
      <c r="AC681" s="165"/>
      <c r="AD681" s="165"/>
      <c r="AE681" s="165"/>
      <c r="AF681" s="165"/>
      <c r="AG681" s="165"/>
      <c r="AH681" s="165"/>
      <c r="AI681" s="165"/>
      <c r="AJ681" s="165"/>
      <c r="AK681" s="165"/>
      <c r="AL681" s="165"/>
    </row>
    <row r="682">
      <c r="A682" s="165"/>
      <c r="B682" s="165"/>
      <c r="C682" s="165"/>
      <c r="D682" s="165"/>
      <c r="E682" s="292"/>
      <c r="F682" s="277"/>
      <c r="G682" s="165"/>
      <c r="H682" s="277"/>
      <c r="I682" s="277"/>
      <c r="J682" s="165"/>
      <c r="K682" s="165"/>
      <c r="L682" s="165"/>
      <c r="M682" s="165"/>
      <c r="N682" s="165"/>
      <c r="O682" s="165"/>
      <c r="P682" s="165"/>
      <c r="Q682" s="165"/>
      <c r="R682" s="165"/>
      <c r="S682" s="165"/>
      <c r="T682" s="165"/>
      <c r="U682" s="165"/>
      <c r="V682" s="165"/>
      <c r="W682" s="165"/>
      <c r="X682" s="165"/>
      <c r="Y682" s="285"/>
      <c r="Z682" s="165"/>
      <c r="AA682" s="165"/>
      <c r="AB682" s="165"/>
      <c r="AC682" s="165"/>
      <c r="AD682" s="165"/>
      <c r="AE682" s="165"/>
      <c r="AF682" s="165"/>
      <c r="AG682" s="165"/>
      <c r="AH682" s="165"/>
      <c r="AI682" s="165"/>
      <c r="AJ682" s="165"/>
      <c r="AK682" s="165"/>
      <c r="AL682" s="165"/>
    </row>
    <row r="683">
      <c r="A683" s="165"/>
      <c r="B683" s="165"/>
      <c r="C683" s="165"/>
      <c r="D683" s="165"/>
      <c r="E683" s="292"/>
      <c r="F683" s="277"/>
      <c r="G683" s="165"/>
      <c r="H683" s="277"/>
      <c r="I683" s="277"/>
      <c r="J683" s="165"/>
      <c r="K683" s="165"/>
      <c r="L683" s="165"/>
      <c r="M683" s="165"/>
      <c r="N683" s="165"/>
      <c r="O683" s="165"/>
      <c r="P683" s="165"/>
      <c r="Q683" s="165"/>
      <c r="R683" s="165"/>
      <c r="S683" s="165"/>
      <c r="T683" s="165"/>
      <c r="U683" s="165"/>
      <c r="V683" s="165"/>
      <c r="W683" s="165"/>
      <c r="X683" s="165"/>
      <c r="Y683" s="285"/>
      <c r="Z683" s="165"/>
      <c r="AA683" s="165"/>
      <c r="AB683" s="165"/>
      <c r="AC683" s="165"/>
      <c r="AD683" s="165"/>
      <c r="AE683" s="165"/>
      <c r="AF683" s="165"/>
      <c r="AG683" s="165"/>
      <c r="AH683" s="165"/>
      <c r="AI683" s="165"/>
      <c r="AJ683" s="165"/>
      <c r="AK683" s="165"/>
      <c r="AL683" s="165"/>
    </row>
    <row r="684">
      <c r="A684" s="165"/>
      <c r="B684" s="165"/>
      <c r="C684" s="165"/>
      <c r="D684" s="165"/>
      <c r="E684" s="292"/>
      <c r="F684" s="277"/>
      <c r="G684" s="165"/>
      <c r="H684" s="277"/>
      <c r="I684" s="277"/>
      <c r="J684" s="165"/>
      <c r="K684" s="165"/>
      <c r="L684" s="165"/>
      <c r="M684" s="165"/>
      <c r="N684" s="165"/>
      <c r="O684" s="165"/>
      <c r="P684" s="165"/>
      <c r="Q684" s="165"/>
      <c r="R684" s="165"/>
      <c r="S684" s="165"/>
      <c r="T684" s="165"/>
      <c r="U684" s="165"/>
      <c r="V684" s="165"/>
      <c r="W684" s="165"/>
      <c r="X684" s="165"/>
      <c r="Y684" s="285"/>
      <c r="Z684" s="165"/>
      <c r="AA684" s="165"/>
      <c r="AB684" s="165"/>
      <c r="AC684" s="165"/>
      <c r="AD684" s="165"/>
      <c r="AE684" s="165"/>
      <c r="AF684" s="165"/>
      <c r="AG684" s="165"/>
      <c r="AH684" s="165"/>
      <c r="AI684" s="165"/>
      <c r="AJ684" s="165"/>
      <c r="AK684" s="165"/>
      <c r="AL684" s="165"/>
    </row>
    <row r="685">
      <c r="A685" s="165"/>
      <c r="B685" s="165"/>
      <c r="C685" s="165"/>
      <c r="D685" s="165"/>
      <c r="E685" s="292"/>
      <c r="F685" s="277"/>
      <c r="G685" s="165"/>
      <c r="H685" s="277"/>
      <c r="I685" s="277"/>
      <c r="J685" s="165"/>
      <c r="K685" s="165"/>
      <c r="L685" s="165"/>
      <c r="M685" s="165"/>
      <c r="N685" s="165"/>
      <c r="O685" s="165"/>
      <c r="P685" s="165"/>
      <c r="Q685" s="165"/>
      <c r="R685" s="165"/>
      <c r="S685" s="165"/>
      <c r="T685" s="165"/>
      <c r="U685" s="165"/>
      <c r="V685" s="165"/>
      <c r="W685" s="165"/>
      <c r="X685" s="165"/>
      <c r="Y685" s="285"/>
      <c r="Z685" s="165"/>
      <c r="AA685" s="165"/>
      <c r="AB685" s="165"/>
      <c r="AC685" s="165"/>
      <c r="AD685" s="165"/>
      <c r="AE685" s="165"/>
      <c r="AF685" s="165"/>
      <c r="AG685" s="165"/>
      <c r="AH685" s="165"/>
      <c r="AI685" s="165"/>
      <c r="AJ685" s="165"/>
      <c r="AK685" s="165"/>
      <c r="AL685" s="165"/>
    </row>
    <row r="686">
      <c r="A686" s="165"/>
      <c r="B686" s="165"/>
      <c r="C686" s="165"/>
      <c r="D686" s="165"/>
      <c r="E686" s="292"/>
      <c r="F686" s="277"/>
      <c r="G686" s="165"/>
      <c r="H686" s="277"/>
      <c r="I686" s="277"/>
      <c r="J686" s="165"/>
      <c r="K686" s="165"/>
      <c r="L686" s="165"/>
      <c r="M686" s="165"/>
      <c r="N686" s="165"/>
      <c r="O686" s="165"/>
      <c r="P686" s="165"/>
      <c r="Q686" s="165"/>
      <c r="R686" s="165"/>
      <c r="S686" s="165"/>
      <c r="T686" s="165"/>
      <c r="U686" s="165"/>
      <c r="V686" s="165"/>
      <c r="W686" s="165"/>
      <c r="X686" s="165"/>
      <c r="Y686" s="285"/>
      <c r="Z686" s="165"/>
      <c r="AA686" s="165"/>
      <c r="AB686" s="165"/>
      <c r="AC686" s="165"/>
      <c r="AD686" s="165"/>
      <c r="AE686" s="165"/>
      <c r="AF686" s="165"/>
      <c r="AG686" s="165"/>
      <c r="AH686" s="165"/>
      <c r="AI686" s="165"/>
      <c r="AJ686" s="165"/>
      <c r="AK686" s="165"/>
      <c r="AL686" s="165"/>
    </row>
    <row r="687">
      <c r="A687" s="165"/>
      <c r="B687" s="165"/>
      <c r="C687" s="165"/>
      <c r="D687" s="165"/>
      <c r="E687" s="292"/>
      <c r="F687" s="277"/>
      <c r="G687" s="165"/>
      <c r="H687" s="277"/>
      <c r="I687" s="277"/>
      <c r="J687" s="165"/>
      <c r="K687" s="165"/>
      <c r="L687" s="165"/>
      <c r="M687" s="165"/>
      <c r="N687" s="165"/>
      <c r="O687" s="165"/>
      <c r="P687" s="165"/>
      <c r="Q687" s="165"/>
      <c r="R687" s="165"/>
      <c r="S687" s="165"/>
      <c r="T687" s="165"/>
      <c r="U687" s="165"/>
      <c r="V687" s="165"/>
      <c r="W687" s="165"/>
      <c r="X687" s="165"/>
      <c r="Y687" s="285"/>
      <c r="Z687" s="165"/>
      <c r="AA687" s="165"/>
      <c r="AB687" s="165"/>
      <c r="AC687" s="165"/>
      <c r="AD687" s="165"/>
      <c r="AE687" s="165"/>
      <c r="AF687" s="165"/>
      <c r="AG687" s="165"/>
      <c r="AH687" s="165"/>
      <c r="AI687" s="165"/>
      <c r="AJ687" s="165"/>
      <c r="AK687" s="165"/>
      <c r="AL687" s="165"/>
    </row>
    <row r="688">
      <c r="A688" s="165"/>
      <c r="B688" s="165"/>
      <c r="C688" s="165"/>
      <c r="D688" s="165"/>
      <c r="E688" s="292"/>
      <c r="F688" s="277"/>
      <c r="G688" s="165"/>
      <c r="H688" s="277"/>
      <c r="I688" s="277"/>
      <c r="J688" s="165"/>
      <c r="K688" s="165"/>
      <c r="L688" s="165"/>
      <c r="M688" s="165"/>
      <c r="N688" s="165"/>
      <c r="O688" s="165"/>
      <c r="P688" s="165"/>
      <c r="Q688" s="165"/>
      <c r="R688" s="165"/>
      <c r="S688" s="165"/>
      <c r="T688" s="165"/>
      <c r="U688" s="165"/>
      <c r="V688" s="165"/>
      <c r="W688" s="165"/>
      <c r="X688" s="165"/>
      <c r="Y688" s="285"/>
      <c r="Z688" s="165"/>
      <c r="AA688" s="165"/>
      <c r="AB688" s="165"/>
      <c r="AC688" s="165"/>
      <c r="AD688" s="165"/>
      <c r="AE688" s="165"/>
      <c r="AF688" s="165"/>
      <c r="AG688" s="165"/>
      <c r="AH688" s="165"/>
      <c r="AI688" s="165"/>
      <c r="AJ688" s="165"/>
      <c r="AK688" s="165"/>
      <c r="AL688" s="165"/>
    </row>
    <row r="689">
      <c r="A689" s="165"/>
      <c r="B689" s="165"/>
      <c r="C689" s="165"/>
      <c r="D689" s="165"/>
      <c r="E689" s="292"/>
      <c r="F689" s="277"/>
      <c r="G689" s="165"/>
      <c r="H689" s="277"/>
      <c r="I689" s="277"/>
      <c r="J689" s="165"/>
      <c r="K689" s="165"/>
      <c r="L689" s="165"/>
      <c r="M689" s="165"/>
      <c r="N689" s="165"/>
      <c r="O689" s="165"/>
      <c r="P689" s="165"/>
      <c r="Q689" s="165"/>
      <c r="R689" s="165"/>
      <c r="S689" s="165"/>
      <c r="T689" s="165"/>
      <c r="U689" s="165"/>
      <c r="V689" s="165"/>
      <c r="W689" s="165"/>
      <c r="X689" s="165"/>
      <c r="Y689" s="285"/>
      <c r="Z689" s="165"/>
      <c r="AA689" s="165"/>
      <c r="AB689" s="165"/>
      <c r="AC689" s="165"/>
      <c r="AD689" s="165"/>
      <c r="AE689" s="165"/>
      <c r="AF689" s="165"/>
      <c r="AG689" s="165"/>
      <c r="AH689" s="165"/>
      <c r="AI689" s="165"/>
      <c r="AJ689" s="165"/>
      <c r="AK689" s="165"/>
      <c r="AL689" s="165"/>
    </row>
    <row r="690">
      <c r="A690" s="165"/>
      <c r="B690" s="165"/>
      <c r="C690" s="165"/>
      <c r="D690" s="165"/>
      <c r="E690" s="292"/>
      <c r="F690" s="277"/>
      <c r="G690" s="165"/>
      <c r="H690" s="277"/>
      <c r="I690" s="277"/>
      <c r="J690" s="165"/>
      <c r="K690" s="165"/>
      <c r="L690" s="165"/>
      <c r="M690" s="165"/>
      <c r="N690" s="165"/>
      <c r="O690" s="165"/>
      <c r="P690" s="165"/>
      <c r="Q690" s="165"/>
      <c r="R690" s="165"/>
      <c r="S690" s="165"/>
      <c r="T690" s="165"/>
      <c r="U690" s="165"/>
      <c r="V690" s="165"/>
      <c r="W690" s="165"/>
      <c r="X690" s="165"/>
      <c r="Y690" s="285"/>
      <c r="Z690" s="165"/>
      <c r="AA690" s="165"/>
      <c r="AB690" s="165"/>
      <c r="AC690" s="165"/>
      <c r="AD690" s="165"/>
      <c r="AE690" s="165"/>
      <c r="AF690" s="165"/>
      <c r="AG690" s="165"/>
      <c r="AH690" s="165"/>
      <c r="AI690" s="165"/>
      <c r="AJ690" s="165"/>
      <c r="AK690" s="165"/>
      <c r="AL690" s="165"/>
    </row>
    <row r="691">
      <c r="A691" s="165"/>
      <c r="B691" s="165"/>
      <c r="C691" s="165"/>
      <c r="D691" s="165"/>
      <c r="E691" s="292"/>
      <c r="F691" s="277"/>
      <c r="G691" s="165"/>
      <c r="H691" s="277"/>
      <c r="I691" s="277"/>
      <c r="J691" s="165"/>
      <c r="K691" s="165"/>
      <c r="L691" s="165"/>
      <c r="M691" s="165"/>
      <c r="N691" s="165"/>
      <c r="O691" s="165"/>
      <c r="P691" s="165"/>
      <c r="Q691" s="165"/>
      <c r="R691" s="165"/>
      <c r="S691" s="165"/>
      <c r="T691" s="165"/>
      <c r="U691" s="165"/>
      <c r="V691" s="165"/>
      <c r="W691" s="165"/>
      <c r="X691" s="165"/>
      <c r="Y691" s="285"/>
      <c r="Z691" s="165"/>
      <c r="AA691" s="165"/>
      <c r="AB691" s="165"/>
      <c r="AC691" s="165"/>
      <c r="AD691" s="165"/>
      <c r="AE691" s="165"/>
      <c r="AF691" s="165"/>
      <c r="AG691" s="165"/>
      <c r="AH691" s="165"/>
      <c r="AI691" s="165"/>
      <c r="AJ691" s="165"/>
      <c r="AK691" s="165"/>
      <c r="AL691" s="165"/>
    </row>
    <row r="692">
      <c r="A692" s="165"/>
      <c r="B692" s="165"/>
      <c r="C692" s="165"/>
      <c r="D692" s="165"/>
      <c r="E692" s="292"/>
      <c r="F692" s="277"/>
      <c r="G692" s="165"/>
      <c r="H692" s="277"/>
      <c r="I692" s="277"/>
      <c r="J692" s="165"/>
      <c r="K692" s="165"/>
      <c r="L692" s="165"/>
      <c r="M692" s="165"/>
      <c r="N692" s="165"/>
      <c r="O692" s="165"/>
      <c r="P692" s="165"/>
      <c r="Q692" s="165"/>
      <c r="R692" s="165"/>
      <c r="S692" s="165"/>
      <c r="T692" s="165"/>
      <c r="U692" s="165"/>
      <c r="V692" s="165"/>
      <c r="W692" s="165"/>
      <c r="X692" s="165"/>
      <c r="Y692" s="285"/>
      <c r="Z692" s="165"/>
      <c r="AA692" s="165"/>
      <c r="AB692" s="165"/>
      <c r="AC692" s="165"/>
      <c r="AD692" s="165"/>
      <c r="AE692" s="165"/>
      <c r="AF692" s="165"/>
      <c r="AG692" s="165"/>
      <c r="AH692" s="165"/>
      <c r="AI692" s="165"/>
      <c r="AJ692" s="165"/>
      <c r="AK692" s="165"/>
      <c r="AL692" s="165"/>
    </row>
    <row r="693">
      <c r="A693" s="165"/>
      <c r="B693" s="165"/>
      <c r="C693" s="165"/>
      <c r="D693" s="165"/>
      <c r="E693" s="292"/>
      <c r="F693" s="277"/>
      <c r="G693" s="165"/>
      <c r="H693" s="277"/>
      <c r="I693" s="277"/>
      <c r="J693" s="165"/>
      <c r="K693" s="165"/>
      <c r="L693" s="165"/>
      <c r="M693" s="165"/>
      <c r="N693" s="165"/>
      <c r="O693" s="165"/>
      <c r="P693" s="165"/>
      <c r="Q693" s="165"/>
      <c r="R693" s="165"/>
      <c r="S693" s="165"/>
      <c r="T693" s="165"/>
      <c r="U693" s="165"/>
      <c r="V693" s="165"/>
      <c r="W693" s="165"/>
      <c r="X693" s="165"/>
      <c r="Y693" s="285"/>
      <c r="Z693" s="165"/>
      <c r="AA693" s="165"/>
      <c r="AB693" s="165"/>
      <c r="AC693" s="165"/>
      <c r="AD693" s="165"/>
      <c r="AE693" s="165"/>
      <c r="AF693" s="165"/>
      <c r="AG693" s="165"/>
      <c r="AH693" s="165"/>
      <c r="AI693" s="165"/>
      <c r="AJ693" s="165"/>
      <c r="AK693" s="165"/>
      <c r="AL693" s="165"/>
    </row>
    <row r="694">
      <c r="A694" s="165"/>
      <c r="B694" s="165"/>
      <c r="C694" s="165"/>
      <c r="D694" s="165"/>
      <c r="E694" s="292"/>
      <c r="F694" s="277"/>
      <c r="G694" s="165"/>
      <c r="H694" s="277"/>
      <c r="I694" s="277"/>
      <c r="J694" s="165"/>
      <c r="K694" s="165"/>
      <c r="L694" s="165"/>
      <c r="M694" s="165"/>
      <c r="N694" s="165"/>
      <c r="O694" s="165"/>
      <c r="P694" s="165"/>
      <c r="Q694" s="165"/>
      <c r="R694" s="165"/>
      <c r="S694" s="165"/>
      <c r="T694" s="165"/>
      <c r="U694" s="165"/>
      <c r="V694" s="165"/>
      <c r="W694" s="165"/>
      <c r="X694" s="165"/>
      <c r="Y694" s="285"/>
      <c r="Z694" s="165"/>
      <c r="AA694" s="165"/>
      <c r="AB694" s="165"/>
      <c r="AC694" s="165"/>
      <c r="AD694" s="165"/>
      <c r="AE694" s="165"/>
      <c r="AF694" s="165"/>
      <c r="AG694" s="165"/>
      <c r="AH694" s="165"/>
      <c r="AI694" s="165"/>
      <c r="AJ694" s="165"/>
      <c r="AK694" s="165"/>
      <c r="AL694" s="165"/>
    </row>
    <row r="695">
      <c r="A695" s="165"/>
      <c r="B695" s="165"/>
      <c r="C695" s="165"/>
      <c r="D695" s="165"/>
      <c r="E695" s="292"/>
      <c r="F695" s="277"/>
      <c r="G695" s="165"/>
      <c r="H695" s="277"/>
      <c r="I695" s="277"/>
      <c r="J695" s="165"/>
      <c r="K695" s="165"/>
      <c r="L695" s="165"/>
      <c r="M695" s="165"/>
      <c r="N695" s="165"/>
      <c r="O695" s="165"/>
      <c r="P695" s="165"/>
      <c r="Q695" s="165"/>
      <c r="R695" s="165"/>
      <c r="S695" s="165"/>
      <c r="T695" s="165"/>
      <c r="U695" s="165"/>
      <c r="V695" s="165"/>
      <c r="W695" s="165"/>
      <c r="X695" s="165"/>
      <c r="Y695" s="285"/>
      <c r="Z695" s="165"/>
      <c r="AA695" s="165"/>
      <c r="AB695" s="165"/>
      <c r="AC695" s="165"/>
      <c r="AD695" s="165"/>
      <c r="AE695" s="165"/>
      <c r="AF695" s="165"/>
      <c r="AG695" s="165"/>
      <c r="AH695" s="165"/>
      <c r="AI695" s="165"/>
      <c r="AJ695" s="165"/>
      <c r="AK695" s="165"/>
      <c r="AL695" s="165"/>
    </row>
    <row r="696">
      <c r="A696" s="165"/>
      <c r="B696" s="165"/>
      <c r="C696" s="165"/>
      <c r="D696" s="165"/>
      <c r="E696" s="292"/>
      <c r="F696" s="277"/>
      <c r="G696" s="165"/>
      <c r="H696" s="277"/>
      <c r="I696" s="277"/>
      <c r="J696" s="165"/>
      <c r="K696" s="165"/>
      <c r="L696" s="165"/>
      <c r="M696" s="165"/>
      <c r="N696" s="165"/>
      <c r="O696" s="165"/>
      <c r="P696" s="165"/>
      <c r="Q696" s="165"/>
      <c r="R696" s="165"/>
      <c r="S696" s="165"/>
      <c r="T696" s="165"/>
      <c r="U696" s="165"/>
      <c r="V696" s="165"/>
      <c r="W696" s="165"/>
      <c r="X696" s="165"/>
      <c r="Y696" s="285"/>
      <c r="Z696" s="165"/>
      <c r="AA696" s="165"/>
      <c r="AB696" s="165"/>
      <c r="AC696" s="165"/>
      <c r="AD696" s="165"/>
      <c r="AE696" s="165"/>
      <c r="AF696" s="165"/>
      <c r="AG696" s="165"/>
      <c r="AH696" s="165"/>
      <c r="AI696" s="165"/>
      <c r="AJ696" s="165"/>
      <c r="AK696" s="165"/>
      <c r="AL696" s="165"/>
    </row>
    <row r="697">
      <c r="A697" s="165"/>
      <c r="B697" s="165"/>
      <c r="C697" s="165"/>
      <c r="D697" s="165"/>
      <c r="E697" s="292"/>
      <c r="F697" s="277"/>
      <c r="G697" s="165"/>
      <c r="H697" s="277"/>
      <c r="I697" s="277"/>
      <c r="J697" s="165"/>
      <c r="K697" s="165"/>
      <c r="L697" s="165"/>
      <c r="M697" s="165"/>
      <c r="N697" s="165"/>
      <c r="O697" s="165"/>
      <c r="P697" s="165"/>
      <c r="Q697" s="165"/>
      <c r="R697" s="165"/>
      <c r="S697" s="165"/>
      <c r="T697" s="165"/>
      <c r="U697" s="165"/>
      <c r="V697" s="165"/>
      <c r="W697" s="165"/>
      <c r="X697" s="165"/>
      <c r="Y697" s="285"/>
      <c r="Z697" s="165"/>
      <c r="AA697" s="165"/>
      <c r="AB697" s="165"/>
      <c r="AC697" s="165"/>
      <c r="AD697" s="165"/>
      <c r="AE697" s="165"/>
      <c r="AF697" s="165"/>
      <c r="AG697" s="165"/>
      <c r="AH697" s="165"/>
      <c r="AI697" s="165"/>
      <c r="AJ697" s="165"/>
      <c r="AK697" s="165"/>
      <c r="AL697" s="165"/>
    </row>
    <row r="698">
      <c r="A698" s="165"/>
      <c r="B698" s="165"/>
      <c r="C698" s="165"/>
      <c r="D698" s="165"/>
      <c r="E698" s="292"/>
      <c r="F698" s="277"/>
      <c r="G698" s="165"/>
      <c r="H698" s="277"/>
      <c r="I698" s="277"/>
      <c r="J698" s="165"/>
      <c r="K698" s="165"/>
      <c r="L698" s="165"/>
      <c r="M698" s="165"/>
      <c r="N698" s="165"/>
      <c r="O698" s="165"/>
      <c r="P698" s="165"/>
      <c r="Q698" s="165"/>
      <c r="R698" s="165"/>
      <c r="S698" s="165"/>
      <c r="T698" s="165"/>
      <c r="U698" s="165"/>
      <c r="V698" s="165"/>
      <c r="W698" s="165"/>
      <c r="X698" s="165"/>
      <c r="Y698" s="285"/>
      <c r="Z698" s="165"/>
      <c r="AA698" s="165"/>
      <c r="AB698" s="165"/>
      <c r="AC698" s="165"/>
      <c r="AD698" s="165"/>
      <c r="AE698" s="165"/>
      <c r="AF698" s="165"/>
      <c r="AG698" s="165"/>
      <c r="AH698" s="165"/>
      <c r="AI698" s="165"/>
      <c r="AJ698" s="165"/>
      <c r="AK698" s="165"/>
      <c r="AL698" s="165"/>
    </row>
    <row r="699">
      <c r="A699" s="165"/>
      <c r="B699" s="165"/>
      <c r="C699" s="165"/>
      <c r="D699" s="165"/>
      <c r="E699" s="292"/>
      <c r="F699" s="277"/>
      <c r="G699" s="165"/>
      <c r="H699" s="277"/>
      <c r="I699" s="277"/>
      <c r="J699" s="165"/>
      <c r="K699" s="165"/>
      <c r="L699" s="165"/>
      <c r="M699" s="165"/>
      <c r="N699" s="165"/>
      <c r="O699" s="165"/>
      <c r="P699" s="165"/>
      <c r="Q699" s="165"/>
      <c r="R699" s="165"/>
      <c r="S699" s="165"/>
      <c r="T699" s="165"/>
      <c r="U699" s="165"/>
      <c r="V699" s="165"/>
      <c r="W699" s="165"/>
      <c r="X699" s="165"/>
      <c r="Y699" s="285"/>
      <c r="Z699" s="165"/>
      <c r="AA699" s="165"/>
      <c r="AB699" s="165"/>
      <c r="AC699" s="165"/>
      <c r="AD699" s="165"/>
      <c r="AE699" s="165"/>
      <c r="AF699" s="165"/>
      <c r="AG699" s="165"/>
      <c r="AH699" s="165"/>
      <c r="AI699" s="165"/>
      <c r="AJ699" s="165"/>
      <c r="AK699" s="165"/>
      <c r="AL699" s="165"/>
    </row>
    <row r="700">
      <c r="A700" s="165"/>
      <c r="B700" s="165"/>
      <c r="C700" s="165"/>
      <c r="D700" s="165"/>
      <c r="E700" s="292"/>
      <c r="F700" s="277"/>
      <c r="G700" s="165"/>
      <c r="H700" s="277"/>
      <c r="I700" s="277"/>
      <c r="J700" s="165"/>
      <c r="K700" s="165"/>
      <c r="L700" s="165"/>
      <c r="M700" s="165"/>
      <c r="N700" s="165"/>
      <c r="O700" s="165"/>
      <c r="P700" s="165"/>
      <c r="Q700" s="165"/>
      <c r="R700" s="165"/>
      <c r="S700" s="165"/>
      <c r="T700" s="165"/>
      <c r="U700" s="165"/>
      <c r="V700" s="165"/>
      <c r="W700" s="165"/>
      <c r="X700" s="165"/>
      <c r="Y700" s="285"/>
      <c r="Z700" s="165"/>
      <c r="AA700" s="165"/>
      <c r="AB700" s="165"/>
      <c r="AC700" s="165"/>
      <c r="AD700" s="165"/>
      <c r="AE700" s="165"/>
      <c r="AF700" s="165"/>
      <c r="AG700" s="165"/>
      <c r="AH700" s="165"/>
      <c r="AI700" s="165"/>
      <c r="AJ700" s="165"/>
      <c r="AK700" s="165"/>
      <c r="AL700" s="165"/>
    </row>
    <row r="701">
      <c r="A701" s="165"/>
      <c r="B701" s="165"/>
      <c r="C701" s="165"/>
      <c r="D701" s="165"/>
      <c r="E701" s="292"/>
      <c r="F701" s="277"/>
      <c r="G701" s="165"/>
      <c r="H701" s="277"/>
      <c r="I701" s="277"/>
      <c r="J701" s="165"/>
      <c r="K701" s="165"/>
      <c r="L701" s="165"/>
      <c r="M701" s="165"/>
      <c r="N701" s="165"/>
      <c r="O701" s="165"/>
      <c r="P701" s="165"/>
      <c r="Q701" s="165"/>
      <c r="R701" s="165"/>
      <c r="S701" s="165"/>
      <c r="T701" s="165"/>
      <c r="U701" s="165"/>
      <c r="V701" s="165"/>
      <c r="W701" s="165"/>
      <c r="X701" s="165"/>
      <c r="Y701" s="285"/>
      <c r="Z701" s="165"/>
      <c r="AA701" s="165"/>
      <c r="AB701" s="165"/>
      <c r="AC701" s="165"/>
      <c r="AD701" s="165"/>
      <c r="AE701" s="165"/>
      <c r="AF701" s="165"/>
      <c r="AG701" s="165"/>
      <c r="AH701" s="165"/>
      <c r="AI701" s="165"/>
      <c r="AJ701" s="165"/>
      <c r="AK701" s="165"/>
      <c r="AL701" s="165"/>
    </row>
    <row r="702">
      <c r="A702" s="165"/>
      <c r="B702" s="165"/>
      <c r="C702" s="165"/>
      <c r="D702" s="165"/>
      <c r="E702" s="292"/>
      <c r="F702" s="277"/>
      <c r="G702" s="165"/>
      <c r="H702" s="277"/>
      <c r="I702" s="277"/>
      <c r="J702" s="165"/>
      <c r="K702" s="165"/>
      <c r="L702" s="165"/>
      <c r="M702" s="165"/>
      <c r="N702" s="165"/>
      <c r="O702" s="165"/>
      <c r="P702" s="165"/>
      <c r="Q702" s="165"/>
      <c r="R702" s="165"/>
      <c r="S702" s="165"/>
      <c r="T702" s="165"/>
      <c r="U702" s="165"/>
      <c r="V702" s="165"/>
      <c r="W702" s="165"/>
      <c r="X702" s="165"/>
      <c r="Y702" s="285"/>
      <c r="Z702" s="165"/>
      <c r="AA702" s="165"/>
      <c r="AB702" s="165"/>
      <c r="AC702" s="165"/>
      <c r="AD702" s="165"/>
      <c r="AE702" s="165"/>
      <c r="AF702" s="165"/>
      <c r="AG702" s="165"/>
      <c r="AH702" s="165"/>
      <c r="AI702" s="165"/>
      <c r="AJ702" s="165"/>
      <c r="AK702" s="165"/>
      <c r="AL702" s="165"/>
    </row>
    <row r="703">
      <c r="A703" s="165"/>
      <c r="B703" s="165"/>
      <c r="C703" s="165"/>
      <c r="D703" s="165"/>
      <c r="E703" s="292"/>
      <c r="F703" s="277"/>
      <c r="G703" s="165"/>
      <c r="H703" s="277"/>
      <c r="I703" s="277"/>
      <c r="J703" s="165"/>
      <c r="K703" s="165"/>
      <c r="L703" s="165"/>
      <c r="M703" s="165"/>
      <c r="N703" s="165"/>
      <c r="O703" s="165"/>
      <c r="P703" s="165"/>
      <c r="Q703" s="165"/>
      <c r="R703" s="165"/>
      <c r="S703" s="165"/>
      <c r="T703" s="165"/>
      <c r="U703" s="165"/>
      <c r="V703" s="165"/>
      <c r="W703" s="165"/>
      <c r="X703" s="165"/>
      <c r="Y703" s="285"/>
      <c r="Z703" s="165"/>
      <c r="AA703" s="165"/>
      <c r="AB703" s="165"/>
      <c r="AC703" s="165"/>
      <c r="AD703" s="165"/>
      <c r="AE703" s="165"/>
      <c r="AF703" s="165"/>
      <c r="AG703" s="165"/>
      <c r="AH703" s="165"/>
      <c r="AI703" s="165"/>
      <c r="AJ703" s="165"/>
      <c r="AK703" s="165"/>
      <c r="AL703" s="165"/>
    </row>
    <row r="704">
      <c r="A704" s="165"/>
      <c r="B704" s="165"/>
      <c r="C704" s="165"/>
      <c r="D704" s="165"/>
      <c r="E704" s="292"/>
      <c r="F704" s="277"/>
      <c r="G704" s="165"/>
      <c r="H704" s="277"/>
      <c r="I704" s="277"/>
      <c r="J704" s="165"/>
      <c r="K704" s="165"/>
      <c r="L704" s="165"/>
      <c r="M704" s="165"/>
      <c r="N704" s="165"/>
      <c r="O704" s="165"/>
      <c r="P704" s="165"/>
      <c r="Q704" s="165"/>
      <c r="R704" s="165"/>
      <c r="S704" s="165"/>
      <c r="T704" s="165"/>
      <c r="U704" s="165"/>
      <c r="V704" s="165"/>
      <c r="W704" s="165"/>
      <c r="X704" s="165"/>
      <c r="Y704" s="285"/>
      <c r="Z704" s="165"/>
      <c r="AA704" s="165"/>
      <c r="AB704" s="165"/>
      <c r="AC704" s="165"/>
      <c r="AD704" s="165"/>
      <c r="AE704" s="165"/>
      <c r="AF704" s="165"/>
      <c r="AG704" s="165"/>
      <c r="AH704" s="165"/>
      <c r="AI704" s="165"/>
      <c r="AJ704" s="165"/>
      <c r="AK704" s="165"/>
      <c r="AL704" s="165"/>
    </row>
    <row r="705">
      <c r="A705" s="165"/>
      <c r="B705" s="165"/>
      <c r="C705" s="165"/>
      <c r="D705" s="165"/>
      <c r="E705" s="292"/>
      <c r="F705" s="277"/>
      <c r="G705" s="165"/>
      <c r="H705" s="277"/>
      <c r="I705" s="277"/>
      <c r="J705" s="165"/>
      <c r="K705" s="165"/>
      <c r="L705" s="165"/>
      <c r="M705" s="165"/>
      <c r="N705" s="165"/>
      <c r="O705" s="165"/>
      <c r="P705" s="165"/>
      <c r="Q705" s="165"/>
      <c r="R705" s="165"/>
      <c r="S705" s="165"/>
      <c r="T705" s="165"/>
      <c r="U705" s="165"/>
      <c r="V705" s="165"/>
      <c r="W705" s="165"/>
      <c r="X705" s="165"/>
      <c r="Y705" s="285"/>
      <c r="Z705" s="165"/>
      <c r="AA705" s="165"/>
      <c r="AB705" s="165"/>
      <c r="AC705" s="165"/>
      <c r="AD705" s="165"/>
      <c r="AE705" s="165"/>
      <c r="AF705" s="165"/>
      <c r="AG705" s="165"/>
      <c r="AH705" s="165"/>
      <c r="AI705" s="165"/>
      <c r="AJ705" s="165"/>
      <c r="AK705" s="165"/>
      <c r="AL705" s="165"/>
    </row>
    <row r="706">
      <c r="A706" s="165"/>
      <c r="B706" s="165"/>
      <c r="C706" s="165"/>
      <c r="D706" s="165"/>
      <c r="E706" s="292"/>
      <c r="F706" s="277"/>
      <c r="G706" s="165"/>
      <c r="H706" s="277"/>
      <c r="I706" s="277"/>
      <c r="J706" s="165"/>
      <c r="K706" s="165"/>
      <c r="L706" s="165"/>
      <c r="M706" s="165"/>
      <c r="N706" s="165"/>
      <c r="O706" s="165"/>
      <c r="P706" s="165"/>
      <c r="Q706" s="165"/>
      <c r="R706" s="165"/>
      <c r="S706" s="165"/>
      <c r="T706" s="165"/>
      <c r="U706" s="165"/>
      <c r="V706" s="165"/>
      <c r="W706" s="165"/>
      <c r="X706" s="165"/>
      <c r="Y706" s="285"/>
      <c r="Z706" s="165"/>
      <c r="AA706" s="165"/>
      <c r="AB706" s="165"/>
      <c r="AC706" s="165"/>
      <c r="AD706" s="165"/>
      <c r="AE706" s="165"/>
      <c r="AF706" s="165"/>
      <c r="AG706" s="165"/>
      <c r="AH706" s="165"/>
      <c r="AI706" s="165"/>
      <c r="AJ706" s="165"/>
      <c r="AK706" s="165"/>
      <c r="AL706" s="165"/>
    </row>
    <row r="707">
      <c r="A707" s="165"/>
      <c r="B707" s="165"/>
      <c r="C707" s="165"/>
      <c r="D707" s="165"/>
      <c r="E707" s="292"/>
      <c r="F707" s="277"/>
      <c r="G707" s="165"/>
      <c r="H707" s="277"/>
      <c r="I707" s="277"/>
      <c r="J707" s="165"/>
      <c r="K707" s="165"/>
      <c r="L707" s="165"/>
      <c r="M707" s="165"/>
      <c r="N707" s="165"/>
      <c r="O707" s="165"/>
      <c r="P707" s="165"/>
      <c r="Q707" s="165"/>
      <c r="R707" s="165"/>
      <c r="S707" s="165"/>
      <c r="T707" s="165"/>
      <c r="U707" s="165"/>
      <c r="V707" s="165"/>
      <c r="W707" s="165"/>
      <c r="X707" s="165"/>
      <c r="Y707" s="285"/>
      <c r="Z707" s="165"/>
      <c r="AA707" s="165"/>
      <c r="AB707" s="165"/>
      <c r="AC707" s="165"/>
      <c r="AD707" s="165"/>
      <c r="AE707" s="165"/>
      <c r="AF707" s="165"/>
      <c r="AG707" s="165"/>
      <c r="AH707" s="165"/>
      <c r="AI707" s="165"/>
      <c r="AJ707" s="165"/>
      <c r="AK707" s="165"/>
      <c r="AL707" s="165"/>
    </row>
    <row r="708">
      <c r="A708" s="165"/>
      <c r="B708" s="165"/>
      <c r="C708" s="165"/>
      <c r="D708" s="165"/>
      <c r="E708" s="292"/>
      <c r="F708" s="277"/>
      <c r="G708" s="165"/>
      <c r="H708" s="277"/>
      <c r="I708" s="277"/>
      <c r="J708" s="165"/>
      <c r="K708" s="165"/>
      <c r="L708" s="165"/>
      <c r="M708" s="165"/>
      <c r="N708" s="165"/>
      <c r="O708" s="165"/>
      <c r="P708" s="165"/>
      <c r="Q708" s="165"/>
      <c r="R708" s="165"/>
      <c r="S708" s="165"/>
      <c r="T708" s="165"/>
      <c r="U708" s="165"/>
      <c r="V708" s="165"/>
      <c r="W708" s="165"/>
      <c r="X708" s="165"/>
      <c r="Y708" s="285"/>
      <c r="Z708" s="165"/>
      <c r="AA708" s="165"/>
      <c r="AB708" s="165"/>
      <c r="AC708" s="165"/>
      <c r="AD708" s="165"/>
      <c r="AE708" s="165"/>
      <c r="AF708" s="165"/>
      <c r="AG708" s="165"/>
      <c r="AH708" s="165"/>
      <c r="AI708" s="165"/>
      <c r="AJ708" s="165"/>
      <c r="AK708" s="165"/>
      <c r="AL708" s="165"/>
    </row>
    <row r="709">
      <c r="A709" s="165"/>
      <c r="B709" s="165"/>
      <c r="C709" s="165"/>
      <c r="D709" s="165"/>
      <c r="E709" s="292"/>
      <c r="F709" s="277"/>
      <c r="G709" s="165"/>
      <c r="H709" s="277"/>
      <c r="I709" s="277"/>
      <c r="J709" s="165"/>
      <c r="K709" s="165"/>
      <c r="L709" s="165"/>
      <c r="M709" s="165"/>
      <c r="N709" s="165"/>
      <c r="O709" s="165"/>
      <c r="P709" s="165"/>
      <c r="Q709" s="165"/>
      <c r="R709" s="165"/>
      <c r="S709" s="165"/>
      <c r="T709" s="165"/>
      <c r="U709" s="165"/>
      <c r="V709" s="165"/>
      <c r="W709" s="165"/>
      <c r="X709" s="165"/>
      <c r="Y709" s="285"/>
      <c r="Z709" s="165"/>
      <c r="AA709" s="165"/>
      <c r="AB709" s="165"/>
      <c r="AC709" s="165"/>
      <c r="AD709" s="165"/>
      <c r="AE709" s="165"/>
      <c r="AF709" s="165"/>
      <c r="AG709" s="165"/>
      <c r="AH709" s="165"/>
      <c r="AI709" s="165"/>
      <c r="AJ709" s="165"/>
      <c r="AK709" s="165"/>
      <c r="AL709" s="165"/>
    </row>
    <row r="710">
      <c r="A710" s="165"/>
      <c r="B710" s="165"/>
      <c r="C710" s="165"/>
      <c r="D710" s="165"/>
      <c r="E710" s="292"/>
      <c r="F710" s="277"/>
      <c r="G710" s="165"/>
      <c r="H710" s="277"/>
      <c r="I710" s="277"/>
      <c r="J710" s="165"/>
      <c r="K710" s="165"/>
      <c r="L710" s="165"/>
      <c r="M710" s="165"/>
      <c r="N710" s="165"/>
      <c r="O710" s="165"/>
      <c r="P710" s="165"/>
      <c r="Q710" s="165"/>
      <c r="R710" s="165"/>
      <c r="S710" s="165"/>
      <c r="T710" s="165"/>
      <c r="U710" s="165"/>
      <c r="V710" s="165"/>
      <c r="W710" s="165"/>
      <c r="X710" s="165"/>
      <c r="Y710" s="285"/>
      <c r="Z710" s="165"/>
      <c r="AA710" s="165"/>
      <c r="AB710" s="165"/>
      <c r="AC710" s="165"/>
      <c r="AD710" s="165"/>
      <c r="AE710" s="165"/>
      <c r="AF710" s="165"/>
      <c r="AG710" s="165"/>
      <c r="AH710" s="165"/>
      <c r="AI710" s="165"/>
      <c r="AJ710" s="165"/>
      <c r="AK710" s="165"/>
      <c r="AL710" s="165"/>
    </row>
    <row r="711">
      <c r="A711" s="165"/>
      <c r="B711" s="165"/>
      <c r="C711" s="165"/>
      <c r="D711" s="165"/>
      <c r="E711" s="292"/>
      <c r="F711" s="277"/>
      <c r="G711" s="165"/>
      <c r="H711" s="277"/>
      <c r="I711" s="277"/>
      <c r="J711" s="165"/>
      <c r="K711" s="165"/>
      <c r="L711" s="165"/>
      <c r="M711" s="165"/>
      <c r="N711" s="165"/>
      <c r="O711" s="165"/>
      <c r="P711" s="165"/>
      <c r="Q711" s="165"/>
      <c r="R711" s="165"/>
      <c r="S711" s="165"/>
      <c r="T711" s="165"/>
      <c r="U711" s="165"/>
      <c r="V711" s="165"/>
      <c r="W711" s="165"/>
      <c r="X711" s="165"/>
      <c r="Y711" s="285"/>
      <c r="Z711" s="165"/>
      <c r="AA711" s="165"/>
      <c r="AB711" s="165"/>
      <c r="AC711" s="165"/>
      <c r="AD711" s="165"/>
      <c r="AE711" s="165"/>
      <c r="AF711" s="165"/>
      <c r="AG711" s="165"/>
      <c r="AH711" s="165"/>
      <c r="AI711" s="165"/>
      <c r="AJ711" s="165"/>
      <c r="AK711" s="165"/>
      <c r="AL711" s="165"/>
    </row>
    <row r="712">
      <c r="A712" s="165"/>
      <c r="B712" s="165"/>
      <c r="C712" s="165"/>
      <c r="D712" s="165"/>
      <c r="E712" s="292"/>
      <c r="F712" s="277"/>
      <c r="G712" s="165"/>
      <c r="H712" s="277"/>
      <c r="I712" s="277"/>
      <c r="J712" s="165"/>
      <c r="K712" s="165"/>
      <c r="L712" s="165"/>
      <c r="M712" s="165"/>
      <c r="N712" s="165"/>
      <c r="O712" s="165"/>
      <c r="P712" s="165"/>
      <c r="Q712" s="165"/>
      <c r="R712" s="165"/>
      <c r="S712" s="165"/>
      <c r="T712" s="165"/>
      <c r="U712" s="165"/>
      <c r="V712" s="165"/>
      <c r="W712" s="165"/>
      <c r="X712" s="165"/>
      <c r="Y712" s="285"/>
      <c r="Z712" s="165"/>
      <c r="AA712" s="165"/>
      <c r="AB712" s="165"/>
      <c r="AC712" s="165"/>
      <c r="AD712" s="165"/>
      <c r="AE712" s="165"/>
      <c r="AF712" s="165"/>
      <c r="AG712" s="165"/>
      <c r="AH712" s="165"/>
      <c r="AI712" s="165"/>
      <c r="AJ712" s="165"/>
      <c r="AK712" s="165"/>
      <c r="AL712" s="165"/>
    </row>
    <row r="713">
      <c r="A713" s="165"/>
      <c r="B713" s="165"/>
      <c r="C713" s="165"/>
      <c r="D713" s="165"/>
      <c r="E713" s="292"/>
      <c r="F713" s="277"/>
      <c r="G713" s="165"/>
      <c r="H713" s="277"/>
      <c r="I713" s="277"/>
      <c r="J713" s="165"/>
      <c r="K713" s="165"/>
      <c r="L713" s="165"/>
      <c r="M713" s="165"/>
      <c r="N713" s="165"/>
      <c r="O713" s="165"/>
      <c r="P713" s="165"/>
      <c r="Q713" s="165"/>
      <c r="R713" s="165"/>
      <c r="S713" s="165"/>
      <c r="T713" s="165"/>
      <c r="U713" s="165"/>
      <c r="V713" s="165"/>
      <c r="W713" s="165"/>
      <c r="X713" s="165"/>
      <c r="Y713" s="285"/>
      <c r="Z713" s="165"/>
      <c r="AA713" s="165"/>
      <c r="AB713" s="165"/>
      <c r="AC713" s="165"/>
      <c r="AD713" s="165"/>
      <c r="AE713" s="165"/>
      <c r="AF713" s="165"/>
      <c r="AG713" s="165"/>
      <c r="AH713" s="165"/>
      <c r="AI713" s="165"/>
      <c r="AJ713" s="165"/>
      <c r="AK713" s="165"/>
      <c r="AL713" s="165"/>
    </row>
    <row r="714">
      <c r="A714" s="165"/>
      <c r="B714" s="165"/>
      <c r="C714" s="165"/>
      <c r="D714" s="165"/>
      <c r="E714" s="292"/>
      <c r="F714" s="277"/>
      <c r="G714" s="165"/>
      <c r="H714" s="277"/>
      <c r="I714" s="277"/>
      <c r="J714" s="165"/>
      <c r="K714" s="165"/>
      <c r="L714" s="165"/>
      <c r="M714" s="165"/>
      <c r="N714" s="165"/>
      <c r="O714" s="165"/>
      <c r="P714" s="165"/>
      <c r="Q714" s="165"/>
      <c r="R714" s="165"/>
      <c r="S714" s="165"/>
      <c r="T714" s="165"/>
      <c r="U714" s="165"/>
      <c r="V714" s="165"/>
      <c r="W714" s="165"/>
      <c r="X714" s="165"/>
      <c r="Y714" s="285"/>
      <c r="Z714" s="165"/>
      <c r="AA714" s="165"/>
      <c r="AB714" s="165"/>
      <c r="AC714" s="165"/>
      <c r="AD714" s="165"/>
      <c r="AE714" s="165"/>
      <c r="AF714" s="165"/>
      <c r="AG714" s="165"/>
      <c r="AH714" s="165"/>
      <c r="AI714" s="165"/>
      <c r="AJ714" s="165"/>
      <c r="AK714" s="165"/>
      <c r="AL714" s="165"/>
    </row>
    <row r="715">
      <c r="A715" s="165"/>
      <c r="B715" s="165"/>
      <c r="C715" s="165"/>
      <c r="D715" s="165"/>
      <c r="E715" s="292"/>
      <c r="F715" s="277"/>
      <c r="G715" s="165"/>
      <c r="H715" s="277"/>
      <c r="I715" s="277"/>
      <c r="J715" s="165"/>
      <c r="K715" s="165"/>
      <c r="L715" s="165"/>
      <c r="M715" s="165"/>
      <c r="N715" s="165"/>
      <c r="O715" s="165"/>
      <c r="P715" s="165"/>
      <c r="Q715" s="165"/>
      <c r="R715" s="165"/>
      <c r="S715" s="165"/>
      <c r="T715" s="165"/>
      <c r="U715" s="165"/>
      <c r="V715" s="165"/>
      <c r="W715" s="165"/>
      <c r="X715" s="165"/>
      <c r="Y715" s="285"/>
      <c r="Z715" s="165"/>
      <c r="AA715" s="165"/>
      <c r="AB715" s="165"/>
      <c r="AC715" s="165"/>
      <c r="AD715" s="165"/>
      <c r="AE715" s="165"/>
      <c r="AF715" s="165"/>
      <c r="AG715" s="165"/>
      <c r="AH715" s="165"/>
      <c r="AI715" s="165"/>
      <c r="AJ715" s="165"/>
      <c r="AK715" s="165"/>
      <c r="AL715" s="165"/>
    </row>
    <row r="716">
      <c r="A716" s="165"/>
      <c r="B716" s="165"/>
      <c r="C716" s="165"/>
      <c r="D716" s="165"/>
      <c r="E716" s="292"/>
      <c r="F716" s="277"/>
      <c r="G716" s="165"/>
      <c r="H716" s="277"/>
      <c r="I716" s="277"/>
      <c r="J716" s="165"/>
      <c r="K716" s="165"/>
      <c r="L716" s="165"/>
      <c r="M716" s="165"/>
      <c r="N716" s="165"/>
      <c r="O716" s="165"/>
      <c r="P716" s="165"/>
      <c r="Q716" s="165"/>
      <c r="R716" s="165"/>
      <c r="S716" s="165"/>
      <c r="T716" s="165"/>
      <c r="U716" s="165"/>
      <c r="V716" s="165"/>
      <c r="W716" s="165"/>
      <c r="X716" s="165"/>
      <c r="Y716" s="285"/>
      <c r="Z716" s="165"/>
      <c r="AA716" s="165"/>
      <c r="AB716" s="165"/>
      <c r="AC716" s="165"/>
      <c r="AD716" s="165"/>
      <c r="AE716" s="165"/>
      <c r="AF716" s="165"/>
      <c r="AG716" s="165"/>
      <c r="AH716" s="165"/>
      <c r="AI716" s="165"/>
      <c r="AJ716" s="165"/>
      <c r="AK716" s="165"/>
      <c r="AL716" s="165"/>
    </row>
    <row r="717">
      <c r="A717" s="165"/>
      <c r="B717" s="165"/>
      <c r="C717" s="165"/>
      <c r="D717" s="165"/>
      <c r="E717" s="292"/>
      <c r="F717" s="277"/>
      <c r="G717" s="165"/>
      <c r="H717" s="277"/>
      <c r="I717" s="277"/>
      <c r="J717" s="165"/>
      <c r="K717" s="165"/>
      <c r="L717" s="165"/>
      <c r="M717" s="165"/>
      <c r="N717" s="165"/>
      <c r="O717" s="165"/>
      <c r="P717" s="165"/>
      <c r="Q717" s="165"/>
      <c r="R717" s="165"/>
      <c r="S717" s="165"/>
      <c r="T717" s="165"/>
      <c r="U717" s="165"/>
      <c r="V717" s="165"/>
      <c r="W717" s="165"/>
      <c r="X717" s="165"/>
      <c r="Y717" s="285"/>
      <c r="Z717" s="165"/>
      <c r="AA717" s="165"/>
      <c r="AB717" s="165"/>
      <c r="AC717" s="165"/>
      <c r="AD717" s="165"/>
      <c r="AE717" s="165"/>
      <c r="AF717" s="165"/>
      <c r="AG717" s="165"/>
      <c r="AH717" s="165"/>
      <c r="AI717" s="165"/>
      <c r="AJ717" s="165"/>
      <c r="AK717" s="165"/>
      <c r="AL717" s="165"/>
    </row>
    <row r="718">
      <c r="A718" s="165"/>
      <c r="B718" s="165"/>
      <c r="C718" s="165"/>
      <c r="D718" s="165"/>
      <c r="E718" s="292"/>
      <c r="F718" s="277"/>
      <c r="G718" s="165"/>
      <c r="H718" s="277"/>
      <c r="I718" s="277"/>
      <c r="J718" s="165"/>
      <c r="K718" s="165"/>
      <c r="L718" s="165"/>
      <c r="M718" s="165"/>
      <c r="N718" s="165"/>
      <c r="O718" s="165"/>
      <c r="P718" s="165"/>
      <c r="Q718" s="165"/>
      <c r="R718" s="165"/>
      <c r="S718" s="165"/>
      <c r="T718" s="165"/>
      <c r="U718" s="165"/>
      <c r="V718" s="165"/>
      <c r="W718" s="165"/>
      <c r="X718" s="165"/>
      <c r="Y718" s="285"/>
      <c r="Z718" s="165"/>
      <c r="AA718" s="165"/>
      <c r="AB718" s="165"/>
      <c r="AC718" s="165"/>
      <c r="AD718" s="165"/>
      <c r="AE718" s="165"/>
      <c r="AF718" s="165"/>
      <c r="AG718" s="165"/>
      <c r="AH718" s="165"/>
      <c r="AI718" s="165"/>
      <c r="AJ718" s="165"/>
      <c r="AK718" s="165"/>
      <c r="AL718" s="165"/>
    </row>
    <row r="719">
      <c r="A719" s="165"/>
      <c r="B719" s="165"/>
      <c r="C719" s="165"/>
      <c r="D719" s="165"/>
      <c r="E719" s="292"/>
      <c r="F719" s="277"/>
      <c r="G719" s="165"/>
      <c r="H719" s="277"/>
      <c r="I719" s="277"/>
      <c r="J719" s="165"/>
      <c r="K719" s="165"/>
      <c r="L719" s="165"/>
      <c r="M719" s="165"/>
      <c r="N719" s="165"/>
      <c r="O719" s="165"/>
      <c r="P719" s="165"/>
      <c r="Q719" s="165"/>
      <c r="R719" s="165"/>
      <c r="S719" s="165"/>
      <c r="T719" s="165"/>
      <c r="U719" s="165"/>
      <c r="V719" s="165"/>
      <c r="W719" s="165"/>
      <c r="X719" s="165"/>
      <c r="Y719" s="285"/>
      <c r="Z719" s="165"/>
      <c r="AA719" s="165"/>
      <c r="AB719" s="165"/>
      <c r="AC719" s="165"/>
      <c r="AD719" s="165"/>
      <c r="AE719" s="165"/>
      <c r="AF719" s="165"/>
      <c r="AG719" s="165"/>
      <c r="AH719" s="165"/>
      <c r="AI719" s="165"/>
      <c r="AJ719" s="165"/>
      <c r="AK719" s="165"/>
      <c r="AL719" s="165"/>
    </row>
    <row r="720">
      <c r="A720" s="165"/>
      <c r="B720" s="165"/>
      <c r="C720" s="165"/>
      <c r="D720" s="165"/>
      <c r="E720" s="292"/>
      <c r="F720" s="277"/>
      <c r="G720" s="165"/>
      <c r="H720" s="277"/>
      <c r="I720" s="277"/>
      <c r="J720" s="165"/>
      <c r="K720" s="165"/>
      <c r="L720" s="165"/>
      <c r="M720" s="165"/>
      <c r="N720" s="165"/>
      <c r="O720" s="165"/>
      <c r="P720" s="165"/>
      <c r="Q720" s="165"/>
      <c r="R720" s="165"/>
      <c r="S720" s="165"/>
      <c r="T720" s="165"/>
      <c r="U720" s="165"/>
      <c r="V720" s="165"/>
      <c r="W720" s="165"/>
      <c r="X720" s="165"/>
      <c r="Y720" s="285"/>
      <c r="Z720" s="165"/>
      <c r="AA720" s="165"/>
      <c r="AB720" s="165"/>
      <c r="AC720" s="165"/>
      <c r="AD720" s="165"/>
      <c r="AE720" s="165"/>
      <c r="AF720" s="165"/>
      <c r="AG720" s="165"/>
      <c r="AH720" s="165"/>
      <c r="AI720" s="165"/>
      <c r="AJ720" s="165"/>
      <c r="AK720" s="165"/>
      <c r="AL720" s="165"/>
    </row>
    <row r="721">
      <c r="A721" s="165"/>
      <c r="B721" s="165"/>
      <c r="C721" s="165"/>
      <c r="D721" s="165"/>
      <c r="E721" s="292"/>
      <c r="F721" s="277"/>
      <c r="G721" s="165"/>
      <c r="H721" s="277"/>
      <c r="I721" s="277"/>
      <c r="J721" s="165"/>
      <c r="K721" s="165"/>
      <c r="L721" s="165"/>
      <c r="M721" s="165"/>
      <c r="N721" s="165"/>
      <c r="O721" s="165"/>
      <c r="P721" s="165"/>
      <c r="Q721" s="165"/>
      <c r="R721" s="165"/>
      <c r="S721" s="165"/>
      <c r="T721" s="165"/>
      <c r="U721" s="165"/>
      <c r="V721" s="165"/>
      <c r="W721" s="165"/>
      <c r="X721" s="165"/>
      <c r="Y721" s="285"/>
      <c r="Z721" s="165"/>
      <c r="AA721" s="165"/>
      <c r="AB721" s="165"/>
      <c r="AC721" s="165"/>
      <c r="AD721" s="165"/>
      <c r="AE721" s="165"/>
      <c r="AF721" s="165"/>
      <c r="AG721" s="165"/>
      <c r="AH721" s="165"/>
      <c r="AI721" s="165"/>
      <c r="AJ721" s="165"/>
      <c r="AK721" s="165"/>
      <c r="AL721" s="165"/>
    </row>
    <row r="722">
      <c r="A722" s="165"/>
      <c r="B722" s="165"/>
      <c r="C722" s="165"/>
      <c r="D722" s="165"/>
      <c r="E722" s="292"/>
      <c r="F722" s="277"/>
      <c r="G722" s="165"/>
      <c r="H722" s="277"/>
      <c r="I722" s="277"/>
      <c r="J722" s="165"/>
      <c r="K722" s="165"/>
      <c r="L722" s="165"/>
      <c r="M722" s="165"/>
      <c r="N722" s="165"/>
      <c r="O722" s="165"/>
      <c r="P722" s="165"/>
      <c r="Q722" s="165"/>
      <c r="R722" s="165"/>
      <c r="S722" s="165"/>
      <c r="T722" s="165"/>
      <c r="U722" s="165"/>
      <c r="V722" s="165"/>
      <c r="W722" s="165"/>
      <c r="X722" s="165"/>
      <c r="Y722" s="285"/>
      <c r="Z722" s="165"/>
      <c r="AA722" s="165"/>
      <c r="AB722" s="165"/>
      <c r="AC722" s="165"/>
      <c r="AD722" s="165"/>
      <c r="AE722" s="165"/>
      <c r="AF722" s="165"/>
      <c r="AG722" s="165"/>
      <c r="AH722" s="165"/>
      <c r="AI722" s="165"/>
      <c r="AJ722" s="165"/>
      <c r="AK722" s="165"/>
      <c r="AL722" s="165"/>
    </row>
    <row r="723">
      <c r="A723" s="165"/>
      <c r="B723" s="165"/>
      <c r="C723" s="165"/>
      <c r="D723" s="165"/>
      <c r="E723" s="292"/>
      <c r="F723" s="277"/>
      <c r="G723" s="165"/>
      <c r="H723" s="277"/>
      <c r="I723" s="277"/>
      <c r="J723" s="165"/>
      <c r="K723" s="165"/>
      <c r="L723" s="165"/>
      <c r="M723" s="165"/>
      <c r="N723" s="165"/>
      <c r="O723" s="165"/>
      <c r="P723" s="165"/>
      <c r="Q723" s="165"/>
      <c r="R723" s="165"/>
      <c r="S723" s="165"/>
      <c r="T723" s="165"/>
      <c r="U723" s="165"/>
      <c r="V723" s="165"/>
      <c r="W723" s="165"/>
      <c r="X723" s="165"/>
      <c r="Y723" s="285"/>
      <c r="Z723" s="165"/>
      <c r="AA723" s="165"/>
      <c r="AB723" s="165"/>
      <c r="AC723" s="165"/>
      <c r="AD723" s="165"/>
      <c r="AE723" s="165"/>
      <c r="AF723" s="165"/>
      <c r="AG723" s="165"/>
      <c r="AH723" s="165"/>
      <c r="AI723" s="165"/>
      <c r="AJ723" s="165"/>
      <c r="AK723" s="165"/>
      <c r="AL723" s="165"/>
    </row>
    <row r="724">
      <c r="A724" s="165"/>
      <c r="B724" s="165"/>
      <c r="C724" s="165"/>
      <c r="D724" s="165"/>
      <c r="E724" s="292"/>
      <c r="F724" s="277"/>
      <c r="G724" s="165"/>
      <c r="H724" s="277"/>
      <c r="I724" s="277"/>
      <c r="J724" s="165"/>
      <c r="K724" s="165"/>
      <c r="L724" s="165"/>
      <c r="M724" s="165"/>
      <c r="N724" s="165"/>
      <c r="O724" s="165"/>
      <c r="P724" s="165"/>
      <c r="Q724" s="165"/>
      <c r="R724" s="165"/>
      <c r="S724" s="165"/>
      <c r="T724" s="165"/>
      <c r="U724" s="165"/>
      <c r="V724" s="165"/>
      <c r="W724" s="165"/>
      <c r="X724" s="165"/>
      <c r="Y724" s="285"/>
      <c r="Z724" s="165"/>
      <c r="AA724" s="165"/>
      <c r="AB724" s="165"/>
      <c r="AC724" s="165"/>
      <c r="AD724" s="165"/>
      <c r="AE724" s="165"/>
      <c r="AF724" s="165"/>
      <c r="AG724" s="165"/>
      <c r="AH724" s="165"/>
      <c r="AI724" s="165"/>
      <c r="AJ724" s="165"/>
      <c r="AK724" s="165"/>
      <c r="AL724" s="165"/>
    </row>
    <row r="725">
      <c r="A725" s="165"/>
      <c r="B725" s="165"/>
      <c r="C725" s="165"/>
      <c r="D725" s="165"/>
      <c r="E725" s="292"/>
      <c r="F725" s="277"/>
      <c r="G725" s="165"/>
      <c r="H725" s="277"/>
      <c r="I725" s="277"/>
      <c r="J725" s="165"/>
      <c r="K725" s="165"/>
      <c r="L725" s="165"/>
      <c r="M725" s="165"/>
      <c r="N725" s="165"/>
      <c r="O725" s="165"/>
      <c r="P725" s="165"/>
      <c r="Q725" s="165"/>
      <c r="R725" s="165"/>
      <c r="S725" s="165"/>
      <c r="T725" s="165"/>
      <c r="U725" s="165"/>
      <c r="V725" s="165"/>
      <c r="W725" s="165"/>
      <c r="X725" s="165"/>
      <c r="Y725" s="285"/>
      <c r="Z725" s="165"/>
      <c r="AA725" s="165"/>
      <c r="AB725" s="165"/>
      <c r="AC725" s="165"/>
      <c r="AD725" s="165"/>
      <c r="AE725" s="165"/>
      <c r="AF725" s="165"/>
      <c r="AG725" s="165"/>
      <c r="AH725" s="165"/>
      <c r="AI725" s="165"/>
      <c r="AJ725" s="165"/>
      <c r="AK725" s="165"/>
      <c r="AL725" s="165"/>
    </row>
    <row r="726">
      <c r="A726" s="165"/>
      <c r="B726" s="165"/>
      <c r="C726" s="165"/>
      <c r="D726" s="165"/>
      <c r="E726" s="292"/>
      <c r="F726" s="277"/>
      <c r="G726" s="165"/>
      <c r="H726" s="277"/>
      <c r="I726" s="277"/>
      <c r="J726" s="165"/>
      <c r="K726" s="165"/>
      <c r="L726" s="165"/>
      <c r="M726" s="165"/>
      <c r="N726" s="165"/>
      <c r="O726" s="165"/>
      <c r="P726" s="165"/>
      <c r="Q726" s="165"/>
      <c r="R726" s="165"/>
      <c r="S726" s="165"/>
      <c r="T726" s="165"/>
      <c r="U726" s="165"/>
      <c r="V726" s="165"/>
      <c r="W726" s="165"/>
      <c r="X726" s="165"/>
      <c r="Y726" s="285"/>
      <c r="Z726" s="165"/>
      <c r="AA726" s="165"/>
      <c r="AB726" s="165"/>
      <c r="AC726" s="165"/>
      <c r="AD726" s="165"/>
      <c r="AE726" s="165"/>
      <c r="AF726" s="165"/>
      <c r="AG726" s="165"/>
      <c r="AH726" s="165"/>
      <c r="AI726" s="165"/>
      <c r="AJ726" s="165"/>
      <c r="AK726" s="165"/>
      <c r="AL726" s="165"/>
    </row>
    <row r="727">
      <c r="A727" s="165"/>
      <c r="B727" s="165"/>
      <c r="C727" s="165"/>
      <c r="D727" s="165"/>
      <c r="E727" s="292"/>
      <c r="F727" s="277"/>
      <c r="G727" s="165"/>
      <c r="H727" s="277"/>
      <c r="I727" s="277"/>
      <c r="J727" s="165"/>
      <c r="K727" s="165"/>
      <c r="L727" s="165"/>
      <c r="M727" s="165"/>
      <c r="N727" s="165"/>
      <c r="O727" s="165"/>
      <c r="P727" s="165"/>
      <c r="Q727" s="165"/>
      <c r="R727" s="165"/>
      <c r="S727" s="165"/>
      <c r="T727" s="165"/>
      <c r="U727" s="165"/>
      <c r="V727" s="165"/>
      <c r="W727" s="165"/>
      <c r="X727" s="165"/>
      <c r="Y727" s="285"/>
      <c r="Z727" s="165"/>
      <c r="AA727" s="165"/>
      <c r="AB727" s="165"/>
      <c r="AC727" s="165"/>
      <c r="AD727" s="165"/>
      <c r="AE727" s="165"/>
      <c r="AF727" s="165"/>
      <c r="AG727" s="165"/>
      <c r="AH727" s="165"/>
      <c r="AI727" s="165"/>
      <c r="AJ727" s="165"/>
      <c r="AK727" s="165"/>
      <c r="AL727" s="165"/>
    </row>
    <row r="728">
      <c r="A728" s="165"/>
      <c r="B728" s="165"/>
      <c r="C728" s="165"/>
      <c r="D728" s="165"/>
      <c r="E728" s="292"/>
      <c r="F728" s="277"/>
      <c r="G728" s="165"/>
      <c r="H728" s="277"/>
      <c r="I728" s="277"/>
      <c r="J728" s="165"/>
      <c r="K728" s="165"/>
      <c r="L728" s="165"/>
      <c r="M728" s="165"/>
      <c r="N728" s="165"/>
      <c r="O728" s="165"/>
      <c r="P728" s="165"/>
      <c r="Q728" s="165"/>
      <c r="R728" s="165"/>
      <c r="S728" s="165"/>
      <c r="T728" s="165"/>
      <c r="U728" s="165"/>
      <c r="V728" s="165"/>
      <c r="W728" s="165"/>
      <c r="X728" s="165"/>
      <c r="Y728" s="285"/>
      <c r="Z728" s="165"/>
      <c r="AA728" s="165"/>
      <c r="AB728" s="165"/>
      <c r="AC728" s="165"/>
      <c r="AD728" s="165"/>
      <c r="AE728" s="165"/>
      <c r="AF728" s="165"/>
      <c r="AG728" s="165"/>
      <c r="AH728" s="165"/>
      <c r="AI728" s="165"/>
      <c r="AJ728" s="165"/>
      <c r="AK728" s="165"/>
      <c r="AL728" s="165"/>
    </row>
    <row r="729">
      <c r="A729" s="165"/>
      <c r="B729" s="165"/>
      <c r="C729" s="165"/>
      <c r="D729" s="165"/>
      <c r="E729" s="292"/>
      <c r="F729" s="277"/>
      <c r="G729" s="165"/>
      <c r="H729" s="277"/>
      <c r="I729" s="277"/>
      <c r="J729" s="165"/>
      <c r="K729" s="165"/>
      <c r="L729" s="165"/>
      <c r="M729" s="165"/>
      <c r="N729" s="165"/>
      <c r="O729" s="165"/>
      <c r="P729" s="165"/>
      <c r="Q729" s="165"/>
      <c r="R729" s="165"/>
      <c r="S729" s="165"/>
      <c r="T729" s="165"/>
      <c r="U729" s="165"/>
      <c r="V729" s="165"/>
      <c r="W729" s="165"/>
      <c r="X729" s="165"/>
      <c r="Y729" s="285"/>
      <c r="Z729" s="165"/>
      <c r="AA729" s="165"/>
      <c r="AB729" s="165"/>
      <c r="AC729" s="165"/>
      <c r="AD729" s="165"/>
      <c r="AE729" s="165"/>
      <c r="AF729" s="165"/>
      <c r="AG729" s="165"/>
      <c r="AH729" s="165"/>
      <c r="AI729" s="165"/>
      <c r="AJ729" s="165"/>
      <c r="AK729" s="165"/>
      <c r="AL729" s="165"/>
    </row>
    <row r="730">
      <c r="A730" s="165"/>
      <c r="B730" s="165"/>
      <c r="C730" s="165"/>
      <c r="D730" s="165"/>
      <c r="E730" s="292"/>
      <c r="F730" s="277"/>
      <c r="G730" s="165"/>
      <c r="H730" s="277"/>
      <c r="I730" s="277"/>
      <c r="J730" s="165"/>
      <c r="K730" s="165"/>
      <c r="L730" s="165"/>
      <c r="M730" s="165"/>
      <c r="N730" s="165"/>
      <c r="O730" s="165"/>
      <c r="P730" s="165"/>
      <c r="Q730" s="165"/>
      <c r="R730" s="165"/>
      <c r="S730" s="165"/>
      <c r="T730" s="165"/>
      <c r="U730" s="165"/>
      <c r="V730" s="165"/>
      <c r="W730" s="165"/>
      <c r="X730" s="165"/>
      <c r="Y730" s="285"/>
      <c r="Z730" s="165"/>
      <c r="AA730" s="165"/>
      <c r="AB730" s="165"/>
      <c r="AC730" s="165"/>
      <c r="AD730" s="165"/>
      <c r="AE730" s="165"/>
      <c r="AF730" s="165"/>
      <c r="AG730" s="165"/>
      <c r="AH730" s="165"/>
      <c r="AI730" s="165"/>
      <c r="AJ730" s="165"/>
      <c r="AK730" s="165"/>
      <c r="AL730" s="165"/>
    </row>
    <row r="731">
      <c r="A731" s="165"/>
      <c r="B731" s="165"/>
      <c r="C731" s="165"/>
      <c r="D731" s="165"/>
      <c r="E731" s="292"/>
      <c r="F731" s="277"/>
      <c r="G731" s="165"/>
      <c r="H731" s="277"/>
      <c r="I731" s="277"/>
      <c r="J731" s="165"/>
      <c r="K731" s="165"/>
      <c r="L731" s="165"/>
      <c r="M731" s="165"/>
      <c r="N731" s="165"/>
      <c r="O731" s="165"/>
      <c r="P731" s="165"/>
      <c r="Q731" s="165"/>
      <c r="R731" s="165"/>
      <c r="S731" s="165"/>
      <c r="T731" s="165"/>
      <c r="U731" s="165"/>
      <c r="V731" s="165"/>
      <c r="W731" s="165"/>
      <c r="X731" s="165"/>
      <c r="Y731" s="285"/>
      <c r="Z731" s="165"/>
      <c r="AA731" s="165"/>
      <c r="AB731" s="165"/>
      <c r="AC731" s="165"/>
      <c r="AD731" s="165"/>
      <c r="AE731" s="165"/>
      <c r="AF731" s="165"/>
      <c r="AG731" s="165"/>
      <c r="AH731" s="165"/>
      <c r="AI731" s="165"/>
      <c r="AJ731" s="165"/>
      <c r="AK731" s="165"/>
      <c r="AL731" s="165"/>
    </row>
    <row r="732">
      <c r="A732" s="165"/>
      <c r="B732" s="165"/>
      <c r="C732" s="165"/>
      <c r="D732" s="165"/>
      <c r="E732" s="292"/>
      <c r="F732" s="277"/>
      <c r="G732" s="165"/>
      <c r="H732" s="277"/>
      <c r="I732" s="277"/>
      <c r="J732" s="165"/>
      <c r="K732" s="165"/>
      <c r="L732" s="165"/>
      <c r="M732" s="165"/>
      <c r="N732" s="165"/>
      <c r="O732" s="165"/>
      <c r="P732" s="165"/>
      <c r="Q732" s="165"/>
      <c r="R732" s="165"/>
      <c r="S732" s="165"/>
      <c r="T732" s="165"/>
      <c r="U732" s="165"/>
      <c r="V732" s="165"/>
      <c r="W732" s="165"/>
      <c r="X732" s="165"/>
      <c r="Y732" s="285"/>
      <c r="Z732" s="165"/>
      <c r="AA732" s="165"/>
      <c r="AB732" s="165"/>
      <c r="AC732" s="165"/>
      <c r="AD732" s="165"/>
      <c r="AE732" s="165"/>
      <c r="AF732" s="165"/>
      <c r="AG732" s="165"/>
      <c r="AH732" s="165"/>
      <c r="AI732" s="165"/>
      <c r="AJ732" s="165"/>
      <c r="AK732" s="165"/>
      <c r="AL732" s="165"/>
    </row>
    <row r="733">
      <c r="A733" s="165"/>
      <c r="B733" s="165"/>
      <c r="C733" s="165"/>
      <c r="D733" s="165"/>
      <c r="E733" s="292"/>
      <c r="F733" s="277"/>
      <c r="G733" s="165"/>
      <c r="H733" s="277"/>
      <c r="I733" s="277"/>
      <c r="J733" s="165"/>
      <c r="K733" s="165"/>
      <c r="L733" s="165"/>
      <c r="M733" s="165"/>
      <c r="N733" s="165"/>
      <c r="O733" s="165"/>
      <c r="P733" s="165"/>
      <c r="Q733" s="165"/>
      <c r="R733" s="165"/>
      <c r="S733" s="165"/>
      <c r="T733" s="165"/>
      <c r="U733" s="165"/>
      <c r="V733" s="165"/>
      <c r="W733" s="165"/>
      <c r="X733" s="165"/>
      <c r="Y733" s="285"/>
      <c r="Z733" s="165"/>
      <c r="AA733" s="165"/>
      <c r="AB733" s="165"/>
      <c r="AC733" s="165"/>
      <c r="AD733" s="165"/>
      <c r="AE733" s="165"/>
      <c r="AF733" s="165"/>
      <c r="AG733" s="165"/>
      <c r="AH733" s="165"/>
      <c r="AI733" s="165"/>
      <c r="AJ733" s="165"/>
      <c r="AK733" s="165"/>
      <c r="AL733" s="165"/>
    </row>
    <row r="734">
      <c r="A734" s="165"/>
      <c r="B734" s="165"/>
      <c r="C734" s="165"/>
      <c r="D734" s="165"/>
      <c r="E734" s="292"/>
      <c r="F734" s="277"/>
      <c r="G734" s="165"/>
      <c r="H734" s="277"/>
      <c r="I734" s="277"/>
      <c r="J734" s="165"/>
      <c r="K734" s="165"/>
      <c r="L734" s="165"/>
      <c r="M734" s="165"/>
      <c r="N734" s="165"/>
      <c r="O734" s="165"/>
      <c r="P734" s="165"/>
      <c r="Q734" s="165"/>
      <c r="R734" s="165"/>
      <c r="S734" s="165"/>
      <c r="T734" s="165"/>
      <c r="U734" s="165"/>
      <c r="V734" s="165"/>
      <c r="W734" s="165"/>
      <c r="X734" s="165"/>
      <c r="Y734" s="285"/>
      <c r="Z734" s="165"/>
      <c r="AA734" s="165"/>
      <c r="AB734" s="165"/>
      <c r="AC734" s="165"/>
      <c r="AD734" s="165"/>
      <c r="AE734" s="165"/>
      <c r="AF734" s="165"/>
      <c r="AG734" s="165"/>
      <c r="AH734" s="165"/>
      <c r="AI734" s="165"/>
      <c r="AJ734" s="165"/>
      <c r="AK734" s="165"/>
      <c r="AL734" s="165"/>
    </row>
    <row r="735">
      <c r="A735" s="165"/>
      <c r="B735" s="165"/>
      <c r="C735" s="165"/>
      <c r="D735" s="165"/>
      <c r="E735" s="292"/>
      <c r="F735" s="277"/>
      <c r="G735" s="165"/>
      <c r="H735" s="277"/>
      <c r="I735" s="277"/>
      <c r="J735" s="165"/>
      <c r="K735" s="165"/>
      <c r="L735" s="165"/>
      <c r="M735" s="165"/>
      <c r="N735" s="165"/>
      <c r="O735" s="165"/>
      <c r="P735" s="165"/>
      <c r="Q735" s="165"/>
      <c r="R735" s="165"/>
      <c r="S735" s="165"/>
      <c r="T735" s="165"/>
      <c r="U735" s="165"/>
      <c r="V735" s="165"/>
      <c r="W735" s="165"/>
      <c r="X735" s="165"/>
      <c r="Y735" s="285"/>
      <c r="Z735" s="165"/>
      <c r="AA735" s="165"/>
      <c r="AB735" s="165"/>
      <c r="AC735" s="165"/>
      <c r="AD735" s="165"/>
      <c r="AE735" s="165"/>
      <c r="AF735" s="165"/>
      <c r="AG735" s="165"/>
      <c r="AH735" s="165"/>
      <c r="AI735" s="165"/>
      <c r="AJ735" s="165"/>
      <c r="AK735" s="165"/>
      <c r="AL735" s="165"/>
    </row>
    <row r="736">
      <c r="A736" s="165"/>
      <c r="B736" s="165"/>
      <c r="C736" s="165"/>
      <c r="D736" s="165"/>
      <c r="E736" s="292"/>
      <c r="F736" s="277"/>
      <c r="G736" s="165"/>
      <c r="H736" s="277"/>
      <c r="I736" s="277"/>
      <c r="J736" s="165"/>
      <c r="K736" s="165"/>
      <c r="L736" s="165"/>
      <c r="M736" s="165"/>
      <c r="N736" s="165"/>
      <c r="O736" s="165"/>
      <c r="P736" s="165"/>
      <c r="Q736" s="165"/>
      <c r="R736" s="165"/>
      <c r="S736" s="165"/>
      <c r="T736" s="165"/>
      <c r="U736" s="165"/>
      <c r="V736" s="165"/>
      <c r="W736" s="165"/>
      <c r="X736" s="165"/>
      <c r="Y736" s="285"/>
      <c r="Z736" s="165"/>
      <c r="AA736" s="165"/>
      <c r="AB736" s="165"/>
      <c r="AC736" s="165"/>
      <c r="AD736" s="165"/>
      <c r="AE736" s="165"/>
      <c r="AF736" s="165"/>
      <c r="AG736" s="165"/>
      <c r="AH736" s="165"/>
      <c r="AI736" s="165"/>
      <c r="AJ736" s="165"/>
      <c r="AK736" s="165"/>
      <c r="AL736" s="165"/>
    </row>
    <row r="737">
      <c r="A737" s="165"/>
      <c r="B737" s="165"/>
      <c r="C737" s="165"/>
      <c r="D737" s="165"/>
      <c r="E737" s="292"/>
      <c r="F737" s="277"/>
      <c r="G737" s="165"/>
      <c r="H737" s="277"/>
      <c r="I737" s="277"/>
      <c r="J737" s="165"/>
      <c r="K737" s="165"/>
      <c r="L737" s="165"/>
      <c r="M737" s="165"/>
      <c r="N737" s="165"/>
      <c r="O737" s="165"/>
      <c r="P737" s="165"/>
      <c r="Q737" s="165"/>
      <c r="R737" s="165"/>
      <c r="S737" s="165"/>
      <c r="T737" s="165"/>
      <c r="U737" s="165"/>
      <c r="V737" s="165"/>
      <c r="W737" s="165"/>
      <c r="X737" s="165"/>
      <c r="Y737" s="285"/>
      <c r="Z737" s="165"/>
      <c r="AA737" s="165"/>
      <c r="AB737" s="165"/>
      <c r="AC737" s="165"/>
      <c r="AD737" s="165"/>
      <c r="AE737" s="165"/>
      <c r="AF737" s="165"/>
      <c r="AG737" s="165"/>
      <c r="AH737" s="165"/>
      <c r="AI737" s="165"/>
      <c r="AJ737" s="165"/>
      <c r="AK737" s="165"/>
      <c r="AL737" s="165"/>
    </row>
    <row r="738">
      <c r="A738" s="165"/>
      <c r="B738" s="165"/>
      <c r="C738" s="165"/>
      <c r="D738" s="165"/>
      <c r="E738" s="292"/>
      <c r="F738" s="277"/>
      <c r="G738" s="165"/>
      <c r="H738" s="277"/>
      <c r="I738" s="277"/>
      <c r="J738" s="165"/>
      <c r="K738" s="165"/>
      <c r="L738" s="165"/>
      <c r="M738" s="165"/>
      <c r="N738" s="165"/>
      <c r="O738" s="165"/>
      <c r="P738" s="165"/>
      <c r="Q738" s="165"/>
      <c r="R738" s="165"/>
      <c r="S738" s="165"/>
      <c r="T738" s="165"/>
      <c r="U738" s="165"/>
      <c r="V738" s="165"/>
      <c r="W738" s="165"/>
      <c r="X738" s="165"/>
      <c r="Y738" s="285"/>
      <c r="Z738" s="165"/>
      <c r="AA738" s="165"/>
      <c r="AB738" s="165"/>
      <c r="AC738" s="165"/>
      <c r="AD738" s="165"/>
      <c r="AE738" s="165"/>
      <c r="AF738" s="165"/>
      <c r="AG738" s="165"/>
      <c r="AH738" s="165"/>
      <c r="AI738" s="165"/>
      <c r="AJ738" s="165"/>
      <c r="AK738" s="165"/>
      <c r="AL738" s="165"/>
    </row>
    <row r="739">
      <c r="A739" s="165"/>
      <c r="B739" s="165"/>
      <c r="C739" s="165"/>
      <c r="D739" s="165"/>
      <c r="E739" s="292"/>
      <c r="F739" s="277"/>
      <c r="G739" s="165"/>
      <c r="H739" s="277"/>
      <c r="I739" s="277"/>
      <c r="J739" s="165"/>
      <c r="K739" s="165"/>
      <c r="L739" s="165"/>
      <c r="M739" s="165"/>
      <c r="N739" s="165"/>
      <c r="O739" s="165"/>
      <c r="P739" s="165"/>
      <c r="Q739" s="165"/>
      <c r="R739" s="165"/>
      <c r="S739" s="165"/>
      <c r="T739" s="165"/>
      <c r="U739" s="165"/>
      <c r="V739" s="165"/>
      <c r="W739" s="165"/>
      <c r="X739" s="165"/>
      <c r="Y739" s="285"/>
      <c r="Z739" s="165"/>
      <c r="AA739" s="165"/>
      <c r="AB739" s="165"/>
      <c r="AC739" s="165"/>
      <c r="AD739" s="165"/>
      <c r="AE739" s="165"/>
      <c r="AF739" s="165"/>
      <c r="AG739" s="165"/>
      <c r="AH739" s="165"/>
      <c r="AI739" s="165"/>
      <c r="AJ739" s="165"/>
      <c r="AK739" s="165"/>
      <c r="AL739" s="165"/>
    </row>
    <row r="740">
      <c r="A740" s="165"/>
      <c r="B740" s="165"/>
      <c r="C740" s="165"/>
      <c r="D740" s="165"/>
      <c r="E740" s="292"/>
      <c r="F740" s="277"/>
      <c r="G740" s="165"/>
      <c r="H740" s="277"/>
      <c r="I740" s="277"/>
      <c r="J740" s="165"/>
      <c r="K740" s="165"/>
      <c r="L740" s="165"/>
      <c r="M740" s="165"/>
      <c r="N740" s="165"/>
      <c r="O740" s="165"/>
      <c r="P740" s="165"/>
      <c r="Q740" s="165"/>
      <c r="R740" s="165"/>
      <c r="S740" s="165"/>
      <c r="T740" s="165"/>
      <c r="U740" s="165"/>
      <c r="V740" s="165"/>
      <c r="W740" s="165"/>
      <c r="X740" s="165"/>
      <c r="Y740" s="285"/>
      <c r="Z740" s="165"/>
      <c r="AA740" s="165"/>
      <c r="AB740" s="165"/>
      <c r="AC740" s="165"/>
      <c r="AD740" s="165"/>
      <c r="AE740" s="165"/>
      <c r="AF740" s="165"/>
      <c r="AG740" s="165"/>
      <c r="AH740" s="165"/>
      <c r="AI740" s="165"/>
      <c r="AJ740" s="165"/>
      <c r="AK740" s="165"/>
      <c r="AL740" s="165"/>
    </row>
    <row r="741">
      <c r="A741" s="165"/>
      <c r="B741" s="165"/>
      <c r="C741" s="165"/>
      <c r="D741" s="165"/>
      <c r="E741" s="292"/>
      <c r="F741" s="277"/>
      <c r="G741" s="165"/>
      <c r="H741" s="277"/>
      <c r="I741" s="277"/>
      <c r="J741" s="165"/>
      <c r="K741" s="165"/>
      <c r="L741" s="165"/>
      <c r="M741" s="165"/>
      <c r="N741" s="165"/>
      <c r="O741" s="165"/>
      <c r="P741" s="165"/>
      <c r="Q741" s="165"/>
      <c r="R741" s="165"/>
      <c r="S741" s="165"/>
      <c r="T741" s="165"/>
      <c r="U741" s="165"/>
      <c r="V741" s="165"/>
      <c r="W741" s="165"/>
      <c r="X741" s="165"/>
      <c r="Y741" s="285"/>
      <c r="Z741" s="165"/>
      <c r="AA741" s="165"/>
      <c r="AB741" s="165"/>
      <c r="AC741" s="165"/>
      <c r="AD741" s="165"/>
      <c r="AE741" s="165"/>
      <c r="AF741" s="165"/>
      <c r="AG741" s="165"/>
      <c r="AH741" s="165"/>
      <c r="AI741" s="165"/>
      <c r="AJ741" s="165"/>
      <c r="AK741" s="165"/>
      <c r="AL741" s="165"/>
    </row>
    <row r="742">
      <c r="A742" s="165"/>
      <c r="B742" s="165"/>
      <c r="C742" s="165"/>
      <c r="D742" s="165"/>
      <c r="E742" s="292"/>
      <c r="F742" s="277"/>
      <c r="G742" s="165"/>
      <c r="H742" s="277"/>
      <c r="I742" s="277"/>
      <c r="J742" s="165"/>
      <c r="K742" s="165"/>
      <c r="L742" s="165"/>
      <c r="M742" s="165"/>
      <c r="N742" s="165"/>
      <c r="O742" s="165"/>
      <c r="P742" s="165"/>
      <c r="Q742" s="165"/>
      <c r="R742" s="165"/>
      <c r="S742" s="165"/>
      <c r="T742" s="165"/>
      <c r="U742" s="165"/>
      <c r="V742" s="165"/>
      <c r="W742" s="165"/>
      <c r="X742" s="165"/>
      <c r="Y742" s="285"/>
      <c r="Z742" s="165"/>
      <c r="AA742" s="165"/>
      <c r="AB742" s="165"/>
      <c r="AC742" s="165"/>
      <c r="AD742" s="165"/>
      <c r="AE742" s="165"/>
      <c r="AF742" s="165"/>
      <c r="AG742" s="165"/>
      <c r="AH742" s="165"/>
      <c r="AI742" s="165"/>
      <c r="AJ742" s="165"/>
      <c r="AK742" s="165"/>
      <c r="AL742" s="165"/>
    </row>
    <row r="743">
      <c r="A743" s="165"/>
      <c r="B743" s="165"/>
      <c r="C743" s="165"/>
      <c r="D743" s="165"/>
      <c r="E743" s="292"/>
      <c r="F743" s="277"/>
      <c r="G743" s="165"/>
      <c r="H743" s="277"/>
      <c r="I743" s="277"/>
      <c r="J743" s="165"/>
      <c r="K743" s="165"/>
      <c r="L743" s="165"/>
      <c r="M743" s="165"/>
      <c r="N743" s="165"/>
      <c r="O743" s="165"/>
      <c r="P743" s="165"/>
      <c r="Q743" s="165"/>
      <c r="R743" s="165"/>
      <c r="S743" s="165"/>
      <c r="T743" s="165"/>
      <c r="U743" s="165"/>
      <c r="V743" s="165"/>
      <c r="W743" s="165"/>
      <c r="X743" s="165"/>
      <c r="Y743" s="285"/>
      <c r="Z743" s="165"/>
      <c r="AA743" s="165"/>
      <c r="AB743" s="165"/>
      <c r="AC743" s="165"/>
      <c r="AD743" s="165"/>
      <c r="AE743" s="165"/>
      <c r="AF743" s="165"/>
      <c r="AG743" s="165"/>
      <c r="AH743" s="165"/>
      <c r="AI743" s="165"/>
      <c r="AJ743" s="165"/>
      <c r="AK743" s="165"/>
      <c r="AL743" s="165"/>
    </row>
    <row r="744">
      <c r="A744" s="165"/>
      <c r="B744" s="165"/>
      <c r="C744" s="165"/>
      <c r="D744" s="165"/>
      <c r="E744" s="292"/>
      <c r="F744" s="277"/>
      <c r="G744" s="165"/>
      <c r="H744" s="277"/>
      <c r="I744" s="277"/>
      <c r="J744" s="165"/>
      <c r="K744" s="165"/>
      <c r="L744" s="165"/>
      <c r="M744" s="165"/>
      <c r="N744" s="165"/>
      <c r="O744" s="165"/>
      <c r="P744" s="165"/>
      <c r="Q744" s="165"/>
      <c r="R744" s="165"/>
      <c r="S744" s="165"/>
      <c r="T744" s="165"/>
      <c r="U744" s="165"/>
      <c r="V744" s="165"/>
      <c r="W744" s="165"/>
      <c r="X744" s="165"/>
      <c r="Y744" s="285"/>
      <c r="Z744" s="165"/>
      <c r="AA744" s="165"/>
      <c r="AB744" s="165"/>
      <c r="AC744" s="165"/>
      <c r="AD744" s="165"/>
      <c r="AE744" s="165"/>
      <c r="AF744" s="165"/>
      <c r="AG744" s="165"/>
      <c r="AH744" s="165"/>
      <c r="AI744" s="165"/>
      <c r="AJ744" s="165"/>
      <c r="AK744" s="165"/>
      <c r="AL744" s="165"/>
    </row>
    <row r="745">
      <c r="A745" s="165"/>
      <c r="B745" s="165"/>
      <c r="C745" s="165"/>
      <c r="D745" s="165"/>
      <c r="E745" s="292"/>
      <c r="F745" s="277"/>
      <c r="G745" s="165"/>
      <c r="H745" s="277"/>
      <c r="I745" s="277"/>
      <c r="J745" s="165"/>
      <c r="K745" s="165"/>
      <c r="L745" s="165"/>
      <c r="M745" s="165"/>
      <c r="N745" s="165"/>
      <c r="O745" s="165"/>
      <c r="P745" s="165"/>
      <c r="Q745" s="165"/>
      <c r="R745" s="165"/>
      <c r="S745" s="165"/>
      <c r="T745" s="165"/>
      <c r="U745" s="165"/>
      <c r="V745" s="165"/>
      <c r="W745" s="165"/>
      <c r="X745" s="165"/>
      <c r="Y745" s="285"/>
      <c r="Z745" s="165"/>
      <c r="AA745" s="165"/>
      <c r="AB745" s="165"/>
      <c r="AC745" s="165"/>
      <c r="AD745" s="165"/>
      <c r="AE745" s="165"/>
      <c r="AF745" s="165"/>
      <c r="AG745" s="165"/>
      <c r="AH745" s="165"/>
      <c r="AI745" s="165"/>
      <c r="AJ745" s="165"/>
      <c r="AK745" s="165"/>
      <c r="AL745" s="165"/>
    </row>
    <row r="746">
      <c r="A746" s="165"/>
      <c r="B746" s="165"/>
      <c r="C746" s="165"/>
      <c r="D746" s="165"/>
      <c r="E746" s="292"/>
      <c r="F746" s="277"/>
      <c r="G746" s="165"/>
      <c r="H746" s="277"/>
      <c r="I746" s="277"/>
      <c r="J746" s="165"/>
      <c r="K746" s="165"/>
      <c r="L746" s="165"/>
      <c r="M746" s="165"/>
      <c r="N746" s="165"/>
      <c r="O746" s="165"/>
      <c r="P746" s="165"/>
      <c r="Q746" s="165"/>
      <c r="R746" s="165"/>
      <c r="S746" s="165"/>
      <c r="T746" s="165"/>
      <c r="U746" s="165"/>
      <c r="V746" s="165"/>
      <c r="W746" s="165"/>
      <c r="X746" s="165"/>
      <c r="Y746" s="285"/>
      <c r="Z746" s="165"/>
      <c r="AA746" s="165"/>
      <c r="AB746" s="165"/>
      <c r="AC746" s="165"/>
      <c r="AD746" s="165"/>
      <c r="AE746" s="165"/>
      <c r="AF746" s="165"/>
      <c r="AG746" s="165"/>
      <c r="AH746" s="165"/>
      <c r="AI746" s="165"/>
      <c r="AJ746" s="165"/>
      <c r="AK746" s="165"/>
      <c r="AL746" s="165"/>
    </row>
    <row r="747">
      <c r="A747" s="165"/>
      <c r="B747" s="165"/>
      <c r="C747" s="165"/>
      <c r="D747" s="165"/>
      <c r="E747" s="292"/>
      <c r="F747" s="277"/>
      <c r="G747" s="165"/>
      <c r="H747" s="277"/>
      <c r="I747" s="277"/>
      <c r="J747" s="165"/>
      <c r="K747" s="165"/>
      <c r="L747" s="165"/>
      <c r="M747" s="165"/>
      <c r="N747" s="165"/>
      <c r="O747" s="165"/>
      <c r="P747" s="165"/>
      <c r="Q747" s="165"/>
      <c r="R747" s="165"/>
      <c r="S747" s="165"/>
      <c r="T747" s="165"/>
      <c r="U747" s="165"/>
      <c r="V747" s="165"/>
      <c r="W747" s="165"/>
      <c r="X747" s="165"/>
      <c r="Y747" s="285"/>
      <c r="Z747" s="165"/>
      <c r="AA747" s="165"/>
      <c r="AB747" s="165"/>
      <c r="AC747" s="165"/>
      <c r="AD747" s="165"/>
      <c r="AE747" s="165"/>
      <c r="AF747" s="165"/>
      <c r="AG747" s="165"/>
      <c r="AH747" s="165"/>
      <c r="AI747" s="165"/>
      <c r="AJ747" s="165"/>
      <c r="AK747" s="165"/>
      <c r="AL747" s="165"/>
    </row>
    <row r="748">
      <c r="A748" s="165"/>
      <c r="B748" s="165"/>
      <c r="C748" s="165"/>
      <c r="D748" s="165"/>
      <c r="E748" s="292"/>
      <c r="F748" s="277"/>
      <c r="G748" s="165"/>
      <c r="H748" s="277"/>
      <c r="I748" s="277"/>
      <c r="J748" s="165"/>
      <c r="K748" s="165"/>
      <c r="L748" s="165"/>
      <c r="M748" s="165"/>
      <c r="N748" s="165"/>
      <c r="O748" s="165"/>
      <c r="P748" s="165"/>
      <c r="Q748" s="165"/>
      <c r="R748" s="165"/>
      <c r="S748" s="165"/>
      <c r="T748" s="165"/>
      <c r="U748" s="165"/>
      <c r="V748" s="165"/>
      <c r="W748" s="165"/>
      <c r="X748" s="165"/>
      <c r="Y748" s="285"/>
      <c r="Z748" s="165"/>
      <c r="AA748" s="165"/>
      <c r="AB748" s="165"/>
      <c r="AC748" s="165"/>
      <c r="AD748" s="165"/>
      <c r="AE748" s="165"/>
      <c r="AF748" s="165"/>
      <c r="AG748" s="165"/>
      <c r="AH748" s="165"/>
      <c r="AI748" s="165"/>
      <c r="AJ748" s="165"/>
      <c r="AK748" s="165"/>
      <c r="AL748" s="165"/>
    </row>
    <row r="749">
      <c r="A749" s="165"/>
      <c r="B749" s="165"/>
      <c r="C749" s="165"/>
      <c r="D749" s="165"/>
      <c r="E749" s="292"/>
      <c r="F749" s="277"/>
      <c r="G749" s="165"/>
      <c r="H749" s="277"/>
      <c r="I749" s="277"/>
      <c r="J749" s="165"/>
      <c r="K749" s="165"/>
      <c r="L749" s="165"/>
      <c r="M749" s="165"/>
      <c r="N749" s="165"/>
      <c r="O749" s="165"/>
      <c r="P749" s="165"/>
      <c r="Q749" s="165"/>
      <c r="R749" s="165"/>
      <c r="S749" s="165"/>
      <c r="T749" s="165"/>
      <c r="U749" s="165"/>
      <c r="V749" s="165"/>
      <c r="W749" s="165"/>
      <c r="X749" s="165"/>
      <c r="Y749" s="285"/>
      <c r="Z749" s="165"/>
      <c r="AA749" s="165"/>
      <c r="AB749" s="165"/>
      <c r="AC749" s="165"/>
      <c r="AD749" s="165"/>
      <c r="AE749" s="165"/>
      <c r="AF749" s="165"/>
      <c r="AG749" s="165"/>
      <c r="AH749" s="165"/>
      <c r="AI749" s="165"/>
      <c r="AJ749" s="165"/>
      <c r="AK749" s="165"/>
      <c r="AL749" s="165"/>
    </row>
    <row r="750">
      <c r="A750" s="165"/>
      <c r="B750" s="165"/>
      <c r="C750" s="165"/>
      <c r="D750" s="165"/>
      <c r="E750" s="292"/>
      <c r="F750" s="277"/>
      <c r="G750" s="165"/>
      <c r="H750" s="277"/>
      <c r="I750" s="277"/>
      <c r="J750" s="165"/>
      <c r="K750" s="165"/>
      <c r="L750" s="165"/>
      <c r="M750" s="165"/>
      <c r="N750" s="165"/>
      <c r="O750" s="165"/>
      <c r="P750" s="165"/>
      <c r="Q750" s="165"/>
      <c r="R750" s="165"/>
      <c r="S750" s="165"/>
      <c r="T750" s="165"/>
      <c r="U750" s="165"/>
      <c r="V750" s="165"/>
      <c r="W750" s="165"/>
      <c r="X750" s="165"/>
      <c r="Y750" s="285"/>
      <c r="Z750" s="165"/>
      <c r="AA750" s="165"/>
      <c r="AB750" s="165"/>
      <c r="AC750" s="165"/>
      <c r="AD750" s="165"/>
      <c r="AE750" s="165"/>
      <c r="AF750" s="165"/>
      <c r="AG750" s="165"/>
      <c r="AH750" s="165"/>
      <c r="AI750" s="165"/>
      <c r="AJ750" s="165"/>
      <c r="AK750" s="165"/>
      <c r="AL750" s="165"/>
    </row>
    <row r="751">
      <c r="A751" s="165"/>
      <c r="B751" s="165"/>
      <c r="C751" s="165"/>
      <c r="D751" s="165"/>
      <c r="E751" s="292"/>
      <c r="F751" s="277"/>
      <c r="G751" s="165"/>
      <c r="H751" s="277"/>
      <c r="I751" s="277"/>
      <c r="J751" s="165"/>
      <c r="K751" s="165"/>
      <c r="L751" s="165"/>
      <c r="M751" s="165"/>
      <c r="N751" s="165"/>
      <c r="O751" s="165"/>
      <c r="P751" s="165"/>
      <c r="Q751" s="165"/>
      <c r="R751" s="165"/>
      <c r="S751" s="165"/>
      <c r="T751" s="165"/>
      <c r="U751" s="165"/>
      <c r="V751" s="165"/>
      <c r="W751" s="165"/>
      <c r="X751" s="165"/>
      <c r="Y751" s="285"/>
      <c r="Z751" s="165"/>
      <c r="AA751" s="165"/>
      <c r="AB751" s="165"/>
      <c r="AC751" s="165"/>
      <c r="AD751" s="165"/>
      <c r="AE751" s="165"/>
      <c r="AF751" s="165"/>
      <c r="AG751" s="165"/>
      <c r="AH751" s="165"/>
      <c r="AI751" s="165"/>
      <c r="AJ751" s="165"/>
      <c r="AK751" s="165"/>
      <c r="AL751" s="165"/>
    </row>
    <row r="752">
      <c r="A752" s="165"/>
      <c r="B752" s="165"/>
      <c r="C752" s="165"/>
      <c r="D752" s="165"/>
      <c r="E752" s="292"/>
      <c r="F752" s="277"/>
      <c r="G752" s="165"/>
      <c r="H752" s="277"/>
      <c r="I752" s="277"/>
      <c r="J752" s="165"/>
      <c r="K752" s="165"/>
      <c r="L752" s="165"/>
      <c r="M752" s="165"/>
      <c r="N752" s="165"/>
      <c r="O752" s="165"/>
      <c r="P752" s="165"/>
      <c r="Q752" s="165"/>
      <c r="R752" s="165"/>
      <c r="S752" s="165"/>
      <c r="T752" s="165"/>
      <c r="U752" s="165"/>
      <c r="V752" s="165"/>
      <c r="W752" s="165"/>
      <c r="X752" s="165"/>
      <c r="Y752" s="285"/>
      <c r="Z752" s="165"/>
      <c r="AA752" s="165"/>
      <c r="AB752" s="165"/>
      <c r="AC752" s="165"/>
      <c r="AD752" s="165"/>
      <c r="AE752" s="165"/>
      <c r="AF752" s="165"/>
      <c r="AG752" s="165"/>
      <c r="AH752" s="165"/>
      <c r="AI752" s="165"/>
      <c r="AJ752" s="165"/>
      <c r="AK752" s="165"/>
      <c r="AL752" s="165"/>
    </row>
    <row r="753">
      <c r="A753" s="165"/>
      <c r="B753" s="165"/>
      <c r="C753" s="165"/>
      <c r="D753" s="165"/>
      <c r="E753" s="292"/>
      <c r="F753" s="277"/>
      <c r="G753" s="165"/>
      <c r="H753" s="277"/>
      <c r="I753" s="277"/>
      <c r="J753" s="165"/>
      <c r="K753" s="165"/>
      <c r="L753" s="165"/>
      <c r="M753" s="165"/>
      <c r="N753" s="165"/>
      <c r="O753" s="165"/>
      <c r="P753" s="165"/>
      <c r="Q753" s="165"/>
      <c r="R753" s="165"/>
      <c r="S753" s="165"/>
      <c r="T753" s="165"/>
      <c r="U753" s="165"/>
      <c r="V753" s="165"/>
      <c r="W753" s="165"/>
      <c r="X753" s="165"/>
      <c r="Y753" s="285"/>
      <c r="Z753" s="165"/>
      <c r="AA753" s="165"/>
      <c r="AB753" s="165"/>
      <c r="AC753" s="165"/>
      <c r="AD753" s="165"/>
      <c r="AE753" s="165"/>
      <c r="AF753" s="165"/>
      <c r="AG753" s="165"/>
      <c r="AH753" s="165"/>
      <c r="AI753" s="165"/>
      <c r="AJ753" s="165"/>
      <c r="AK753" s="165"/>
      <c r="AL753" s="165"/>
    </row>
    <row r="754">
      <c r="A754" s="165"/>
      <c r="B754" s="165"/>
      <c r="C754" s="165"/>
      <c r="D754" s="165"/>
      <c r="E754" s="292"/>
      <c r="F754" s="277"/>
      <c r="G754" s="165"/>
      <c r="H754" s="277"/>
      <c r="I754" s="277"/>
      <c r="J754" s="165"/>
      <c r="K754" s="165"/>
      <c r="L754" s="165"/>
      <c r="M754" s="165"/>
      <c r="N754" s="165"/>
      <c r="O754" s="165"/>
      <c r="P754" s="165"/>
      <c r="Q754" s="165"/>
      <c r="R754" s="165"/>
      <c r="S754" s="165"/>
      <c r="T754" s="165"/>
      <c r="U754" s="165"/>
      <c r="V754" s="165"/>
      <c r="W754" s="165"/>
      <c r="X754" s="165"/>
      <c r="Y754" s="285"/>
      <c r="Z754" s="165"/>
      <c r="AA754" s="165"/>
      <c r="AB754" s="165"/>
      <c r="AC754" s="165"/>
      <c r="AD754" s="165"/>
      <c r="AE754" s="165"/>
      <c r="AF754" s="165"/>
      <c r="AG754" s="165"/>
      <c r="AH754" s="165"/>
      <c r="AI754" s="165"/>
      <c r="AJ754" s="165"/>
      <c r="AK754" s="165"/>
      <c r="AL754" s="165"/>
    </row>
    <row r="755">
      <c r="A755" s="165"/>
      <c r="B755" s="165"/>
      <c r="C755" s="165"/>
      <c r="D755" s="165"/>
      <c r="E755" s="292"/>
      <c r="F755" s="277"/>
      <c r="G755" s="165"/>
      <c r="H755" s="277"/>
      <c r="I755" s="277"/>
      <c r="J755" s="165"/>
      <c r="K755" s="165"/>
      <c r="L755" s="165"/>
      <c r="M755" s="165"/>
      <c r="N755" s="165"/>
      <c r="O755" s="165"/>
      <c r="P755" s="165"/>
      <c r="Q755" s="165"/>
      <c r="R755" s="165"/>
      <c r="S755" s="165"/>
      <c r="T755" s="165"/>
      <c r="U755" s="165"/>
      <c r="V755" s="165"/>
      <c r="W755" s="165"/>
      <c r="X755" s="165"/>
      <c r="Y755" s="285"/>
      <c r="Z755" s="165"/>
      <c r="AA755" s="165"/>
      <c r="AB755" s="165"/>
      <c r="AC755" s="165"/>
      <c r="AD755" s="165"/>
      <c r="AE755" s="165"/>
      <c r="AF755" s="165"/>
      <c r="AG755" s="165"/>
      <c r="AH755" s="165"/>
      <c r="AI755" s="165"/>
      <c r="AJ755" s="165"/>
      <c r="AK755" s="165"/>
      <c r="AL755" s="165"/>
    </row>
    <row r="756">
      <c r="A756" s="165"/>
      <c r="B756" s="165"/>
      <c r="C756" s="165"/>
      <c r="D756" s="165"/>
      <c r="E756" s="292"/>
      <c r="F756" s="277"/>
      <c r="G756" s="165"/>
      <c r="H756" s="277"/>
      <c r="I756" s="277"/>
      <c r="J756" s="165"/>
      <c r="K756" s="165"/>
      <c r="L756" s="165"/>
      <c r="M756" s="165"/>
      <c r="N756" s="165"/>
      <c r="O756" s="165"/>
      <c r="P756" s="165"/>
      <c r="Q756" s="165"/>
      <c r="R756" s="165"/>
      <c r="S756" s="165"/>
      <c r="T756" s="165"/>
      <c r="U756" s="165"/>
      <c r="V756" s="165"/>
      <c r="W756" s="165"/>
      <c r="X756" s="165"/>
      <c r="Y756" s="285"/>
      <c r="Z756" s="165"/>
      <c r="AA756" s="165"/>
      <c r="AB756" s="165"/>
      <c r="AC756" s="165"/>
      <c r="AD756" s="165"/>
      <c r="AE756" s="165"/>
      <c r="AF756" s="165"/>
      <c r="AG756" s="165"/>
      <c r="AH756" s="165"/>
      <c r="AI756" s="165"/>
      <c r="AJ756" s="165"/>
      <c r="AK756" s="165"/>
      <c r="AL756" s="165"/>
    </row>
    <row r="757">
      <c r="A757" s="165"/>
      <c r="B757" s="165"/>
      <c r="C757" s="165"/>
      <c r="D757" s="165"/>
      <c r="E757" s="292"/>
      <c r="F757" s="277"/>
      <c r="G757" s="165"/>
      <c r="H757" s="277"/>
      <c r="I757" s="277"/>
      <c r="J757" s="165"/>
      <c r="K757" s="165"/>
      <c r="L757" s="165"/>
      <c r="M757" s="165"/>
      <c r="N757" s="165"/>
      <c r="O757" s="165"/>
      <c r="P757" s="165"/>
      <c r="Q757" s="165"/>
      <c r="R757" s="165"/>
      <c r="S757" s="165"/>
      <c r="T757" s="165"/>
      <c r="U757" s="165"/>
      <c r="V757" s="165"/>
      <c r="W757" s="165"/>
      <c r="X757" s="165"/>
      <c r="Y757" s="285"/>
      <c r="Z757" s="165"/>
      <c r="AA757" s="165"/>
      <c r="AB757" s="165"/>
      <c r="AC757" s="165"/>
      <c r="AD757" s="165"/>
      <c r="AE757" s="165"/>
      <c r="AF757" s="165"/>
      <c r="AG757" s="165"/>
      <c r="AH757" s="165"/>
      <c r="AI757" s="165"/>
      <c r="AJ757" s="165"/>
      <c r="AK757" s="165"/>
      <c r="AL757" s="165"/>
    </row>
    <row r="758">
      <c r="A758" s="165"/>
      <c r="B758" s="165"/>
      <c r="C758" s="165"/>
      <c r="D758" s="165"/>
      <c r="E758" s="292"/>
      <c r="F758" s="277"/>
      <c r="G758" s="165"/>
      <c r="H758" s="277"/>
      <c r="I758" s="277"/>
      <c r="J758" s="165"/>
      <c r="K758" s="165"/>
      <c r="L758" s="165"/>
      <c r="M758" s="165"/>
      <c r="N758" s="165"/>
      <c r="O758" s="165"/>
      <c r="P758" s="165"/>
      <c r="Q758" s="165"/>
      <c r="R758" s="165"/>
      <c r="S758" s="165"/>
      <c r="T758" s="165"/>
      <c r="U758" s="165"/>
      <c r="V758" s="165"/>
      <c r="W758" s="165"/>
      <c r="X758" s="165"/>
      <c r="Y758" s="285"/>
      <c r="Z758" s="165"/>
      <c r="AA758" s="165"/>
      <c r="AB758" s="165"/>
      <c r="AC758" s="165"/>
      <c r="AD758" s="165"/>
      <c r="AE758" s="165"/>
      <c r="AF758" s="165"/>
      <c r="AG758" s="165"/>
      <c r="AH758" s="165"/>
      <c r="AI758" s="165"/>
      <c r="AJ758" s="165"/>
      <c r="AK758" s="165"/>
      <c r="AL758" s="165"/>
    </row>
    <row r="759">
      <c r="A759" s="165"/>
      <c r="B759" s="165"/>
      <c r="C759" s="165"/>
      <c r="D759" s="165"/>
      <c r="E759" s="292"/>
      <c r="F759" s="277"/>
      <c r="G759" s="165"/>
      <c r="H759" s="277"/>
      <c r="I759" s="277"/>
      <c r="J759" s="165"/>
      <c r="K759" s="165"/>
      <c r="L759" s="165"/>
      <c r="M759" s="165"/>
      <c r="N759" s="165"/>
      <c r="O759" s="165"/>
      <c r="P759" s="165"/>
      <c r="Q759" s="165"/>
      <c r="R759" s="165"/>
      <c r="S759" s="165"/>
      <c r="T759" s="165"/>
      <c r="U759" s="165"/>
      <c r="V759" s="165"/>
      <c r="W759" s="165"/>
      <c r="X759" s="165"/>
      <c r="Y759" s="285"/>
      <c r="Z759" s="165"/>
      <c r="AA759" s="165"/>
      <c r="AB759" s="165"/>
      <c r="AC759" s="165"/>
      <c r="AD759" s="165"/>
      <c r="AE759" s="165"/>
      <c r="AF759" s="165"/>
      <c r="AG759" s="165"/>
      <c r="AH759" s="165"/>
      <c r="AI759" s="165"/>
      <c r="AJ759" s="165"/>
      <c r="AK759" s="165"/>
      <c r="AL759" s="165"/>
    </row>
    <row r="760">
      <c r="A760" s="165"/>
      <c r="B760" s="165"/>
      <c r="C760" s="165"/>
      <c r="D760" s="165"/>
      <c r="E760" s="292"/>
      <c r="F760" s="277"/>
      <c r="G760" s="165"/>
      <c r="H760" s="277"/>
      <c r="I760" s="277"/>
      <c r="J760" s="165"/>
      <c r="K760" s="165"/>
      <c r="L760" s="165"/>
      <c r="M760" s="165"/>
      <c r="N760" s="165"/>
      <c r="O760" s="165"/>
      <c r="P760" s="165"/>
      <c r="Q760" s="165"/>
      <c r="R760" s="165"/>
      <c r="S760" s="165"/>
      <c r="T760" s="165"/>
      <c r="U760" s="165"/>
      <c r="V760" s="165"/>
      <c r="W760" s="165"/>
      <c r="X760" s="165"/>
      <c r="Y760" s="285"/>
      <c r="Z760" s="165"/>
      <c r="AA760" s="165"/>
      <c r="AB760" s="165"/>
      <c r="AC760" s="165"/>
      <c r="AD760" s="165"/>
      <c r="AE760" s="165"/>
      <c r="AF760" s="165"/>
      <c r="AG760" s="165"/>
      <c r="AH760" s="165"/>
      <c r="AI760" s="165"/>
      <c r="AJ760" s="165"/>
      <c r="AK760" s="165"/>
      <c r="AL760" s="165"/>
    </row>
    <row r="761">
      <c r="A761" s="165"/>
      <c r="B761" s="165"/>
      <c r="C761" s="165"/>
      <c r="D761" s="165"/>
      <c r="E761" s="292"/>
      <c r="F761" s="277"/>
      <c r="G761" s="165"/>
      <c r="H761" s="277"/>
      <c r="I761" s="277"/>
      <c r="J761" s="165"/>
      <c r="K761" s="165"/>
      <c r="L761" s="165"/>
      <c r="M761" s="165"/>
      <c r="N761" s="165"/>
      <c r="O761" s="165"/>
      <c r="P761" s="165"/>
      <c r="Q761" s="165"/>
      <c r="R761" s="165"/>
      <c r="S761" s="165"/>
      <c r="T761" s="165"/>
      <c r="U761" s="165"/>
      <c r="V761" s="165"/>
      <c r="W761" s="165"/>
      <c r="X761" s="165"/>
      <c r="Y761" s="285"/>
      <c r="Z761" s="165"/>
      <c r="AA761" s="165"/>
      <c r="AB761" s="165"/>
      <c r="AC761" s="165"/>
      <c r="AD761" s="165"/>
      <c r="AE761" s="165"/>
      <c r="AF761" s="165"/>
      <c r="AG761" s="165"/>
      <c r="AH761" s="165"/>
      <c r="AI761" s="165"/>
      <c r="AJ761" s="165"/>
      <c r="AK761" s="165"/>
      <c r="AL761" s="165"/>
    </row>
    <row r="762">
      <c r="A762" s="165"/>
      <c r="B762" s="165"/>
      <c r="C762" s="165"/>
      <c r="D762" s="165"/>
      <c r="E762" s="292"/>
      <c r="F762" s="277"/>
      <c r="G762" s="165"/>
      <c r="H762" s="277"/>
      <c r="I762" s="277"/>
      <c r="J762" s="165"/>
      <c r="K762" s="165"/>
      <c r="L762" s="165"/>
      <c r="M762" s="165"/>
      <c r="N762" s="165"/>
      <c r="O762" s="165"/>
      <c r="P762" s="165"/>
      <c r="Q762" s="165"/>
      <c r="R762" s="165"/>
      <c r="S762" s="165"/>
      <c r="T762" s="165"/>
      <c r="U762" s="165"/>
      <c r="V762" s="165"/>
      <c r="W762" s="165"/>
      <c r="X762" s="165"/>
      <c r="Y762" s="285"/>
      <c r="Z762" s="165"/>
      <c r="AA762" s="165"/>
      <c r="AB762" s="165"/>
      <c r="AC762" s="165"/>
      <c r="AD762" s="165"/>
      <c r="AE762" s="165"/>
      <c r="AF762" s="165"/>
      <c r="AG762" s="165"/>
      <c r="AH762" s="165"/>
      <c r="AI762" s="165"/>
      <c r="AJ762" s="165"/>
      <c r="AK762" s="165"/>
      <c r="AL762" s="165"/>
    </row>
    <row r="763">
      <c r="A763" s="165"/>
      <c r="B763" s="165"/>
      <c r="C763" s="165"/>
      <c r="D763" s="165"/>
      <c r="E763" s="292"/>
      <c r="F763" s="277"/>
      <c r="G763" s="165"/>
      <c r="H763" s="277"/>
      <c r="I763" s="277"/>
      <c r="J763" s="165"/>
      <c r="K763" s="165"/>
      <c r="L763" s="165"/>
      <c r="M763" s="165"/>
      <c r="N763" s="165"/>
      <c r="O763" s="165"/>
      <c r="P763" s="165"/>
      <c r="Q763" s="165"/>
      <c r="R763" s="165"/>
      <c r="S763" s="165"/>
      <c r="T763" s="165"/>
      <c r="U763" s="165"/>
      <c r="V763" s="165"/>
      <c r="W763" s="165"/>
      <c r="X763" s="165"/>
      <c r="Y763" s="285"/>
      <c r="Z763" s="165"/>
      <c r="AA763" s="165"/>
      <c r="AB763" s="165"/>
      <c r="AC763" s="165"/>
      <c r="AD763" s="165"/>
      <c r="AE763" s="165"/>
      <c r="AF763" s="165"/>
      <c r="AG763" s="165"/>
      <c r="AH763" s="165"/>
      <c r="AI763" s="165"/>
      <c r="AJ763" s="165"/>
      <c r="AK763" s="165"/>
      <c r="AL763" s="165"/>
    </row>
    <row r="764">
      <c r="A764" s="165"/>
      <c r="B764" s="165"/>
      <c r="C764" s="165"/>
      <c r="D764" s="165"/>
      <c r="E764" s="292"/>
      <c r="F764" s="277"/>
      <c r="G764" s="165"/>
      <c r="H764" s="277"/>
      <c r="I764" s="277"/>
      <c r="J764" s="165"/>
      <c r="K764" s="165"/>
      <c r="L764" s="165"/>
      <c r="M764" s="165"/>
      <c r="N764" s="165"/>
      <c r="O764" s="165"/>
      <c r="P764" s="165"/>
      <c r="Q764" s="165"/>
      <c r="R764" s="165"/>
      <c r="S764" s="165"/>
      <c r="T764" s="165"/>
      <c r="U764" s="165"/>
      <c r="V764" s="165"/>
      <c r="W764" s="165"/>
      <c r="X764" s="165"/>
      <c r="Y764" s="285"/>
      <c r="Z764" s="165"/>
      <c r="AA764" s="165"/>
      <c r="AB764" s="165"/>
      <c r="AC764" s="165"/>
      <c r="AD764" s="165"/>
      <c r="AE764" s="165"/>
      <c r="AF764" s="165"/>
      <c r="AG764" s="165"/>
      <c r="AH764" s="165"/>
      <c r="AI764" s="165"/>
      <c r="AJ764" s="165"/>
      <c r="AK764" s="165"/>
      <c r="AL764" s="165"/>
    </row>
    <row r="765">
      <c r="A765" s="165"/>
      <c r="B765" s="165"/>
      <c r="C765" s="165"/>
      <c r="D765" s="165"/>
      <c r="E765" s="292"/>
      <c r="F765" s="277"/>
      <c r="G765" s="165"/>
      <c r="H765" s="277"/>
      <c r="I765" s="277"/>
      <c r="J765" s="165"/>
      <c r="K765" s="165"/>
      <c r="L765" s="165"/>
      <c r="M765" s="165"/>
      <c r="N765" s="165"/>
      <c r="O765" s="165"/>
      <c r="P765" s="165"/>
      <c r="Q765" s="165"/>
      <c r="R765" s="165"/>
      <c r="S765" s="165"/>
      <c r="T765" s="165"/>
      <c r="U765" s="165"/>
      <c r="V765" s="165"/>
      <c r="W765" s="165"/>
      <c r="X765" s="165"/>
      <c r="Y765" s="285"/>
      <c r="Z765" s="165"/>
      <c r="AA765" s="165"/>
      <c r="AB765" s="165"/>
      <c r="AC765" s="165"/>
      <c r="AD765" s="165"/>
      <c r="AE765" s="165"/>
      <c r="AF765" s="165"/>
      <c r="AG765" s="165"/>
      <c r="AH765" s="165"/>
      <c r="AI765" s="165"/>
      <c r="AJ765" s="165"/>
      <c r="AK765" s="165"/>
      <c r="AL765" s="165"/>
    </row>
    <row r="766">
      <c r="A766" s="165"/>
      <c r="B766" s="165"/>
      <c r="C766" s="165"/>
      <c r="D766" s="165"/>
      <c r="E766" s="292"/>
      <c r="F766" s="277"/>
      <c r="G766" s="165"/>
      <c r="H766" s="277"/>
      <c r="I766" s="277"/>
      <c r="J766" s="165"/>
      <c r="K766" s="165"/>
      <c r="L766" s="165"/>
      <c r="M766" s="165"/>
      <c r="N766" s="165"/>
      <c r="O766" s="165"/>
      <c r="P766" s="165"/>
      <c r="Q766" s="165"/>
      <c r="R766" s="165"/>
      <c r="S766" s="165"/>
      <c r="T766" s="165"/>
      <c r="U766" s="165"/>
      <c r="V766" s="165"/>
      <c r="W766" s="165"/>
      <c r="X766" s="165"/>
      <c r="Y766" s="285"/>
      <c r="Z766" s="165"/>
      <c r="AA766" s="165"/>
      <c r="AB766" s="165"/>
      <c r="AC766" s="165"/>
      <c r="AD766" s="165"/>
      <c r="AE766" s="165"/>
      <c r="AF766" s="165"/>
      <c r="AG766" s="165"/>
      <c r="AH766" s="165"/>
      <c r="AI766" s="165"/>
      <c r="AJ766" s="165"/>
      <c r="AK766" s="165"/>
      <c r="AL766" s="165"/>
    </row>
    <row r="767">
      <c r="A767" s="165"/>
      <c r="B767" s="165"/>
      <c r="C767" s="165"/>
      <c r="D767" s="165"/>
      <c r="E767" s="292"/>
      <c r="F767" s="277"/>
      <c r="G767" s="165"/>
      <c r="H767" s="277"/>
      <c r="I767" s="277"/>
      <c r="J767" s="165"/>
      <c r="K767" s="165"/>
      <c r="L767" s="165"/>
      <c r="M767" s="165"/>
      <c r="N767" s="165"/>
      <c r="O767" s="165"/>
      <c r="P767" s="165"/>
      <c r="Q767" s="165"/>
      <c r="R767" s="165"/>
      <c r="S767" s="165"/>
      <c r="T767" s="165"/>
      <c r="U767" s="165"/>
      <c r="V767" s="165"/>
      <c r="W767" s="165"/>
      <c r="X767" s="165"/>
      <c r="Y767" s="285"/>
      <c r="Z767" s="165"/>
      <c r="AA767" s="165"/>
      <c r="AB767" s="165"/>
      <c r="AC767" s="165"/>
      <c r="AD767" s="165"/>
      <c r="AE767" s="165"/>
      <c r="AF767" s="165"/>
      <c r="AG767" s="165"/>
      <c r="AH767" s="165"/>
      <c r="AI767" s="165"/>
      <c r="AJ767" s="165"/>
      <c r="AK767" s="165"/>
      <c r="AL767" s="165"/>
    </row>
    <row r="768">
      <c r="A768" s="165"/>
      <c r="B768" s="165"/>
      <c r="C768" s="165"/>
      <c r="D768" s="165"/>
      <c r="E768" s="292"/>
      <c r="F768" s="277"/>
      <c r="G768" s="165"/>
      <c r="H768" s="277"/>
      <c r="I768" s="277"/>
      <c r="J768" s="165"/>
      <c r="K768" s="165"/>
      <c r="L768" s="165"/>
      <c r="M768" s="165"/>
      <c r="N768" s="165"/>
      <c r="O768" s="165"/>
      <c r="P768" s="165"/>
      <c r="Q768" s="165"/>
      <c r="R768" s="165"/>
      <c r="S768" s="165"/>
      <c r="T768" s="165"/>
      <c r="U768" s="165"/>
      <c r="V768" s="165"/>
      <c r="W768" s="165"/>
      <c r="X768" s="165"/>
      <c r="Y768" s="285"/>
      <c r="Z768" s="165"/>
      <c r="AA768" s="165"/>
      <c r="AB768" s="165"/>
      <c r="AC768" s="165"/>
      <c r="AD768" s="165"/>
      <c r="AE768" s="165"/>
      <c r="AF768" s="165"/>
      <c r="AG768" s="165"/>
      <c r="AH768" s="165"/>
      <c r="AI768" s="165"/>
      <c r="AJ768" s="165"/>
      <c r="AK768" s="165"/>
      <c r="AL768" s="165"/>
    </row>
    <row r="769">
      <c r="A769" s="165"/>
      <c r="B769" s="165"/>
      <c r="C769" s="165"/>
      <c r="D769" s="165"/>
      <c r="E769" s="292"/>
      <c r="F769" s="277"/>
      <c r="G769" s="165"/>
      <c r="H769" s="277"/>
      <c r="I769" s="277"/>
      <c r="J769" s="165"/>
      <c r="K769" s="165"/>
      <c r="L769" s="165"/>
      <c r="M769" s="165"/>
      <c r="N769" s="165"/>
      <c r="O769" s="165"/>
      <c r="P769" s="165"/>
      <c r="Q769" s="165"/>
      <c r="R769" s="165"/>
      <c r="S769" s="165"/>
      <c r="T769" s="165"/>
      <c r="U769" s="165"/>
      <c r="V769" s="165"/>
      <c r="W769" s="165"/>
      <c r="X769" s="165"/>
      <c r="Y769" s="285"/>
      <c r="Z769" s="165"/>
      <c r="AA769" s="165"/>
      <c r="AB769" s="165"/>
      <c r="AC769" s="165"/>
      <c r="AD769" s="165"/>
      <c r="AE769" s="165"/>
      <c r="AF769" s="165"/>
      <c r="AG769" s="165"/>
      <c r="AH769" s="165"/>
      <c r="AI769" s="165"/>
      <c r="AJ769" s="165"/>
      <c r="AK769" s="165"/>
      <c r="AL769" s="165"/>
    </row>
    <row r="770">
      <c r="A770" s="165"/>
      <c r="B770" s="165"/>
      <c r="C770" s="165"/>
      <c r="D770" s="165"/>
      <c r="E770" s="292"/>
      <c r="F770" s="277"/>
      <c r="G770" s="165"/>
      <c r="H770" s="277"/>
      <c r="I770" s="277"/>
      <c r="J770" s="165"/>
      <c r="K770" s="165"/>
      <c r="L770" s="165"/>
      <c r="M770" s="165"/>
      <c r="N770" s="165"/>
      <c r="O770" s="165"/>
      <c r="P770" s="165"/>
      <c r="Q770" s="165"/>
      <c r="R770" s="165"/>
      <c r="S770" s="165"/>
      <c r="T770" s="165"/>
      <c r="U770" s="165"/>
      <c r="V770" s="165"/>
      <c r="W770" s="165"/>
      <c r="X770" s="165"/>
      <c r="Y770" s="285"/>
      <c r="Z770" s="165"/>
      <c r="AA770" s="165"/>
      <c r="AB770" s="165"/>
      <c r="AC770" s="165"/>
      <c r="AD770" s="165"/>
      <c r="AE770" s="165"/>
      <c r="AF770" s="165"/>
      <c r="AG770" s="165"/>
      <c r="AH770" s="165"/>
      <c r="AI770" s="165"/>
      <c r="AJ770" s="165"/>
      <c r="AK770" s="165"/>
      <c r="AL770" s="165"/>
    </row>
    <row r="771">
      <c r="A771" s="165"/>
      <c r="B771" s="165"/>
      <c r="C771" s="165"/>
      <c r="D771" s="165"/>
      <c r="E771" s="292"/>
      <c r="F771" s="277"/>
      <c r="G771" s="165"/>
      <c r="H771" s="277"/>
      <c r="I771" s="277"/>
      <c r="J771" s="165"/>
      <c r="K771" s="165"/>
      <c r="L771" s="165"/>
      <c r="M771" s="165"/>
      <c r="N771" s="165"/>
      <c r="O771" s="165"/>
      <c r="P771" s="165"/>
      <c r="Q771" s="165"/>
      <c r="R771" s="165"/>
      <c r="S771" s="165"/>
      <c r="T771" s="165"/>
      <c r="U771" s="165"/>
      <c r="V771" s="165"/>
      <c r="W771" s="165"/>
      <c r="X771" s="165"/>
      <c r="Y771" s="285"/>
      <c r="Z771" s="165"/>
      <c r="AA771" s="165"/>
      <c r="AB771" s="165"/>
      <c r="AC771" s="165"/>
      <c r="AD771" s="165"/>
      <c r="AE771" s="165"/>
      <c r="AF771" s="165"/>
      <c r="AG771" s="165"/>
      <c r="AH771" s="165"/>
      <c r="AI771" s="165"/>
      <c r="AJ771" s="165"/>
      <c r="AK771" s="165"/>
      <c r="AL771" s="165"/>
    </row>
    <row r="772">
      <c r="A772" s="165"/>
      <c r="B772" s="165"/>
      <c r="C772" s="165"/>
      <c r="D772" s="165"/>
      <c r="E772" s="292"/>
      <c r="F772" s="277"/>
      <c r="G772" s="165"/>
      <c r="H772" s="277"/>
      <c r="I772" s="277"/>
      <c r="J772" s="165"/>
      <c r="K772" s="165"/>
      <c r="L772" s="165"/>
      <c r="M772" s="165"/>
      <c r="N772" s="165"/>
      <c r="O772" s="165"/>
      <c r="P772" s="165"/>
      <c r="Q772" s="165"/>
      <c r="R772" s="165"/>
      <c r="S772" s="165"/>
      <c r="T772" s="165"/>
      <c r="U772" s="165"/>
      <c r="V772" s="165"/>
      <c r="W772" s="165"/>
      <c r="X772" s="165"/>
      <c r="Y772" s="285"/>
      <c r="Z772" s="165"/>
      <c r="AA772" s="165"/>
      <c r="AB772" s="165"/>
      <c r="AC772" s="165"/>
      <c r="AD772" s="165"/>
      <c r="AE772" s="165"/>
      <c r="AF772" s="165"/>
      <c r="AG772" s="165"/>
      <c r="AH772" s="165"/>
      <c r="AI772" s="165"/>
      <c r="AJ772" s="165"/>
      <c r="AK772" s="165"/>
      <c r="AL772" s="165"/>
    </row>
    <row r="773">
      <c r="A773" s="165"/>
      <c r="B773" s="165"/>
      <c r="C773" s="165"/>
      <c r="D773" s="165"/>
      <c r="E773" s="292"/>
      <c r="F773" s="277"/>
      <c r="G773" s="165"/>
      <c r="H773" s="277"/>
      <c r="I773" s="277"/>
      <c r="J773" s="165"/>
      <c r="K773" s="165"/>
      <c r="L773" s="165"/>
      <c r="M773" s="165"/>
      <c r="N773" s="165"/>
      <c r="O773" s="165"/>
      <c r="P773" s="165"/>
      <c r="Q773" s="165"/>
      <c r="R773" s="165"/>
      <c r="S773" s="165"/>
      <c r="T773" s="165"/>
      <c r="U773" s="165"/>
      <c r="V773" s="165"/>
      <c r="W773" s="165"/>
      <c r="X773" s="165"/>
      <c r="Y773" s="285"/>
      <c r="Z773" s="165"/>
      <c r="AA773" s="165"/>
      <c r="AB773" s="165"/>
      <c r="AC773" s="165"/>
      <c r="AD773" s="165"/>
      <c r="AE773" s="165"/>
      <c r="AF773" s="165"/>
      <c r="AG773" s="165"/>
      <c r="AH773" s="165"/>
      <c r="AI773" s="165"/>
      <c r="AJ773" s="165"/>
      <c r="AK773" s="165"/>
      <c r="AL773" s="165"/>
    </row>
    <row r="774">
      <c r="A774" s="165"/>
      <c r="B774" s="165"/>
      <c r="C774" s="165"/>
      <c r="D774" s="165"/>
      <c r="E774" s="292"/>
      <c r="F774" s="277"/>
      <c r="G774" s="165"/>
      <c r="H774" s="277"/>
      <c r="I774" s="277"/>
      <c r="J774" s="165"/>
      <c r="K774" s="165"/>
      <c r="L774" s="165"/>
      <c r="M774" s="165"/>
      <c r="N774" s="165"/>
      <c r="O774" s="165"/>
      <c r="P774" s="165"/>
      <c r="Q774" s="165"/>
      <c r="R774" s="165"/>
      <c r="S774" s="165"/>
      <c r="T774" s="165"/>
      <c r="U774" s="165"/>
      <c r="V774" s="165"/>
      <c r="W774" s="165"/>
      <c r="X774" s="165"/>
      <c r="Y774" s="285"/>
      <c r="Z774" s="165"/>
      <c r="AA774" s="165"/>
      <c r="AB774" s="165"/>
      <c r="AC774" s="165"/>
      <c r="AD774" s="165"/>
      <c r="AE774" s="165"/>
      <c r="AF774" s="165"/>
      <c r="AG774" s="165"/>
      <c r="AH774" s="165"/>
      <c r="AI774" s="165"/>
      <c r="AJ774" s="165"/>
      <c r="AK774" s="165"/>
      <c r="AL774" s="165"/>
    </row>
    <row r="775">
      <c r="A775" s="165"/>
      <c r="B775" s="165"/>
      <c r="C775" s="165"/>
      <c r="D775" s="165"/>
      <c r="E775" s="292"/>
      <c r="F775" s="277"/>
      <c r="G775" s="165"/>
      <c r="H775" s="277"/>
      <c r="I775" s="277"/>
      <c r="J775" s="165"/>
      <c r="K775" s="165"/>
      <c r="L775" s="165"/>
      <c r="M775" s="165"/>
      <c r="N775" s="165"/>
      <c r="O775" s="165"/>
      <c r="P775" s="165"/>
      <c r="Q775" s="165"/>
      <c r="R775" s="165"/>
      <c r="S775" s="165"/>
      <c r="T775" s="165"/>
      <c r="U775" s="165"/>
      <c r="V775" s="165"/>
      <c r="W775" s="165"/>
      <c r="X775" s="165"/>
      <c r="Y775" s="285"/>
      <c r="Z775" s="165"/>
      <c r="AA775" s="165"/>
      <c r="AB775" s="165"/>
      <c r="AC775" s="165"/>
      <c r="AD775" s="165"/>
      <c r="AE775" s="165"/>
      <c r="AF775" s="165"/>
      <c r="AG775" s="165"/>
      <c r="AH775" s="165"/>
      <c r="AI775" s="165"/>
      <c r="AJ775" s="165"/>
      <c r="AK775" s="165"/>
      <c r="AL775" s="165"/>
    </row>
    <row r="776">
      <c r="A776" s="165"/>
      <c r="B776" s="165"/>
      <c r="C776" s="165"/>
      <c r="D776" s="165"/>
      <c r="E776" s="292"/>
      <c r="F776" s="277"/>
      <c r="G776" s="165"/>
      <c r="H776" s="277"/>
      <c r="I776" s="277"/>
      <c r="J776" s="165"/>
      <c r="K776" s="165"/>
      <c r="L776" s="165"/>
      <c r="M776" s="165"/>
      <c r="N776" s="165"/>
      <c r="O776" s="165"/>
      <c r="P776" s="165"/>
      <c r="Q776" s="165"/>
      <c r="R776" s="165"/>
      <c r="S776" s="165"/>
      <c r="T776" s="165"/>
      <c r="U776" s="165"/>
      <c r="V776" s="165"/>
      <c r="W776" s="165"/>
      <c r="X776" s="165"/>
      <c r="Y776" s="285"/>
      <c r="Z776" s="165"/>
      <c r="AA776" s="165"/>
      <c r="AB776" s="165"/>
      <c r="AC776" s="165"/>
      <c r="AD776" s="165"/>
      <c r="AE776" s="165"/>
      <c r="AF776" s="165"/>
      <c r="AG776" s="165"/>
      <c r="AH776" s="165"/>
      <c r="AI776" s="165"/>
      <c r="AJ776" s="165"/>
      <c r="AK776" s="165"/>
      <c r="AL776" s="165"/>
    </row>
    <row r="777">
      <c r="A777" s="165"/>
      <c r="B777" s="165"/>
      <c r="C777" s="165"/>
      <c r="D777" s="165"/>
      <c r="E777" s="292"/>
      <c r="F777" s="277"/>
      <c r="G777" s="165"/>
      <c r="H777" s="277"/>
      <c r="I777" s="277"/>
      <c r="J777" s="165"/>
      <c r="K777" s="165"/>
      <c r="L777" s="165"/>
      <c r="M777" s="165"/>
      <c r="N777" s="165"/>
      <c r="O777" s="165"/>
      <c r="P777" s="165"/>
      <c r="Q777" s="165"/>
      <c r="R777" s="165"/>
      <c r="S777" s="165"/>
      <c r="T777" s="165"/>
      <c r="U777" s="165"/>
      <c r="V777" s="165"/>
      <c r="W777" s="165"/>
      <c r="X777" s="165"/>
      <c r="Y777" s="285"/>
      <c r="Z777" s="165"/>
      <c r="AA777" s="165"/>
      <c r="AB777" s="165"/>
      <c r="AC777" s="165"/>
      <c r="AD777" s="165"/>
      <c r="AE777" s="165"/>
      <c r="AF777" s="165"/>
      <c r="AG777" s="165"/>
      <c r="AH777" s="165"/>
      <c r="AI777" s="165"/>
      <c r="AJ777" s="165"/>
      <c r="AK777" s="165"/>
      <c r="AL777" s="165"/>
    </row>
    <row r="778">
      <c r="A778" s="165"/>
      <c r="B778" s="165"/>
      <c r="C778" s="165"/>
      <c r="D778" s="165"/>
      <c r="E778" s="292"/>
      <c r="F778" s="277"/>
      <c r="G778" s="165"/>
      <c r="H778" s="277"/>
      <c r="I778" s="277"/>
      <c r="J778" s="165"/>
      <c r="K778" s="165"/>
      <c r="L778" s="165"/>
      <c r="M778" s="165"/>
      <c r="N778" s="165"/>
      <c r="O778" s="165"/>
      <c r="P778" s="165"/>
      <c r="Q778" s="165"/>
      <c r="R778" s="165"/>
      <c r="S778" s="165"/>
      <c r="T778" s="165"/>
      <c r="U778" s="165"/>
      <c r="V778" s="165"/>
      <c r="W778" s="165"/>
      <c r="X778" s="165"/>
      <c r="Y778" s="285"/>
      <c r="Z778" s="165"/>
      <c r="AA778" s="165"/>
      <c r="AB778" s="165"/>
      <c r="AC778" s="165"/>
      <c r="AD778" s="165"/>
      <c r="AE778" s="165"/>
      <c r="AF778" s="165"/>
      <c r="AG778" s="165"/>
      <c r="AH778" s="165"/>
      <c r="AI778" s="165"/>
      <c r="AJ778" s="165"/>
      <c r="AK778" s="165"/>
      <c r="AL778" s="165"/>
    </row>
    <row r="779">
      <c r="A779" s="165"/>
      <c r="B779" s="165"/>
      <c r="C779" s="165"/>
      <c r="D779" s="165"/>
      <c r="E779" s="292"/>
      <c r="F779" s="277"/>
      <c r="G779" s="165"/>
      <c r="H779" s="277"/>
      <c r="I779" s="277"/>
      <c r="J779" s="165"/>
      <c r="K779" s="165"/>
      <c r="L779" s="165"/>
      <c r="M779" s="165"/>
      <c r="N779" s="165"/>
      <c r="O779" s="165"/>
      <c r="P779" s="165"/>
      <c r="Q779" s="165"/>
      <c r="R779" s="165"/>
      <c r="S779" s="165"/>
      <c r="T779" s="165"/>
      <c r="U779" s="165"/>
      <c r="V779" s="165"/>
      <c r="W779" s="165"/>
      <c r="X779" s="165"/>
      <c r="Y779" s="285"/>
      <c r="Z779" s="165"/>
      <c r="AA779" s="165"/>
      <c r="AB779" s="165"/>
      <c r="AC779" s="165"/>
      <c r="AD779" s="165"/>
      <c r="AE779" s="165"/>
      <c r="AF779" s="165"/>
      <c r="AG779" s="165"/>
      <c r="AH779" s="165"/>
      <c r="AI779" s="165"/>
      <c r="AJ779" s="165"/>
      <c r="AK779" s="165"/>
      <c r="AL779" s="165"/>
    </row>
    <row r="780">
      <c r="A780" s="165"/>
      <c r="B780" s="165"/>
      <c r="C780" s="165"/>
      <c r="D780" s="165"/>
      <c r="E780" s="292"/>
      <c r="F780" s="277"/>
      <c r="G780" s="165"/>
      <c r="H780" s="277"/>
      <c r="I780" s="277"/>
      <c r="J780" s="165"/>
      <c r="K780" s="165"/>
      <c r="L780" s="165"/>
      <c r="M780" s="165"/>
      <c r="N780" s="165"/>
      <c r="O780" s="165"/>
      <c r="P780" s="165"/>
      <c r="Q780" s="165"/>
      <c r="R780" s="165"/>
      <c r="S780" s="165"/>
      <c r="T780" s="165"/>
      <c r="U780" s="165"/>
      <c r="V780" s="165"/>
      <c r="W780" s="165"/>
      <c r="X780" s="165"/>
      <c r="Y780" s="285"/>
      <c r="Z780" s="165"/>
      <c r="AA780" s="165"/>
      <c r="AB780" s="165"/>
      <c r="AC780" s="165"/>
      <c r="AD780" s="165"/>
      <c r="AE780" s="165"/>
      <c r="AF780" s="165"/>
      <c r="AG780" s="165"/>
      <c r="AH780" s="165"/>
      <c r="AI780" s="165"/>
      <c r="AJ780" s="165"/>
      <c r="AK780" s="165"/>
      <c r="AL780" s="165"/>
    </row>
    <row r="781">
      <c r="A781" s="165"/>
      <c r="B781" s="165"/>
      <c r="C781" s="165"/>
      <c r="D781" s="165"/>
      <c r="E781" s="292"/>
      <c r="F781" s="277"/>
      <c r="G781" s="165"/>
      <c r="H781" s="277"/>
      <c r="I781" s="277"/>
      <c r="J781" s="165"/>
      <c r="K781" s="165"/>
      <c r="L781" s="165"/>
      <c r="M781" s="165"/>
      <c r="N781" s="165"/>
      <c r="O781" s="165"/>
      <c r="P781" s="165"/>
      <c r="Q781" s="165"/>
      <c r="R781" s="165"/>
      <c r="S781" s="165"/>
      <c r="T781" s="165"/>
      <c r="U781" s="165"/>
      <c r="V781" s="165"/>
      <c r="W781" s="165"/>
      <c r="X781" s="165"/>
      <c r="Y781" s="285"/>
      <c r="Z781" s="165"/>
      <c r="AA781" s="165"/>
      <c r="AB781" s="165"/>
      <c r="AC781" s="165"/>
      <c r="AD781" s="165"/>
      <c r="AE781" s="165"/>
      <c r="AF781" s="165"/>
      <c r="AG781" s="165"/>
      <c r="AH781" s="165"/>
      <c r="AI781" s="165"/>
      <c r="AJ781" s="165"/>
      <c r="AK781" s="165"/>
      <c r="AL781" s="165"/>
    </row>
    <row r="782">
      <c r="A782" s="165"/>
      <c r="B782" s="165"/>
      <c r="C782" s="165"/>
      <c r="D782" s="165"/>
      <c r="E782" s="292"/>
      <c r="F782" s="277"/>
      <c r="G782" s="165"/>
      <c r="H782" s="277"/>
      <c r="I782" s="277"/>
      <c r="J782" s="165"/>
      <c r="K782" s="165"/>
      <c r="L782" s="165"/>
      <c r="M782" s="165"/>
      <c r="N782" s="165"/>
      <c r="O782" s="165"/>
      <c r="P782" s="165"/>
      <c r="Q782" s="165"/>
      <c r="R782" s="165"/>
      <c r="S782" s="165"/>
      <c r="T782" s="165"/>
      <c r="U782" s="165"/>
      <c r="V782" s="165"/>
      <c r="W782" s="165"/>
      <c r="X782" s="165"/>
      <c r="Y782" s="285"/>
      <c r="Z782" s="165"/>
      <c r="AA782" s="165"/>
      <c r="AB782" s="165"/>
      <c r="AC782" s="165"/>
      <c r="AD782" s="165"/>
      <c r="AE782" s="165"/>
      <c r="AF782" s="165"/>
      <c r="AG782" s="165"/>
      <c r="AH782" s="165"/>
      <c r="AI782" s="165"/>
      <c r="AJ782" s="165"/>
      <c r="AK782" s="165"/>
      <c r="AL782" s="165"/>
    </row>
    <row r="783">
      <c r="A783" s="165"/>
      <c r="B783" s="165"/>
      <c r="C783" s="165"/>
      <c r="D783" s="165"/>
      <c r="E783" s="292"/>
      <c r="F783" s="277"/>
      <c r="G783" s="165"/>
      <c r="H783" s="277"/>
      <c r="I783" s="277"/>
      <c r="J783" s="165"/>
      <c r="K783" s="165"/>
      <c r="L783" s="165"/>
      <c r="M783" s="165"/>
      <c r="N783" s="165"/>
      <c r="O783" s="165"/>
      <c r="P783" s="165"/>
      <c r="Q783" s="165"/>
      <c r="R783" s="165"/>
      <c r="S783" s="165"/>
      <c r="T783" s="165"/>
      <c r="U783" s="165"/>
      <c r="V783" s="165"/>
      <c r="W783" s="165"/>
      <c r="X783" s="165"/>
      <c r="Y783" s="285"/>
      <c r="Z783" s="165"/>
      <c r="AA783" s="165"/>
      <c r="AB783" s="165"/>
      <c r="AC783" s="165"/>
      <c r="AD783" s="165"/>
      <c r="AE783" s="165"/>
      <c r="AF783" s="165"/>
      <c r="AG783" s="165"/>
      <c r="AH783" s="165"/>
      <c r="AI783" s="165"/>
      <c r="AJ783" s="165"/>
      <c r="AK783" s="165"/>
      <c r="AL783" s="165"/>
    </row>
    <row r="784">
      <c r="A784" s="165"/>
      <c r="B784" s="165"/>
      <c r="C784" s="165"/>
      <c r="D784" s="165"/>
      <c r="E784" s="292"/>
      <c r="F784" s="277"/>
      <c r="G784" s="165"/>
      <c r="H784" s="277"/>
      <c r="I784" s="277"/>
      <c r="J784" s="165"/>
      <c r="K784" s="165"/>
      <c r="L784" s="165"/>
      <c r="M784" s="165"/>
      <c r="N784" s="165"/>
      <c r="O784" s="165"/>
      <c r="P784" s="165"/>
      <c r="Q784" s="165"/>
      <c r="R784" s="165"/>
      <c r="S784" s="165"/>
      <c r="T784" s="165"/>
      <c r="U784" s="165"/>
      <c r="V784" s="165"/>
      <c r="W784" s="165"/>
      <c r="X784" s="165"/>
      <c r="Y784" s="285"/>
      <c r="Z784" s="165"/>
      <c r="AA784" s="165"/>
      <c r="AB784" s="165"/>
      <c r="AC784" s="165"/>
      <c r="AD784" s="165"/>
      <c r="AE784" s="165"/>
      <c r="AF784" s="165"/>
      <c r="AG784" s="165"/>
      <c r="AH784" s="165"/>
      <c r="AI784" s="165"/>
      <c r="AJ784" s="165"/>
      <c r="AK784" s="165"/>
      <c r="AL784" s="165"/>
    </row>
    <row r="785">
      <c r="A785" s="165"/>
      <c r="B785" s="165"/>
      <c r="C785" s="165"/>
      <c r="D785" s="165"/>
      <c r="E785" s="292"/>
      <c r="F785" s="277"/>
      <c r="G785" s="165"/>
      <c r="H785" s="277"/>
      <c r="I785" s="277"/>
      <c r="J785" s="165"/>
      <c r="K785" s="165"/>
      <c r="L785" s="165"/>
      <c r="M785" s="165"/>
      <c r="N785" s="165"/>
      <c r="O785" s="165"/>
      <c r="P785" s="165"/>
      <c r="Q785" s="165"/>
      <c r="R785" s="165"/>
      <c r="S785" s="165"/>
      <c r="T785" s="165"/>
      <c r="U785" s="165"/>
      <c r="V785" s="165"/>
      <c r="W785" s="165"/>
      <c r="X785" s="165"/>
      <c r="Y785" s="285"/>
      <c r="Z785" s="165"/>
      <c r="AA785" s="165"/>
      <c r="AB785" s="165"/>
      <c r="AC785" s="165"/>
      <c r="AD785" s="165"/>
      <c r="AE785" s="165"/>
      <c r="AF785" s="165"/>
      <c r="AG785" s="165"/>
      <c r="AH785" s="165"/>
      <c r="AI785" s="165"/>
      <c r="AJ785" s="165"/>
      <c r="AK785" s="165"/>
      <c r="AL785" s="165"/>
    </row>
    <row r="786">
      <c r="A786" s="165"/>
      <c r="B786" s="165"/>
      <c r="C786" s="165"/>
      <c r="D786" s="165"/>
      <c r="E786" s="292"/>
      <c r="F786" s="277"/>
      <c r="G786" s="165"/>
      <c r="H786" s="277"/>
      <c r="I786" s="277"/>
      <c r="J786" s="165"/>
      <c r="K786" s="165"/>
      <c r="L786" s="165"/>
      <c r="M786" s="165"/>
      <c r="N786" s="165"/>
      <c r="O786" s="165"/>
      <c r="P786" s="165"/>
      <c r="Q786" s="165"/>
      <c r="R786" s="165"/>
      <c r="S786" s="165"/>
      <c r="T786" s="165"/>
      <c r="U786" s="165"/>
      <c r="V786" s="165"/>
      <c r="W786" s="165"/>
      <c r="X786" s="165"/>
      <c r="Y786" s="285"/>
      <c r="Z786" s="165"/>
      <c r="AA786" s="165"/>
      <c r="AB786" s="165"/>
      <c r="AC786" s="165"/>
      <c r="AD786" s="165"/>
      <c r="AE786" s="165"/>
      <c r="AF786" s="165"/>
      <c r="AG786" s="165"/>
      <c r="AH786" s="165"/>
      <c r="AI786" s="165"/>
      <c r="AJ786" s="165"/>
      <c r="AK786" s="165"/>
      <c r="AL786" s="165"/>
    </row>
    <row r="787">
      <c r="A787" s="165"/>
      <c r="B787" s="165"/>
      <c r="C787" s="165"/>
      <c r="D787" s="165"/>
      <c r="E787" s="292"/>
      <c r="F787" s="277"/>
      <c r="G787" s="165"/>
      <c r="H787" s="277"/>
      <c r="I787" s="277"/>
      <c r="J787" s="165"/>
      <c r="K787" s="165"/>
      <c r="L787" s="165"/>
      <c r="M787" s="165"/>
      <c r="N787" s="165"/>
      <c r="O787" s="165"/>
      <c r="P787" s="165"/>
      <c r="Q787" s="165"/>
      <c r="R787" s="165"/>
      <c r="S787" s="165"/>
      <c r="T787" s="165"/>
      <c r="U787" s="165"/>
      <c r="V787" s="165"/>
      <c r="W787" s="165"/>
      <c r="X787" s="165"/>
      <c r="Y787" s="285"/>
      <c r="Z787" s="165"/>
      <c r="AA787" s="165"/>
      <c r="AB787" s="165"/>
      <c r="AC787" s="165"/>
      <c r="AD787" s="165"/>
      <c r="AE787" s="165"/>
      <c r="AF787" s="165"/>
      <c r="AG787" s="165"/>
      <c r="AH787" s="165"/>
      <c r="AI787" s="165"/>
      <c r="AJ787" s="165"/>
      <c r="AK787" s="165"/>
      <c r="AL787" s="165"/>
    </row>
    <row r="788">
      <c r="A788" s="165"/>
      <c r="B788" s="165"/>
      <c r="C788" s="165"/>
      <c r="D788" s="165"/>
      <c r="E788" s="292"/>
      <c r="F788" s="277"/>
      <c r="G788" s="165"/>
      <c r="H788" s="277"/>
      <c r="I788" s="277"/>
      <c r="J788" s="165"/>
      <c r="K788" s="165"/>
      <c r="L788" s="165"/>
      <c r="M788" s="165"/>
      <c r="N788" s="165"/>
      <c r="O788" s="165"/>
      <c r="P788" s="165"/>
      <c r="Q788" s="165"/>
      <c r="R788" s="165"/>
      <c r="S788" s="165"/>
      <c r="T788" s="165"/>
      <c r="U788" s="165"/>
      <c r="V788" s="165"/>
      <c r="W788" s="165"/>
      <c r="X788" s="165"/>
      <c r="Y788" s="285"/>
      <c r="Z788" s="165"/>
      <c r="AA788" s="165"/>
      <c r="AB788" s="165"/>
      <c r="AC788" s="165"/>
      <c r="AD788" s="165"/>
      <c r="AE788" s="165"/>
      <c r="AF788" s="165"/>
      <c r="AG788" s="165"/>
      <c r="AH788" s="165"/>
      <c r="AI788" s="165"/>
      <c r="AJ788" s="165"/>
      <c r="AK788" s="165"/>
      <c r="AL788" s="165"/>
    </row>
    <row r="789">
      <c r="A789" s="165"/>
      <c r="B789" s="165"/>
      <c r="C789" s="165"/>
      <c r="D789" s="165"/>
      <c r="E789" s="292"/>
      <c r="F789" s="277"/>
      <c r="G789" s="165"/>
      <c r="H789" s="277"/>
      <c r="I789" s="277"/>
      <c r="J789" s="165"/>
      <c r="K789" s="165"/>
      <c r="L789" s="165"/>
      <c r="M789" s="165"/>
      <c r="N789" s="165"/>
      <c r="O789" s="165"/>
      <c r="P789" s="165"/>
      <c r="Q789" s="165"/>
      <c r="R789" s="165"/>
      <c r="S789" s="165"/>
      <c r="T789" s="165"/>
      <c r="U789" s="165"/>
      <c r="V789" s="165"/>
      <c r="W789" s="165"/>
      <c r="X789" s="165"/>
      <c r="Y789" s="285"/>
      <c r="Z789" s="165"/>
      <c r="AA789" s="165"/>
      <c r="AB789" s="165"/>
      <c r="AC789" s="165"/>
      <c r="AD789" s="165"/>
      <c r="AE789" s="165"/>
      <c r="AF789" s="165"/>
      <c r="AG789" s="165"/>
      <c r="AH789" s="165"/>
      <c r="AI789" s="165"/>
      <c r="AJ789" s="165"/>
      <c r="AK789" s="165"/>
      <c r="AL789" s="165"/>
    </row>
    <row r="790">
      <c r="A790" s="165"/>
      <c r="B790" s="165"/>
      <c r="C790" s="165"/>
      <c r="D790" s="165"/>
      <c r="E790" s="292"/>
      <c r="F790" s="277"/>
      <c r="G790" s="165"/>
      <c r="H790" s="277"/>
      <c r="I790" s="277"/>
      <c r="J790" s="165"/>
      <c r="K790" s="165"/>
      <c r="L790" s="165"/>
      <c r="M790" s="165"/>
      <c r="N790" s="165"/>
      <c r="O790" s="165"/>
      <c r="P790" s="165"/>
      <c r="Q790" s="165"/>
      <c r="R790" s="165"/>
      <c r="S790" s="165"/>
      <c r="T790" s="165"/>
      <c r="U790" s="165"/>
      <c r="V790" s="165"/>
      <c r="W790" s="165"/>
      <c r="X790" s="165"/>
      <c r="Y790" s="285"/>
      <c r="Z790" s="165"/>
      <c r="AA790" s="165"/>
      <c r="AB790" s="165"/>
      <c r="AC790" s="165"/>
      <c r="AD790" s="165"/>
      <c r="AE790" s="165"/>
      <c r="AF790" s="165"/>
      <c r="AG790" s="165"/>
      <c r="AH790" s="165"/>
      <c r="AI790" s="165"/>
      <c r="AJ790" s="165"/>
      <c r="AK790" s="165"/>
      <c r="AL790" s="165"/>
    </row>
    <row r="791">
      <c r="A791" s="165"/>
      <c r="B791" s="165"/>
      <c r="C791" s="165"/>
      <c r="D791" s="165"/>
      <c r="E791" s="292"/>
      <c r="F791" s="277"/>
      <c r="G791" s="165"/>
      <c r="H791" s="277"/>
      <c r="I791" s="277"/>
      <c r="J791" s="165"/>
      <c r="K791" s="165"/>
      <c r="L791" s="165"/>
      <c r="M791" s="165"/>
      <c r="N791" s="165"/>
      <c r="O791" s="165"/>
      <c r="P791" s="165"/>
      <c r="Q791" s="165"/>
      <c r="R791" s="165"/>
      <c r="S791" s="165"/>
      <c r="T791" s="165"/>
      <c r="U791" s="165"/>
      <c r="V791" s="165"/>
      <c r="W791" s="165"/>
      <c r="X791" s="165"/>
      <c r="Y791" s="285"/>
      <c r="Z791" s="165"/>
      <c r="AA791" s="165"/>
      <c r="AB791" s="165"/>
      <c r="AC791" s="165"/>
      <c r="AD791" s="165"/>
      <c r="AE791" s="165"/>
      <c r="AF791" s="165"/>
      <c r="AG791" s="165"/>
      <c r="AH791" s="165"/>
      <c r="AI791" s="165"/>
      <c r="AJ791" s="165"/>
      <c r="AK791" s="165"/>
      <c r="AL791" s="165"/>
    </row>
    <row r="792">
      <c r="A792" s="165"/>
      <c r="B792" s="165"/>
      <c r="C792" s="165"/>
      <c r="D792" s="165"/>
      <c r="E792" s="292"/>
      <c r="F792" s="277"/>
      <c r="G792" s="165"/>
      <c r="H792" s="277"/>
      <c r="I792" s="277"/>
      <c r="J792" s="165"/>
      <c r="K792" s="165"/>
      <c r="L792" s="165"/>
      <c r="M792" s="165"/>
      <c r="N792" s="165"/>
      <c r="O792" s="165"/>
      <c r="P792" s="165"/>
      <c r="Q792" s="165"/>
      <c r="R792" s="165"/>
      <c r="S792" s="165"/>
      <c r="T792" s="165"/>
      <c r="U792" s="165"/>
      <c r="V792" s="165"/>
      <c r="W792" s="165"/>
      <c r="X792" s="165"/>
      <c r="Y792" s="285"/>
      <c r="Z792" s="165"/>
      <c r="AA792" s="165"/>
      <c r="AB792" s="165"/>
      <c r="AC792" s="165"/>
      <c r="AD792" s="165"/>
      <c r="AE792" s="165"/>
      <c r="AF792" s="165"/>
      <c r="AG792" s="165"/>
      <c r="AH792" s="165"/>
      <c r="AI792" s="165"/>
      <c r="AJ792" s="165"/>
      <c r="AK792" s="165"/>
      <c r="AL792" s="165"/>
    </row>
    <row r="793">
      <c r="A793" s="165"/>
      <c r="B793" s="165"/>
      <c r="C793" s="165"/>
      <c r="D793" s="165"/>
      <c r="E793" s="292"/>
      <c r="F793" s="277"/>
      <c r="G793" s="165"/>
      <c r="H793" s="277"/>
      <c r="I793" s="277"/>
      <c r="J793" s="165"/>
      <c r="K793" s="165"/>
      <c r="L793" s="165"/>
      <c r="M793" s="165"/>
      <c r="N793" s="165"/>
      <c r="O793" s="165"/>
      <c r="P793" s="165"/>
      <c r="Q793" s="165"/>
      <c r="R793" s="165"/>
      <c r="S793" s="165"/>
      <c r="T793" s="165"/>
      <c r="U793" s="165"/>
      <c r="V793" s="165"/>
      <c r="W793" s="165"/>
      <c r="X793" s="165"/>
      <c r="Y793" s="285"/>
      <c r="Z793" s="165"/>
      <c r="AA793" s="165"/>
      <c r="AB793" s="165"/>
      <c r="AC793" s="165"/>
      <c r="AD793" s="165"/>
      <c r="AE793" s="165"/>
      <c r="AF793" s="165"/>
      <c r="AG793" s="165"/>
      <c r="AH793" s="165"/>
      <c r="AI793" s="165"/>
      <c r="AJ793" s="165"/>
      <c r="AK793" s="165"/>
      <c r="AL793" s="165"/>
    </row>
    <row r="794">
      <c r="A794" s="165"/>
      <c r="B794" s="165"/>
      <c r="C794" s="165"/>
      <c r="D794" s="165"/>
      <c r="E794" s="292"/>
      <c r="F794" s="277"/>
      <c r="G794" s="165"/>
      <c r="H794" s="277"/>
      <c r="I794" s="277"/>
      <c r="J794" s="165"/>
      <c r="K794" s="165"/>
      <c r="L794" s="165"/>
      <c r="M794" s="165"/>
      <c r="N794" s="165"/>
      <c r="O794" s="165"/>
      <c r="P794" s="165"/>
      <c r="Q794" s="165"/>
      <c r="R794" s="165"/>
      <c r="S794" s="165"/>
      <c r="T794" s="165"/>
      <c r="U794" s="165"/>
      <c r="V794" s="165"/>
      <c r="W794" s="165"/>
      <c r="X794" s="165"/>
      <c r="Y794" s="285"/>
      <c r="Z794" s="165"/>
      <c r="AA794" s="165"/>
      <c r="AB794" s="165"/>
      <c r="AC794" s="165"/>
      <c r="AD794" s="165"/>
      <c r="AE794" s="165"/>
      <c r="AF794" s="165"/>
      <c r="AG794" s="165"/>
      <c r="AH794" s="165"/>
      <c r="AI794" s="165"/>
      <c r="AJ794" s="165"/>
      <c r="AK794" s="165"/>
      <c r="AL794" s="165"/>
    </row>
    <row r="795">
      <c r="A795" s="165"/>
      <c r="B795" s="165"/>
      <c r="C795" s="165"/>
      <c r="D795" s="165"/>
      <c r="E795" s="292"/>
      <c r="F795" s="277"/>
      <c r="G795" s="165"/>
      <c r="H795" s="277"/>
      <c r="I795" s="277"/>
      <c r="J795" s="165"/>
      <c r="K795" s="165"/>
      <c r="L795" s="165"/>
      <c r="M795" s="165"/>
      <c r="N795" s="165"/>
      <c r="O795" s="165"/>
      <c r="P795" s="165"/>
      <c r="Q795" s="165"/>
      <c r="R795" s="165"/>
      <c r="S795" s="165"/>
      <c r="T795" s="165"/>
      <c r="U795" s="165"/>
      <c r="V795" s="165"/>
      <c r="W795" s="165"/>
      <c r="X795" s="165"/>
      <c r="Y795" s="285"/>
      <c r="Z795" s="165"/>
      <c r="AA795" s="165"/>
      <c r="AB795" s="165"/>
      <c r="AC795" s="165"/>
      <c r="AD795" s="165"/>
      <c r="AE795" s="165"/>
      <c r="AF795" s="165"/>
      <c r="AG795" s="165"/>
      <c r="AH795" s="165"/>
      <c r="AI795" s="165"/>
      <c r="AJ795" s="165"/>
      <c r="AK795" s="165"/>
      <c r="AL795" s="165"/>
    </row>
    <row r="796">
      <c r="A796" s="165"/>
      <c r="B796" s="165"/>
      <c r="C796" s="165"/>
      <c r="D796" s="165"/>
      <c r="E796" s="292"/>
      <c r="F796" s="277"/>
      <c r="G796" s="165"/>
      <c r="H796" s="277"/>
      <c r="I796" s="277"/>
      <c r="J796" s="165"/>
      <c r="K796" s="165"/>
      <c r="L796" s="165"/>
      <c r="M796" s="165"/>
      <c r="N796" s="165"/>
      <c r="O796" s="165"/>
      <c r="P796" s="165"/>
      <c r="Q796" s="165"/>
      <c r="R796" s="165"/>
      <c r="S796" s="165"/>
      <c r="T796" s="165"/>
      <c r="U796" s="165"/>
      <c r="V796" s="165"/>
      <c r="W796" s="165"/>
      <c r="X796" s="165"/>
      <c r="Y796" s="285"/>
      <c r="Z796" s="165"/>
      <c r="AA796" s="165"/>
      <c r="AB796" s="165"/>
      <c r="AC796" s="165"/>
      <c r="AD796" s="165"/>
      <c r="AE796" s="165"/>
      <c r="AF796" s="165"/>
      <c r="AG796" s="165"/>
      <c r="AH796" s="165"/>
      <c r="AI796" s="165"/>
      <c r="AJ796" s="165"/>
      <c r="AK796" s="165"/>
      <c r="AL796" s="165"/>
    </row>
    <row r="797">
      <c r="A797" s="165"/>
      <c r="B797" s="165"/>
      <c r="C797" s="165"/>
      <c r="D797" s="165"/>
      <c r="E797" s="292"/>
      <c r="F797" s="277"/>
      <c r="G797" s="165"/>
      <c r="H797" s="277"/>
      <c r="I797" s="277"/>
      <c r="J797" s="165"/>
      <c r="K797" s="165"/>
      <c r="L797" s="165"/>
      <c r="M797" s="165"/>
      <c r="N797" s="165"/>
      <c r="O797" s="165"/>
      <c r="P797" s="165"/>
      <c r="Q797" s="165"/>
      <c r="R797" s="165"/>
      <c r="S797" s="165"/>
      <c r="T797" s="165"/>
      <c r="U797" s="165"/>
      <c r="V797" s="165"/>
      <c r="W797" s="165"/>
      <c r="X797" s="165"/>
      <c r="Y797" s="285"/>
      <c r="Z797" s="165"/>
      <c r="AA797" s="165"/>
      <c r="AB797" s="165"/>
      <c r="AC797" s="165"/>
      <c r="AD797" s="165"/>
      <c r="AE797" s="165"/>
      <c r="AF797" s="165"/>
      <c r="AG797" s="165"/>
      <c r="AH797" s="165"/>
      <c r="AI797" s="165"/>
      <c r="AJ797" s="165"/>
      <c r="AK797" s="165"/>
      <c r="AL797" s="165"/>
    </row>
    <row r="798">
      <c r="A798" s="165"/>
      <c r="B798" s="165"/>
      <c r="C798" s="165"/>
      <c r="D798" s="165"/>
      <c r="E798" s="292"/>
      <c r="F798" s="277"/>
      <c r="G798" s="165"/>
      <c r="H798" s="277"/>
      <c r="I798" s="277"/>
      <c r="J798" s="165"/>
      <c r="K798" s="165"/>
      <c r="L798" s="165"/>
      <c r="M798" s="165"/>
      <c r="N798" s="165"/>
      <c r="O798" s="165"/>
      <c r="P798" s="165"/>
      <c r="Q798" s="165"/>
      <c r="R798" s="165"/>
      <c r="S798" s="165"/>
      <c r="T798" s="165"/>
      <c r="U798" s="165"/>
      <c r="V798" s="165"/>
      <c r="W798" s="165"/>
      <c r="X798" s="165"/>
      <c r="Y798" s="285"/>
      <c r="Z798" s="165"/>
      <c r="AA798" s="165"/>
      <c r="AB798" s="165"/>
      <c r="AC798" s="165"/>
      <c r="AD798" s="165"/>
      <c r="AE798" s="165"/>
      <c r="AF798" s="165"/>
      <c r="AG798" s="165"/>
      <c r="AH798" s="165"/>
      <c r="AI798" s="165"/>
      <c r="AJ798" s="165"/>
      <c r="AK798" s="165"/>
      <c r="AL798" s="165"/>
    </row>
    <row r="799">
      <c r="A799" s="165"/>
      <c r="B799" s="165"/>
      <c r="C799" s="165"/>
      <c r="D799" s="165"/>
      <c r="E799" s="292"/>
      <c r="F799" s="277"/>
      <c r="G799" s="165"/>
      <c r="H799" s="277"/>
      <c r="I799" s="277"/>
      <c r="J799" s="165"/>
      <c r="K799" s="165"/>
      <c r="L799" s="165"/>
      <c r="M799" s="165"/>
      <c r="N799" s="165"/>
      <c r="O799" s="165"/>
      <c r="P799" s="165"/>
      <c r="Q799" s="165"/>
      <c r="R799" s="165"/>
      <c r="S799" s="165"/>
      <c r="T799" s="165"/>
      <c r="U799" s="165"/>
      <c r="V799" s="165"/>
      <c r="W799" s="165"/>
      <c r="X799" s="165"/>
      <c r="Y799" s="285"/>
      <c r="Z799" s="165"/>
      <c r="AA799" s="165"/>
      <c r="AB799" s="165"/>
      <c r="AC799" s="165"/>
      <c r="AD799" s="165"/>
      <c r="AE799" s="165"/>
      <c r="AF799" s="165"/>
      <c r="AG799" s="165"/>
      <c r="AH799" s="165"/>
      <c r="AI799" s="165"/>
      <c r="AJ799" s="165"/>
      <c r="AK799" s="165"/>
      <c r="AL799" s="165"/>
    </row>
    <row r="800">
      <c r="A800" s="165"/>
      <c r="B800" s="165"/>
      <c r="C800" s="165"/>
      <c r="D800" s="165"/>
      <c r="E800" s="292"/>
      <c r="F800" s="277"/>
      <c r="G800" s="165"/>
      <c r="H800" s="277"/>
      <c r="I800" s="277"/>
      <c r="J800" s="165"/>
      <c r="K800" s="165"/>
      <c r="L800" s="165"/>
      <c r="M800" s="165"/>
      <c r="N800" s="165"/>
      <c r="O800" s="165"/>
      <c r="P800" s="165"/>
      <c r="Q800" s="165"/>
      <c r="R800" s="165"/>
      <c r="S800" s="165"/>
      <c r="T800" s="165"/>
      <c r="U800" s="165"/>
      <c r="V800" s="165"/>
      <c r="W800" s="165"/>
      <c r="X800" s="165"/>
      <c r="Y800" s="285"/>
      <c r="Z800" s="165"/>
      <c r="AA800" s="165"/>
      <c r="AB800" s="165"/>
      <c r="AC800" s="165"/>
      <c r="AD800" s="165"/>
      <c r="AE800" s="165"/>
      <c r="AF800" s="165"/>
      <c r="AG800" s="165"/>
      <c r="AH800" s="165"/>
      <c r="AI800" s="165"/>
      <c r="AJ800" s="165"/>
      <c r="AK800" s="165"/>
      <c r="AL800" s="165"/>
    </row>
    <row r="801">
      <c r="A801" s="165"/>
      <c r="B801" s="165"/>
      <c r="C801" s="165"/>
      <c r="D801" s="165"/>
      <c r="E801" s="292"/>
      <c r="F801" s="277"/>
      <c r="G801" s="165"/>
      <c r="H801" s="277"/>
      <c r="I801" s="277"/>
      <c r="J801" s="165"/>
      <c r="K801" s="165"/>
      <c r="L801" s="165"/>
      <c r="M801" s="165"/>
      <c r="N801" s="165"/>
      <c r="O801" s="165"/>
      <c r="P801" s="165"/>
      <c r="Q801" s="165"/>
      <c r="R801" s="165"/>
      <c r="S801" s="165"/>
      <c r="T801" s="165"/>
      <c r="U801" s="165"/>
      <c r="V801" s="165"/>
      <c r="W801" s="165"/>
      <c r="X801" s="165"/>
      <c r="Y801" s="285"/>
      <c r="Z801" s="165"/>
      <c r="AA801" s="165"/>
      <c r="AB801" s="165"/>
      <c r="AC801" s="165"/>
      <c r="AD801" s="165"/>
      <c r="AE801" s="165"/>
      <c r="AF801" s="165"/>
      <c r="AG801" s="165"/>
      <c r="AH801" s="165"/>
      <c r="AI801" s="165"/>
      <c r="AJ801" s="165"/>
      <c r="AK801" s="165"/>
      <c r="AL801" s="165"/>
    </row>
    <row r="802">
      <c r="A802" s="165"/>
      <c r="B802" s="165"/>
      <c r="C802" s="165"/>
      <c r="D802" s="165"/>
      <c r="E802" s="292"/>
      <c r="F802" s="277"/>
      <c r="G802" s="165"/>
      <c r="H802" s="277"/>
      <c r="I802" s="277"/>
      <c r="J802" s="165"/>
      <c r="K802" s="165"/>
      <c r="L802" s="165"/>
      <c r="M802" s="165"/>
      <c r="N802" s="165"/>
      <c r="O802" s="165"/>
      <c r="P802" s="165"/>
      <c r="Q802" s="165"/>
      <c r="R802" s="165"/>
      <c r="S802" s="165"/>
      <c r="T802" s="165"/>
      <c r="U802" s="165"/>
      <c r="V802" s="165"/>
      <c r="W802" s="165"/>
      <c r="X802" s="165"/>
      <c r="Y802" s="285"/>
      <c r="Z802" s="165"/>
      <c r="AA802" s="165"/>
      <c r="AB802" s="165"/>
      <c r="AC802" s="165"/>
      <c r="AD802" s="165"/>
      <c r="AE802" s="165"/>
      <c r="AF802" s="165"/>
      <c r="AG802" s="165"/>
      <c r="AH802" s="165"/>
      <c r="AI802" s="165"/>
      <c r="AJ802" s="165"/>
      <c r="AK802" s="165"/>
      <c r="AL802" s="165"/>
    </row>
    <row r="803">
      <c r="A803" s="165"/>
      <c r="B803" s="165"/>
      <c r="C803" s="165"/>
      <c r="D803" s="165"/>
      <c r="E803" s="292"/>
      <c r="F803" s="277"/>
      <c r="G803" s="165"/>
      <c r="H803" s="277"/>
      <c r="I803" s="277"/>
      <c r="J803" s="165"/>
      <c r="K803" s="165"/>
      <c r="L803" s="165"/>
      <c r="M803" s="165"/>
      <c r="N803" s="165"/>
      <c r="O803" s="165"/>
      <c r="P803" s="165"/>
      <c r="Q803" s="165"/>
      <c r="R803" s="165"/>
      <c r="S803" s="165"/>
      <c r="T803" s="165"/>
      <c r="U803" s="165"/>
      <c r="V803" s="165"/>
      <c r="W803" s="165"/>
      <c r="X803" s="165"/>
      <c r="Y803" s="285"/>
      <c r="Z803" s="165"/>
      <c r="AA803" s="165"/>
      <c r="AB803" s="165"/>
      <c r="AC803" s="165"/>
      <c r="AD803" s="165"/>
      <c r="AE803" s="165"/>
      <c r="AF803" s="165"/>
      <c r="AG803" s="165"/>
      <c r="AH803" s="165"/>
      <c r="AI803" s="165"/>
      <c r="AJ803" s="165"/>
      <c r="AK803" s="165"/>
      <c r="AL803" s="165"/>
    </row>
    <row r="804">
      <c r="A804" s="165"/>
      <c r="B804" s="165"/>
      <c r="C804" s="165"/>
      <c r="D804" s="165"/>
      <c r="E804" s="292"/>
      <c r="F804" s="277"/>
      <c r="G804" s="165"/>
      <c r="H804" s="277"/>
      <c r="I804" s="277"/>
      <c r="J804" s="165"/>
      <c r="K804" s="165"/>
      <c r="L804" s="165"/>
      <c r="M804" s="165"/>
      <c r="N804" s="165"/>
      <c r="O804" s="165"/>
      <c r="P804" s="165"/>
      <c r="Q804" s="165"/>
      <c r="R804" s="165"/>
      <c r="S804" s="165"/>
      <c r="T804" s="165"/>
      <c r="U804" s="165"/>
      <c r="V804" s="165"/>
      <c r="W804" s="165"/>
      <c r="X804" s="165"/>
      <c r="Y804" s="285"/>
      <c r="Z804" s="165"/>
      <c r="AA804" s="165"/>
      <c r="AB804" s="165"/>
      <c r="AC804" s="165"/>
      <c r="AD804" s="165"/>
      <c r="AE804" s="165"/>
      <c r="AF804" s="165"/>
      <c r="AG804" s="165"/>
      <c r="AH804" s="165"/>
      <c r="AI804" s="165"/>
      <c r="AJ804" s="165"/>
      <c r="AK804" s="165"/>
      <c r="AL804" s="165"/>
    </row>
    <row r="805">
      <c r="A805" s="165"/>
      <c r="B805" s="165"/>
      <c r="C805" s="165"/>
      <c r="D805" s="165"/>
      <c r="E805" s="292"/>
      <c r="F805" s="277"/>
      <c r="G805" s="165"/>
      <c r="H805" s="277"/>
      <c r="I805" s="277"/>
      <c r="J805" s="165"/>
      <c r="K805" s="165"/>
      <c r="L805" s="165"/>
      <c r="M805" s="165"/>
      <c r="N805" s="165"/>
      <c r="O805" s="165"/>
      <c r="P805" s="165"/>
      <c r="Q805" s="165"/>
      <c r="R805" s="165"/>
      <c r="S805" s="165"/>
      <c r="T805" s="165"/>
      <c r="U805" s="165"/>
      <c r="V805" s="165"/>
      <c r="W805" s="165"/>
      <c r="X805" s="165"/>
      <c r="Y805" s="285"/>
      <c r="Z805" s="165"/>
      <c r="AA805" s="165"/>
      <c r="AB805" s="165"/>
      <c r="AC805" s="165"/>
      <c r="AD805" s="165"/>
      <c r="AE805" s="165"/>
      <c r="AF805" s="165"/>
      <c r="AG805" s="165"/>
      <c r="AH805" s="165"/>
      <c r="AI805" s="165"/>
      <c r="AJ805" s="165"/>
      <c r="AK805" s="165"/>
      <c r="AL805" s="165"/>
    </row>
    <row r="806">
      <c r="A806" s="165"/>
      <c r="B806" s="165"/>
      <c r="C806" s="165"/>
      <c r="D806" s="165"/>
      <c r="E806" s="292"/>
      <c r="F806" s="277"/>
      <c r="G806" s="165"/>
      <c r="H806" s="277"/>
      <c r="I806" s="277"/>
      <c r="J806" s="165"/>
      <c r="K806" s="165"/>
      <c r="L806" s="165"/>
      <c r="M806" s="165"/>
      <c r="N806" s="165"/>
      <c r="O806" s="165"/>
      <c r="P806" s="165"/>
      <c r="Q806" s="165"/>
      <c r="R806" s="165"/>
      <c r="S806" s="165"/>
      <c r="T806" s="165"/>
      <c r="U806" s="165"/>
      <c r="V806" s="165"/>
      <c r="W806" s="165"/>
      <c r="X806" s="165"/>
      <c r="Y806" s="285"/>
      <c r="Z806" s="165"/>
      <c r="AA806" s="165"/>
      <c r="AB806" s="165"/>
      <c r="AC806" s="165"/>
      <c r="AD806" s="165"/>
      <c r="AE806" s="165"/>
      <c r="AF806" s="165"/>
      <c r="AG806" s="165"/>
      <c r="AH806" s="165"/>
      <c r="AI806" s="165"/>
      <c r="AJ806" s="165"/>
      <c r="AK806" s="165"/>
      <c r="AL806" s="165"/>
    </row>
    <row r="807">
      <c r="A807" s="165"/>
      <c r="B807" s="165"/>
      <c r="C807" s="165"/>
      <c r="D807" s="165"/>
      <c r="E807" s="292"/>
      <c r="F807" s="277"/>
      <c r="G807" s="165"/>
      <c r="H807" s="277"/>
      <c r="I807" s="277"/>
      <c r="J807" s="165"/>
      <c r="K807" s="165"/>
      <c r="L807" s="165"/>
      <c r="M807" s="165"/>
      <c r="N807" s="165"/>
      <c r="O807" s="165"/>
      <c r="P807" s="165"/>
      <c r="Q807" s="165"/>
      <c r="R807" s="165"/>
      <c r="S807" s="165"/>
      <c r="T807" s="165"/>
      <c r="U807" s="165"/>
      <c r="V807" s="165"/>
      <c r="W807" s="165"/>
      <c r="X807" s="165"/>
      <c r="Y807" s="285"/>
      <c r="Z807" s="165"/>
      <c r="AA807" s="165"/>
      <c r="AB807" s="165"/>
      <c r="AC807" s="165"/>
      <c r="AD807" s="165"/>
      <c r="AE807" s="165"/>
      <c r="AF807" s="165"/>
      <c r="AG807" s="165"/>
      <c r="AH807" s="165"/>
      <c r="AI807" s="165"/>
      <c r="AJ807" s="165"/>
      <c r="AK807" s="165"/>
      <c r="AL807" s="165"/>
    </row>
    <row r="808">
      <c r="A808" s="165"/>
      <c r="B808" s="165"/>
      <c r="C808" s="165"/>
      <c r="D808" s="165"/>
      <c r="E808" s="292"/>
      <c r="F808" s="277"/>
      <c r="G808" s="165"/>
      <c r="H808" s="277"/>
      <c r="I808" s="277"/>
      <c r="J808" s="165"/>
      <c r="K808" s="165"/>
      <c r="L808" s="165"/>
      <c r="M808" s="165"/>
      <c r="N808" s="165"/>
      <c r="O808" s="165"/>
      <c r="P808" s="165"/>
      <c r="Q808" s="165"/>
      <c r="R808" s="165"/>
      <c r="S808" s="165"/>
      <c r="T808" s="165"/>
      <c r="U808" s="165"/>
      <c r="V808" s="165"/>
      <c r="W808" s="165"/>
      <c r="X808" s="165"/>
      <c r="Y808" s="285"/>
      <c r="Z808" s="165"/>
      <c r="AA808" s="165"/>
      <c r="AB808" s="165"/>
      <c r="AC808" s="165"/>
      <c r="AD808" s="165"/>
      <c r="AE808" s="165"/>
      <c r="AF808" s="165"/>
      <c r="AG808" s="165"/>
      <c r="AH808" s="165"/>
      <c r="AI808" s="165"/>
      <c r="AJ808" s="165"/>
      <c r="AK808" s="165"/>
      <c r="AL808" s="165"/>
    </row>
    <row r="809">
      <c r="A809" s="165"/>
      <c r="B809" s="165"/>
      <c r="C809" s="165"/>
      <c r="D809" s="165"/>
      <c r="E809" s="292"/>
      <c r="F809" s="277"/>
      <c r="G809" s="165"/>
      <c r="H809" s="277"/>
      <c r="I809" s="277"/>
      <c r="J809" s="165"/>
      <c r="K809" s="165"/>
      <c r="L809" s="165"/>
      <c r="M809" s="165"/>
      <c r="N809" s="165"/>
      <c r="O809" s="165"/>
      <c r="P809" s="165"/>
      <c r="Q809" s="165"/>
      <c r="R809" s="165"/>
      <c r="S809" s="165"/>
      <c r="T809" s="165"/>
      <c r="U809" s="165"/>
      <c r="V809" s="165"/>
      <c r="W809" s="165"/>
      <c r="X809" s="165"/>
      <c r="Y809" s="285"/>
      <c r="Z809" s="165"/>
      <c r="AA809" s="165"/>
      <c r="AB809" s="165"/>
      <c r="AC809" s="165"/>
      <c r="AD809" s="165"/>
      <c r="AE809" s="165"/>
      <c r="AF809" s="165"/>
      <c r="AG809" s="165"/>
      <c r="AH809" s="165"/>
      <c r="AI809" s="165"/>
      <c r="AJ809" s="165"/>
      <c r="AK809" s="165"/>
      <c r="AL809" s="165"/>
    </row>
    <row r="810">
      <c r="A810" s="165"/>
      <c r="B810" s="165"/>
      <c r="C810" s="165"/>
      <c r="D810" s="165"/>
      <c r="E810" s="292"/>
      <c r="F810" s="277"/>
      <c r="G810" s="165"/>
      <c r="H810" s="277"/>
      <c r="I810" s="277"/>
      <c r="J810" s="165"/>
      <c r="K810" s="165"/>
      <c r="L810" s="165"/>
      <c r="M810" s="165"/>
      <c r="N810" s="165"/>
      <c r="O810" s="165"/>
      <c r="P810" s="165"/>
      <c r="Q810" s="165"/>
      <c r="R810" s="165"/>
      <c r="S810" s="165"/>
      <c r="T810" s="165"/>
      <c r="U810" s="165"/>
      <c r="V810" s="165"/>
      <c r="W810" s="165"/>
      <c r="X810" s="165"/>
      <c r="Y810" s="285"/>
      <c r="Z810" s="165"/>
      <c r="AA810" s="165"/>
      <c r="AB810" s="165"/>
      <c r="AC810" s="165"/>
      <c r="AD810" s="165"/>
      <c r="AE810" s="165"/>
      <c r="AF810" s="165"/>
      <c r="AG810" s="165"/>
      <c r="AH810" s="165"/>
      <c r="AI810" s="165"/>
      <c r="AJ810" s="165"/>
      <c r="AK810" s="165"/>
      <c r="AL810" s="165"/>
    </row>
    <row r="811">
      <c r="A811" s="165"/>
      <c r="B811" s="165"/>
      <c r="C811" s="165"/>
      <c r="D811" s="165"/>
      <c r="E811" s="292"/>
      <c r="F811" s="277"/>
      <c r="G811" s="165"/>
      <c r="H811" s="277"/>
      <c r="I811" s="277"/>
      <c r="J811" s="165"/>
      <c r="K811" s="165"/>
      <c r="L811" s="165"/>
      <c r="M811" s="165"/>
      <c r="N811" s="165"/>
      <c r="O811" s="165"/>
      <c r="P811" s="165"/>
      <c r="Q811" s="165"/>
      <c r="R811" s="165"/>
      <c r="S811" s="165"/>
      <c r="T811" s="165"/>
      <c r="U811" s="165"/>
      <c r="V811" s="165"/>
      <c r="W811" s="165"/>
      <c r="X811" s="165"/>
      <c r="Y811" s="285"/>
      <c r="Z811" s="165"/>
      <c r="AA811" s="165"/>
      <c r="AB811" s="165"/>
      <c r="AC811" s="165"/>
      <c r="AD811" s="165"/>
      <c r="AE811" s="165"/>
      <c r="AF811" s="165"/>
      <c r="AG811" s="165"/>
      <c r="AH811" s="165"/>
      <c r="AI811" s="165"/>
      <c r="AJ811" s="165"/>
      <c r="AK811" s="165"/>
      <c r="AL811" s="165"/>
    </row>
    <row r="812">
      <c r="A812" s="165"/>
      <c r="B812" s="165"/>
      <c r="C812" s="165"/>
      <c r="D812" s="165"/>
      <c r="E812" s="292"/>
      <c r="F812" s="277"/>
      <c r="G812" s="165"/>
      <c r="H812" s="277"/>
      <c r="I812" s="277"/>
      <c r="J812" s="165"/>
      <c r="K812" s="165"/>
      <c r="L812" s="165"/>
      <c r="M812" s="165"/>
      <c r="N812" s="165"/>
      <c r="O812" s="165"/>
      <c r="P812" s="165"/>
      <c r="Q812" s="165"/>
      <c r="R812" s="165"/>
      <c r="S812" s="165"/>
      <c r="T812" s="165"/>
      <c r="U812" s="165"/>
      <c r="V812" s="165"/>
      <c r="W812" s="165"/>
      <c r="X812" s="165"/>
      <c r="Y812" s="285"/>
      <c r="Z812" s="165"/>
      <c r="AA812" s="165"/>
      <c r="AB812" s="165"/>
      <c r="AC812" s="165"/>
      <c r="AD812" s="165"/>
      <c r="AE812" s="165"/>
      <c r="AF812" s="165"/>
      <c r="AG812" s="165"/>
      <c r="AH812" s="165"/>
      <c r="AI812" s="165"/>
      <c r="AJ812" s="165"/>
      <c r="AK812" s="165"/>
      <c r="AL812" s="165"/>
    </row>
    <row r="813">
      <c r="A813" s="165"/>
      <c r="B813" s="165"/>
      <c r="C813" s="165"/>
      <c r="D813" s="165"/>
      <c r="E813" s="292"/>
      <c r="F813" s="277"/>
      <c r="G813" s="165"/>
      <c r="H813" s="277"/>
      <c r="I813" s="277"/>
      <c r="J813" s="165"/>
      <c r="K813" s="165"/>
      <c r="L813" s="165"/>
      <c r="M813" s="165"/>
      <c r="N813" s="165"/>
      <c r="O813" s="165"/>
      <c r="P813" s="165"/>
      <c r="Q813" s="165"/>
      <c r="R813" s="165"/>
      <c r="S813" s="165"/>
      <c r="T813" s="165"/>
      <c r="U813" s="165"/>
      <c r="V813" s="165"/>
      <c r="W813" s="165"/>
      <c r="X813" s="165"/>
      <c r="Y813" s="285"/>
      <c r="Z813" s="165"/>
      <c r="AA813" s="165"/>
      <c r="AB813" s="165"/>
      <c r="AC813" s="165"/>
      <c r="AD813" s="165"/>
      <c r="AE813" s="165"/>
      <c r="AF813" s="165"/>
      <c r="AG813" s="165"/>
      <c r="AH813" s="165"/>
      <c r="AI813" s="165"/>
      <c r="AJ813" s="165"/>
      <c r="AK813" s="165"/>
      <c r="AL813" s="165"/>
    </row>
    <row r="814">
      <c r="A814" s="165"/>
      <c r="B814" s="165"/>
      <c r="C814" s="165"/>
      <c r="D814" s="165"/>
      <c r="E814" s="292"/>
      <c r="F814" s="277"/>
      <c r="G814" s="165"/>
      <c r="H814" s="277"/>
      <c r="I814" s="277"/>
      <c r="J814" s="165"/>
      <c r="K814" s="165"/>
      <c r="L814" s="165"/>
      <c r="M814" s="165"/>
      <c r="N814" s="165"/>
      <c r="O814" s="165"/>
      <c r="P814" s="165"/>
      <c r="Q814" s="165"/>
      <c r="R814" s="165"/>
      <c r="S814" s="165"/>
      <c r="T814" s="165"/>
      <c r="U814" s="165"/>
      <c r="V814" s="165"/>
      <c r="W814" s="165"/>
      <c r="X814" s="165"/>
      <c r="Y814" s="285"/>
      <c r="Z814" s="165"/>
      <c r="AA814" s="165"/>
      <c r="AB814" s="165"/>
      <c r="AC814" s="165"/>
      <c r="AD814" s="165"/>
      <c r="AE814" s="165"/>
      <c r="AF814" s="165"/>
      <c r="AG814" s="165"/>
      <c r="AH814" s="165"/>
      <c r="AI814" s="165"/>
      <c r="AJ814" s="165"/>
      <c r="AK814" s="165"/>
      <c r="AL814" s="165"/>
    </row>
    <row r="815">
      <c r="A815" s="165"/>
      <c r="B815" s="165"/>
      <c r="C815" s="165"/>
      <c r="D815" s="165"/>
      <c r="E815" s="292"/>
      <c r="F815" s="277"/>
      <c r="G815" s="165"/>
      <c r="H815" s="277"/>
      <c r="I815" s="277"/>
      <c r="J815" s="165"/>
      <c r="K815" s="165"/>
      <c r="L815" s="165"/>
      <c r="M815" s="165"/>
      <c r="N815" s="165"/>
      <c r="O815" s="165"/>
      <c r="P815" s="165"/>
      <c r="Q815" s="165"/>
      <c r="R815" s="165"/>
      <c r="S815" s="165"/>
      <c r="T815" s="165"/>
      <c r="U815" s="165"/>
      <c r="V815" s="165"/>
      <c r="W815" s="165"/>
      <c r="X815" s="165"/>
      <c r="Y815" s="285"/>
      <c r="Z815" s="165"/>
      <c r="AA815" s="165"/>
      <c r="AB815" s="165"/>
      <c r="AC815" s="165"/>
      <c r="AD815" s="165"/>
      <c r="AE815" s="165"/>
      <c r="AF815" s="165"/>
      <c r="AG815" s="165"/>
      <c r="AH815" s="165"/>
      <c r="AI815" s="165"/>
      <c r="AJ815" s="165"/>
      <c r="AK815" s="165"/>
      <c r="AL815" s="165"/>
    </row>
    <row r="816">
      <c r="A816" s="165"/>
      <c r="B816" s="165"/>
      <c r="C816" s="165"/>
      <c r="D816" s="165"/>
      <c r="E816" s="292"/>
      <c r="F816" s="277"/>
      <c r="G816" s="165"/>
      <c r="H816" s="277"/>
      <c r="I816" s="277"/>
      <c r="J816" s="165"/>
      <c r="K816" s="165"/>
      <c r="L816" s="165"/>
      <c r="M816" s="165"/>
      <c r="N816" s="165"/>
      <c r="O816" s="165"/>
      <c r="P816" s="165"/>
      <c r="Q816" s="165"/>
      <c r="R816" s="165"/>
      <c r="S816" s="165"/>
      <c r="T816" s="165"/>
      <c r="U816" s="165"/>
      <c r="V816" s="165"/>
      <c r="W816" s="165"/>
      <c r="X816" s="165"/>
      <c r="Y816" s="285"/>
      <c r="Z816" s="165"/>
      <c r="AA816" s="165"/>
      <c r="AB816" s="165"/>
      <c r="AC816" s="165"/>
      <c r="AD816" s="165"/>
      <c r="AE816" s="165"/>
      <c r="AF816" s="165"/>
      <c r="AG816" s="165"/>
      <c r="AH816" s="165"/>
      <c r="AI816" s="165"/>
      <c r="AJ816" s="165"/>
      <c r="AK816" s="165"/>
      <c r="AL816" s="165"/>
    </row>
    <row r="817">
      <c r="A817" s="165"/>
      <c r="B817" s="165"/>
      <c r="C817" s="165"/>
      <c r="D817" s="165"/>
      <c r="E817" s="292"/>
      <c r="F817" s="277"/>
      <c r="G817" s="165"/>
      <c r="H817" s="277"/>
      <c r="I817" s="277"/>
      <c r="J817" s="165"/>
      <c r="K817" s="165"/>
      <c r="L817" s="165"/>
      <c r="M817" s="165"/>
      <c r="N817" s="165"/>
      <c r="O817" s="165"/>
      <c r="P817" s="165"/>
      <c r="Q817" s="165"/>
      <c r="R817" s="165"/>
      <c r="S817" s="165"/>
      <c r="T817" s="165"/>
      <c r="U817" s="165"/>
      <c r="V817" s="165"/>
      <c r="W817" s="165"/>
      <c r="X817" s="165"/>
      <c r="Y817" s="285"/>
      <c r="Z817" s="165"/>
      <c r="AA817" s="165"/>
      <c r="AB817" s="165"/>
      <c r="AC817" s="165"/>
      <c r="AD817" s="165"/>
      <c r="AE817" s="165"/>
      <c r="AF817" s="165"/>
      <c r="AG817" s="165"/>
      <c r="AH817" s="165"/>
      <c r="AI817" s="165"/>
      <c r="AJ817" s="165"/>
      <c r="AK817" s="165"/>
      <c r="AL817" s="165"/>
    </row>
    <row r="818">
      <c r="A818" s="165"/>
      <c r="B818" s="165"/>
      <c r="C818" s="165"/>
      <c r="D818" s="165"/>
      <c r="E818" s="292"/>
      <c r="F818" s="277"/>
      <c r="G818" s="165"/>
      <c r="H818" s="277"/>
      <c r="I818" s="277"/>
      <c r="J818" s="165"/>
      <c r="K818" s="165"/>
      <c r="L818" s="165"/>
      <c r="M818" s="165"/>
      <c r="N818" s="165"/>
      <c r="O818" s="165"/>
      <c r="P818" s="165"/>
      <c r="Q818" s="165"/>
      <c r="R818" s="165"/>
      <c r="S818" s="165"/>
      <c r="T818" s="165"/>
      <c r="U818" s="165"/>
      <c r="V818" s="165"/>
      <c r="W818" s="165"/>
      <c r="X818" s="165"/>
      <c r="Y818" s="285"/>
      <c r="Z818" s="165"/>
      <c r="AA818" s="165"/>
      <c r="AB818" s="165"/>
      <c r="AC818" s="165"/>
      <c r="AD818" s="165"/>
      <c r="AE818" s="165"/>
      <c r="AF818" s="165"/>
      <c r="AG818" s="165"/>
      <c r="AH818" s="165"/>
      <c r="AI818" s="165"/>
      <c r="AJ818" s="165"/>
      <c r="AK818" s="165"/>
      <c r="AL818" s="165"/>
    </row>
    <row r="819">
      <c r="A819" s="165"/>
      <c r="B819" s="165"/>
      <c r="C819" s="165"/>
      <c r="D819" s="165"/>
      <c r="E819" s="292"/>
      <c r="F819" s="277"/>
      <c r="G819" s="165"/>
      <c r="H819" s="277"/>
      <c r="I819" s="277"/>
      <c r="J819" s="165"/>
      <c r="K819" s="165"/>
      <c r="L819" s="165"/>
      <c r="M819" s="165"/>
      <c r="N819" s="165"/>
      <c r="O819" s="165"/>
      <c r="P819" s="165"/>
      <c r="Q819" s="165"/>
      <c r="R819" s="165"/>
      <c r="S819" s="165"/>
      <c r="T819" s="165"/>
      <c r="U819" s="165"/>
      <c r="V819" s="165"/>
      <c r="W819" s="165"/>
      <c r="X819" s="165"/>
      <c r="Y819" s="285"/>
      <c r="Z819" s="165"/>
      <c r="AA819" s="165"/>
      <c r="AB819" s="165"/>
      <c r="AC819" s="165"/>
      <c r="AD819" s="165"/>
      <c r="AE819" s="165"/>
      <c r="AF819" s="165"/>
      <c r="AG819" s="165"/>
      <c r="AH819" s="165"/>
      <c r="AI819" s="165"/>
      <c r="AJ819" s="165"/>
      <c r="AK819" s="165"/>
      <c r="AL819" s="165"/>
    </row>
    <row r="820">
      <c r="A820" s="165"/>
      <c r="B820" s="165"/>
      <c r="C820" s="165"/>
      <c r="D820" s="165"/>
      <c r="E820" s="292"/>
      <c r="F820" s="277"/>
      <c r="G820" s="165"/>
      <c r="H820" s="277"/>
      <c r="I820" s="277"/>
      <c r="J820" s="165"/>
      <c r="K820" s="165"/>
      <c r="L820" s="165"/>
      <c r="M820" s="165"/>
      <c r="N820" s="165"/>
      <c r="O820" s="165"/>
      <c r="P820" s="165"/>
      <c r="Q820" s="165"/>
      <c r="R820" s="165"/>
      <c r="S820" s="165"/>
      <c r="T820" s="165"/>
      <c r="U820" s="165"/>
      <c r="V820" s="165"/>
      <c r="W820" s="165"/>
      <c r="X820" s="165"/>
      <c r="Y820" s="285"/>
      <c r="Z820" s="165"/>
      <c r="AA820" s="165"/>
      <c r="AB820" s="165"/>
      <c r="AC820" s="165"/>
      <c r="AD820" s="165"/>
      <c r="AE820" s="165"/>
      <c r="AF820" s="165"/>
      <c r="AG820" s="165"/>
      <c r="AH820" s="165"/>
      <c r="AI820" s="165"/>
      <c r="AJ820" s="165"/>
      <c r="AK820" s="165"/>
      <c r="AL820" s="165"/>
    </row>
    <row r="821">
      <c r="A821" s="165"/>
      <c r="B821" s="165"/>
      <c r="C821" s="165"/>
      <c r="D821" s="165"/>
      <c r="E821" s="292"/>
      <c r="F821" s="277"/>
      <c r="G821" s="165"/>
      <c r="H821" s="277"/>
      <c r="I821" s="277"/>
      <c r="J821" s="165"/>
      <c r="K821" s="165"/>
      <c r="L821" s="165"/>
      <c r="M821" s="165"/>
      <c r="N821" s="165"/>
      <c r="O821" s="165"/>
      <c r="P821" s="165"/>
      <c r="Q821" s="165"/>
      <c r="R821" s="165"/>
      <c r="S821" s="165"/>
      <c r="T821" s="165"/>
      <c r="U821" s="165"/>
      <c r="V821" s="165"/>
      <c r="W821" s="165"/>
      <c r="X821" s="165"/>
      <c r="Y821" s="285"/>
      <c r="Z821" s="165"/>
      <c r="AA821" s="165"/>
      <c r="AB821" s="165"/>
      <c r="AC821" s="165"/>
      <c r="AD821" s="165"/>
      <c r="AE821" s="165"/>
      <c r="AF821" s="165"/>
      <c r="AG821" s="165"/>
      <c r="AH821" s="165"/>
      <c r="AI821" s="165"/>
      <c r="AJ821" s="165"/>
      <c r="AK821" s="165"/>
      <c r="AL821" s="165"/>
    </row>
    <row r="822">
      <c r="A822" s="165"/>
      <c r="B822" s="165"/>
      <c r="C822" s="165"/>
      <c r="D822" s="165"/>
      <c r="E822" s="292"/>
      <c r="F822" s="277"/>
      <c r="G822" s="165"/>
      <c r="H822" s="277"/>
      <c r="I822" s="277"/>
      <c r="J822" s="165"/>
      <c r="K822" s="165"/>
      <c r="L822" s="165"/>
      <c r="M822" s="165"/>
      <c r="N822" s="165"/>
      <c r="O822" s="165"/>
      <c r="P822" s="165"/>
      <c r="Q822" s="165"/>
      <c r="R822" s="165"/>
      <c r="S822" s="165"/>
      <c r="T822" s="165"/>
      <c r="U822" s="165"/>
      <c r="V822" s="165"/>
      <c r="W822" s="165"/>
      <c r="X822" s="165"/>
      <c r="Y822" s="285"/>
      <c r="Z822" s="165"/>
      <c r="AA822" s="165"/>
      <c r="AB822" s="165"/>
      <c r="AC822" s="165"/>
      <c r="AD822" s="165"/>
      <c r="AE822" s="165"/>
      <c r="AF822" s="165"/>
      <c r="AG822" s="165"/>
      <c r="AH822" s="165"/>
      <c r="AI822" s="165"/>
      <c r="AJ822" s="165"/>
      <c r="AK822" s="165"/>
      <c r="AL822" s="165"/>
    </row>
    <row r="823">
      <c r="A823" s="165"/>
      <c r="B823" s="165"/>
      <c r="C823" s="165"/>
      <c r="D823" s="165"/>
      <c r="E823" s="292"/>
      <c r="F823" s="277"/>
      <c r="G823" s="165"/>
      <c r="H823" s="277"/>
      <c r="I823" s="277"/>
      <c r="J823" s="165"/>
      <c r="K823" s="165"/>
      <c r="L823" s="165"/>
      <c r="M823" s="165"/>
      <c r="N823" s="165"/>
      <c r="O823" s="165"/>
      <c r="P823" s="165"/>
      <c r="Q823" s="165"/>
      <c r="R823" s="165"/>
      <c r="S823" s="165"/>
      <c r="T823" s="165"/>
      <c r="U823" s="165"/>
      <c r="V823" s="165"/>
      <c r="W823" s="165"/>
      <c r="X823" s="165"/>
      <c r="Y823" s="285"/>
      <c r="Z823" s="165"/>
      <c r="AA823" s="165"/>
      <c r="AB823" s="165"/>
      <c r="AC823" s="165"/>
      <c r="AD823" s="165"/>
      <c r="AE823" s="165"/>
      <c r="AF823" s="165"/>
      <c r="AG823" s="165"/>
      <c r="AH823" s="165"/>
      <c r="AI823" s="165"/>
      <c r="AJ823" s="165"/>
      <c r="AK823" s="165"/>
      <c r="AL823" s="165"/>
    </row>
    <row r="824">
      <c r="A824" s="165"/>
      <c r="B824" s="165"/>
      <c r="C824" s="165"/>
      <c r="D824" s="165"/>
      <c r="E824" s="292"/>
      <c r="F824" s="277"/>
      <c r="G824" s="165"/>
      <c r="H824" s="277"/>
      <c r="I824" s="277"/>
      <c r="J824" s="165"/>
      <c r="K824" s="165"/>
      <c r="L824" s="165"/>
      <c r="M824" s="165"/>
      <c r="N824" s="165"/>
      <c r="O824" s="165"/>
      <c r="P824" s="165"/>
      <c r="Q824" s="165"/>
      <c r="R824" s="165"/>
      <c r="S824" s="165"/>
      <c r="T824" s="165"/>
      <c r="U824" s="165"/>
      <c r="V824" s="165"/>
      <c r="W824" s="165"/>
      <c r="X824" s="165"/>
      <c r="Y824" s="285"/>
      <c r="Z824" s="165"/>
      <c r="AA824" s="165"/>
      <c r="AB824" s="165"/>
      <c r="AC824" s="165"/>
      <c r="AD824" s="165"/>
      <c r="AE824" s="165"/>
      <c r="AF824" s="165"/>
      <c r="AG824" s="165"/>
      <c r="AH824" s="165"/>
      <c r="AI824" s="165"/>
      <c r="AJ824" s="165"/>
      <c r="AK824" s="165"/>
      <c r="AL824" s="165"/>
    </row>
    <row r="825">
      <c r="A825" s="165"/>
      <c r="B825" s="165"/>
      <c r="C825" s="165"/>
      <c r="D825" s="165"/>
      <c r="E825" s="292"/>
      <c r="F825" s="277"/>
      <c r="G825" s="165"/>
      <c r="H825" s="277"/>
      <c r="I825" s="277"/>
      <c r="J825" s="165"/>
      <c r="K825" s="165"/>
      <c r="L825" s="165"/>
      <c r="M825" s="165"/>
      <c r="N825" s="165"/>
      <c r="O825" s="165"/>
      <c r="P825" s="165"/>
      <c r="Q825" s="165"/>
      <c r="R825" s="165"/>
      <c r="S825" s="165"/>
      <c r="T825" s="165"/>
      <c r="U825" s="165"/>
      <c r="V825" s="165"/>
      <c r="W825" s="165"/>
      <c r="X825" s="165"/>
      <c r="Y825" s="285"/>
      <c r="Z825" s="165"/>
      <c r="AA825" s="165"/>
      <c r="AB825" s="165"/>
      <c r="AC825" s="165"/>
      <c r="AD825" s="165"/>
      <c r="AE825" s="165"/>
      <c r="AF825" s="165"/>
      <c r="AG825" s="165"/>
      <c r="AH825" s="165"/>
      <c r="AI825" s="165"/>
      <c r="AJ825" s="165"/>
      <c r="AK825" s="165"/>
      <c r="AL825" s="165"/>
    </row>
    <row r="826">
      <c r="A826" s="165"/>
      <c r="B826" s="165"/>
      <c r="C826" s="165"/>
      <c r="D826" s="165"/>
      <c r="E826" s="292"/>
      <c r="F826" s="277"/>
      <c r="G826" s="165"/>
      <c r="H826" s="277"/>
      <c r="I826" s="277"/>
      <c r="J826" s="165"/>
      <c r="K826" s="165"/>
      <c r="L826" s="165"/>
      <c r="M826" s="165"/>
      <c r="N826" s="165"/>
      <c r="O826" s="165"/>
      <c r="P826" s="165"/>
      <c r="Q826" s="165"/>
      <c r="R826" s="165"/>
      <c r="S826" s="165"/>
      <c r="T826" s="165"/>
      <c r="U826" s="165"/>
      <c r="V826" s="165"/>
      <c r="W826" s="165"/>
      <c r="X826" s="165"/>
      <c r="Y826" s="285"/>
      <c r="Z826" s="165"/>
      <c r="AA826" s="165"/>
      <c r="AB826" s="165"/>
      <c r="AC826" s="165"/>
      <c r="AD826" s="165"/>
      <c r="AE826" s="165"/>
      <c r="AF826" s="165"/>
      <c r="AG826" s="165"/>
      <c r="AH826" s="165"/>
      <c r="AI826" s="165"/>
      <c r="AJ826" s="165"/>
      <c r="AK826" s="165"/>
      <c r="AL826" s="165"/>
    </row>
    <row r="827">
      <c r="A827" s="165"/>
      <c r="B827" s="165"/>
      <c r="C827" s="165"/>
      <c r="D827" s="165"/>
      <c r="E827" s="292"/>
      <c r="F827" s="277"/>
      <c r="G827" s="165"/>
      <c r="H827" s="277"/>
      <c r="I827" s="277"/>
      <c r="J827" s="165"/>
      <c r="K827" s="165"/>
      <c r="L827" s="165"/>
      <c r="M827" s="165"/>
      <c r="N827" s="165"/>
      <c r="O827" s="165"/>
      <c r="P827" s="165"/>
      <c r="Q827" s="165"/>
      <c r="R827" s="165"/>
      <c r="S827" s="165"/>
      <c r="T827" s="165"/>
      <c r="U827" s="165"/>
      <c r="V827" s="165"/>
      <c r="W827" s="165"/>
      <c r="X827" s="165"/>
      <c r="Y827" s="285"/>
      <c r="Z827" s="165"/>
      <c r="AA827" s="165"/>
      <c r="AB827" s="165"/>
      <c r="AC827" s="165"/>
      <c r="AD827" s="165"/>
      <c r="AE827" s="165"/>
      <c r="AF827" s="165"/>
      <c r="AG827" s="165"/>
      <c r="AH827" s="165"/>
      <c r="AI827" s="165"/>
      <c r="AJ827" s="165"/>
      <c r="AK827" s="165"/>
      <c r="AL827" s="165"/>
    </row>
    <row r="828">
      <c r="A828" s="165"/>
      <c r="B828" s="165"/>
      <c r="C828" s="165"/>
      <c r="D828" s="165"/>
      <c r="E828" s="292"/>
      <c r="F828" s="277"/>
      <c r="G828" s="165"/>
      <c r="H828" s="277"/>
      <c r="I828" s="277"/>
      <c r="J828" s="165"/>
      <c r="K828" s="165"/>
      <c r="L828" s="165"/>
      <c r="M828" s="165"/>
      <c r="N828" s="165"/>
      <c r="O828" s="165"/>
      <c r="P828" s="165"/>
      <c r="Q828" s="165"/>
      <c r="R828" s="165"/>
      <c r="S828" s="165"/>
      <c r="T828" s="165"/>
      <c r="U828" s="165"/>
      <c r="V828" s="165"/>
      <c r="W828" s="165"/>
      <c r="X828" s="165"/>
      <c r="Y828" s="285"/>
      <c r="Z828" s="165"/>
      <c r="AA828" s="165"/>
      <c r="AB828" s="165"/>
      <c r="AC828" s="165"/>
      <c r="AD828" s="165"/>
      <c r="AE828" s="165"/>
      <c r="AF828" s="165"/>
      <c r="AG828" s="165"/>
      <c r="AH828" s="165"/>
      <c r="AI828" s="165"/>
      <c r="AJ828" s="165"/>
      <c r="AK828" s="165"/>
      <c r="AL828" s="165"/>
    </row>
    <row r="829">
      <c r="A829" s="165"/>
      <c r="B829" s="165"/>
      <c r="C829" s="165"/>
      <c r="D829" s="165"/>
      <c r="E829" s="292"/>
      <c r="F829" s="277"/>
      <c r="G829" s="165"/>
      <c r="H829" s="277"/>
      <c r="I829" s="277"/>
      <c r="J829" s="165"/>
      <c r="K829" s="165"/>
      <c r="L829" s="165"/>
      <c r="M829" s="165"/>
      <c r="N829" s="165"/>
      <c r="O829" s="165"/>
      <c r="P829" s="165"/>
      <c r="Q829" s="165"/>
      <c r="R829" s="165"/>
      <c r="S829" s="165"/>
      <c r="T829" s="165"/>
      <c r="U829" s="165"/>
      <c r="V829" s="165"/>
      <c r="W829" s="165"/>
      <c r="X829" s="165"/>
      <c r="Y829" s="285"/>
      <c r="Z829" s="165"/>
      <c r="AA829" s="165"/>
      <c r="AB829" s="165"/>
      <c r="AC829" s="165"/>
      <c r="AD829" s="165"/>
      <c r="AE829" s="165"/>
      <c r="AF829" s="165"/>
      <c r="AG829" s="165"/>
      <c r="AH829" s="165"/>
      <c r="AI829" s="165"/>
      <c r="AJ829" s="165"/>
      <c r="AK829" s="165"/>
      <c r="AL829" s="165"/>
    </row>
    <row r="830">
      <c r="A830" s="165"/>
      <c r="B830" s="165"/>
      <c r="C830" s="165"/>
      <c r="D830" s="165"/>
      <c r="E830" s="292"/>
      <c r="F830" s="277"/>
      <c r="G830" s="165"/>
      <c r="H830" s="277"/>
      <c r="I830" s="277"/>
      <c r="J830" s="165"/>
      <c r="K830" s="165"/>
      <c r="L830" s="165"/>
      <c r="M830" s="165"/>
      <c r="N830" s="165"/>
      <c r="O830" s="165"/>
      <c r="P830" s="165"/>
      <c r="Q830" s="165"/>
      <c r="R830" s="165"/>
      <c r="S830" s="165"/>
      <c r="T830" s="165"/>
      <c r="U830" s="165"/>
      <c r="V830" s="165"/>
      <c r="W830" s="165"/>
      <c r="X830" s="165"/>
      <c r="Y830" s="285"/>
      <c r="Z830" s="165"/>
      <c r="AA830" s="165"/>
      <c r="AB830" s="165"/>
      <c r="AC830" s="165"/>
      <c r="AD830" s="165"/>
      <c r="AE830" s="165"/>
      <c r="AF830" s="165"/>
      <c r="AG830" s="165"/>
      <c r="AH830" s="165"/>
      <c r="AI830" s="165"/>
      <c r="AJ830" s="165"/>
      <c r="AK830" s="165"/>
      <c r="AL830" s="165"/>
    </row>
    <row r="831">
      <c r="A831" s="165"/>
      <c r="B831" s="165"/>
      <c r="C831" s="165"/>
      <c r="D831" s="165"/>
      <c r="E831" s="292"/>
      <c r="F831" s="277"/>
      <c r="G831" s="165"/>
      <c r="H831" s="277"/>
      <c r="I831" s="277"/>
      <c r="J831" s="165"/>
      <c r="K831" s="165"/>
      <c r="L831" s="165"/>
      <c r="M831" s="165"/>
      <c r="N831" s="165"/>
      <c r="O831" s="165"/>
      <c r="P831" s="165"/>
      <c r="Q831" s="165"/>
      <c r="R831" s="165"/>
      <c r="S831" s="165"/>
      <c r="T831" s="165"/>
      <c r="U831" s="165"/>
      <c r="V831" s="165"/>
      <c r="W831" s="165"/>
      <c r="X831" s="165"/>
      <c r="Y831" s="285"/>
      <c r="Z831" s="165"/>
      <c r="AA831" s="165"/>
      <c r="AB831" s="165"/>
      <c r="AC831" s="165"/>
      <c r="AD831" s="165"/>
      <c r="AE831" s="165"/>
      <c r="AF831" s="165"/>
      <c r="AG831" s="165"/>
      <c r="AH831" s="165"/>
      <c r="AI831" s="165"/>
      <c r="AJ831" s="165"/>
      <c r="AK831" s="165"/>
      <c r="AL831" s="165"/>
    </row>
    <row r="832">
      <c r="A832" s="165"/>
      <c r="B832" s="165"/>
      <c r="C832" s="165"/>
      <c r="D832" s="165"/>
      <c r="E832" s="292"/>
      <c r="F832" s="277"/>
      <c r="G832" s="165"/>
      <c r="H832" s="277"/>
      <c r="I832" s="277"/>
      <c r="J832" s="165"/>
      <c r="K832" s="165"/>
      <c r="L832" s="165"/>
      <c r="M832" s="165"/>
      <c r="N832" s="165"/>
      <c r="O832" s="165"/>
      <c r="P832" s="165"/>
      <c r="Q832" s="165"/>
      <c r="R832" s="165"/>
      <c r="S832" s="165"/>
      <c r="T832" s="165"/>
      <c r="U832" s="165"/>
      <c r="V832" s="165"/>
      <c r="W832" s="165"/>
      <c r="X832" s="165"/>
      <c r="Y832" s="285"/>
      <c r="Z832" s="165"/>
      <c r="AA832" s="165"/>
      <c r="AB832" s="165"/>
      <c r="AC832" s="165"/>
      <c r="AD832" s="165"/>
      <c r="AE832" s="165"/>
      <c r="AF832" s="165"/>
      <c r="AG832" s="165"/>
      <c r="AH832" s="165"/>
      <c r="AI832" s="165"/>
      <c r="AJ832" s="165"/>
      <c r="AK832" s="165"/>
      <c r="AL832" s="165"/>
    </row>
    <row r="833">
      <c r="A833" s="165"/>
      <c r="B833" s="165"/>
      <c r="C833" s="165"/>
      <c r="D833" s="165"/>
      <c r="E833" s="292"/>
      <c r="F833" s="277"/>
      <c r="G833" s="165"/>
      <c r="H833" s="277"/>
      <c r="I833" s="277"/>
      <c r="J833" s="165"/>
      <c r="K833" s="165"/>
      <c r="L833" s="165"/>
      <c r="M833" s="165"/>
      <c r="N833" s="165"/>
      <c r="O833" s="165"/>
      <c r="P833" s="165"/>
      <c r="Q833" s="165"/>
      <c r="R833" s="165"/>
      <c r="S833" s="165"/>
      <c r="T833" s="165"/>
      <c r="U833" s="165"/>
      <c r="V833" s="165"/>
      <c r="W833" s="165"/>
      <c r="X833" s="165"/>
      <c r="Y833" s="285"/>
      <c r="Z833" s="165"/>
      <c r="AA833" s="165"/>
      <c r="AB833" s="165"/>
      <c r="AC833" s="165"/>
      <c r="AD833" s="165"/>
      <c r="AE833" s="165"/>
      <c r="AF833" s="165"/>
      <c r="AG833" s="165"/>
      <c r="AH833" s="165"/>
      <c r="AI833" s="165"/>
      <c r="AJ833" s="165"/>
      <c r="AK833" s="165"/>
      <c r="AL833" s="165"/>
    </row>
    <row r="834">
      <c r="A834" s="165"/>
      <c r="B834" s="165"/>
      <c r="C834" s="165"/>
      <c r="D834" s="165"/>
      <c r="E834" s="292"/>
      <c r="F834" s="277"/>
      <c r="G834" s="165"/>
      <c r="H834" s="277"/>
      <c r="I834" s="277"/>
      <c r="J834" s="165"/>
      <c r="K834" s="165"/>
      <c r="L834" s="165"/>
      <c r="M834" s="165"/>
      <c r="N834" s="165"/>
      <c r="O834" s="165"/>
      <c r="P834" s="165"/>
      <c r="Q834" s="165"/>
      <c r="R834" s="165"/>
      <c r="S834" s="165"/>
      <c r="T834" s="165"/>
      <c r="U834" s="165"/>
      <c r="V834" s="165"/>
      <c r="W834" s="165"/>
      <c r="X834" s="165"/>
      <c r="Y834" s="285"/>
      <c r="Z834" s="165"/>
      <c r="AA834" s="165"/>
      <c r="AB834" s="165"/>
      <c r="AC834" s="165"/>
      <c r="AD834" s="165"/>
      <c r="AE834" s="165"/>
      <c r="AF834" s="165"/>
      <c r="AG834" s="165"/>
      <c r="AH834" s="165"/>
      <c r="AI834" s="165"/>
      <c r="AJ834" s="165"/>
      <c r="AK834" s="165"/>
      <c r="AL834" s="165"/>
    </row>
    <row r="835">
      <c r="A835" s="165"/>
      <c r="B835" s="165"/>
      <c r="C835" s="165"/>
      <c r="D835" s="165"/>
      <c r="E835" s="292"/>
      <c r="F835" s="277"/>
      <c r="G835" s="165"/>
      <c r="H835" s="277"/>
      <c r="I835" s="277"/>
      <c r="J835" s="165"/>
      <c r="K835" s="165"/>
      <c r="L835" s="165"/>
      <c r="M835" s="165"/>
      <c r="N835" s="165"/>
      <c r="O835" s="165"/>
      <c r="P835" s="165"/>
      <c r="Q835" s="165"/>
      <c r="R835" s="165"/>
      <c r="S835" s="165"/>
      <c r="T835" s="165"/>
      <c r="U835" s="165"/>
      <c r="V835" s="165"/>
      <c r="W835" s="165"/>
      <c r="X835" s="165"/>
      <c r="Y835" s="285"/>
      <c r="Z835" s="165"/>
      <c r="AA835" s="165"/>
      <c r="AB835" s="165"/>
      <c r="AC835" s="165"/>
      <c r="AD835" s="165"/>
      <c r="AE835" s="165"/>
      <c r="AF835" s="165"/>
      <c r="AG835" s="165"/>
      <c r="AH835" s="165"/>
      <c r="AI835" s="165"/>
      <c r="AJ835" s="165"/>
      <c r="AK835" s="165"/>
      <c r="AL835" s="165"/>
    </row>
    <row r="836">
      <c r="A836" s="165"/>
      <c r="B836" s="165"/>
      <c r="C836" s="165"/>
      <c r="D836" s="165"/>
      <c r="E836" s="292"/>
      <c r="F836" s="277"/>
      <c r="G836" s="165"/>
      <c r="H836" s="277"/>
      <c r="I836" s="277"/>
      <c r="J836" s="165"/>
      <c r="K836" s="165"/>
      <c r="L836" s="165"/>
      <c r="M836" s="165"/>
      <c r="N836" s="165"/>
      <c r="O836" s="165"/>
      <c r="P836" s="165"/>
      <c r="Q836" s="165"/>
      <c r="R836" s="165"/>
      <c r="S836" s="165"/>
      <c r="T836" s="165"/>
      <c r="U836" s="165"/>
      <c r="V836" s="165"/>
      <c r="W836" s="165"/>
      <c r="X836" s="165"/>
      <c r="Y836" s="285"/>
      <c r="Z836" s="165"/>
      <c r="AA836" s="165"/>
      <c r="AB836" s="165"/>
      <c r="AC836" s="165"/>
      <c r="AD836" s="165"/>
      <c r="AE836" s="165"/>
      <c r="AF836" s="165"/>
      <c r="AG836" s="165"/>
      <c r="AH836" s="165"/>
      <c r="AI836" s="165"/>
      <c r="AJ836" s="165"/>
      <c r="AK836" s="165"/>
      <c r="AL836" s="165"/>
    </row>
    <row r="837">
      <c r="A837" s="165"/>
      <c r="B837" s="165"/>
      <c r="C837" s="165"/>
      <c r="D837" s="165"/>
      <c r="E837" s="292"/>
      <c r="F837" s="277"/>
      <c r="G837" s="165"/>
      <c r="H837" s="277"/>
      <c r="I837" s="277"/>
      <c r="J837" s="165"/>
      <c r="K837" s="165"/>
      <c r="L837" s="165"/>
      <c r="M837" s="165"/>
      <c r="N837" s="165"/>
      <c r="O837" s="165"/>
      <c r="P837" s="165"/>
      <c r="Q837" s="165"/>
      <c r="R837" s="165"/>
      <c r="S837" s="165"/>
      <c r="T837" s="165"/>
      <c r="U837" s="165"/>
      <c r="V837" s="165"/>
      <c r="W837" s="165"/>
      <c r="X837" s="165"/>
      <c r="Y837" s="285"/>
      <c r="Z837" s="165"/>
      <c r="AA837" s="165"/>
      <c r="AB837" s="165"/>
      <c r="AC837" s="165"/>
      <c r="AD837" s="165"/>
      <c r="AE837" s="165"/>
      <c r="AF837" s="165"/>
      <c r="AG837" s="165"/>
      <c r="AH837" s="165"/>
      <c r="AI837" s="165"/>
      <c r="AJ837" s="165"/>
      <c r="AK837" s="165"/>
      <c r="AL837" s="165"/>
    </row>
    <row r="838">
      <c r="A838" s="165"/>
      <c r="B838" s="165"/>
      <c r="C838" s="165"/>
      <c r="D838" s="165"/>
      <c r="E838" s="292"/>
      <c r="F838" s="277"/>
      <c r="G838" s="165"/>
      <c r="H838" s="277"/>
      <c r="I838" s="277"/>
      <c r="J838" s="165"/>
      <c r="K838" s="165"/>
      <c r="L838" s="165"/>
      <c r="M838" s="165"/>
      <c r="N838" s="165"/>
      <c r="O838" s="165"/>
      <c r="P838" s="165"/>
      <c r="Q838" s="165"/>
      <c r="R838" s="165"/>
      <c r="S838" s="165"/>
      <c r="T838" s="165"/>
      <c r="U838" s="165"/>
      <c r="V838" s="165"/>
      <c r="W838" s="165"/>
      <c r="X838" s="165"/>
      <c r="Y838" s="285"/>
      <c r="Z838" s="165"/>
      <c r="AA838" s="165"/>
      <c r="AB838" s="165"/>
      <c r="AC838" s="165"/>
      <c r="AD838" s="165"/>
      <c r="AE838" s="165"/>
      <c r="AF838" s="165"/>
      <c r="AG838" s="165"/>
      <c r="AH838" s="165"/>
      <c r="AI838" s="165"/>
      <c r="AJ838" s="165"/>
      <c r="AK838" s="165"/>
      <c r="AL838" s="165"/>
    </row>
    <row r="839">
      <c r="A839" s="165"/>
      <c r="B839" s="165"/>
      <c r="C839" s="165"/>
      <c r="D839" s="165"/>
      <c r="E839" s="292"/>
      <c r="F839" s="277"/>
      <c r="G839" s="165"/>
      <c r="H839" s="277"/>
      <c r="I839" s="277"/>
      <c r="J839" s="165"/>
      <c r="K839" s="165"/>
      <c r="L839" s="165"/>
      <c r="M839" s="165"/>
      <c r="N839" s="165"/>
      <c r="O839" s="165"/>
      <c r="P839" s="165"/>
      <c r="Q839" s="165"/>
      <c r="R839" s="165"/>
      <c r="S839" s="165"/>
      <c r="T839" s="165"/>
      <c r="U839" s="165"/>
      <c r="V839" s="165"/>
      <c r="W839" s="165"/>
      <c r="X839" s="165"/>
      <c r="Y839" s="285"/>
      <c r="Z839" s="165"/>
      <c r="AA839" s="165"/>
      <c r="AB839" s="165"/>
      <c r="AC839" s="165"/>
      <c r="AD839" s="165"/>
      <c r="AE839" s="165"/>
      <c r="AF839" s="165"/>
      <c r="AG839" s="165"/>
      <c r="AH839" s="165"/>
      <c r="AI839" s="165"/>
      <c r="AJ839" s="165"/>
      <c r="AK839" s="165"/>
      <c r="AL839" s="165"/>
    </row>
    <row r="840">
      <c r="A840" s="165"/>
      <c r="B840" s="165"/>
      <c r="C840" s="165"/>
      <c r="D840" s="165"/>
      <c r="E840" s="292"/>
      <c r="F840" s="277"/>
      <c r="G840" s="165"/>
      <c r="H840" s="277"/>
      <c r="I840" s="277"/>
      <c r="J840" s="165"/>
      <c r="K840" s="165"/>
      <c r="L840" s="165"/>
      <c r="M840" s="165"/>
      <c r="N840" s="165"/>
      <c r="O840" s="165"/>
      <c r="P840" s="165"/>
      <c r="Q840" s="165"/>
      <c r="R840" s="165"/>
      <c r="S840" s="165"/>
      <c r="T840" s="165"/>
      <c r="U840" s="165"/>
      <c r="V840" s="165"/>
      <c r="W840" s="165"/>
      <c r="X840" s="165"/>
      <c r="Y840" s="285"/>
      <c r="Z840" s="165"/>
      <c r="AA840" s="165"/>
      <c r="AB840" s="165"/>
      <c r="AC840" s="165"/>
      <c r="AD840" s="165"/>
      <c r="AE840" s="165"/>
      <c r="AF840" s="165"/>
      <c r="AG840" s="165"/>
      <c r="AH840" s="165"/>
      <c r="AI840" s="165"/>
      <c r="AJ840" s="165"/>
      <c r="AK840" s="165"/>
      <c r="AL840" s="165"/>
    </row>
    <row r="841">
      <c r="A841" s="165"/>
      <c r="B841" s="165"/>
      <c r="C841" s="165"/>
      <c r="D841" s="165"/>
      <c r="E841" s="292"/>
      <c r="F841" s="277"/>
      <c r="G841" s="165"/>
      <c r="H841" s="277"/>
      <c r="I841" s="277"/>
      <c r="J841" s="165"/>
      <c r="K841" s="165"/>
      <c r="L841" s="165"/>
      <c r="M841" s="165"/>
      <c r="N841" s="165"/>
      <c r="O841" s="165"/>
      <c r="P841" s="165"/>
      <c r="Q841" s="165"/>
      <c r="R841" s="165"/>
      <c r="S841" s="165"/>
      <c r="T841" s="165"/>
      <c r="U841" s="165"/>
      <c r="V841" s="165"/>
      <c r="W841" s="165"/>
      <c r="X841" s="165"/>
      <c r="Y841" s="285"/>
      <c r="Z841" s="165"/>
      <c r="AA841" s="165"/>
      <c r="AB841" s="165"/>
      <c r="AC841" s="165"/>
      <c r="AD841" s="165"/>
      <c r="AE841" s="165"/>
      <c r="AF841" s="165"/>
      <c r="AG841" s="165"/>
      <c r="AH841" s="165"/>
      <c r="AI841" s="165"/>
      <c r="AJ841" s="165"/>
      <c r="AK841" s="165"/>
      <c r="AL841" s="165"/>
    </row>
    <row r="842">
      <c r="A842" s="165"/>
      <c r="B842" s="165"/>
      <c r="C842" s="165"/>
      <c r="D842" s="165"/>
      <c r="E842" s="292"/>
      <c r="F842" s="277"/>
      <c r="G842" s="165"/>
      <c r="H842" s="277"/>
      <c r="I842" s="277"/>
      <c r="J842" s="165"/>
      <c r="K842" s="165"/>
      <c r="L842" s="165"/>
      <c r="M842" s="165"/>
      <c r="N842" s="165"/>
      <c r="O842" s="165"/>
      <c r="P842" s="165"/>
      <c r="Q842" s="165"/>
      <c r="R842" s="165"/>
      <c r="S842" s="165"/>
      <c r="T842" s="165"/>
      <c r="U842" s="165"/>
      <c r="V842" s="165"/>
      <c r="W842" s="165"/>
      <c r="X842" s="165"/>
      <c r="Y842" s="285"/>
      <c r="Z842" s="165"/>
      <c r="AA842" s="165"/>
      <c r="AB842" s="165"/>
      <c r="AC842" s="165"/>
      <c r="AD842" s="165"/>
      <c r="AE842" s="165"/>
      <c r="AF842" s="165"/>
      <c r="AG842" s="165"/>
      <c r="AH842" s="165"/>
      <c r="AI842" s="165"/>
      <c r="AJ842" s="165"/>
      <c r="AK842" s="165"/>
      <c r="AL842" s="165"/>
    </row>
    <row r="843">
      <c r="A843" s="165"/>
      <c r="B843" s="165"/>
      <c r="C843" s="165"/>
      <c r="D843" s="165"/>
      <c r="E843" s="292"/>
      <c r="F843" s="277"/>
      <c r="G843" s="165"/>
      <c r="H843" s="277"/>
      <c r="I843" s="277"/>
      <c r="J843" s="165"/>
      <c r="K843" s="165"/>
      <c r="L843" s="165"/>
      <c r="M843" s="165"/>
      <c r="N843" s="165"/>
      <c r="O843" s="165"/>
      <c r="P843" s="165"/>
      <c r="Q843" s="165"/>
      <c r="R843" s="165"/>
      <c r="S843" s="165"/>
      <c r="T843" s="165"/>
      <c r="U843" s="165"/>
      <c r="V843" s="165"/>
      <c r="W843" s="165"/>
      <c r="X843" s="165"/>
      <c r="Y843" s="285"/>
      <c r="Z843" s="165"/>
      <c r="AA843" s="165"/>
      <c r="AB843" s="165"/>
      <c r="AC843" s="165"/>
      <c r="AD843" s="165"/>
      <c r="AE843" s="165"/>
      <c r="AF843" s="165"/>
      <c r="AG843" s="165"/>
      <c r="AH843" s="165"/>
      <c r="AI843" s="165"/>
      <c r="AJ843" s="165"/>
      <c r="AK843" s="165"/>
      <c r="AL843" s="165"/>
    </row>
    <row r="844">
      <c r="A844" s="165"/>
      <c r="B844" s="165"/>
      <c r="C844" s="165"/>
      <c r="D844" s="165"/>
      <c r="E844" s="292"/>
      <c r="F844" s="277"/>
      <c r="G844" s="165"/>
      <c r="H844" s="277"/>
      <c r="I844" s="277"/>
      <c r="J844" s="165"/>
      <c r="K844" s="165"/>
      <c r="L844" s="165"/>
      <c r="M844" s="165"/>
      <c r="N844" s="165"/>
      <c r="O844" s="165"/>
      <c r="P844" s="165"/>
      <c r="Q844" s="165"/>
      <c r="R844" s="165"/>
      <c r="S844" s="165"/>
      <c r="T844" s="165"/>
      <c r="U844" s="165"/>
      <c r="V844" s="165"/>
      <c r="W844" s="165"/>
      <c r="X844" s="165"/>
      <c r="Y844" s="285"/>
      <c r="Z844" s="165"/>
      <c r="AA844" s="165"/>
      <c r="AB844" s="165"/>
      <c r="AC844" s="165"/>
      <c r="AD844" s="165"/>
      <c r="AE844" s="165"/>
      <c r="AF844" s="165"/>
      <c r="AG844" s="165"/>
      <c r="AH844" s="165"/>
      <c r="AI844" s="165"/>
      <c r="AJ844" s="165"/>
      <c r="AK844" s="165"/>
      <c r="AL844" s="165"/>
    </row>
    <row r="845">
      <c r="A845" s="165"/>
      <c r="B845" s="165"/>
      <c r="C845" s="165"/>
      <c r="D845" s="165"/>
      <c r="E845" s="292"/>
      <c r="F845" s="277"/>
      <c r="G845" s="165"/>
      <c r="H845" s="277"/>
      <c r="I845" s="277"/>
      <c r="J845" s="165"/>
      <c r="K845" s="165"/>
      <c r="L845" s="165"/>
      <c r="M845" s="165"/>
      <c r="N845" s="165"/>
      <c r="O845" s="165"/>
      <c r="P845" s="165"/>
      <c r="Q845" s="165"/>
      <c r="R845" s="165"/>
      <c r="S845" s="165"/>
      <c r="T845" s="165"/>
      <c r="U845" s="165"/>
      <c r="V845" s="165"/>
      <c r="W845" s="165"/>
      <c r="X845" s="165"/>
      <c r="Y845" s="285"/>
      <c r="Z845" s="165"/>
      <c r="AA845" s="165"/>
      <c r="AB845" s="165"/>
      <c r="AC845" s="165"/>
      <c r="AD845" s="165"/>
      <c r="AE845" s="165"/>
      <c r="AF845" s="165"/>
      <c r="AG845" s="165"/>
      <c r="AH845" s="165"/>
      <c r="AI845" s="165"/>
      <c r="AJ845" s="165"/>
      <c r="AK845" s="165"/>
      <c r="AL845" s="165"/>
    </row>
    <row r="846">
      <c r="A846" s="165"/>
      <c r="B846" s="165"/>
      <c r="C846" s="165"/>
      <c r="D846" s="165"/>
      <c r="E846" s="292"/>
      <c r="F846" s="277"/>
      <c r="G846" s="165"/>
      <c r="H846" s="277"/>
      <c r="I846" s="277"/>
      <c r="J846" s="165"/>
      <c r="K846" s="165"/>
      <c r="L846" s="165"/>
      <c r="M846" s="165"/>
      <c r="N846" s="165"/>
      <c r="O846" s="165"/>
      <c r="P846" s="165"/>
      <c r="Q846" s="165"/>
      <c r="R846" s="165"/>
      <c r="S846" s="165"/>
      <c r="T846" s="165"/>
      <c r="U846" s="165"/>
      <c r="V846" s="165"/>
      <c r="W846" s="165"/>
      <c r="X846" s="165"/>
      <c r="Y846" s="285"/>
      <c r="Z846" s="165"/>
      <c r="AA846" s="165"/>
      <c r="AB846" s="165"/>
      <c r="AC846" s="165"/>
      <c r="AD846" s="165"/>
      <c r="AE846" s="165"/>
      <c r="AF846" s="165"/>
      <c r="AG846" s="165"/>
      <c r="AH846" s="165"/>
      <c r="AI846" s="165"/>
      <c r="AJ846" s="165"/>
      <c r="AK846" s="165"/>
      <c r="AL846" s="165"/>
    </row>
    <row r="847">
      <c r="A847" s="165"/>
      <c r="B847" s="165"/>
      <c r="C847" s="165"/>
      <c r="D847" s="165"/>
      <c r="E847" s="292"/>
      <c r="F847" s="277"/>
      <c r="G847" s="165"/>
      <c r="H847" s="277"/>
      <c r="I847" s="277"/>
      <c r="J847" s="165"/>
      <c r="K847" s="165"/>
      <c r="L847" s="165"/>
      <c r="M847" s="165"/>
      <c r="N847" s="165"/>
      <c r="O847" s="165"/>
      <c r="P847" s="165"/>
      <c r="Q847" s="165"/>
      <c r="R847" s="165"/>
      <c r="S847" s="165"/>
      <c r="T847" s="165"/>
      <c r="U847" s="165"/>
      <c r="V847" s="165"/>
      <c r="W847" s="165"/>
      <c r="X847" s="165"/>
      <c r="Y847" s="285"/>
      <c r="Z847" s="165"/>
      <c r="AA847" s="165"/>
      <c r="AB847" s="165"/>
      <c r="AC847" s="165"/>
      <c r="AD847" s="165"/>
      <c r="AE847" s="165"/>
      <c r="AF847" s="165"/>
      <c r="AG847" s="165"/>
      <c r="AH847" s="165"/>
      <c r="AI847" s="165"/>
      <c r="AJ847" s="165"/>
      <c r="AK847" s="165"/>
      <c r="AL847" s="165"/>
    </row>
    <row r="848">
      <c r="A848" s="165"/>
      <c r="B848" s="165"/>
      <c r="C848" s="165"/>
      <c r="D848" s="165"/>
      <c r="E848" s="292"/>
      <c r="F848" s="277"/>
      <c r="G848" s="165"/>
      <c r="H848" s="277"/>
      <c r="I848" s="277"/>
      <c r="J848" s="165"/>
      <c r="K848" s="165"/>
      <c r="L848" s="165"/>
      <c r="M848" s="165"/>
      <c r="N848" s="165"/>
      <c r="O848" s="165"/>
      <c r="P848" s="165"/>
      <c r="Q848" s="165"/>
      <c r="R848" s="165"/>
      <c r="S848" s="165"/>
      <c r="T848" s="165"/>
      <c r="U848" s="165"/>
      <c r="V848" s="165"/>
      <c r="W848" s="165"/>
      <c r="X848" s="165"/>
      <c r="Y848" s="285"/>
      <c r="Z848" s="165"/>
      <c r="AA848" s="165"/>
      <c r="AB848" s="165"/>
      <c r="AC848" s="165"/>
      <c r="AD848" s="165"/>
      <c r="AE848" s="165"/>
      <c r="AF848" s="165"/>
      <c r="AG848" s="165"/>
      <c r="AH848" s="165"/>
      <c r="AI848" s="165"/>
      <c r="AJ848" s="165"/>
      <c r="AK848" s="165"/>
      <c r="AL848" s="165"/>
    </row>
    <row r="849">
      <c r="A849" s="165"/>
      <c r="B849" s="165"/>
      <c r="C849" s="165"/>
      <c r="D849" s="165"/>
      <c r="E849" s="292"/>
      <c r="F849" s="277"/>
      <c r="G849" s="165"/>
      <c r="H849" s="277"/>
      <c r="I849" s="277"/>
      <c r="J849" s="165"/>
      <c r="K849" s="165"/>
      <c r="L849" s="165"/>
      <c r="M849" s="165"/>
      <c r="N849" s="165"/>
      <c r="O849" s="165"/>
      <c r="P849" s="165"/>
      <c r="Q849" s="165"/>
      <c r="R849" s="165"/>
      <c r="S849" s="165"/>
      <c r="T849" s="165"/>
      <c r="U849" s="165"/>
      <c r="V849" s="165"/>
      <c r="W849" s="165"/>
      <c r="X849" s="165"/>
      <c r="Y849" s="285"/>
      <c r="Z849" s="165"/>
      <c r="AA849" s="165"/>
      <c r="AB849" s="165"/>
      <c r="AC849" s="165"/>
      <c r="AD849" s="165"/>
      <c r="AE849" s="165"/>
      <c r="AF849" s="165"/>
      <c r="AG849" s="165"/>
      <c r="AH849" s="165"/>
      <c r="AI849" s="165"/>
      <c r="AJ849" s="165"/>
      <c r="AK849" s="165"/>
      <c r="AL849" s="165"/>
    </row>
    <row r="850">
      <c r="A850" s="165"/>
      <c r="B850" s="165"/>
      <c r="C850" s="165"/>
      <c r="D850" s="165"/>
      <c r="E850" s="292"/>
      <c r="F850" s="277"/>
      <c r="G850" s="165"/>
      <c r="H850" s="277"/>
      <c r="I850" s="277"/>
      <c r="J850" s="165"/>
      <c r="K850" s="165"/>
      <c r="L850" s="165"/>
      <c r="M850" s="165"/>
      <c r="N850" s="165"/>
      <c r="O850" s="165"/>
      <c r="P850" s="165"/>
      <c r="Q850" s="165"/>
      <c r="R850" s="165"/>
      <c r="S850" s="165"/>
      <c r="T850" s="165"/>
      <c r="U850" s="165"/>
      <c r="V850" s="165"/>
      <c r="W850" s="165"/>
      <c r="X850" s="165"/>
      <c r="Y850" s="285"/>
      <c r="Z850" s="165"/>
      <c r="AA850" s="165"/>
      <c r="AB850" s="165"/>
      <c r="AC850" s="165"/>
      <c r="AD850" s="165"/>
      <c r="AE850" s="165"/>
      <c r="AF850" s="165"/>
      <c r="AG850" s="165"/>
      <c r="AH850" s="165"/>
      <c r="AI850" s="165"/>
      <c r="AJ850" s="165"/>
      <c r="AK850" s="165"/>
      <c r="AL850" s="165"/>
    </row>
    <row r="851">
      <c r="A851" s="165"/>
      <c r="B851" s="165"/>
      <c r="C851" s="165"/>
      <c r="D851" s="165"/>
      <c r="E851" s="292"/>
      <c r="F851" s="277"/>
      <c r="G851" s="165"/>
      <c r="H851" s="277"/>
      <c r="I851" s="277"/>
      <c r="J851" s="165"/>
      <c r="K851" s="165"/>
      <c r="L851" s="165"/>
      <c r="M851" s="165"/>
      <c r="N851" s="165"/>
      <c r="O851" s="165"/>
      <c r="P851" s="165"/>
      <c r="Q851" s="165"/>
      <c r="R851" s="165"/>
      <c r="S851" s="165"/>
      <c r="T851" s="165"/>
      <c r="U851" s="165"/>
      <c r="V851" s="165"/>
      <c r="W851" s="165"/>
      <c r="X851" s="165"/>
      <c r="Y851" s="285"/>
      <c r="Z851" s="165"/>
      <c r="AA851" s="165"/>
      <c r="AB851" s="165"/>
      <c r="AC851" s="165"/>
      <c r="AD851" s="165"/>
      <c r="AE851" s="165"/>
      <c r="AF851" s="165"/>
      <c r="AG851" s="165"/>
      <c r="AH851" s="165"/>
      <c r="AI851" s="165"/>
      <c r="AJ851" s="165"/>
      <c r="AK851" s="165"/>
      <c r="AL851" s="165"/>
    </row>
    <row r="852">
      <c r="A852" s="165"/>
      <c r="B852" s="165"/>
      <c r="C852" s="165"/>
      <c r="D852" s="165"/>
      <c r="E852" s="292"/>
      <c r="F852" s="277"/>
      <c r="G852" s="165"/>
      <c r="H852" s="277"/>
      <c r="I852" s="277"/>
      <c r="J852" s="165"/>
      <c r="K852" s="165"/>
      <c r="L852" s="165"/>
      <c r="M852" s="165"/>
      <c r="N852" s="165"/>
      <c r="O852" s="165"/>
      <c r="P852" s="165"/>
      <c r="Q852" s="165"/>
      <c r="R852" s="165"/>
      <c r="S852" s="165"/>
      <c r="T852" s="165"/>
      <c r="U852" s="165"/>
      <c r="V852" s="165"/>
      <c r="W852" s="165"/>
      <c r="X852" s="165"/>
      <c r="Y852" s="285"/>
      <c r="Z852" s="165"/>
      <c r="AA852" s="165"/>
      <c r="AB852" s="165"/>
      <c r="AC852" s="165"/>
      <c r="AD852" s="165"/>
      <c r="AE852" s="165"/>
      <c r="AF852" s="165"/>
      <c r="AG852" s="165"/>
      <c r="AH852" s="165"/>
      <c r="AI852" s="165"/>
      <c r="AJ852" s="165"/>
      <c r="AK852" s="165"/>
      <c r="AL852" s="165"/>
    </row>
    <row r="853">
      <c r="A853" s="165"/>
      <c r="B853" s="165"/>
      <c r="C853" s="165"/>
      <c r="D853" s="165"/>
      <c r="E853" s="292"/>
      <c r="F853" s="277"/>
      <c r="G853" s="165"/>
      <c r="H853" s="277"/>
      <c r="I853" s="277"/>
      <c r="J853" s="165"/>
      <c r="K853" s="165"/>
      <c r="L853" s="165"/>
      <c r="M853" s="165"/>
      <c r="N853" s="165"/>
      <c r="O853" s="165"/>
      <c r="P853" s="165"/>
      <c r="Q853" s="165"/>
      <c r="R853" s="165"/>
      <c r="S853" s="165"/>
      <c r="T853" s="165"/>
      <c r="U853" s="165"/>
      <c r="V853" s="165"/>
      <c r="W853" s="165"/>
      <c r="X853" s="165"/>
      <c r="Y853" s="285"/>
      <c r="Z853" s="165"/>
      <c r="AA853" s="165"/>
      <c r="AB853" s="165"/>
      <c r="AC853" s="165"/>
      <c r="AD853" s="165"/>
      <c r="AE853" s="165"/>
      <c r="AF853" s="165"/>
      <c r="AG853" s="165"/>
      <c r="AH853" s="165"/>
      <c r="AI853" s="165"/>
      <c r="AJ853" s="165"/>
      <c r="AK853" s="165"/>
      <c r="AL853" s="165"/>
    </row>
    <row r="854">
      <c r="A854" s="165"/>
      <c r="B854" s="165"/>
      <c r="C854" s="165"/>
      <c r="D854" s="165"/>
      <c r="E854" s="292"/>
      <c r="F854" s="277"/>
      <c r="G854" s="165"/>
      <c r="H854" s="277"/>
      <c r="I854" s="277"/>
      <c r="J854" s="165"/>
      <c r="K854" s="165"/>
      <c r="L854" s="165"/>
      <c r="M854" s="165"/>
      <c r="N854" s="165"/>
      <c r="O854" s="165"/>
      <c r="P854" s="165"/>
      <c r="Q854" s="165"/>
      <c r="R854" s="165"/>
      <c r="S854" s="165"/>
      <c r="T854" s="165"/>
      <c r="U854" s="165"/>
      <c r="V854" s="165"/>
      <c r="W854" s="165"/>
      <c r="X854" s="165"/>
      <c r="Y854" s="285"/>
      <c r="Z854" s="165"/>
      <c r="AA854" s="165"/>
      <c r="AB854" s="165"/>
      <c r="AC854" s="165"/>
      <c r="AD854" s="165"/>
      <c r="AE854" s="165"/>
      <c r="AF854" s="165"/>
      <c r="AG854" s="165"/>
      <c r="AH854" s="165"/>
      <c r="AI854" s="165"/>
      <c r="AJ854" s="165"/>
      <c r="AK854" s="165"/>
      <c r="AL854" s="165"/>
    </row>
    <row r="855">
      <c r="A855" s="165"/>
      <c r="B855" s="165"/>
      <c r="C855" s="165"/>
      <c r="D855" s="165"/>
      <c r="E855" s="292"/>
      <c r="F855" s="277"/>
      <c r="G855" s="165"/>
      <c r="H855" s="277"/>
      <c r="I855" s="277"/>
      <c r="J855" s="165"/>
      <c r="K855" s="165"/>
      <c r="L855" s="165"/>
      <c r="M855" s="165"/>
      <c r="N855" s="165"/>
      <c r="O855" s="165"/>
      <c r="P855" s="165"/>
      <c r="Q855" s="165"/>
      <c r="R855" s="165"/>
      <c r="S855" s="165"/>
      <c r="T855" s="165"/>
      <c r="U855" s="165"/>
      <c r="V855" s="165"/>
      <c r="W855" s="165"/>
      <c r="X855" s="165"/>
      <c r="Y855" s="285"/>
      <c r="Z855" s="165"/>
      <c r="AA855" s="165"/>
      <c r="AB855" s="165"/>
      <c r="AC855" s="165"/>
      <c r="AD855" s="165"/>
      <c r="AE855" s="165"/>
      <c r="AF855" s="165"/>
      <c r="AG855" s="165"/>
      <c r="AH855" s="165"/>
      <c r="AI855" s="165"/>
      <c r="AJ855" s="165"/>
      <c r="AK855" s="165"/>
      <c r="AL855" s="165"/>
    </row>
    <row r="856">
      <c r="A856" s="165"/>
      <c r="B856" s="165"/>
      <c r="C856" s="165"/>
      <c r="D856" s="165"/>
      <c r="E856" s="292"/>
      <c r="F856" s="277"/>
      <c r="G856" s="165"/>
      <c r="H856" s="277"/>
      <c r="I856" s="277"/>
      <c r="J856" s="165"/>
      <c r="K856" s="165"/>
      <c r="L856" s="165"/>
      <c r="M856" s="165"/>
      <c r="N856" s="165"/>
      <c r="O856" s="165"/>
      <c r="P856" s="165"/>
      <c r="Q856" s="165"/>
      <c r="R856" s="165"/>
      <c r="S856" s="165"/>
      <c r="T856" s="165"/>
      <c r="U856" s="165"/>
      <c r="V856" s="165"/>
      <c r="W856" s="165"/>
      <c r="X856" s="165"/>
      <c r="Y856" s="285"/>
      <c r="Z856" s="165"/>
      <c r="AA856" s="165"/>
      <c r="AB856" s="165"/>
      <c r="AC856" s="165"/>
      <c r="AD856" s="165"/>
      <c r="AE856" s="165"/>
      <c r="AF856" s="165"/>
      <c r="AG856" s="165"/>
      <c r="AH856" s="165"/>
      <c r="AI856" s="165"/>
      <c r="AJ856" s="165"/>
      <c r="AK856" s="165"/>
      <c r="AL856" s="165"/>
    </row>
    <row r="857">
      <c r="A857" s="165"/>
      <c r="B857" s="165"/>
      <c r="C857" s="165"/>
      <c r="D857" s="165"/>
      <c r="E857" s="292"/>
      <c r="F857" s="277"/>
      <c r="G857" s="165"/>
      <c r="H857" s="277"/>
      <c r="I857" s="277"/>
      <c r="J857" s="165"/>
      <c r="K857" s="165"/>
      <c r="L857" s="165"/>
      <c r="M857" s="165"/>
      <c r="N857" s="165"/>
      <c r="O857" s="165"/>
      <c r="P857" s="165"/>
      <c r="Q857" s="165"/>
      <c r="R857" s="165"/>
      <c r="S857" s="165"/>
      <c r="T857" s="165"/>
      <c r="U857" s="165"/>
      <c r="V857" s="165"/>
      <c r="W857" s="165"/>
      <c r="X857" s="165"/>
      <c r="Y857" s="285"/>
      <c r="Z857" s="165"/>
      <c r="AA857" s="165"/>
      <c r="AB857" s="165"/>
      <c r="AC857" s="165"/>
      <c r="AD857" s="165"/>
      <c r="AE857" s="165"/>
      <c r="AF857" s="165"/>
      <c r="AG857" s="165"/>
      <c r="AH857" s="165"/>
      <c r="AI857" s="165"/>
      <c r="AJ857" s="165"/>
      <c r="AK857" s="165"/>
      <c r="AL857" s="165"/>
    </row>
    <row r="858">
      <c r="A858" s="165"/>
      <c r="B858" s="165"/>
      <c r="C858" s="165"/>
      <c r="D858" s="165"/>
      <c r="E858" s="292"/>
      <c r="F858" s="277"/>
      <c r="G858" s="165"/>
      <c r="H858" s="277"/>
      <c r="I858" s="277"/>
      <c r="J858" s="165"/>
      <c r="K858" s="165"/>
      <c r="L858" s="165"/>
      <c r="M858" s="165"/>
      <c r="N858" s="165"/>
      <c r="O858" s="165"/>
      <c r="P858" s="165"/>
      <c r="Q858" s="165"/>
      <c r="R858" s="165"/>
      <c r="S858" s="165"/>
      <c r="T858" s="165"/>
      <c r="U858" s="165"/>
      <c r="V858" s="165"/>
      <c r="W858" s="165"/>
      <c r="X858" s="165"/>
      <c r="Y858" s="285"/>
      <c r="Z858" s="165"/>
      <c r="AA858" s="165"/>
      <c r="AB858" s="165"/>
      <c r="AC858" s="165"/>
      <c r="AD858" s="165"/>
      <c r="AE858" s="165"/>
      <c r="AF858" s="165"/>
      <c r="AG858" s="165"/>
      <c r="AH858" s="165"/>
      <c r="AI858" s="165"/>
      <c r="AJ858" s="165"/>
      <c r="AK858" s="165"/>
      <c r="AL858" s="165"/>
    </row>
    <row r="859">
      <c r="A859" s="165"/>
      <c r="B859" s="165"/>
      <c r="C859" s="165"/>
      <c r="D859" s="165"/>
      <c r="E859" s="292"/>
      <c r="F859" s="277"/>
      <c r="G859" s="165"/>
      <c r="H859" s="277"/>
      <c r="I859" s="277"/>
      <c r="J859" s="165"/>
      <c r="K859" s="165"/>
      <c r="L859" s="165"/>
      <c r="M859" s="165"/>
      <c r="N859" s="165"/>
      <c r="O859" s="165"/>
      <c r="P859" s="165"/>
      <c r="Q859" s="165"/>
      <c r="R859" s="165"/>
      <c r="S859" s="165"/>
      <c r="T859" s="165"/>
      <c r="U859" s="165"/>
      <c r="V859" s="165"/>
      <c r="W859" s="165"/>
      <c r="X859" s="165"/>
      <c r="Y859" s="285"/>
      <c r="Z859" s="165"/>
      <c r="AA859" s="165"/>
      <c r="AB859" s="165"/>
      <c r="AC859" s="165"/>
      <c r="AD859" s="165"/>
      <c r="AE859" s="165"/>
      <c r="AF859" s="165"/>
      <c r="AG859" s="165"/>
      <c r="AH859" s="165"/>
      <c r="AI859" s="165"/>
      <c r="AJ859" s="165"/>
      <c r="AK859" s="165"/>
      <c r="AL859" s="165"/>
    </row>
    <row r="860">
      <c r="A860" s="165"/>
      <c r="B860" s="165"/>
      <c r="C860" s="165"/>
      <c r="D860" s="165"/>
      <c r="E860" s="292"/>
      <c r="F860" s="277"/>
      <c r="G860" s="165"/>
      <c r="H860" s="277"/>
      <c r="I860" s="277"/>
      <c r="J860" s="165"/>
      <c r="K860" s="165"/>
      <c r="L860" s="165"/>
      <c r="M860" s="165"/>
      <c r="N860" s="165"/>
      <c r="O860" s="165"/>
      <c r="P860" s="165"/>
      <c r="Q860" s="165"/>
      <c r="R860" s="165"/>
      <c r="S860" s="165"/>
      <c r="T860" s="165"/>
      <c r="U860" s="165"/>
      <c r="V860" s="165"/>
      <c r="W860" s="165"/>
      <c r="X860" s="165"/>
      <c r="Y860" s="285"/>
      <c r="Z860" s="165"/>
      <c r="AA860" s="165"/>
      <c r="AB860" s="165"/>
      <c r="AC860" s="165"/>
      <c r="AD860" s="165"/>
      <c r="AE860" s="165"/>
      <c r="AF860" s="165"/>
      <c r="AG860" s="165"/>
      <c r="AH860" s="165"/>
      <c r="AI860" s="165"/>
      <c r="AJ860" s="165"/>
      <c r="AK860" s="165"/>
      <c r="AL860" s="165"/>
    </row>
    <row r="861">
      <c r="A861" s="165"/>
      <c r="B861" s="165"/>
      <c r="C861" s="165"/>
      <c r="D861" s="165"/>
      <c r="E861" s="292"/>
      <c r="F861" s="277"/>
      <c r="G861" s="165"/>
      <c r="H861" s="277"/>
      <c r="I861" s="277"/>
      <c r="J861" s="165"/>
      <c r="K861" s="165"/>
      <c r="L861" s="165"/>
      <c r="M861" s="165"/>
      <c r="N861" s="165"/>
      <c r="O861" s="165"/>
      <c r="P861" s="165"/>
      <c r="Q861" s="165"/>
      <c r="R861" s="165"/>
      <c r="S861" s="165"/>
      <c r="T861" s="165"/>
      <c r="U861" s="165"/>
      <c r="V861" s="165"/>
      <c r="W861" s="165"/>
      <c r="X861" s="165"/>
      <c r="Y861" s="285"/>
      <c r="Z861" s="165"/>
      <c r="AA861" s="165"/>
      <c r="AB861" s="165"/>
      <c r="AC861" s="165"/>
      <c r="AD861" s="165"/>
      <c r="AE861" s="165"/>
      <c r="AF861" s="165"/>
      <c r="AG861" s="165"/>
      <c r="AH861" s="165"/>
      <c r="AI861" s="165"/>
      <c r="AJ861" s="165"/>
      <c r="AK861" s="165"/>
      <c r="AL861" s="165"/>
    </row>
    <row r="862">
      <c r="A862" s="165"/>
      <c r="B862" s="165"/>
      <c r="C862" s="165"/>
      <c r="D862" s="165"/>
      <c r="E862" s="292"/>
      <c r="F862" s="277"/>
      <c r="G862" s="165"/>
      <c r="H862" s="277"/>
      <c r="I862" s="277"/>
      <c r="J862" s="165"/>
      <c r="K862" s="165"/>
      <c r="L862" s="165"/>
      <c r="M862" s="165"/>
      <c r="N862" s="165"/>
      <c r="O862" s="165"/>
      <c r="P862" s="165"/>
      <c r="Q862" s="165"/>
      <c r="R862" s="165"/>
      <c r="S862" s="165"/>
      <c r="T862" s="165"/>
      <c r="U862" s="165"/>
      <c r="V862" s="165"/>
      <c r="W862" s="165"/>
      <c r="X862" s="165"/>
      <c r="Y862" s="285"/>
      <c r="Z862" s="165"/>
      <c r="AA862" s="165"/>
      <c r="AB862" s="165"/>
      <c r="AC862" s="165"/>
      <c r="AD862" s="165"/>
      <c r="AE862" s="165"/>
      <c r="AF862" s="165"/>
      <c r="AG862" s="165"/>
      <c r="AH862" s="165"/>
      <c r="AI862" s="165"/>
      <c r="AJ862" s="165"/>
      <c r="AK862" s="165"/>
      <c r="AL862" s="165"/>
    </row>
    <row r="863">
      <c r="A863" s="165"/>
      <c r="B863" s="165"/>
      <c r="C863" s="165"/>
      <c r="D863" s="165"/>
      <c r="E863" s="292"/>
      <c r="F863" s="277"/>
      <c r="G863" s="165"/>
      <c r="H863" s="277"/>
      <c r="I863" s="277"/>
      <c r="J863" s="165"/>
      <c r="K863" s="165"/>
      <c r="L863" s="165"/>
      <c r="M863" s="165"/>
      <c r="N863" s="165"/>
      <c r="O863" s="165"/>
      <c r="P863" s="165"/>
      <c r="Q863" s="165"/>
      <c r="R863" s="165"/>
      <c r="S863" s="165"/>
      <c r="T863" s="165"/>
      <c r="U863" s="165"/>
      <c r="V863" s="165"/>
      <c r="W863" s="165"/>
      <c r="X863" s="165"/>
      <c r="Y863" s="285"/>
      <c r="Z863" s="165"/>
      <c r="AA863" s="165"/>
      <c r="AB863" s="165"/>
      <c r="AC863" s="165"/>
      <c r="AD863" s="165"/>
      <c r="AE863" s="165"/>
      <c r="AF863" s="165"/>
      <c r="AG863" s="165"/>
      <c r="AH863" s="165"/>
      <c r="AI863" s="165"/>
      <c r="AJ863" s="165"/>
      <c r="AK863" s="165"/>
      <c r="AL863" s="165"/>
    </row>
    <row r="864">
      <c r="A864" s="165"/>
      <c r="B864" s="165"/>
      <c r="C864" s="165"/>
      <c r="D864" s="165"/>
      <c r="E864" s="292"/>
      <c r="F864" s="277"/>
      <c r="G864" s="165"/>
      <c r="H864" s="277"/>
      <c r="I864" s="277"/>
      <c r="J864" s="165"/>
      <c r="K864" s="165"/>
      <c r="L864" s="165"/>
      <c r="M864" s="165"/>
      <c r="N864" s="165"/>
      <c r="O864" s="165"/>
      <c r="P864" s="165"/>
      <c r="Q864" s="165"/>
      <c r="R864" s="165"/>
      <c r="S864" s="165"/>
      <c r="T864" s="165"/>
      <c r="U864" s="165"/>
      <c r="V864" s="165"/>
      <c r="W864" s="165"/>
      <c r="X864" s="165"/>
      <c r="Y864" s="285"/>
      <c r="Z864" s="165"/>
      <c r="AA864" s="165"/>
      <c r="AB864" s="165"/>
      <c r="AC864" s="165"/>
      <c r="AD864" s="165"/>
      <c r="AE864" s="165"/>
      <c r="AF864" s="165"/>
      <c r="AG864" s="165"/>
      <c r="AH864" s="165"/>
      <c r="AI864" s="165"/>
      <c r="AJ864" s="165"/>
      <c r="AK864" s="165"/>
      <c r="AL864" s="165"/>
    </row>
    <row r="865">
      <c r="A865" s="165"/>
      <c r="B865" s="165"/>
      <c r="C865" s="165"/>
      <c r="D865" s="165"/>
      <c r="E865" s="292"/>
      <c r="F865" s="277"/>
      <c r="G865" s="165"/>
      <c r="H865" s="277"/>
      <c r="I865" s="277"/>
      <c r="J865" s="165"/>
      <c r="K865" s="165"/>
      <c r="L865" s="165"/>
      <c r="M865" s="165"/>
      <c r="N865" s="165"/>
      <c r="O865" s="165"/>
      <c r="P865" s="165"/>
      <c r="Q865" s="165"/>
      <c r="R865" s="165"/>
      <c r="S865" s="165"/>
      <c r="T865" s="165"/>
      <c r="U865" s="165"/>
      <c r="V865" s="165"/>
      <c r="W865" s="165"/>
      <c r="X865" s="165"/>
      <c r="Y865" s="285"/>
      <c r="Z865" s="165"/>
      <c r="AA865" s="165"/>
      <c r="AB865" s="165"/>
      <c r="AC865" s="165"/>
      <c r="AD865" s="165"/>
      <c r="AE865" s="165"/>
      <c r="AF865" s="165"/>
      <c r="AG865" s="165"/>
      <c r="AH865" s="165"/>
      <c r="AI865" s="165"/>
      <c r="AJ865" s="165"/>
      <c r="AK865" s="165"/>
      <c r="AL865" s="165"/>
    </row>
    <row r="866">
      <c r="A866" s="165"/>
      <c r="B866" s="165"/>
      <c r="C866" s="165"/>
      <c r="D866" s="165"/>
      <c r="E866" s="292"/>
      <c r="F866" s="277"/>
      <c r="G866" s="165"/>
      <c r="H866" s="277"/>
      <c r="I866" s="277"/>
      <c r="J866" s="165"/>
      <c r="K866" s="165"/>
      <c r="L866" s="165"/>
      <c r="M866" s="165"/>
      <c r="N866" s="165"/>
      <c r="O866" s="165"/>
      <c r="P866" s="165"/>
      <c r="Q866" s="165"/>
      <c r="R866" s="165"/>
      <c r="S866" s="165"/>
      <c r="T866" s="165"/>
      <c r="U866" s="165"/>
      <c r="V866" s="165"/>
      <c r="W866" s="165"/>
      <c r="X866" s="165"/>
      <c r="Y866" s="285"/>
      <c r="Z866" s="165"/>
      <c r="AA866" s="165"/>
      <c r="AB866" s="165"/>
      <c r="AC866" s="165"/>
      <c r="AD866" s="165"/>
      <c r="AE866" s="165"/>
      <c r="AF866" s="165"/>
      <c r="AG866" s="165"/>
      <c r="AH866" s="165"/>
      <c r="AI866" s="165"/>
      <c r="AJ866" s="165"/>
      <c r="AK866" s="165"/>
      <c r="AL866" s="165"/>
    </row>
    <row r="867">
      <c r="A867" s="165"/>
      <c r="B867" s="165"/>
      <c r="C867" s="165"/>
      <c r="D867" s="165"/>
      <c r="E867" s="292"/>
      <c r="F867" s="277"/>
      <c r="G867" s="165"/>
      <c r="H867" s="277"/>
      <c r="I867" s="277"/>
      <c r="J867" s="165"/>
      <c r="K867" s="165"/>
      <c r="L867" s="165"/>
      <c r="M867" s="165"/>
      <c r="N867" s="165"/>
      <c r="O867" s="165"/>
      <c r="P867" s="165"/>
      <c r="Q867" s="165"/>
      <c r="R867" s="165"/>
      <c r="S867" s="165"/>
      <c r="T867" s="165"/>
      <c r="U867" s="165"/>
      <c r="V867" s="165"/>
      <c r="W867" s="165"/>
      <c r="X867" s="165"/>
      <c r="Y867" s="285"/>
      <c r="Z867" s="165"/>
      <c r="AA867" s="165"/>
      <c r="AB867" s="165"/>
      <c r="AC867" s="165"/>
      <c r="AD867" s="165"/>
      <c r="AE867" s="165"/>
      <c r="AF867" s="165"/>
      <c r="AG867" s="165"/>
      <c r="AH867" s="165"/>
      <c r="AI867" s="165"/>
      <c r="AJ867" s="165"/>
      <c r="AK867" s="165"/>
      <c r="AL867" s="165"/>
    </row>
    <row r="868">
      <c r="A868" s="165"/>
      <c r="B868" s="165"/>
      <c r="C868" s="165"/>
      <c r="D868" s="165"/>
      <c r="E868" s="292"/>
      <c r="F868" s="277"/>
      <c r="G868" s="165"/>
      <c r="H868" s="277"/>
      <c r="I868" s="277"/>
      <c r="J868" s="165"/>
      <c r="K868" s="165"/>
      <c r="L868" s="165"/>
      <c r="M868" s="165"/>
      <c r="N868" s="165"/>
      <c r="O868" s="165"/>
      <c r="P868" s="165"/>
      <c r="Q868" s="165"/>
      <c r="R868" s="165"/>
      <c r="S868" s="165"/>
      <c r="T868" s="165"/>
      <c r="U868" s="165"/>
      <c r="V868" s="165"/>
      <c r="W868" s="165"/>
      <c r="X868" s="165"/>
      <c r="Y868" s="285"/>
      <c r="Z868" s="165"/>
      <c r="AA868" s="165"/>
      <c r="AB868" s="165"/>
      <c r="AC868" s="165"/>
      <c r="AD868" s="165"/>
      <c r="AE868" s="165"/>
      <c r="AF868" s="165"/>
      <c r="AG868" s="165"/>
      <c r="AH868" s="165"/>
      <c r="AI868" s="165"/>
      <c r="AJ868" s="165"/>
      <c r="AK868" s="165"/>
      <c r="AL868" s="165"/>
    </row>
    <row r="869">
      <c r="A869" s="165"/>
      <c r="B869" s="165"/>
      <c r="C869" s="165"/>
      <c r="D869" s="165"/>
      <c r="E869" s="292"/>
      <c r="F869" s="277"/>
      <c r="G869" s="165"/>
      <c r="H869" s="277"/>
      <c r="I869" s="277"/>
      <c r="J869" s="165"/>
      <c r="K869" s="165"/>
      <c r="L869" s="165"/>
      <c r="M869" s="165"/>
      <c r="N869" s="165"/>
      <c r="O869" s="165"/>
      <c r="P869" s="165"/>
      <c r="Q869" s="165"/>
      <c r="R869" s="165"/>
      <c r="S869" s="165"/>
      <c r="T869" s="165"/>
      <c r="U869" s="165"/>
      <c r="V869" s="165"/>
      <c r="W869" s="165"/>
      <c r="X869" s="165"/>
      <c r="Y869" s="285"/>
      <c r="Z869" s="165"/>
      <c r="AA869" s="165"/>
      <c r="AB869" s="165"/>
      <c r="AC869" s="165"/>
      <c r="AD869" s="165"/>
      <c r="AE869" s="165"/>
      <c r="AF869" s="165"/>
      <c r="AG869" s="165"/>
      <c r="AH869" s="165"/>
      <c r="AI869" s="165"/>
      <c r="AJ869" s="165"/>
      <c r="AK869" s="165"/>
      <c r="AL869" s="165"/>
    </row>
    <row r="870">
      <c r="A870" s="165"/>
      <c r="B870" s="165"/>
      <c r="C870" s="165"/>
      <c r="D870" s="165"/>
      <c r="E870" s="292"/>
      <c r="F870" s="277"/>
      <c r="G870" s="165"/>
      <c r="H870" s="277"/>
      <c r="I870" s="277"/>
      <c r="J870" s="165"/>
      <c r="K870" s="165"/>
      <c r="L870" s="165"/>
      <c r="M870" s="165"/>
      <c r="N870" s="165"/>
      <c r="O870" s="165"/>
      <c r="P870" s="165"/>
      <c r="Q870" s="165"/>
      <c r="R870" s="165"/>
      <c r="S870" s="165"/>
      <c r="T870" s="165"/>
      <c r="U870" s="165"/>
      <c r="V870" s="165"/>
      <c r="W870" s="165"/>
      <c r="X870" s="165"/>
      <c r="Y870" s="285"/>
      <c r="Z870" s="165"/>
      <c r="AA870" s="165"/>
      <c r="AB870" s="165"/>
      <c r="AC870" s="165"/>
      <c r="AD870" s="165"/>
      <c r="AE870" s="165"/>
      <c r="AF870" s="165"/>
      <c r="AG870" s="165"/>
      <c r="AH870" s="165"/>
      <c r="AI870" s="165"/>
      <c r="AJ870" s="165"/>
      <c r="AK870" s="165"/>
      <c r="AL870" s="165"/>
    </row>
    <row r="871">
      <c r="A871" s="165"/>
      <c r="B871" s="165"/>
      <c r="C871" s="165"/>
      <c r="D871" s="165"/>
      <c r="E871" s="292"/>
      <c r="F871" s="277"/>
      <c r="G871" s="165"/>
      <c r="H871" s="277"/>
      <c r="I871" s="277"/>
      <c r="J871" s="165"/>
      <c r="K871" s="165"/>
      <c r="L871" s="165"/>
      <c r="M871" s="165"/>
      <c r="N871" s="165"/>
      <c r="O871" s="165"/>
      <c r="P871" s="165"/>
      <c r="Q871" s="165"/>
      <c r="R871" s="165"/>
      <c r="S871" s="165"/>
      <c r="T871" s="165"/>
      <c r="U871" s="165"/>
      <c r="V871" s="165"/>
      <c r="W871" s="165"/>
      <c r="X871" s="165"/>
      <c r="Y871" s="285"/>
      <c r="Z871" s="165"/>
      <c r="AA871" s="165"/>
      <c r="AB871" s="165"/>
      <c r="AC871" s="165"/>
      <c r="AD871" s="165"/>
      <c r="AE871" s="165"/>
      <c r="AF871" s="165"/>
      <c r="AG871" s="165"/>
      <c r="AH871" s="165"/>
      <c r="AI871" s="165"/>
      <c r="AJ871" s="165"/>
      <c r="AK871" s="165"/>
      <c r="AL871" s="165"/>
    </row>
    <row r="872">
      <c r="A872" s="165"/>
      <c r="B872" s="165"/>
      <c r="C872" s="165"/>
      <c r="D872" s="165"/>
      <c r="E872" s="292"/>
      <c r="F872" s="277"/>
      <c r="G872" s="165"/>
      <c r="H872" s="277"/>
      <c r="I872" s="277"/>
      <c r="J872" s="165"/>
      <c r="K872" s="165"/>
      <c r="L872" s="165"/>
      <c r="M872" s="165"/>
      <c r="N872" s="165"/>
      <c r="O872" s="165"/>
      <c r="P872" s="165"/>
      <c r="Q872" s="165"/>
      <c r="R872" s="165"/>
      <c r="S872" s="165"/>
      <c r="T872" s="165"/>
      <c r="U872" s="165"/>
      <c r="V872" s="165"/>
      <c r="W872" s="165"/>
      <c r="X872" s="165"/>
      <c r="Y872" s="285"/>
      <c r="Z872" s="165"/>
      <c r="AA872" s="165"/>
      <c r="AB872" s="165"/>
      <c r="AC872" s="165"/>
      <c r="AD872" s="165"/>
      <c r="AE872" s="165"/>
      <c r="AF872" s="165"/>
      <c r="AG872" s="165"/>
      <c r="AH872" s="165"/>
      <c r="AI872" s="165"/>
      <c r="AJ872" s="165"/>
      <c r="AK872" s="165"/>
      <c r="AL872" s="165"/>
    </row>
    <row r="873">
      <c r="A873" s="165"/>
      <c r="B873" s="165"/>
      <c r="C873" s="165"/>
      <c r="D873" s="165"/>
      <c r="E873" s="292"/>
      <c r="F873" s="277"/>
      <c r="G873" s="165"/>
      <c r="H873" s="277"/>
      <c r="I873" s="277"/>
      <c r="J873" s="165"/>
      <c r="K873" s="165"/>
      <c r="L873" s="165"/>
      <c r="M873" s="165"/>
      <c r="N873" s="165"/>
      <c r="O873" s="165"/>
      <c r="P873" s="165"/>
      <c r="Q873" s="165"/>
      <c r="R873" s="165"/>
      <c r="S873" s="165"/>
      <c r="T873" s="165"/>
      <c r="U873" s="165"/>
      <c r="V873" s="165"/>
      <c r="W873" s="165"/>
      <c r="X873" s="165"/>
      <c r="Y873" s="285"/>
      <c r="Z873" s="165"/>
      <c r="AA873" s="165"/>
      <c r="AB873" s="165"/>
      <c r="AC873" s="165"/>
      <c r="AD873" s="165"/>
      <c r="AE873" s="165"/>
      <c r="AF873" s="165"/>
      <c r="AG873" s="165"/>
      <c r="AH873" s="165"/>
      <c r="AI873" s="165"/>
      <c r="AJ873" s="165"/>
      <c r="AK873" s="165"/>
      <c r="AL873" s="165"/>
    </row>
    <row r="874">
      <c r="A874" s="165"/>
      <c r="B874" s="165"/>
      <c r="C874" s="165"/>
      <c r="D874" s="165"/>
      <c r="E874" s="292"/>
      <c r="F874" s="277"/>
      <c r="G874" s="165"/>
      <c r="H874" s="277"/>
      <c r="I874" s="277"/>
      <c r="J874" s="165"/>
      <c r="K874" s="165"/>
      <c r="L874" s="165"/>
      <c r="M874" s="165"/>
      <c r="N874" s="165"/>
      <c r="O874" s="165"/>
      <c r="P874" s="165"/>
      <c r="Q874" s="165"/>
      <c r="R874" s="165"/>
      <c r="S874" s="165"/>
      <c r="T874" s="165"/>
      <c r="U874" s="165"/>
      <c r="V874" s="165"/>
      <c r="W874" s="165"/>
      <c r="X874" s="165"/>
      <c r="Y874" s="285"/>
      <c r="Z874" s="165"/>
      <c r="AA874" s="165"/>
      <c r="AB874" s="165"/>
      <c r="AC874" s="165"/>
      <c r="AD874" s="165"/>
      <c r="AE874" s="165"/>
      <c r="AF874" s="165"/>
      <c r="AG874" s="165"/>
      <c r="AH874" s="165"/>
      <c r="AI874" s="165"/>
      <c r="AJ874" s="165"/>
      <c r="AK874" s="165"/>
      <c r="AL874" s="165"/>
    </row>
    <row r="875">
      <c r="A875" s="165"/>
      <c r="B875" s="165"/>
      <c r="C875" s="165"/>
      <c r="D875" s="165"/>
      <c r="E875" s="292"/>
      <c r="F875" s="277"/>
      <c r="G875" s="165"/>
      <c r="H875" s="277"/>
      <c r="I875" s="277"/>
      <c r="J875" s="165"/>
      <c r="K875" s="165"/>
      <c r="L875" s="165"/>
      <c r="M875" s="165"/>
      <c r="N875" s="165"/>
      <c r="O875" s="165"/>
      <c r="P875" s="165"/>
      <c r="Q875" s="165"/>
      <c r="R875" s="165"/>
      <c r="S875" s="165"/>
      <c r="T875" s="165"/>
      <c r="U875" s="165"/>
      <c r="V875" s="165"/>
      <c r="W875" s="165"/>
      <c r="X875" s="165"/>
      <c r="Y875" s="285"/>
      <c r="Z875" s="165"/>
      <c r="AA875" s="165"/>
      <c r="AB875" s="165"/>
      <c r="AC875" s="165"/>
      <c r="AD875" s="165"/>
      <c r="AE875" s="165"/>
      <c r="AF875" s="165"/>
      <c r="AG875" s="165"/>
      <c r="AH875" s="165"/>
      <c r="AI875" s="165"/>
      <c r="AJ875" s="165"/>
      <c r="AK875" s="165"/>
      <c r="AL875" s="165"/>
    </row>
    <row r="876">
      <c r="A876" s="165"/>
      <c r="B876" s="165"/>
      <c r="C876" s="165"/>
      <c r="D876" s="165"/>
      <c r="E876" s="292"/>
      <c r="F876" s="277"/>
      <c r="G876" s="165"/>
      <c r="H876" s="277"/>
      <c r="I876" s="277"/>
      <c r="J876" s="165"/>
      <c r="K876" s="165"/>
      <c r="L876" s="165"/>
      <c r="M876" s="165"/>
      <c r="N876" s="165"/>
      <c r="O876" s="165"/>
      <c r="P876" s="165"/>
      <c r="Q876" s="165"/>
      <c r="R876" s="165"/>
      <c r="S876" s="165"/>
      <c r="T876" s="165"/>
      <c r="U876" s="165"/>
      <c r="V876" s="165"/>
      <c r="W876" s="165"/>
      <c r="X876" s="165"/>
      <c r="Y876" s="285"/>
      <c r="Z876" s="165"/>
      <c r="AA876" s="165"/>
      <c r="AB876" s="165"/>
      <c r="AC876" s="165"/>
      <c r="AD876" s="165"/>
      <c r="AE876" s="165"/>
      <c r="AF876" s="165"/>
      <c r="AG876" s="165"/>
      <c r="AH876" s="165"/>
      <c r="AI876" s="165"/>
      <c r="AJ876" s="165"/>
      <c r="AK876" s="165"/>
      <c r="AL876" s="165"/>
    </row>
    <row r="877">
      <c r="A877" s="165"/>
      <c r="B877" s="165"/>
      <c r="C877" s="165"/>
      <c r="D877" s="165"/>
      <c r="E877" s="292"/>
      <c r="F877" s="277"/>
      <c r="G877" s="165"/>
      <c r="H877" s="277"/>
      <c r="I877" s="277"/>
      <c r="J877" s="165"/>
      <c r="K877" s="165"/>
      <c r="L877" s="165"/>
      <c r="M877" s="165"/>
      <c r="N877" s="165"/>
      <c r="O877" s="165"/>
      <c r="P877" s="165"/>
      <c r="Q877" s="165"/>
      <c r="R877" s="165"/>
      <c r="S877" s="165"/>
      <c r="T877" s="165"/>
      <c r="U877" s="165"/>
      <c r="V877" s="165"/>
      <c r="W877" s="165"/>
      <c r="X877" s="165"/>
      <c r="Y877" s="285"/>
      <c r="Z877" s="165"/>
      <c r="AA877" s="165"/>
      <c r="AB877" s="165"/>
      <c r="AC877" s="165"/>
      <c r="AD877" s="165"/>
      <c r="AE877" s="165"/>
      <c r="AF877" s="165"/>
      <c r="AG877" s="165"/>
      <c r="AH877" s="165"/>
      <c r="AI877" s="165"/>
      <c r="AJ877" s="165"/>
      <c r="AK877" s="165"/>
      <c r="AL877" s="165"/>
    </row>
    <row r="878">
      <c r="A878" s="165"/>
      <c r="B878" s="165"/>
      <c r="C878" s="165"/>
      <c r="D878" s="165"/>
      <c r="E878" s="292"/>
      <c r="F878" s="277"/>
      <c r="G878" s="165"/>
      <c r="H878" s="277"/>
      <c r="I878" s="277"/>
      <c r="J878" s="165"/>
      <c r="K878" s="165"/>
      <c r="L878" s="165"/>
      <c r="M878" s="165"/>
      <c r="N878" s="165"/>
      <c r="O878" s="165"/>
      <c r="P878" s="165"/>
      <c r="Q878" s="165"/>
      <c r="R878" s="165"/>
      <c r="S878" s="165"/>
      <c r="T878" s="165"/>
      <c r="U878" s="165"/>
      <c r="V878" s="165"/>
      <c r="W878" s="165"/>
      <c r="X878" s="165"/>
      <c r="Y878" s="285"/>
      <c r="Z878" s="165"/>
      <c r="AA878" s="165"/>
      <c r="AB878" s="165"/>
      <c r="AC878" s="165"/>
      <c r="AD878" s="165"/>
      <c r="AE878" s="165"/>
      <c r="AF878" s="165"/>
      <c r="AG878" s="165"/>
      <c r="AH878" s="165"/>
      <c r="AI878" s="165"/>
      <c r="AJ878" s="165"/>
      <c r="AK878" s="165"/>
      <c r="AL878" s="165"/>
    </row>
    <row r="879">
      <c r="A879" s="165"/>
      <c r="B879" s="165"/>
      <c r="C879" s="165"/>
      <c r="D879" s="165"/>
      <c r="E879" s="292"/>
      <c r="F879" s="277"/>
      <c r="G879" s="165"/>
      <c r="H879" s="277"/>
      <c r="I879" s="277"/>
      <c r="J879" s="165"/>
      <c r="K879" s="165"/>
      <c r="L879" s="165"/>
      <c r="M879" s="165"/>
      <c r="N879" s="165"/>
      <c r="O879" s="165"/>
      <c r="P879" s="165"/>
      <c r="Q879" s="165"/>
      <c r="R879" s="165"/>
      <c r="S879" s="165"/>
      <c r="T879" s="165"/>
      <c r="U879" s="165"/>
      <c r="V879" s="165"/>
      <c r="W879" s="165"/>
      <c r="X879" s="165"/>
      <c r="Y879" s="285"/>
      <c r="Z879" s="165"/>
      <c r="AA879" s="165"/>
      <c r="AB879" s="165"/>
      <c r="AC879" s="165"/>
      <c r="AD879" s="165"/>
      <c r="AE879" s="165"/>
      <c r="AF879" s="165"/>
      <c r="AG879" s="165"/>
      <c r="AH879" s="165"/>
      <c r="AI879" s="165"/>
      <c r="AJ879" s="165"/>
      <c r="AK879" s="165"/>
      <c r="AL879" s="165"/>
    </row>
    <row r="880">
      <c r="A880" s="165"/>
      <c r="B880" s="165"/>
      <c r="C880" s="165"/>
      <c r="D880" s="165"/>
      <c r="E880" s="292"/>
      <c r="F880" s="277"/>
      <c r="G880" s="165"/>
      <c r="H880" s="277"/>
      <c r="I880" s="277"/>
      <c r="J880" s="165"/>
      <c r="K880" s="165"/>
      <c r="L880" s="165"/>
      <c r="M880" s="165"/>
      <c r="N880" s="165"/>
      <c r="O880" s="165"/>
      <c r="P880" s="165"/>
      <c r="Q880" s="165"/>
      <c r="R880" s="165"/>
      <c r="S880" s="165"/>
      <c r="T880" s="165"/>
      <c r="U880" s="165"/>
      <c r="V880" s="165"/>
      <c r="W880" s="165"/>
      <c r="X880" s="165"/>
      <c r="Y880" s="285"/>
      <c r="Z880" s="165"/>
      <c r="AA880" s="165"/>
      <c r="AB880" s="165"/>
      <c r="AC880" s="165"/>
      <c r="AD880" s="165"/>
      <c r="AE880" s="165"/>
      <c r="AF880" s="165"/>
      <c r="AG880" s="165"/>
      <c r="AH880" s="165"/>
      <c r="AI880" s="165"/>
      <c r="AJ880" s="165"/>
      <c r="AK880" s="165"/>
      <c r="AL880" s="165"/>
    </row>
    <row r="881">
      <c r="A881" s="165"/>
      <c r="B881" s="165"/>
      <c r="C881" s="165"/>
      <c r="D881" s="165"/>
      <c r="E881" s="292"/>
      <c r="F881" s="277"/>
      <c r="G881" s="165"/>
      <c r="H881" s="277"/>
      <c r="I881" s="277"/>
      <c r="J881" s="165"/>
      <c r="K881" s="165"/>
      <c r="L881" s="165"/>
      <c r="M881" s="165"/>
      <c r="N881" s="165"/>
      <c r="O881" s="165"/>
      <c r="P881" s="165"/>
      <c r="Q881" s="165"/>
      <c r="R881" s="165"/>
      <c r="S881" s="165"/>
      <c r="T881" s="165"/>
      <c r="U881" s="165"/>
      <c r="V881" s="165"/>
      <c r="W881" s="165"/>
      <c r="X881" s="165"/>
      <c r="Y881" s="285"/>
      <c r="Z881" s="165"/>
      <c r="AA881" s="165"/>
      <c r="AB881" s="165"/>
      <c r="AC881" s="165"/>
      <c r="AD881" s="165"/>
      <c r="AE881" s="165"/>
      <c r="AF881" s="165"/>
      <c r="AG881" s="165"/>
      <c r="AH881" s="165"/>
      <c r="AI881" s="165"/>
      <c r="AJ881" s="165"/>
      <c r="AK881" s="165"/>
      <c r="AL881" s="165"/>
    </row>
    <row r="882">
      <c r="A882" s="165"/>
      <c r="B882" s="165"/>
      <c r="C882" s="165"/>
      <c r="D882" s="165"/>
      <c r="E882" s="292"/>
      <c r="F882" s="277"/>
      <c r="G882" s="165"/>
      <c r="H882" s="277"/>
      <c r="I882" s="277"/>
      <c r="J882" s="165"/>
      <c r="K882" s="165"/>
      <c r="L882" s="165"/>
      <c r="M882" s="165"/>
      <c r="N882" s="165"/>
      <c r="O882" s="165"/>
      <c r="P882" s="165"/>
      <c r="Q882" s="165"/>
      <c r="R882" s="165"/>
      <c r="S882" s="165"/>
      <c r="T882" s="165"/>
      <c r="U882" s="165"/>
      <c r="V882" s="165"/>
      <c r="W882" s="165"/>
      <c r="X882" s="165"/>
      <c r="Y882" s="285"/>
      <c r="Z882" s="165"/>
      <c r="AA882" s="165"/>
      <c r="AB882" s="165"/>
      <c r="AC882" s="165"/>
      <c r="AD882" s="165"/>
      <c r="AE882" s="165"/>
      <c r="AF882" s="165"/>
      <c r="AG882" s="165"/>
      <c r="AH882" s="165"/>
      <c r="AI882" s="165"/>
      <c r="AJ882" s="165"/>
      <c r="AK882" s="165"/>
      <c r="AL882" s="165"/>
    </row>
    <row r="883">
      <c r="A883" s="165"/>
      <c r="B883" s="165"/>
      <c r="C883" s="165"/>
      <c r="D883" s="165"/>
      <c r="E883" s="292"/>
      <c r="F883" s="277"/>
      <c r="G883" s="165"/>
      <c r="H883" s="277"/>
      <c r="I883" s="277"/>
      <c r="J883" s="165"/>
      <c r="K883" s="165"/>
      <c r="L883" s="165"/>
      <c r="M883" s="165"/>
      <c r="N883" s="165"/>
      <c r="O883" s="165"/>
      <c r="P883" s="165"/>
      <c r="Q883" s="165"/>
      <c r="R883" s="165"/>
      <c r="S883" s="165"/>
      <c r="T883" s="165"/>
      <c r="U883" s="165"/>
      <c r="V883" s="165"/>
      <c r="W883" s="165"/>
      <c r="X883" s="165"/>
      <c r="Y883" s="285"/>
      <c r="Z883" s="165"/>
      <c r="AA883" s="165"/>
      <c r="AB883" s="165"/>
      <c r="AC883" s="165"/>
      <c r="AD883" s="165"/>
      <c r="AE883" s="165"/>
      <c r="AF883" s="165"/>
      <c r="AG883" s="165"/>
      <c r="AH883" s="165"/>
      <c r="AI883" s="165"/>
      <c r="AJ883" s="165"/>
      <c r="AK883" s="165"/>
      <c r="AL883" s="165"/>
    </row>
    <row r="884">
      <c r="A884" s="165"/>
      <c r="B884" s="165"/>
      <c r="C884" s="165"/>
      <c r="D884" s="165"/>
      <c r="E884" s="292"/>
      <c r="F884" s="277"/>
      <c r="G884" s="165"/>
      <c r="H884" s="277"/>
      <c r="I884" s="277"/>
      <c r="J884" s="165"/>
      <c r="K884" s="165"/>
      <c r="L884" s="165"/>
      <c r="M884" s="165"/>
      <c r="N884" s="165"/>
      <c r="O884" s="165"/>
      <c r="P884" s="165"/>
      <c r="Q884" s="165"/>
      <c r="R884" s="165"/>
      <c r="S884" s="165"/>
      <c r="T884" s="165"/>
      <c r="U884" s="165"/>
      <c r="V884" s="165"/>
      <c r="W884" s="165"/>
      <c r="X884" s="165"/>
      <c r="Y884" s="285"/>
      <c r="Z884" s="165"/>
      <c r="AA884" s="165"/>
      <c r="AB884" s="165"/>
      <c r="AC884" s="165"/>
      <c r="AD884" s="165"/>
      <c r="AE884" s="165"/>
      <c r="AF884" s="165"/>
      <c r="AG884" s="165"/>
      <c r="AH884" s="165"/>
      <c r="AI884" s="165"/>
      <c r="AJ884" s="165"/>
      <c r="AK884" s="165"/>
      <c r="AL884" s="165"/>
    </row>
    <row r="885">
      <c r="A885" s="165"/>
      <c r="B885" s="165"/>
      <c r="C885" s="165"/>
      <c r="D885" s="165"/>
      <c r="E885" s="292"/>
      <c r="F885" s="277"/>
      <c r="G885" s="165"/>
      <c r="H885" s="277"/>
      <c r="I885" s="277"/>
      <c r="J885" s="165"/>
      <c r="K885" s="165"/>
      <c r="L885" s="165"/>
      <c r="M885" s="165"/>
      <c r="N885" s="165"/>
      <c r="O885" s="165"/>
      <c r="P885" s="165"/>
      <c r="Q885" s="165"/>
      <c r="R885" s="165"/>
      <c r="S885" s="165"/>
      <c r="T885" s="165"/>
      <c r="U885" s="165"/>
      <c r="V885" s="165"/>
      <c r="W885" s="165"/>
      <c r="X885" s="165"/>
      <c r="Y885" s="285"/>
      <c r="Z885" s="165"/>
      <c r="AA885" s="165"/>
      <c r="AB885" s="165"/>
      <c r="AC885" s="165"/>
      <c r="AD885" s="165"/>
      <c r="AE885" s="165"/>
      <c r="AF885" s="165"/>
      <c r="AG885" s="165"/>
      <c r="AH885" s="165"/>
      <c r="AI885" s="165"/>
      <c r="AJ885" s="165"/>
      <c r="AK885" s="165"/>
      <c r="AL885" s="165"/>
    </row>
    <row r="886">
      <c r="A886" s="165"/>
      <c r="B886" s="165"/>
      <c r="C886" s="165"/>
      <c r="D886" s="165"/>
      <c r="E886" s="292"/>
      <c r="F886" s="277"/>
      <c r="G886" s="165"/>
      <c r="H886" s="277"/>
      <c r="I886" s="277"/>
      <c r="J886" s="165"/>
      <c r="K886" s="165"/>
      <c r="L886" s="165"/>
      <c r="M886" s="165"/>
      <c r="N886" s="165"/>
      <c r="O886" s="165"/>
      <c r="P886" s="165"/>
      <c r="Q886" s="165"/>
      <c r="R886" s="165"/>
      <c r="S886" s="165"/>
      <c r="T886" s="165"/>
      <c r="U886" s="165"/>
      <c r="V886" s="165"/>
      <c r="W886" s="165"/>
      <c r="X886" s="165"/>
      <c r="Y886" s="285"/>
      <c r="Z886" s="165"/>
      <c r="AA886" s="165"/>
      <c r="AB886" s="165"/>
      <c r="AC886" s="165"/>
      <c r="AD886" s="165"/>
      <c r="AE886" s="165"/>
      <c r="AF886" s="165"/>
      <c r="AG886" s="165"/>
      <c r="AH886" s="165"/>
      <c r="AI886" s="165"/>
      <c r="AJ886" s="165"/>
      <c r="AK886" s="165"/>
      <c r="AL886" s="165"/>
    </row>
    <row r="887">
      <c r="A887" s="165"/>
      <c r="B887" s="165"/>
      <c r="C887" s="165"/>
      <c r="D887" s="165"/>
      <c r="E887" s="292"/>
      <c r="F887" s="277"/>
      <c r="G887" s="165"/>
      <c r="H887" s="277"/>
      <c r="I887" s="277"/>
      <c r="J887" s="165"/>
      <c r="K887" s="165"/>
      <c r="L887" s="165"/>
      <c r="M887" s="165"/>
      <c r="N887" s="165"/>
      <c r="O887" s="165"/>
      <c r="P887" s="165"/>
      <c r="Q887" s="165"/>
      <c r="R887" s="165"/>
      <c r="S887" s="165"/>
      <c r="T887" s="165"/>
      <c r="U887" s="165"/>
      <c r="V887" s="165"/>
      <c r="W887" s="165"/>
      <c r="X887" s="165"/>
      <c r="Y887" s="285"/>
      <c r="Z887" s="165"/>
      <c r="AA887" s="165"/>
      <c r="AB887" s="165"/>
      <c r="AC887" s="165"/>
      <c r="AD887" s="165"/>
      <c r="AE887" s="165"/>
      <c r="AF887" s="165"/>
      <c r="AG887" s="165"/>
      <c r="AH887" s="165"/>
      <c r="AI887" s="165"/>
      <c r="AJ887" s="165"/>
      <c r="AK887" s="165"/>
      <c r="AL887" s="165"/>
    </row>
    <row r="888">
      <c r="A888" s="165"/>
      <c r="B888" s="165"/>
      <c r="C888" s="165"/>
      <c r="D888" s="165"/>
      <c r="E888" s="292"/>
      <c r="F888" s="277"/>
      <c r="G888" s="165"/>
      <c r="H888" s="277"/>
      <c r="I888" s="277"/>
      <c r="J888" s="165"/>
      <c r="K888" s="165"/>
      <c r="L888" s="165"/>
      <c r="M888" s="165"/>
      <c r="N888" s="165"/>
      <c r="O888" s="165"/>
      <c r="P888" s="165"/>
      <c r="Q888" s="165"/>
      <c r="R888" s="165"/>
      <c r="S888" s="165"/>
      <c r="T888" s="165"/>
      <c r="U888" s="165"/>
      <c r="V888" s="165"/>
      <c r="W888" s="165"/>
      <c r="X888" s="165"/>
      <c r="Y888" s="285"/>
      <c r="Z888" s="165"/>
      <c r="AA888" s="165"/>
      <c r="AB888" s="165"/>
      <c r="AC888" s="165"/>
      <c r="AD888" s="165"/>
      <c r="AE888" s="165"/>
      <c r="AF888" s="165"/>
      <c r="AG888" s="165"/>
      <c r="AH888" s="165"/>
      <c r="AI888" s="165"/>
      <c r="AJ888" s="165"/>
      <c r="AK888" s="165"/>
      <c r="AL888" s="165"/>
    </row>
    <row r="889">
      <c r="A889" s="165"/>
      <c r="B889" s="165"/>
      <c r="C889" s="165"/>
      <c r="D889" s="165"/>
      <c r="E889" s="292"/>
      <c r="F889" s="277"/>
      <c r="G889" s="165"/>
      <c r="H889" s="277"/>
      <c r="I889" s="277"/>
      <c r="J889" s="165"/>
      <c r="K889" s="165"/>
      <c r="L889" s="165"/>
      <c r="M889" s="165"/>
      <c r="N889" s="165"/>
      <c r="O889" s="165"/>
      <c r="P889" s="165"/>
      <c r="Q889" s="165"/>
      <c r="R889" s="165"/>
      <c r="S889" s="165"/>
      <c r="T889" s="165"/>
      <c r="U889" s="165"/>
      <c r="V889" s="165"/>
      <c r="W889" s="165"/>
      <c r="X889" s="165"/>
      <c r="Y889" s="285"/>
      <c r="Z889" s="165"/>
      <c r="AA889" s="165"/>
      <c r="AB889" s="165"/>
      <c r="AC889" s="165"/>
      <c r="AD889" s="165"/>
      <c r="AE889" s="165"/>
      <c r="AF889" s="165"/>
      <c r="AG889" s="165"/>
      <c r="AH889" s="165"/>
      <c r="AI889" s="165"/>
      <c r="AJ889" s="165"/>
      <c r="AK889" s="165"/>
      <c r="AL889" s="165"/>
    </row>
    <row r="890">
      <c r="A890" s="165"/>
      <c r="B890" s="165"/>
      <c r="C890" s="165"/>
      <c r="D890" s="165"/>
      <c r="E890" s="292"/>
      <c r="F890" s="277"/>
      <c r="G890" s="165"/>
      <c r="H890" s="277"/>
      <c r="I890" s="277"/>
      <c r="J890" s="165"/>
      <c r="K890" s="165"/>
      <c r="L890" s="165"/>
      <c r="M890" s="165"/>
      <c r="N890" s="165"/>
      <c r="O890" s="165"/>
      <c r="P890" s="165"/>
      <c r="Q890" s="165"/>
      <c r="R890" s="165"/>
      <c r="S890" s="165"/>
      <c r="T890" s="165"/>
      <c r="U890" s="165"/>
      <c r="V890" s="165"/>
      <c r="W890" s="165"/>
      <c r="X890" s="165"/>
      <c r="Y890" s="285"/>
      <c r="Z890" s="165"/>
      <c r="AA890" s="165"/>
      <c r="AB890" s="165"/>
      <c r="AC890" s="165"/>
      <c r="AD890" s="165"/>
      <c r="AE890" s="165"/>
      <c r="AF890" s="165"/>
      <c r="AG890" s="165"/>
      <c r="AH890" s="165"/>
      <c r="AI890" s="165"/>
      <c r="AJ890" s="165"/>
      <c r="AK890" s="165"/>
      <c r="AL890" s="165"/>
    </row>
    <row r="891">
      <c r="A891" s="165"/>
      <c r="B891" s="165"/>
      <c r="C891" s="165"/>
      <c r="D891" s="165"/>
      <c r="E891" s="292"/>
      <c r="F891" s="277"/>
      <c r="G891" s="165"/>
      <c r="H891" s="277"/>
      <c r="I891" s="277"/>
      <c r="J891" s="165"/>
      <c r="K891" s="165"/>
      <c r="L891" s="165"/>
      <c r="M891" s="165"/>
      <c r="N891" s="165"/>
      <c r="O891" s="165"/>
      <c r="P891" s="165"/>
      <c r="Q891" s="165"/>
      <c r="R891" s="165"/>
      <c r="S891" s="165"/>
      <c r="T891" s="165"/>
      <c r="U891" s="165"/>
      <c r="V891" s="165"/>
      <c r="W891" s="165"/>
      <c r="X891" s="165"/>
      <c r="Y891" s="285"/>
      <c r="Z891" s="165"/>
      <c r="AA891" s="165"/>
      <c r="AB891" s="165"/>
      <c r="AC891" s="165"/>
      <c r="AD891" s="165"/>
      <c r="AE891" s="165"/>
      <c r="AF891" s="165"/>
      <c r="AG891" s="165"/>
      <c r="AH891" s="165"/>
      <c r="AI891" s="165"/>
      <c r="AJ891" s="165"/>
      <c r="AK891" s="165"/>
      <c r="AL891" s="165"/>
    </row>
    <row r="892">
      <c r="A892" s="165"/>
      <c r="B892" s="165"/>
      <c r="C892" s="165"/>
      <c r="D892" s="165"/>
      <c r="E892" s="292"/>
      <c r="F892" s="277"/>
      <c r="G892" s="165"/>
      <c r="H892" s="277"/>
      <c r="I892" s="277"/>
      <c r="J892" s="165"/>
      <c r="K892" s="165"/>
      <c r="L892" s="165"/>
      <c r="M892" s="165"/>
      <c r="N892" s="165"/>
      <c r="O892" s="165"/>
      <c r="P892" s="165"/>
      <c r="Q892" s="165"/>
      <c r="R892" s="165"/>
      <c r="S892" s="165"/>
      <c r="T892" s="165"/>
      <c r="U892" s="165"/>
      <c r="V892" s="165"/>
      <c r="W892" s="165"/>
      <c r="X892" s="165"/>
      <c r="Y892" s="285"/>
      <c r="Z892" s="165"/>
      <c r="AA892" s="165"/>
      <c r="AB892" s="165"/>
      <c r="AC892" s="165"/>
      <c r="AD892" s="165"/>
      <c r="AE892" s="165"/>
      <c r="AF892" s="165"/>
      <c r="AG892" s="165"/>
      <c r="AH892" s="165"/>
      <c r="AI892" s="165"/>
      <c r="AJ892" s="165"/>
      <c r="AK892" s="165"/>
      <c r="AL892" s="165"/>
    </row>
    <row r="893">
      <c r="A893" s="165"/>
      <c r="B893" s="165"/>
      <c r="C893" s="165"/>
      <c r="D893" s="165"/>
      <c r="E893" s="292"/>
      <c r="F893" s="277"/>
      <c r="G893" s="165"/>
      <c r="H893" s="277"/>
      <c r="I893" s="277"/>
      <c r="J893" s="165"/>
      <c r="K893" s="165"/>
      <c r="L893" s="165"/>
      <c r="M893" s="165"/>
      <c r="N893" s="165"/>
      <c r="O893" s="165"/>
      <c r="P893" s="165"/>
      <c r="Q893" s="165"/>
      <c r="R893" s="165"/>
      <c r="S893" s="165"/>
      <c r="T893" s="165"/>
      <c r="U893" s="165"/>
      <c r="V893" s="165"/>
      <c r="W893" s="165"/>
      <c r="X893" s="165"/>
      <c r="Y893" s="285"/>
      <c r="Z893" s="165"/>
      <c r="AA893" s="165"/>
      <c r="AB893" s="165"/>
      <c r="AC893" s="165"/>
      <c r="AD893" s="165"/>
      <c r="AE893" s="165"/>
      <c r="AF893" s="165"/>
      <c r="AG893" s="165"/>
      <c r="AH893" s="165"/>
      <c r="AI893" s="165"/>
      <c r="AJ893" s="165"/>
      <c r="AK893" s="165"/>
      <c r="AL893" s="165"/>
    </row>
    <row r="894">
      <c r="A894" s="165"/>
      <c r="B894" s="165"/>
      <c r="C894" s="165"/>
      <c r="D894" s="165"/>
      <c r="E894" s="292"/>
      <c r="F894" s="277"/>
      <c r="G894" s="165"/>
      <c r="H894" s="277"/>
      <c r="I894" s="277"/>
      <c r="J894" s="165"/>
      <c r="K894" s="165"/>
      <c r="L894" s="165"/>
      <c r="M894" s="165"/>
      <c r="N894" s="165"/>
      <c r="O894" s="165"/>
      <c r="P894" s="165"/>
      <c r="Q894" s="165"/>
      <c r="R894" s="165"/>
      <c r="S894" s="165"/>
      <c r="T894" s="165"/>
      <c r="U894" s="165"/>
      <c r="V894" s="165"/>
      <c r="W894" s="165"/>
      <c r="X894" s="165"/>
      <c r="Y894" s="285"/>
      <c r="Z894" s="165"/>
      <c r="AA894" s="165"/>
      <c r="AB894" s="165"/>
      <c r="AC894" s="165"/>
      <c r="AD894" s="165"/>
      <c r="AE894" s="165"/>
      <c r="AF894" s="165"/>
      <c r="AG894" s="165"/>
      <c r="AH894" s="165"/>
      <c r="AI894" s="165"/>
      <c r="AJ894" s="165"/>
      <c r="AK894" s="165"/>
      <c r="AL894" s="165"/>
    </row>
    <row r="895">
      <c r="A895" s="165"/>
      <c r="B895" s="165"/>
      <c r="C895" s="165"/>
      <c r="D895" s="165"/>
      <c r="E895" s="292"/>
      <c r="F895" s="277"/>
      <c r="G895" s="165"/>
      <c r="H895" s="277"/>
      <c r="I895" s="277"/>
      <c r="J895" s="165"/>
      <c r="K895" s="165"/>
      <c r="L895" s="165"/>
      <c r="M895" s="165"/>
      <c r="N895" s="165"/>
      <c r="O895" s="165"/>
      <c r="P895" s="165"/>
      <c r="Q895" s="165"/>
      <c r="R895" s="165"/>
      <c r="S895" s="165"/>
      <c r="T895" s="165"/>
      <c r="U895" s="165"/>
      <c r="V895" s="165"/>
      <c r="W895" s="165"/>
      <c r="X895" s="165"/>
      <c r="Y895" s="285"/>
      <c r="Z895" s="165"/>
      <c r="AA895" s="165"/>
      <c r="AB895" s="165"/>
      <c r="AC895" s="165"/>
      <c r="AD895" s="165"/>
      <c r="AE895" s="165"/>
      <c r="AF895" s="165"/>
      <c r="AG895" s="165"/>
      <c r="AH895" s="165"/>
      <c r="AI895" s="165"/>
      <c r="AJ895" s="165"/>
      <c r="AK895" s="165"/>
      <c r="AL895" s="165"/>
    </row>
    <row r="896">
      <c r="A896" s="165"/>
      <c r="B896" s="165"/>
      <c r="C896" s="165"/>
      <c r="D896" s="165"/>
      <c r="E896" s="292"/>
      <c r="F896" s="277"/>
      <c r="G896" s="165"/>
      <c r="H896" s="277"/>
      <c r="I896" s="277"/>
      <c r="J896" s="165"/>
      <c r="K896" s="165"/>
      <c r="L896" s="165"/>
      <c r="M896" s="165"/>
      <c r="N896" s="165"/>
      <c r="O896" s="165"/>
      <c r="P896" s="165"/>
      <c r="Q896" s="165"/>
      <c r="R896" s="165"/>
      <c r="S896" s="165"/>
      <c r="T896" s="165"/>
      <c r="U896" s="165"/>
      <c r="V896" s="165"/>
      <c r="W896" s="165"/>
      <c r="X896" s="165"/>
      <c r="Y896" s="285"/>
      <c r="Z896" s="165"/>
      <c r="AA896" s="165"/>
      <c r="AB896" s="165"/>
      <c r="AC896" s="165"/>
      <c r="AD896" s="165"/>
      <c r="AE896" s="165"/>
      <c r="AF896" s="165"/>
      <c r="AG896" s="165"/>
      <c r="AH896" s="165"/>
      <c r="AI896" s="165"/>
      <c r="AJ896" s="165"/>
      <c r="AK896" s="165"/>
      <c r="AL896" s="165"/>
    </row>
    <row r="897">
      <c r="A897" s="165"/>
      <c r="B897" s="165"/>
      <c r="C897" s="165"/>
      <c r="D897" s="165"/>
      <c r="E897" s="292"/>
      <c r="F897" s="277"/>
      <c r="G897" s="165"/>
      <c r="H897" s="277"/>
      <c r="I897" s="277"/>
      <c r="J897" s="165"/>
      <c r="K897" s="165"/>
      <c r="L897" s="165"/>
      <c r="M897" s="165"/>
      <c r="N897" s="165"/>
      <c r="O897" s="165"/>
      <c r="P897" s="165"/>
      <c r="Q897" s="165"/>
      <c r="R897" s="165"/>
      <c r="S897" s="165"/>
      <c r="T897" s="165"/>
      <c r="U897" s="165"/>
      <c r="V897" s="165"/>
      <c r="W897" s="165"/>
      <c r="X897" s="165"/>
      <c r="Y897" s="285"/>
      <c r="Z897" s="165"/>
      <c r="AA897" s="165"/>
      <c r="AB897" s="165"/>
      <c r="AC897" s="165"/>
      <c r="AD897" s="165"/>
      <c r="AE897" s="165"/>
      <c r="AF897" s="165"/>
      <c r="AG897" s="165"/>
      <c r="AH897" s="165"/>
      <c r="AI897" s="165"/>
      <c r="AJ897" s="165"/>
      <c r="AK897" s="165"/>
      <c r="AL897" s="165"/>
    </row>
    <row r="898">
      <c r="A898" s="165"/>
      <c r="B898" s="165"/>
      <c r="C898" s="165"/>
      <c r="D898" s="165"/>
      <c r="E898" s="292"/>
      <c r="F898" s="277"/>
      <c r="G898" s="165"/>
      <c r="H898" s="277"/>
      <c r="I898" s="277"/>
      <c r="J898" s="165"/>
      <c r="K898" s="165"/>
      <c r="L898" s="165"/>
      <c r="M898" s="165"/>
      <c r="N898" s="165"/>
      <c r="O898" s="165"/>
      <c r="P898" s="165"/>
      <c r="Q898" s="165"/>
      <c r="R898" s="165"/>
      <c r="S898" s="165"/>
      <c r="T898" s="165"/>
      <c r="U898" s="165"/>
      <c r="V898" s="165"/>
      <c r="W898" s="165"/>
      <c r="X898" s="165"/>
      <c r="Y898" s="285"/>
      <c r="Z898" s="165"/>
      <c r="AA898" s="165"/>
      <c r="AB898" s="165"/>
      <c r="AC898" s="165"/>
      <c r="AD898" s="165"/>
      <c r="AE898" s="165"/>
      <c r="AF898" s="165"/>
      <c r="AG898" s="165"/>
      <c r="AH898" s="165"/>
      <c r="AI898" s="165"/>
      <c r="AJ898" s="165"/>
      <c r="AK898" s="165"/>
      <c r="AL898" s="165"/>
    </row>
    <row r="899">
      <c r="A899" s="165"/>
      <c r="B899" s="165"/>
      <c r="C899" s="165"/>
      <c r="D899" s="165"/>
      <c r="E899" s="292"/>
      <c r="F899" s="277"/>
      <c r="G899" s="165"/>
      <c r="H899" s="277"/>
      <c r="I899" s="277"/>
      <c r="J899" s="165"/>
      <c r="K899" s="165"/>
      <c r="L899" s="165"/>
      <c r="M899" s="165"/>
      <c r="N899" s="165"/>
      <c r="O899" s="165"/>
      <c r="P899" s="165"/>
      <c r="Q899" s="165"/>
      <c r="R899" s="165"/>
      <c r="S899" s="165"/>
      <c r="T899" s="165"/>
      <c r="U899" s="165"/>
      <c r="V899" s="165"/>
      <c r="W899" s="165"/>
      <c r="X899" s="165"/>
      <c r="Y899" s="285"/>
      <c r="Z899" s="165"/>
      <c r="AA899" s="165"/>
      <c r="AB899" s="165"/>
      <c r="AC899" s="165"/>
      <c r="AD899" s="165"/>
      <c r="AE899" s="165"/>
      <c r="AF899" s="165"/>
      <c r="AG899" s="165"/>
      <c r="AH899" s="165"/>
      <c r="AI899" s="165"/>
      <c r="AJ899" s="165"/>
      <c r="AK899" s="165"/>
      <c r="AL899" s="165"/>
    </row>
    <row r="900">
      <c r="A900" s="165"/>
      <c r="B900" s="165"/>
      <c r="C900" s="165"/>
      <c r="D900" s="165"/>
      <c r="E900" s="292"/>
      <c r="F900" s="277"/>
      <c r="G900" s="165"/>
      <c r="H900" s="277"/>
      <c r="I900" s="277"/>
      <c r="J900" s="165"/>
      <c r="K900" s="165"/>
      <c r="L900" s="165"/>
      <c r="M900" s="165"/>
      <c r="N900" s="165"/>
      <c r="O900" s="165"/>
      <c r="P900" s="165"/>
      <c r="Q900" s="165"/>
      <c r="R900" s="165"/>
      <c r="S900" s="165"/>
      <c r="T900" s="165"/>
      <c r="U900" s="165"/>
      <c r="V900" s="165"/>
      <c r="W900" s="165"/>
      <c r="X900" s="165"/>
      <c r="Y900" s="285"/>
      <c r="Z900" s="165"/>
      <c r="AA900" s="165"/>
      <c r="AB900" s="165"/>
      <c r="AC900" s="165"/>
      <c r="AD900" s="165"/>
      <c r="AE900" s="165"/>
      <c r="AF900" s="165"/>
      <c r="AG900" s="165"/>
      <c r="AH900" s="165"/>
      <c r="AI900" s="165"/>
      <c r="AJ900" s="165"/>
      <c r="AK900" s="165"/>
      <c r="AL900" s="165"/>
    </row>
    <row r="901">
      <c r="A901" s="165"/>
      <c r="B901" s="165"/>
      <c r="C901" s="165"/>
      <c r="D901" s="165"/>
      <c r="E901" s="292"/>
      <c r="F901" s="277"/>
      <c r="G901" s="165"/>
      <c r="H901" s="277"/>
      <c r="I901" s="277"/>
      <c r="J901" s="165"/>
      <c r="K901" s="165"/>
      <c r="L901" s="165"/>
      <c r="M901" s="165"/>
      <c r="N901" s="165"/>
      <c r="O901" s="165"/>
      <c r="P901" s="165"/>
      <c r="Q901" s="165"/>
      <c r="R901" s="165"/>
      <c r="S901" s="165"/>
      <c r="T901" s="165"/>
      <c r="U901" s="165"/>
      <c r="V901" s="165"/>
      <c r="W901" s="165"/>
      <c r="X901" s="165"/>
      <c r="Y901" s="285"/>
      <c r="Z901" s="165"/>
      <c r="AA901" s="165"/>
      <c r="AB901" s="165"/>
      <c r="AC901" s="165"/>
      <c r="AD901" s="165"/>
      <c r="AE901" s="165"/>
      <c r="AF901" s="165"/>
      <c r="AG901" s="165"/>
      <c r="AH901" s="165"/>
      <c r="AI901" s="165"/>
      <c r="AJ901" s="165"/>
      <c r="AK901" s="165"/>
      <c r="AL901" s="165"/>
    </row>
    <row r="902">
      <c r="A902" s="165"/>
      <c r="B902" s="165"/>
      <c r="C902" s="165"/>
      <c r="D902" s="165"/>
      <c r="E902" s="292"/>
      <c r="F902" s="277"/>
      <c r="G902" s="165"/>
      <c r="H902" s="277"/>
      <c r="I902" s="277"/>
      <c r="J902" s="165"/>
      <c r="K902" s="165"/>
      <c r="L902" s="165"/>
      <c r="M902" s="165"/>
      <c r="N902" s="165"/>
      <c r="O902" s="165"/>
      <c r="P902" s="165"/>
      <c r="Q902" s="165"/>
      <c r="R902" s="165"/>
      <c r="S902" s="165"/>
      <c r="T902" s="165"/>
      <c r="U902" s="165"/>
      <c r="V902" s="165"/>
      <c r="W902" s="165"/>
      <c r="X902" s="165"/>
      <c r="Y902" s="285"/>
      <c r="Z902" s="165"/>
      <c r="AA902" s="165"/>
      <c r="AB902" s="165"/>
      <c r="AC902" s="165"/>
      <c r="AD902" s="165"/>
      <c r="AE902" s="165"/>
      <c r="AF902" s="165"/>
      <c r="AG902" s="165"/>
      <c r="AH902" s="165"/>
      <c r="AI902" s="165"/>
      <c r="AJ902" s="165"/>
      <c r="AK902" s="165"/>
      <c r="AL902" s="165"/>
    </row>
    <row r="903">
      <c r="A903" s="165"/>
      <c r="B903" s="165"/>
      <c r="C903" s="165"/>
      <c r="D903" s="165"/>
      <c r="E903" s="292"/>
      <c r="F903" s="277"/>
      <c r="G903" s="165"/>
      <c r="H903" s="277"/>
      <c r="I903" s="277"/>
      <c r="J903" s="165"/>
      <c r="K903" s="165"/>
      <c r="L903" s="165"/>
      <c r="M903" s="165"/>
      <c r="N903" s="165"/>
      <c r="O903" s="165"/>
      <c r="P903" s="165"/>
      <c r="Q903" s="165"/>
      <c r="R903" s="165"/>
      <c r="S903" s="165"/>
      <c r="T903" s="165"/>
      <c r="U903" s="165"/>
      <c r="V903" s="165"/>
      <c r="W903" s="165"/>
      <c r="X903" s="165"/>
      <c r="Y903" s="285"/>
      <c r="Z903" s="165"/>
      <c r="AA903" s="165"/>
      <c r="AB903" s="165"/>
      <c r="AC903" s="165"/>
      <c r="AD903" s="165"/>
      <c r="AE903" s="165"/>
      <c r="AF903" s="165"/>
      <c r="AG903" s="165"/>
      <c r="AH903" s="165"/>
      <c r="AI903" s="165"/>
      <c r="AJ903" s="165"/>
      <c r="AK903" s="165"/>
      <c r="AL903" s="165"/>
    </row>
    <row r="904">
      <c r="A904" s="165"/>
      <c r="B904" s="165"/>
      <c r="C904" s="165"/>
      <c r="D904" s="165"/>
      <c r="E904" s="292"/>
      <c r="F904" s="277"/>
      <c r="G904" s="165"/>
      <c r="H904" s="277"/>
      <c r="I904" s="277"/>
      <c r="J904" s="165"/>
      <c r="K904" s="165"/>
      <c r="L904" s="165"/>
      <c r="M904" s="165"/>
      <c r="N904" s="165"/>
      <c r="O904" s="165"/>
      <c r="P904" s="165"/>
      <c r="Q904" s="165"/>
      <c r="R904" s="165"/>
      <c r="S904" s="165"/>
      <c r="T904" s="165"/>
      <c r="U904" s="165"/>
      <c r="V904" s="165"/>
      <c r="W904" s="165"/>
      <c r="X904" s="165"/>
      <c r="Y904" s="285"/>
      <c r="Z904" s="165"/>
      <c r="AA904" s="165"/>
      <c r="AB904" s="165"/>
      <c r="AC904" s="165"/>
      <c r="AD904" s="165"/>
      <c r="AE904" s="165"/>
      <c r="AF904" s="165"/>
      <c r="AG904" s="165"/>
      <c r="AH904" s="165"/>
      <c r="AI904" s="165"/>
      <c r="AJ904" s="165"/>
      <c r="AK904" s="165"/>
      <c r="AL904" s="165"/>
    </row>
    <row r="905">
      <c r="A905" s="165"/>
      <c r="B905" s="165"/>
      <c r="C905" s="165"/>
      <c r="D905" s="165"/>
      <c r="E905" s="292"/>
      <c r="F905" s="277"/>
      <c r="G905" s="165"/>
      <c r="H905" s="277"/>
      <c r="I905" s="277"/>
      <c r="J905" s="165"/>
      <c r="K905" s="165"/>
      <c r="L905" s="165"/>
      <c r="M905" s="165"/>
      <c r="N905" s="165"/>
      <c r="O905" s="165"/>
      <c r="P905" s="165"/>
      <c r="Q905" s="165"/>
      <c r="R905" s="165"/>
      <c r="S905" s="165"/>
      <c r="T905" s="165"/>
      <c r="U905" s="165"/>
      <c r="V905" s="165"/>
      <c r="W905" s="165"/>
      <c r="X905" s="165"/>
      <c r="Y905" s="285"/>
      <c r="Z905" s="165"/>
      <c r="AA905" s="165"/>
      <c r="AB905" s="165"/>
      <c r="AC905" s="165"/>
      <c r="AD905" s="165"/>
      <c r="AE905" s="165"/>
      <c r="AF905" s="165"/>
      <c r="AG905" s="165"/>
      <c r="AH905" s="165"/>
      <c r="AI905" s="165"/>
      <c r="AJ905" s="165"/>
      <c r="AK905" s="165"/>
      <c r="AL905" s="165"/>
    </row>
    <row r="906">
      <c r="A906" s="165"/>
      <c r="B906" s="165"/>
      <c r="C906" s="165"/>
      <c r="D906" s="165"/>
      <c r="E906" s="292"/>
      <c r="F906" s="277"/>
      <c r="G906" s="165"/>
      <c r="H906" s="277"/>
      <c r="I906" s="277"/>
      <c r="J906" s="165"/>
      <c r="K906" s="165"/>
      <c r="L906" s="165"/>
      <c r="M906" s="165"/>
      <c r="N906" s="165"/>
      <c r="O906" s="165"/>
      <c r="P906" s="165"/>
      <c r="Q906" s="165"/>
      <c r="R906" s="165"/>
      <c r="S906" s="165"/>
      <c r="T906" s="165"/>
      <c r="U906" s="165"/>
      <c r="V906" s="165"/>
      <c r="W906" s="165"/>
      <c r="X906" s="165"/>
      <c r="Y906" s="285"/>
      <c r="Z906" s="165"/>
      <c r="AA906" s="165"/>
      <c r="AB906" s="165"/>
      <c r="AC906" s="165"/>
      <c r="AD906" s="165"/>
      <c r="AE906" s="165"/>
      <c r="AF906" s="165"/>
      <c r="AG906" s="165"/>
      <c r="AH906" s="165"/>
      <c r="AI906" s="165"/>
      <c r="AJ906" s="165"/>
      <c r="AK906" s="165"/>
      <c r="AL906" s="165"/>
    </row>
    <row r="907">
      <c r="A907" s="165"/>
      <c r="B907" s="165"/>
      <c r="C907" s="165"/>
      <c r="D907" s="165"/>
      <c r="E907" s="292"/>
      <c r="F907" s="277"/>
      <c r="G907" s="165"/>
      <c r="H907" s="277"/>
      <c r="I907" s="277"/>
      <c r="J907" s="165"/>
      <c r="K907" s="165"/>
      <c r="L907" s="165"/>
      <c r="M907" s="165"/>
      <c r="N907" s="165"/>
      <c r="O907" s="165"/>
      <c r="P907" s="165"/>
      <c r="Q907" s="165"/>
      <c r="R907" s="165"/>
      <c r="S907" s="165"/>
      <c r="T907" s="165"/>
      <c r="U907" s="165"/>
      <c r="V907" s="165"/>
      <c r="W907" s="165"/>
      <c r="X907" s="165"/>
      <c r="Y907" s="285"/>
      <c r="Z907" s="165"/>
      <c r="AA907" s="165"/>
      <c r="AB907" s="165"/>
      <c r="AC907" s="165"/>
      <c r="AD907" s="165"/>
      <c r="AE907" s="165"/>
      <c r="AF907" s="165"/>
      <c r="AG907" s="165"/>
      <c r="AH907" s="165"/>
      <c r="AI907" s="165"/>
      <c r="AJ907" s="165"/>
      <c r="AK907" s="165"/>
      <c r="AL907" s="165"/>
    </row>
    <row r="908">
      <c r="A908" s="165"/>
      <c r="B908" s="165"/>
      <c r="C908" s="165"/>
      <c r="D908" s="165"/>
      <c r="E908" s="292"/>
      <c r="F908" s="277"/>
      <c r="G908" s="165"/>
      <c r="H908" s="277"/>
      <c r="I908" s="277"/>
      <c r="J908" s="165"/>
      <c r="K908" s="165"/>
      <c r="L908" s="165"/>
      <c r="M908" s="165"/>
      <c r="N908" s="165"/>
      <c r="O908" s="165"/>
      <c r="P908" s="165"/>
      <c r="Q908" s="165"/>
      <c r="R908" s="165"/>
      <c r="S908" s="165"/>
      <c r="T908" s="165"/>
      <c r="U908" s="165"/>
      <c r="V908" s="165"/>
      <c r="W908" s="165"/>
      <c r="X908" s="165"/>
      <c r="Y908" s="285"/>
      <c r="Z908" s="165"/>
      <c r="AA908" s="165"/>
      <c r="AB908" s="165"/>
      <c r="AC908" s="165"/>
      <c r="AD908" s="165"/>
      <c r="AE908" s="165"/>
      <c r="AF908" s="165"/>
      <c r="AG908" s="165"/>
      <c r="AH908" s="165"/>
      <c r="AI908" s="165"/>
      <c r="AJ908" s="165"/>
      <c r="AK908" s="165"/>
      <c r="AL908" s="165"/>
    </row>
    <row r="909">
      <c r="A909" s="165"/>
      <c r="B909" s="165"/>
      <c r="C909" s="165"/>
      <c r="D909" s="165"/>
      <c r="E909" s="292"/>
      <c r="F909" s="277"/>
      <c r="G909" s="165"/>
      <c r="H909" s="277"/>
      <c r="I909" s="277"/>
      <c r="J909" s="165"/>
      <c r="K909" s="165"/>
      <c r="L909" s="165"/>
      <c r="M909" s="165"/>
      <c r="N909" s="165"/>
      <c r="O909" s="165"/>
      <c r="P909" s="165"/>
      <c r="Q909" s="165"/>
      <c r="R909" s="165"/>
      <c r="S909" s="165"/>
      <c r="T909" s="165"/>
      <c r="U909" s="165"/>
      <c r="V909" s="165"/>
      <c r="W909" s="165"/>
      <c r="X909" s="165"/>
      <c r="Y909" s="285"/>
      <c r="Z909" s="165"/>
      <c r="AA909" s="165"/>
      <c r="AB909" s="165"/>
      <c r="AC909" s="165"/>
      <c r="AD909" s="165"/>
      <c r="AE909" s="165"/>
      <c r="AF909" s="165"/>
      <c r="AG909" s="165"/>
      <c r="AH909" s="165"/>
      <c r="AI909" s="165"/>
      <c r="AJ909" s="165"/>
      <c r="AK909" s="165"/>
      <c r="AL909" s="165"/>
    </row>
    <row r="910">
      <c r="A910" s="165"/>
      <c r="B910" s="165"/>
      <c r="C910" s="165"/>
      <c r="D910" s="165"/>
      <c r="E910" s="292"/>
      <c r="F910" s="277"/>
      <c r="G910" s="165"/>
      <c r="H910" s="277"/>
      <c r="I910" s="277"/>
      <c r="J910" s="165"/>
      <c r="K910" s="165"/>
      <c r="L910" s="165"/>
      <c r="M910" s="165"/>
      <c r="N910" s="165"/>
      <c r="O910" s="165"/>
      <c r="P910" s="165"/>
      <c r="Q910" s="165"/>
      <c r="R910" s="165"/>
      <c r="S910" s="165"/>
      <c r="T910" s="165"/>
      <c r="U910" s="165"/>
      <c r="V910" s="165"/>
      <c r="W910" s="165"/>
      <c r="X910" s="165"/>
      <c r="Y910" s="285"/>
      <c r="Z910" s="165"/>
      <c r="AA910" s="165"/>
      <c r="AB910" s="165"/>
      <c r="AC910" s="165"/>
      <c r="AD910" s="165"/>
      <c r="AE910" s="165"/>
      <c r="AF910" s="165"/>
      <c r="AG910" s="165"/>
      <c r="AH910" s="165"/>
      <c r="AI910" s="165"/>
      <c r="AJ910" s="165"/>
      <c r="AK910" s="165"/>
      <c r="AL910" s="165"/>
    </row>
    <row r="911">
      <c r="A911" s="165"/>
      <c r="B911" s="165"/>
      <c r="C911" s="165"/>
      <c r="D911" s="165"/>
      <c r="E911" s="292"/>
      <c r="F911" s="277"/>
      <c r="G911" s="165"/>
      <c r="H911" s="277"/>
      <c r="I911" s="277"/>
      <c r="J911" s="165"/>
      <c r="K911" s="165"/>
      <c r="L911" s="165"/>
      <c r="M911" s="165"/>
      <c r="N911" s="165"/>
      <c r="O911" s="165"/>
      <c r="P911" s="165"/>
      <c r="Q911" s="165"/>
      <c r="R911" s="165"/>
      <c r="S911" s="165"/>
      <c r="T911" s="165"/>
      <c r="U911" s="165"/>
      <c r="V911" s="165"/>
      <c r="W911" s="165"/>
      <c r="X911" s="165"/>
      <c r="Y911" s="285"/>
      <c r="Z911" s="165"/>
      <c r="AA911" s="165"/>
      <c r="AB911" s="165"/>
      <c r="AC911" s="165"/>
      <c r="AD911" s="165"/>
      <c r="AE911" s="165"/>
      <c r="AF911" s="165"/>
      <c r="AG911" s="165"/>
      <c r="AH911" s="165"/>
      <c r="AI911" s="165"/>
      <c r="AJ911" s="165"/>
      <c r="AK911" s="165"/>
      <c r="AL911" s="165"/>
    </row>
    <row r="912">
      <c r="A912" s="165"/>
      <c r="B912" s="165"/>
      <c r="C912" s="165"/>
      <c r="D912" s="165"/>
      <c r="E912" s="292"/>
      <c r="F912" s="277"/>
      <c r="G912" s="165"/>
      <c r="H912" s="277"/>
      <c r="I912" s="277"/>
      <c r="J912" s="165"/>
      <c r="K912" s="165"/>
      <c r="L912" s="165"/>
      <c r="M912" s="165"/>
      <c r="N912" s="165"/>
      <c r="O912" s="165"/>
      <c r="P912" s="165"/>
      <c r="Q912" s="165"/>
      <c r="R912" s="165"/>
      <c r="S912" s="165"/>
      <c r="T912" s="165"/>
      <c r="U912" s="165"/>
      <c r="V912" s="165"/>
      <c r="W912" s="165"/>
      <c r="X912" s="165"/>
      <c r="Y912" s="285"/>
      <c r="Z912" s="165"/>
      <c r="AA912" s="165"/>
      <c r="AB912" s="165"/>
      <c r="AC912" s="165"/>
      <c r="AD912" s="165"/>
      <c r="AE912" s="165"/>
      <c r="AF912" s="165"/>
      <c r="AG912" s="165"/>
      <c r="AH912" s="165"/>
      <c r="AI912" s="165"/>
      <c r="AJ912" s="165"/>
      <c r="AK912" s="165"/>
      <c r="AL912" s="165"/>
    </row>
    <row r="913">
      <c r="A913" s="165"/>
      <c r="B913" s="165"/>
      <c r="C913" s="165"/>
      <c r="D913" s="165"/>
      <c r="E913" s="292"/>
      <c r="F913" s="277"/>
      <c r="G913" s="165"/>
      <c r="H913" s="277"/>
      <c r="I913" s="277"/>
      <c r="J913" s="165"/>
      <c r="K913" s="165"/>
      <c r="L913" s="165"/>
      <c r="M913" s="165"/>
      <c r="N913" s="165"/>
      <c r="O913" s="165"/>
      <c r="P913" s="165"/>
      <c r="Q913" s="165"/>
      <c r="R913" s="165"/>
      <c r="S913" s="165"/>
      <c r="T913" s="165"/>
      <c r="U913" s="165"/>
      <c r="V913" s="165"/>
      <c r="W913" s="165"/>
      <c r="X913" s="165"/>
      <c r="Y913" s="285"/>
      <c r="Z913" s="165"/>
      <c r="AA913" s="165"/>
      <c r="AB913" s="165"/>
      <c r="AC913" s="165"/>
      <c r="AD913" s="165"/>
      <c r="AE913" s="165"/>
      <c r="AF913" s="165"/>
      <c r="AG913" s="165"/>
      <c r="AH913" s="165"/>
      <c r="AI913" s="165"/>
      <c r="AJ913" s="165"/>
      <c r="AK913" s="165"/>
      <c r="AL913" s="165"/>
    </row>
    <row r="914">
      <c r="A914" s="165"/>
      <c r="B914" s="165"/>
      <c r="C914" s="165"/>
      <c r="D914" s="165"/>
      <c r="E914" s="292"/>
      <c r="F914" s="277"/>
      <c r="G914" s="165"/>
      <c r="H914" s="277"/>
      <c r="I914" s="277"/>
      <c r="J914" s="165"/>
      <c r="K914" s="165"/>
      <c r="L914" s="165"/>
      <c r="M914" s="165"/>
      <c r="N914" s="165"/>
      <c r="O914" s="165"/>
      <c r="P914" s="165"/>
      <c r="Q914" s="165"/>
      <c r="R914" s="165"/>
      <c r="S914" s="165"/>
      <c r="T914" s="165"/>
      <c r="U914" s="165"/>
      <c r="V914" s="165"/>
      <c r="W914" s="165"/>
      <c r="X914" s="165"/>
      <c r="Y914" s="285"/>
      <c r="Z914" s="165"/>
      <c r="AA914" s="165"/>
      <c r="AB914" s="165"/>
      <c r="AC914" s="165"/>
      <c r="AD914" s="165"/>
      <c r="AE914" s="165"/>
      <c r="AF914" s="165"/>
      <c r="AG914" s="165"/>
      <c r="AH914" s="165"/>
      <c r="AI914" s="165"/>
      <c r="AJ914" s="165"/>
      <c r="AK914" s="165"/>
      <c r="AL914" s="165"/>
    </row>
    <row r="915">
      <c r="A915" s="165"/>
      <c r="B915" s="165"/>
      <c r="C915" s="165"/>
      <c r="D915" s="165"/>
      <c r="E915" s="292"/>
      <c r="F915" s="277"/>
      <c r="G915" s="165"/>
      <c r="H915" s="277"/>
      <c r="I915" s="277"/>
      <c r="J915" s="165"/>
      <c r="K915" s="165"/>
      <c r="L915" s="165"/>
      <c r="M915" s="165"/>
      <c r="N915" s="165"/>
      <c r="O915" s="165"/>
      <c r="P915" s="165"/>
      <c r="Q915" s="165"/>
      <c r="R915" s="165"/>
      <c r="S915" s="165"/>
      <c r="T915" s="165"/>
      <c r="U915" s="165"/>
      <c r="V915" s="165"/>
      <c r="W915" s="165"/>
      <c r="X915" s="165"/>
      <c r="Y915" s="285"/>
      <c r="Z915" s="165"/>
      <c r="AA915" s="165"/>
      <c r="AB915" s="165"/>
      <c r="AC915" s="165"/>
      <c r="AD915" s="165"/>
      <c r="AE915" s="165"/>
      <c r="AF915" s="165"/>
      <c r="AG915" s="165"/>
      <c r="AH915" s="165"/>
      <c r="AI915" s="165"/>
      <c r="AJ915" s="165"/>
      <c r="AK915" s="165"/>
      <c r="AL915" s="165"/>
    </row>
    <row r="916">
      <c r="A916" s="165"/>
      <c r="B916" s="165"/>
      <c r="C916" s="165"/>
      <c r="D916" s="165"/>
      <c r="E916" s="292"/>
      <c r="F916" s="277"/>
      <c r="G916" s="165"/>
      <c r="H916" s="277"/>
      <c r="I916" s="277"/>
      <c r="J916" s="165"/>
      <c r="K916" s="165"/>
      <c r="L916" s="165"/>
      <c r="M916" s="165"/>
      <c r="N916" s="165"/>
      <c r="O916" s="165"/>
      <c r="P916" s="165"/>
      <c r="Q916" s="165"/>
      <c r="R916" s="165"/>
      <c r="S916" s="165"/>
      <c r="T916" s="165"/>
      <c r="U916" s="165"/>
      <c r="V916" s="165"/>
      <c r="W916" s="165"/>
      <c r="X916" s="165"/>
      <c r="Y916" s="285"/>
      <c r="Z916" s="165"/>
      <c r="AA916" s="165"/>
      <c r="AB916" s="165"/>
      <c r="AC916" s="165"/>
      <c r="AD916" s="165"/>
      <c r="AE916" s="165"/>
      <c r="AF916" s="165"/>
      <c r="AG916" s="165"/>
      <c r="AH916" s="165"/>
      <c r="AI916" s="165"/>
      <c r="AJ916" s="165"/>
      <c r="AK916" s="165"/>
      <c r="AL916" s="165"/>
    </row>
    <row r="917">
      <c r="A917" s="165"/>
      <c r="B917" s="165"/>
      <c r="C917" s="165"/>
      <c r="D917" s="165"/>
      <c r="E917" s="292"/>
      <c r="F917" s="277"/>
      <c r="G917" s="165"/>
      <c r="H917" s="277"/>
      <c r="I917" s="277"/>
      <c r="J917" s="165"/>
      <c r="K917" s="165"/>
      <c r="L917" s="165"/>
      <c r="M917" s="165"/>
      <c r="N917" s="165"/>
      <c r="O917" s="165"/>
      <c r="P917" s="165"/>
      <c r="Q917" s="165"/>
      <c r="R917" s="165"/>
      <c r="S917" s="165"/>
      <c r="T917" s="165"/>
      <c r="U917" s="165"/>
      <c r="V917" s="165"/>
      <c r="W917" s="165"/>
      <c r="X917" s="165"/>
      <c r="Y917" s="285"/>
      <c r="Z917" s="165"/>
      <c r="AA917" s="165"/>
      <c r="AB917" s="165"/>
      <c r="AC917" s="165"/>
      <c r="AD917" s="165"/>
      <c r="AE917" s="165"/>
      <c r="AF917" s="165"/>
      <c r="AG917" s="165"/>
      <c r="AH917" s="165"/>
      <c r="AI917" s="165"/>
      <c r="AJ917" s="165"/>
      <c r="AK917" s="165"/>
      <c r="AL917" s="165"/>
    </row>
    <row r="918">
      <c r="A918" s="165"/>
      <c r="B918" s="165"/>
      <c r="C918" s="165"/>
      <c r="D918" s="165"/>
      <c r="E918" s="292"/>
      <c r="F918" s="277"/>
      <c r="G918" s="165"/>
      <c r="H918" s="277"/>
      <c r="I918" s="277"/>
      <c r="J918" s="165"/>
      <c r="K918" s="165"/>
      <c r="L918" s="165"/>
      <c r="M918" s="165"/>
      <c r="N918" s="165"/>
      <c r="O918" s="165"/>
      <c r="P918" s="165"/>
      <c r="Q918" s="165"/>
      <c r="R918" s="165"/>
      <c r="S918" s="165"/>
      <c r="T918" s="165"/>
      <c r="U918" s="165"/>
      <c r="V918" s="165"/>
      <c r="W918" s="165"/>
      <c r="X918" s="165"/>
      <c r="Y918" s="285"/>
      <c r="Z918" s="165"/>
      <c r="AA918" s="165"/>
      <c r="AB918" s="165"/>
      <c r="AC918" s="165"/>
      <c r="AD918" s="165"/>
      <c r="AE918" s="165"/>
      <c r="AF918" s="165"/>
      <c r="AG918" s="165"/>
      <c r="AH918" s="165"/>
      <c r="AI918" s="165"/>
      <c r="AJ918" s="165"/>
      <c r="AK918" s="165"/>
      <c r="AL918" s="165"/>
    </row>
    <row r="919">
      <c r="A919" s="165"/>
      <c r="B919" s="165"/>
      <c r="C919" s="165"/>
      <c r="D919" s="165"/>
      <c r="E919" s="292"/>
      <c r="F919" s="277"/>
      <c r="G919" s="165"/>
      <c r="H919" s="277"/>
      <c r="I919" s="277"/>
      <c r="J919" s="165"/>
      <c r="K919" s="165"/>
      <c r="L919" s="165"/>
      <c r="M919" s="165"/>
      <c r="N919" s="165"/>
      <c r="O919" s="165"/>
      <c r="P919" s="165"/>
      <c r="Q919" s="165"/>
      <c r="R919" s="165"/>
      <c r="S919" s="165"/>
      <c r="T919" s="165"/>
      <c r="U919" s="165"/>
      <c r="V919" s="165"/>
      <c r="W919" s="165"/>
      <c r="X919" s="165"/>
      <c r="Y919" s="285"/>
      <c r="Z919" s="165"/>
      <c r="AA919" s="165"/>
      <c r="AB919" s="165"/>
      <c r="AC919" s="165"/>
      <c r="AD919" s="165"/>
      <c r="AE919" s="165"/>
      <c r="AF919" s="165"/>
      <c r="AG919" s="165"/>
      <c r="AH919" s="165"/>
      <c r="AI919" s="165"/>
      <c r="AJ919" s="165"/>
      <c r="AK919" s="165"/>
      <c r="AL919" s="165"/>
    </row>
    <row r="920">
      <c r="A920" s="165"/>
      <c r="B920" s="165"/>
      <c r="C920" s="165"/>
      <c r="D920" s="165"/>
      <c r="E920" s="292"/>
      <c r="F920" s="277"/>
      <c r="G920" s="165"/>
      <c r="H920" s="277"/>
      <c r="I920" s="277"/>
      <c r="J920" s="165"/>
      <c r="K920" s="165"/>
      <c r="L920" s="165"/>
      <c r="M920" s="165"/>
      <c r="N920" s="165"/>
      <c r="O920" s="165"/>
      <c r="P920" s="165"/>
      <c r="Q920" s="165"/>
      <c r="R920" s="165"/>
      <c r="S920" s="165"/>
      <c r="T920" s="165"/>
      <c r="U920" s="165"/>
      <c r="V920" s="165"/>
      <c r="W920" s="165"/>
      <c r="X920" s="165"/>
      <c r="Y920" s="285"/>
      <c r="Z920" s="165"/>
      <c r="AA920" s="165"/>
      <c r="AB920" s="165"/>
      <c r="AC920" s="165"/>
      <c r="AD920" s="165"/>
      <c r="AE920" s="165"/>
      <c r="AF920" s="165"/>
      <c r="AG920" s="165"/>
      <c r="AH920" s="165"/>
      <c r="AI920" s="165"/>
      <c r="AJ920" s="165"/>
      <c r="AK920" s="165"/>
      <c r="AL920" s="165"/>
    </row>
    <row r="921">
      <c r="A921" s="165"/>
      <c r="B921" s="165"/>
      <c r="C921" s="165"/>
      <c r="D921" s="165"/>
      <c r="E921" s="292"/>
      <c r="F921" s="277"/>
      <c r="G921" s="165"/>
      <c r="H921" s="277"/>
      <c r="I921" s="277"/>
      <c r="J921" s="165"/>
      <c r="K921" s="165"/>
      <c r="L921" s="165"/>
      <c r="M921" s="165"/>
      <c r="N921" s="165"/>
      <c r="O921" s="165"/>
      <c r="P921" s="165"/>
      <c r="Q921" s="165"/>
      <c r="R921" s="165"/>
      <c r="S921" s="165"/>
      <c r="T921" s="165"/>
      <c r="U921" s="165"/>
      <c r="V921" s="165"/>
      <c r="W921" s="165"/>
      <c r="X921" s="165"/>
      <c r="Y921" s="285"/>
      <c r="Z921" s="165"/>
      <c r="AA921" s="165"/>
      <c r="AB921" s="165"/>
      <c r="AC921" s="165"/>
      <c r="AD921" s="165"/>
      <c r="AE921" s="165"/>
      <c r="AF921" s="165"/>
      <c r="AG921" s="165"/>
      <c r="AH921" s="165"/>
      <c r="AI921" s="165"/>
      <c r="AJ921" s="165"/>
      <c r="AK921" s="165"/>
      <c r="AL921" s="165"/>
    </row>
    <row r="922">
      <c r="A922" s="165"/>
      <c r="B922" s="165"/>
      <c r="C922" s="165"/>
      <c r="D922" s="165"/>
      <c r="E922" s="292"/>
      <c r="F922" s="277"/>
      <c r="G922" s="165"/>
      <c r="H922" s="277"/>
      <c r="I922" s="277"/>
      <c r="J922" s="165"/>
      <c r="K922" s="165"/>
      <c r="L922" s="165"/>
      <c r="M922" s="165"/>
      <c r="N922" s="165"/>
      <c r="O922" s="165"/>
      <c r="P922" s="165"/>
      <c r="Q922" s="165"/>
      <c r="R922" s="165"/>
      <c r="S922" s="165"/>
      <c r="T922" s="165"/>
      <c r="U922" s="165"/>
      <c r="V922" s="165"/>
      <c r="W922" s="165"/>
      <c r="X922" s="165"/>
      <c r="Y922" s="285"/>
      <c r="Z922" s="165"/>
      <c r="AA922" s="165"/>
      <c r="AB922" s="165"/>
      <c r="AC922" s="165"/>
      <c r="AD922" s="165"/>
      <c r="AE922" s="165"/>
      <c r="AF922" s="165"/>
      <c r="AG922" s="165"/>
      <c r="AH922" s="165"/>
      <c r="AI922" s="165"/>
      <c r="AJ922" s="165"/>
      <c r="AK922" s="165"/>
      <c r="AL922" s="165"/>
    </row>
    <row r="923">
      <c r="A923" s="165"/>
      <c r="B923" s="165"/>
      <c r="C923" s="165"/>
      <c r="D923" s="165"/>
      <c r="E923" s="292"/>
      <c r="F923" s="277"/>
      <c r="G923" s="165"/>
      <c r="H923" s="277"/>
      <c r="I923" s="277"/>
      <c r="J923" s="165"/>
      <c r="K923" s="165"/>
      <c r="L923" s="165"/>
      <c r="M923" s="165"/>
      <c r="N923" s="165"/>
      <c r="O923" s="165"/>
      <c r="P923" s="165"/>
      <c r="Q923" s="165"/>
      <c r="R923" s="165"/>
      <c r="S923" s="165"/>
      <c r="T923" s="165"/>
      <c r="U923" s="165"/>
      <c r="V923" s="165"/>
      <c r="W923" s="165"/>
      <c r="X923" s="165"/>
      <c r="Y923" s="285"/>
      <c r="Z923" s="165"/>
      <c r="AA923" s="165"/>
      <c r="AB923" s="165"/>
      <c r="AC923" s="165"/>
      <c r="AD923" s="165"/>
      <c r="AE923" s="165"/>
      <c r="AF923" s="165"/>
      <c r="AG923" s="165"/>
      <c r="AH923" s="165"/>
      <c r="AI923" s="165"/>
      <c r="AJ923" s="165"/>
      <c r="AK923" s="165"/>
      <c r="AL923" s="165"/>
    </row>
    <row r="924">
      <c r="A924" s="165"/>
      <c r="B924" s="165"/>
      <c r="C924" s="165"/>
      <c r="D924" s="165"/>
      <c r="E924" s="292"/>
      <c r="F924" s="277"/>
      <c r="G924" s="165"/>
      <c r="H924" s="277"/>
      <c r="I924" s="277"/>
      <c r="J924" s="165"/>
      <c r="K924" s="165"/>
      <c r="L924" s="165"/>
      <c r="M924" s="165"/>
      <c r="N924" s="165"/>
      <c r="O924" s="165"/>
      <c r="P924" s="165"/>
      <c r="Q924" s="165"/>
      <c r="R924" s="165"/>
      <c r="S924" s="165"/>
      <c r="T924" s="165"/>
      <c r="U924" s="165"/>
      <c r="V924" s="165"/>
      <c r="W924" s="165"/>
      <c r="X924" s="165"/>
      <c r="Y924" s="285"/>
      <c r="Z924" s="165"/>
      <c r="AA924" s="165"/>
      <c r="AB924" s="165"/>
      <c r="AC924" s="165"/>
      <c r="AD924" s="165"/>
      <c r="AE924" s="165"/>
      <c r="AF924" s="165"/>
      <c r="AG924" s="165"/>
      <c r="AH924" s="165"/>
      <c r="AI924" s="165"/>
      <c r="AJ924" s="165"/>
      <c r="AK924" s="165"/>
      <c r="AL924" s="165"/>
    </row>
    <row r="925">
      <c r="A925" s="165"/>
      <c r="B925" s="165"/>
      <c r="C925" s="165"/>
      <c r="D925" s="165"/>
      <c r="E925" s="292"/>
      <c r="F925" s="277"/>
      <c r="G925" s="165"/>
      <c r="H925" s="277"/>
      <c r="I925" s="277"/>
      <c r="J925" s="165"/>
      <c r="K925" s="165"/>
      <c r="L925" s="165"/>
      <c r="M925" s="165"/>
      <c r="N925" s="165"/>
      <c r="O925" s="165"/>
      <c r="P925" s="165"/>
      <c r="Q925" s="165"/>
      <c r="R925" s="165"/>
      <c r="S925" s="165"/>
      <c r="T925" s="165"/>
      <c r="U925" s="165"/>
      <c r="V925" s="165"/>
      <c r="W925" s="165"/>
      <c r="X925" s="165"/>
      <c r="Y925" s="285"/>
      <c r="Z925" s="165"/>
      <c r="AA925" s="165"/>
      <c r="AB925" s="165"/>
      <c r="AC925" s="165"/>
      <c r="AD925" s="165"/>
      <c r="AE925" s="165"/>
      <c r="AF925" s="165"/>
      <c r="AG925" s="165"/>
      <c r="AH925" s="165"/>
      <c r="AI925" s="165"/>
      <c r="AJ925" s="165"/>
      <c r="AK925" s="165"/>
      <c r="AL925" s="165"/>
    </row>
    <row r="926">
      <c r="A926" s="165"/>
      <c r="B926" s="165"/>
      <c r="C926" s="165"/>
      <c r="D926" s="165"/>
      <c r="E926" s="292"/>
      <c r="F926" s="277"/>
      <c r="G926" s="165"/>
      <c r="H926" s="277"/>
      <c r="I926" s="277"/>
      <c r="J926" s="165"/>
      <c r="K926" s="165"/>
      <c r="L926" s="165"/>
      <c r="M926" s="165"/>
      <c r="N926" s="165"/>
      <c r="O926" s="165"/>
      <c r="P926" s="165"/>
      <c r="Q926" s="165"/>
      <c r="R926" s="165"/>
      <c r="S926" s="165"/>
      <c r="T926" s="165"/>
      <c r="U926" s="165"/>
      <c r="V926" s="165"/>
      <c r="W926" s="165"/>
      <c r="X926" s="165"/>
      <c r="Y926" s="285"/>
      <c r="Z926" s="165"/>
      <c r="AA926" s="165"/>
      <c r="AB926" s="165"/>
      <c r="AC926" s="165"/>
      <c r="AD926" s="165"/>
      <c r="AE926" s="165"/>
      <c r="AF926" s="165"/>
      <c r="AG926" s="165"/>
      <c r="AH926" s="165"/>
      <c r="AI926" s="165"/>
      <c r="AJ926" s="165"/>
      <c r="AK926" s="165"/>
      <c r="AL926" s="165"/>
    </row>
    <row r="927">
      <c r="A927" s="165"/>
      <c r="B927" s="165"/>
      <c r="C927" s="165"/>
      <c r="D927" s="165"/>
      <c r="E927" s="292"/>
      <c r="F927" s="277"/>
      <c r="G927" s="165"/>
      <c r="H927" s="277"/>
      <c r="I927" s="277"/>
      <c r="J927" s="165"/>
      <c r="K927" s="165"/>
      <c r="L927" s="165"/>
      <c r="M927" s="165"/>
      <c r="N927" s="165"/>
      <c r="O927" s="165"/>
      <c r="P927" s="165"/>
      <c r="Q927" s="165"/>
      <c r="R927" s="165"/>
      <c r="S927" s="165"/>
      <c r="T927" s="165"/>
      <c r="U927" s="165"/>
      <c r="V927" s="165"/>
      <c r="W927" s="165"/>
      <c r="X927" s="165"/>
      <c r="Y927" s="285"/>
      <c r="Z927" s="165"/>
      <c r="AA927" s="165"/>
      <c r="AB927" s="165"/>
      <c r="AC927" s="165"/>
      <c r="AD927" s="165"/>
      <c r="AE927" s="165"/>
      <c r="AF927" s="165"/>
      <c r="AG927" s="165"/>
      <c r="AH927" s="165"/>
      <c r="AI927" s="165"/>
      <c r="AJ927" s="165"/>
      <c r="AK927" s="165"/>
      <c r="AL927" s="165"/>
    </row>
    <row r="928">
      <c r="A928" s="165"/>
      <c r="B928" s="165"/>
      <c r="C928" s="165"/>
      <c r="D928" s="165"/>
      <c r="E928" s="292"/>
      <c r="F928" s="277"/>
      <c r="G928" s="165"/>
      <c r="H928" s="277"/>
      <c r="I928" s="277"/>
      <c r="J928" s="165"/>
      <c r="K928" s="165"/>
      <c r="L928" s="165"/>
      <c r="M928" s="165"/>
      <c r="N928" s="165"/>
      <c r="O928" s="165"/>
      <c r="P928" s="165"/>
      <c r="Q928" s="165"/>
      <c r="R928" s="165"/>
      <c r="S928" s="165"/>
      <c r="T928" s="165"/>
      <c r="U928" s="165"/>
      <c r="V928" s="165"/>
      <c r="W928" s="165"/>
      <c r="X928" s="165"/>
      <c r="Y928" s="285"/>
      <c r="Z928" s="165"/>
      <c r="AA928" s="165"/>
      <c r="AB928" s="165"/>
      <c r="AC928" s="165"/>
      <c r="AD928" s="165"/>
      <c r="AE928" s="165"/>
      <c r="AF928" s="165"/>
      <c r="AG928" s="165"/>
      <c r="AH928" s="165"/>
      <c r="AI928" s="165"/>
      <c r="AJ928" s="165"/>
      <c r="AK928" s="165"/>
      <c r="AL928" s="165"/>
    </row>
    <row r="929">
      <c r="A929" s="165"/>
      <c r="B929" s="165"/>
      <c r="C929" s="165"/>
      <c r="D929" s="165"/>
      <c r="E929" s="292"/>
      <c r="F929" s="277"/>
      <c r="G929" s="165"/>
      <c r="H929" s="277"/>
      <c r="I929" s="277"/>
      <c r="J929" s="165"/>
      <c r="K929" s="165"/>
      <c r="L929" s="165"/>
      <c r="M929" s="165"/>
      <c r="N929" s="165"/>
      <c r="O929" s="165"/>
      <c r="P929" s="165"/>
      <c r="Q929" s="165"/>
      <c r="R929" s="165"/>
      <c r="S929" s="165"/>
      <c r="T929" s="165"/>
      <c r="U929" s="165"/>
      <c r="V929" s="165"/>
      <c r="W929" s="165"/>
      <c r="X929" s="165"/>
      <c r="Y929" s="285"/>
      <c r="Z929" s="165"/>
      <c r="AA929" s="165"/>
      <c r="AB929" s="165"/>
      <c r="AC929" s="165"/>
      <c r="AD929" s="165"/>
      <c r="AE929" s="165"/>
      <c r="AF929" s="165"/>
      <c r="AG929" s="165"/>
      <c r="AH929" s="165"/>
      <c r="AI929" s="165"/>
      <c r="AJ929" s="165"/>
      <c r="AK929" s="165"/>
      <c r="AL929" s="165"/>
    </row>
    <row r="930">
      <c r="A930" s="165"/>
      <c r="B930" s="165"/>
      <c r="C930" s="165"/>
      <c r="D930" s="165"/>
      <c r="E930" s="292"/>
      <c r="F930" s="277"/>
      <c r="G930" s="165"/>
      <c r="H930" s="277"/>
      <c r="I930" s="277"/>
      <c r="J930" s="165"/>
      <c r="K930" s="165"/>
      <c r="L930" s="165"/>
      <c r="M930" s="165"/>
      <c r="N930" s="165"/>
      <c r="O930" s="165"/>
      <c r="P930" s="165"/>
      <c r="Q930" s="165"/>
      <c r="R930" s="165"/>
      <c r="S930" s="165"/>
      <c r="T930" s="165"/>
      <c r="U930" s="165"/>
      <c r="V930" s="165"/>
      <c r="W930" s="165"/>
      <c r="X930" s="165"/>
      <c r="Y930" s="285"/>
      <c r="Z930" s="165"/>
      <c r="AA930" s="165"/>
      <c r="AB930" s="165"/>
      <c r="AC930" s="165"/>
      <c r="AD930" s="165"/>
      <c r="AE930" s="165"/>
      <c r="AF930" s="165"/>
      <c r="AG930" s="165"/>
      <c r="AH930" s="165"/>
      <c r="AI930" s="165"/>
      <c r="AJ930" s="165"/>
      <c r="AK930" s="165"/>
      <c r="AL930" s="165"/>
    </row>
    <row r="931">
      <c r="A931" s="165"/>
      <c r="B931" s="165"/>
      <c r="C931" s="165"/>
      <c r="D931" s="165"/>
      <c r="E931" s="292"/>
      <c r="F931" s="277"/>
      <c r="G931" s="165"/>
      <c r="H931" s="277"/>
      <c r="I931" s="277"/>
      <c r="J931" s="165"/>
      <c r="K931" s="165"/>
      <c r="L931" s="165"/>
      <c r="M931" s="165"/>
      <c r="N931" s="165"/>
      <c r="O931" s="165"/>
      <c r="P931" s="165"/>
      <c r="Q931" s="165"/>
      <c r="R931" s="165"/>
      <c r="S931" s="165"/>
      <c r="T931" s="165"/>
      <c r="U931" s="165"/>
      <c r="V931" s="165"/>
      <c r="W931" s="165"/>
      <c r="X931" s="165"/>
      <c r="Y931" s="285"/>
      <c r="Z931" s="165"/>
      <c r="AA931" s="165"/>
      <c r="AB931" s="165"/>
      <c r="AC931" s="165"/>
      <c r="AD931" s="165"/>
      <c r="AE931" s="165"/>
      <c r="AF931" s="165"/>
      <c r="AG931" s="165"/>
      <c r="AH931" s="165"/>
      <c r="AI931" s="165"/>
      <c r="AJ931" s="165"/>
      <c r="AK931" s="165"/>
      <c r="AL931" s="165"/>
    </row>
    <row r="932">
      <c r="A932" s="165"/>
      <c r="B932" s="165"/>
      <c r="C932" s="165"/>
      <c r="D932" s="165"/>
      <c r="E932" s="292"/>
      <c r="F932" s="277"/>
      <c r="G932" s="165"/>
      <c r="H932" s="277"/>
      <c r="I932" s="277"/>
      <c r="J932" s="165"/>
      <c r="K932" s="165"/>
      <c r="L932" s="165"/>
      <c r="M932" s="165"/>
      <c r="N932" s="165"/>
      <c r="O932" s="165"/>
      <c r="P932" s="165"/>
      <c r="Q932" s="165"/>
      <c r="R932" s="165"/>
      <c r="S932" s="165"/>
      <c r="T932" s="165"/>
      <c r="U932" s="165"/>
      <c r="V932" s="165"/>
      <c r="W932" s="165"/>
      <c r="X932" s="165"/>
      <c r="Y932" s="285"/>
      <c r="Z932" s="165"/>
      <c r="AA932" s="165"/>
      <c r="AB932" s="165"/>
      <c r="AC932" s="165"/>
      <c r="AD932" s="165"/>
      <c r="AE932" s="165"/>
      <c r="AF932" s="165"/>
      <c r="AG932" s="165"/>
      <c r="AH932" s="165"/>
      <c r="AI932" s="165"/>
      <c r="AJ932" s="165"/>
      <c r="AK932" s="165"/>
      <c r="AL932" s="165"/>
    </row>
    <row r="933">
      <c r="A933" s="165"/>
      <c r="B933" s="165"/>
      <c r="C933" s="165"/>
      <c r="D933" s="165"/>
      <c r="E933" s="292"/>
      <c r="F933" s="277"/>
      <c r="G933" s="165"/>
      <c r="H933" s="277"/>
      <c r="I933" s="277"/>
      <c r="J933" s="165"/>
      <c r="K933" s="165"/>
      <c r="L933" s="165"/>
      <c r="M933" s="165"/>
      <c r="N933" s="165"/>
      <c r="O933" s="165"/>
      <c r="P933" s="165"/>
      <c r="Q933" s="165"/>
      <c r="R933" s="165"/>
      <c r="S933" s="165"/>
      <c r="T933" s="165"/>
      <c r="U933" s="165"/>
      <c r="V933" s="165"/>
      <c r="W933" s="165"/>
      <c r="X933" s="165"/>
      <c r="Y933" s="285"/>
      <c r="Z933" s="165"/>
      <c r="AA933" s="165"/>
      <c r="AB933" s="165"/>
      <c r="AC933" s="165"/>
      <c r="AD933" s="165"/>
      <c r="AE933" s="165"/>
      <c r="AF933" s="165"/>
      <c r="AG933" s="165"/>
      <c r="AH933" s="165"/>
      <c r="AI933" s="165"/>
      <c r="AJ933" s="165"/>
      <c r="AK933" s="165"/>
      <c r="AL933" s="165"/>
    </row>
    <row r="934">
      <c r="A934" s="165"/>
      <c r="B934" s="165"/>
      <c r="C934" s="165"/>
      <c r="D934" s="165"/>
      <c r="E934" s="292"/>
      <c r="F934" s="277"/>
      <c r="G934" s="165"/>
      <c r="H934" s="277"/>
      <c r="I934" s="277"/>
      <c r="J934" s="165"/>
      <c r="K934" s="165"/>
      <c r="L934" s="165"/>
      <c r="M934" s="165"/>
      <c r="N934" s="165"/>
      <c r="O934" s="165"/>
      <c r="P934" s="165"/>
      <c r="Q934" s="165"/>
      <c r="R934" s="165"/>
      <c r="S934" s="165"/>
      <c r="T934" s="165"/>
      <c r="U934" s="165"/>
      <c r="V934" s="165"/>
      <c r="W934" s="165"/>
      <c r="X934" s="165"/>
      <c r="Y934" s="285"/>
      <c r="Z934" s="165"/>
      <c r="AA934" s="165"/>
      <c r="AB934" s="165"/>
      <c r="AC934" s="165"/>
      <c r="AD934" s="165"/>
      <c r="AE934" s="165"/>
      <c r="AF934" s="165"/>
      <c r="AG934" s="165"/>
      <c r="AH934" s="165"/>
      <c r="AI934" s="165"/>
      <c r="AJ934" s="165"/>
      <c r="AK934" s="165"/>
      <c r="AL934" s="165"/>
    </row>
    <row r="935">
      <c r="A935" s="165"/>
      <c r="B935" s="165"/>
      <c r="C935" s="165"/>
      <c r="D935" s="165"/>
      <c r="E935" s="292"/>
      <c r="F935" s="277"/>
      <c r="G935" s="165"/>
      <c r="H935" s="277"/>
      <c r="I935" s="277"/>
      <c r="J935" s="165"/>
      <c r="K935" s="165"/>
      <c r="L935" s="165"/>
      <c r="M935" s="165"/>
      <c r="N935" s="165"/>
      <c r="O935" s="165"/>
      <c r="P935" s="165"/>
      <c r="Q935" s="165"/>
      <c r="R935" s="165"/>
      <c r="S935" s="165"/>
      <c r="T935" s="165"/>
      <c r="U935" s="165"/>
      <c r="V935" s="165"/>
      <c r="W935" s="165"/>
      <c r="X935" s="165"/>
      <c r="Y935" s="285"/>
      <c r="Z935" s="165"/>
      <c r="AA935" s="165"/>
      <c r="AB935" s="165"/>
      <c r="AC935" s="165"/>
      <c r="AD935" s="165"/>
      <c r="AE935" s="165"/>
      <c r="AF935" s="165"/>
      <c r="AG935" s="165"/>
      <c r="AH935" s="165"/>
      <c r="AI935" s="165"/>
      <c r="AJ935" s="165"/>
      <c r="AK935" s="165"/>
      <c r="AL935" s="165"/>
    </row>
    <row r="936">
      <c r="A936" s="165"/>
      <c r="B936" s="165"/>
      <c r="C936" s="165"/>
      <c r="D936" s="165"/>
      <c r="E936" s="292"/>
      <c r="F936" s="277"/>
      <c r="G936" s="165"/>
      <c r="H936" s="277"/>
      <c r="I936" s="277"/>
      <c r="J936" s="165"/>
      <c r="K936" s="165"/>
      <c r="L936" s="165"/>
      <c r="M936" s="165"/>
      <c r="N936" s="165"/>
      <c r="O936" s="165"/>
      <c r="P936" s="165"/>
      <c r="Q936" s="165"/>
      <c r="R936" s="165"/>
      <c r="S936" s="165"/>
      <c r="T936" s="165"/>
      <c r="U936" s="165"/>
      <c r="V936" s="165"/>
      <c r="W936" s="165"/>
      <c r="X936" s="165"/>
      <c r="Y936" s="285"/>
      <c r="Z936" s="165"/>
      <c r="AA936" s="165"/>
      <c r="AB936" s="165"/>
      <c r="AC936" s="165"/>
      <c r="AD936" s="165"/>
      <c r="AE936" s="165"/>
      <c r="AF936" s="165"/>
      <c r="AG936" s="165"/>
      <c r="AH936" s="165"/>
      <c r="AI936" s="165"/>
      <c r="AJ936" s="165"/>
      <c r="AK936" s="165"/>
      <c r="AL936" s="165"/>
    </row>
    <row r="937">
      <c r="A937" s="165"/>
      <c r="B937" s="165"/>
      <c r="C937" s="165"/>
      <c r="D937" s="165"/>
      <c r="E937" s="292"/>
      <c r="F937" s="277"/>
      <c r="G937" s="165"/>
      <c r="H937" s="277"/>
      <c r="I937" s="277"/>
      <c r="J937" s="165"/>
      <c r="K937" s="165"/>
      <c r="L937" s="165"/>
      <c r="M937" s="165"/>
      <c r="N937" s="165"/>
      <c r="O937" s="165"/>
      <c r="P937" s="165"/>
      <c r="Q937" s="165"/>
      <c r="R937" s="165"/>
      <c r="S937" s="165"/>
      <c r="T937" s="165"/>
      <c r="U937" s="165"/>
      <c r="V937" s="165"/>
      <c r="W937" s="165"/>
      <c r="X937" s="165"/>
      <c r="Y937" s="285"/>
      <c r="Z937" s="165"/>
      <c r="AA937" s="165"/>
      <c r="AB937" s="165"/>
      <c r="AC937" s="165"/>
      <c r="AD937" s="165"/>
      <c r="AE937" s="165"/>
      <c r="AF937" s="165"/>
      <c r="AG937" s="165"/>
      <c r="AH937" s="165"/>
      <c r="AI937" s="165"/>
      <c r="AJ937" s="165"/>
      <c r="AK937" s="165"/>
      <c r="AL937" s="165"/>
    </row>
    <row r="938">
      <c r="A938" s="165"/>
      <c r="B938" s="165"/>
      <c r="C938" s="165"/>
      <c r="D938" s="165"/>
      <c r="E938" s="292"/>
      <c r="F938" s="277"/>
      <c r="G938" s="165"/>
      <c r="H938" s="277"/>
      <c r="I938" s="277"/>
      <c r="J938" s="165"/>
      <c r="K938" s="165"/>
      <c r="L938" s="165"/>
      <c r="M938" s="165"/>
      <c r="N938" s="165"/>
      <c r="O938" s="165"/>
      <c r="P938" s="165"/>
      <c r="Q938" s="165"/>
      <c r="R938" s="165"/>
      <c r="S938" s="165"/>
      <c r="T938" s="165"/>
      <c r="U938" s="165"/>
      <c r="V938" s="165"/>
      <c r="W938" s="165"/>
      <c r="X938" s="165"/>
      <c r="Y938" s="285"/>
      <c r="Z938" s="165"/>
      <c r="AA938" s="165"/>
      <c r="AB938" s="165"/>
      <c r="AC938" s="165"/>
      <c r="AD938" s="165"/>
      <c r="AE938" s="165"/>
      <c r="AF938" s="165"/>
      <c r="AG938" s="165"/>
      <c r="AH938" s="165"/>
      <c r="AI938" s="165"/>
      <c r="AJ938" s="165"/>
      <c r="AK938" s="165"/>
      <c r="AL938" s="165"/>
    </row>
    <row r="939">
      <c r="A939" s="165"/>
      <c r="B939" s="165"/>
      <c r="C939" s="165"/>
      <c r="D939" s="165"/>
      <c r="E939" s="292"/>
      <c r="F939" s="277"/>
      <c r="G939" s="165"/>
      <c r="H939" s="277"/>
      <c r="I939" s="277"/>
      <c r="J939" s="165"/>
      <c r="K939" s="165"/>
      <c r="L939" s="165"/>
      <c r="M939" s="165"/>
      <c r="N939" s="165"/>
      <c r="O939" s="165"/>
      <c r="P939" s="165"/>
      <c r="Q939" s="165"/>
      <c r="R939" s="165"/>
      <c r="S939" s="165"/>
      <c r="T939" s="165"/>
      <c r="U939" s="165"/>
      <c r="V939" s="165"/>
      <c r="W939" s="165"/>
      <c r="X939" s="165"/>
      <c r="Y939" s="285"/>
      <c r="Z939" s="165"/>
      <c r="AA939" s="165"/>
      <c r="AB939" s="165"/>
      <c r="AC939" s="165"/>
      <c r="AD939" s="165"/>
      <c r="AE939" s="165"/>
      <c r="AF939" s="165"/>
      <c r="AG939" s="165"/>
      <c r="AH939" s="165"/>
      <c r="AI939" s="165"/>
      <c r="AJ939" s="165"/>
      <c r="AK939" s="165"/>
      <c r="AL939" s="165"/>
    </row>
    <row r="940">
      <c r="A940" s="165"/>
      <c r="B940" s="165"/>
      <c r="C940" s="165"/>
      <c r="D940" s="165"/>
      <c r="E940" s="292"/>
      <c r="F940" s="277"/>
      <c r="G940" s="165"/>
      <c r="H940" s="277"/>
      <c r="I940" s="277"/>
      <c r="J940" s="165"/>
      <c r="K940" s="165"/>
      <c r="L940" s="165"/>
      <c r="M940" s="165"/>
      <c r="N940" s="165"/>
      <c r="O940" s="165"/>
      <c r="P940" s="165"/>
      <c r="Q940" s="165"/>
      <c r="R940" s="165"/>
      <c r="S940" s="165"/>
      <c r="T940" s="165"/>
      <c r="U940" s="165"/>
      <c r="V940" s="165"/>
      <c r="W940" s="165"/>
      <c r="X940" s="165"/>
      <c r="Y940" s="285"/>
      <c r="Z940" s="165"/>
      <c r="AA940" s="165"/>
      <c r="AB940" s="165"/>
      <c r="AC940" s="165"/>
      <c r="AD940" s="165"/>
      <c r="AE940" s="165"/>
      <c r="AF940" s="165"/>
      <c r="AG940" s="165"/>
      <c r="AH940" s="165"/>
      <c r="AI940" s="165"/>
      <c r="AJ940" s="165"/>
      <c r="AK940" s="165"/>
      <c r="AL940" s="165"/>
    </row>
    <row r="941">
      <c r="A941" s="165"/>
      <c r="B941" s="165"/>
      <c r="C941" s="165"/>
      <c r="D941" s="165"/>
      <c r="E941" s="292"/>
      <c r="F941" s="277"/>
      <c r="G941" s="165"/>
      <c r="H941" s="277"/>
      <c r="I941" s="277"/>
      <c r="J941" s="165"/>
      <c r="K941" s="165"/>
      <c r="L941" s="165"/>
      <c r="M941" s="165"/>
      <c r="N941" s="165"/>
      <c r="O941" s="165"/>
      <c r="P941" s="165"/>
      <c r="Q941" s="165"/>
      <c r="R941" s="165"/>
      <c r="S941" s="165"/>
      <c r="T941" s="165"/>
      <c r="U941" s="165"/>
      <c r="V941" s="165"/>
      <c r="W941" s="165"/>
      <c r="X941" s="165"/>
      <c r="Y941" s="285"/>
      <c r="Z941" s="165"/>
      <c r="AA941" s="165"/>
      <c r="AB941" s="165"/>
      <c r="AC941" s="165"/>
      <c r="AD941" s="165"/>
      <c r="AE941" s="165"/>
      <c r="AF941" s="165"/>
      <c r="AG941" s="165"/>
      <c r="AH941" s="165"/>
      <c r="AI941" s="165"/>
      <c r="AJ941" s="165"/>
      <c r="AK941" s="165"/>
      <c r="AL941" s="165"/>
    </row>
    <row r="942">
      <c r="A942" s="165"/>
      <c r="B942" s="165"/>
      <c r="C942" s="165"/>
      <c r="D942" s="165"/>
      <c r="E942" s="292"/>
      <c r="F942" s="277"/>
      <c r="G942" s="165"/>
      <c r="H942" s="277"/>
      <c r="I942" s="277"/>
      <c r="J942" s="165"/>
      <c r="K942" s="165"/>
      <c r="L942" s="165"/>
      <c r="M942" s="165"/>
      <c r="N942" s="165"/>
      <c r="O942" s="165"/>
      <c r="P942" s="165"/>
      <c r="Q942" s="165"/>
      <c r="R942" s="165"/>
      <c r="S942" s="165"/>
      <c r="T942" s="165"/>
      <c r="U942" s="165"/>
      <c r="V942" s="165"/>
      <c r="W942" s="165"/>
      <c r="X942" s="165"/>
      <c r="Y942" s="285"/>
      <c r="Z942" s="165"/>
      <c r="AA942" s="165"/>
      <c r="AB942" s="165"/>
      <c r="AC942" s="165"/>
      <c r="AD942" s="165"/>
      <c r="AE942" s="165"/>
      <c r="AF942" s="165"/>
      <c r="AG942" s="165"/>
      <c r="AH942" s="165"/>
      <c r="AI942" s="165"/>
      <c r="AJ942" s="165"/>
      <c r="AK942" s="165"/>
      <c r="AL942" s="165"/>
    </row>
    <row r="943">
      <c r="A943" s="165"/>
      <c r="B943" s="165"/>
      <c r="C943" s="165"/>
      <c r="D943" s="165"/>
      <c r="E943" s="292"/>
      <c r="F943" s="277"/>
      <c r="G943" s="165"/>
      <c r="H943" s="277"/>
      <c r="I943" s="277"/>
      <c r="J943" s="165"/>
      <c r="K943" s="165"/>
      <c r="L943" s="165"/>
      <c r="M943" s="165"/>
      <c r="N943" s="165"/>
      <c r="O943" s="165"/>
      <c r="P943" s="165"/>
      <c r="Q943" s="165"/>
      <c r="R943" s="165"/>
      <c r="S943" s="165"/>
      <c r="T943" s="165"/>
      <c r="U943" s="165"/>
      <c r="V943" s="165"/>
      <c r="W943" s="165"/>
      <c r="X943" s="165"/>
      <c r="Y943" s="285"/>
      <c r="Z943" s="165"/>
      <c r="AA943" s="165"/>
      <c r="AB943" s="165"/>
      <c r="AC943" s="165"/>
      <c r="AD943" s="165"/>
      <c r="AE943" s="165"/>
      <c r="AF943" s="165"/>
      <c r="AG943" s="165"/>
      <c r="AH943" s="165"/>
      <c r="AI943" s="165"/>
      <c r="AJ943" s="165"/>
      <c r="AK943" s="165"/>
      <c r="AL943" s="165"/>
    </row>
    <row r="944">
      <c r="A944" s="165"/>
      <c r="B944" s="165"/>
      <c r="C944" s="165"/>
      <c r="D944" s="165"/>
      <c r="E944" s="292"/>
      <c r="F944" s="277"/>
      <c r="G944" s="165"/>
      <c r="H944" s="277"/>
      <c r="I944" s="277"/>
      <c r="J944" s="165"/>
      <c r="K944" s="165"/>
      <c r="L944" s="165"/>
      <c r="M944" s="165"/>
      <c r="N944" s="165"/>
      <c r="O944" s="165"/>
      <c r="P944" s="165"/>
      <c r="Q944" s="165"/>
      <c r="R944" s="165"/>
      <c r="S944" s="165"/>
      <c r="T944" s="165"/>
      <c r="U944" s="165"/>
      <c r="V944" s="165"/>
      <c r="W944" s="165"/>
      <c r="X944" s="165"/>
      <c r="Y944" s="285"/>
      <c r="Z944" s="165"/>
      <c r="AA944" s="165"/>
      <c r="AB944" s="165"/>
      <c r="AC944" s="165"/>
      <c r="AD944" s="165"/>
      <c r="AE944" s="165"/>
      <c r="AF944" s="165"/>
      <c r="AG944" s="165"/>
      <c r="AH944" s="165"/>
      <c r="AI944" s="165"/>
      <c r="AJ944" s="165"/>
      <c r="AK944" s="165"/>
      <c r="AL944" s="165"/>
    </row>
  </sheetData>
  <hyperlinks>
    <hyperlink r:id="rId1" ref="E2"/>
    <hyperlink r:id="rId2" ref="E6"/>
    <hyperlink r:id="rId3" ref="E9"/>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5260"/>
    <outlinePr summaryBelow="0" summaryRight="0"/>
  </sheetPr>
  <sheetViews>
    <sheetView workbookViewId="0">
      <pane xSplit="4.0" topLeftCell="E1" activePane="topRight" state="frozen"/>
      <selection activeCell="F2" sqref="F2" pane="topRight"/>
    </sheetView>
  </sheetViews>
  <sheetFormatPr customHeight="1" defaultColWidth="12.63" defaultRowHeight="15.75" outlineLevelCol="1" outlineLevelRow="1"/>
  <cols>
    <col customWidth="1" min="1" max="1" width="13.5"/>
    <col customWidth="1" min="2" max="2" width="15.63"/>
    <col customWidth="1" min="3" max="3" width="3.63"/>
    <col customWidth="1" min="4" max="4" width="39.75"/>
    <col customWidth="1" min="5" max="5" width="19.25"/>
    <col customWidth="1" min="6" max="6" width="17.25"/>
    <col customWidth="1" min="7" max="7" width="12.38"/>
    <col customWidth="1" min="8" max="8" width="16.5"/>
    <col customWidth="1" min="9" max="9" width="26.88"/>
    <col customWidth="1" min="10" max="10" width="4.75"/>
    <col customWidth="1" min="11" max="11" width="16.75"/>
    <col customWidth="1" min="12" max="12" width="1.0"/>
    <col customWidth="1" min="13" max="13" width="15.88"/>
    <col customWidth="1" min="14" max="14" width="15.5" outlineLevel="1"/>
    <col customWidth="1" min="15" max="16" width="14.25" outlineLevel="1"/>
    <col customWidth="1" min="17" max="18" width="13.88"/>
    <col customWidth="1" min="19" max="21" width="15.63"/>
  </cols>
  <sheetData>
    <row r="1" ht="20.25" customHeight="1">
      <c r="A1" s="2" t="s">
        <v>955</v>
      </c>
      <c r="B1" s="2" t="s">
        <v>0</v>
      </c>
      <c r="C1" s="2" t="s">
        <v>1398</v>
      </c>
      <c r="E1" s="2" t="s">
        <v>1399</v>
      </c>
      <c r="F1" s="3" t="s">
        <v>3</v>
      </c>
      <c r="G1" s="2" t="s">
        <v>1400</v>
      </c>
      <c r="H1" s="2" t="s">
        <v>959</v>
      </c>
      <c r="I1" s="302" t="s">
        <v>5</v>
      </c>
      <c r="J1" s="2" t="s">
        <v>6</v>
      </c>
      <c r="K1" s="303" t="s">
        <v>955</v>
      </c>
      <c r="L1" s="304"/>
      <c r="M1" s="2" t="s">
        <v>8</v>
      </c>
      <c r="N1" s="2" t="s">
        <v>9</v>
      </c>
      <c r="O1" s="2" t="s">
        <v>10</v>
      </c>
      <c r="P1" s="2" t="s">
        <v>11</v>
      </c>
      <c r="Q1" s="2" t="s">
        <v>12</v>
      </c>
      <c r="R1" s="305" t="s">
        <v>13</v>
      </c>
      <c r="S1" s="306" t="s">
        <v>1401</v>
      </c>
      <c r="T1" s="2" t="s">
        <v>1356</v>
      </c>
      <c r="U1" s="2"/>
    </row>
    <row r="2" ht="20.25" customHeight="1" collapsed="1">
      <c r="A2" s="216" t="str">
        <f>IFERROR(__xludf.DUMMYFUNCTION("ARRAYFORMULA(IFERROR(VLOOKUP(REGEXEXTRACT(B2, ""-(\w+)-""), {Data_Validation!$F$16:$F$29, Data_Validation!$E$16:$E$29}, 2, FALSE), """"))
"),"Nvidia")</f>
        <v>Nvidia</v>
      </c>
      <c r="B2" s="265" t="s">
        <v>1402</v>
      </c>
      <c r="C2" s="265" t="s">
        <v>1403</v>
      </c>
      <c r="E2" s="265" t="s">
        <v>984</v>
      </c>
      <c r="F2" s="265" t="s">
        <v>22</v>
      </c>
      <c r="G2" s="265" t="s">
        <v>89</v>
      </c>
      <c r="H2" s="307">
        <v>45168.0</v>
      </c>
      <c r="I2" s="308"/>
      <c r="J2" s="309">
        <v>4.0</v>
      </c>
      <c r="K2" s="310"/>
      <c r="L2" s="311"/>
      <c r="M2" s="312">
        <f>MIN(M3:M6)</f>
        <v>0</v>
      </c>
      <c r="N2" s="313">
        <f>MAX(N3:N6)</f>
        <v>0</v>
      </c>
      <c r="O2" s="314"/>
      <c r="P2" s="314"/>
      <c r="Q2" s="315"/>
      <c r="R2" s="316">
        <f t="shared" ref="R2:S2" si="1">SUM(R3:R6)</f>
        <v>0</v>
      </c>
      <c r="S2" s="317">
        <f t="shared" si="1"/>
        <v>0</v>
      </c>
      <c r="T2" s="317">
        <f>AVERAGE(T3:T6)</f>
        <v>125</v>
      </c>
      <c r="U2" s="317"/>
    </row>
    <row r="3" ht="20.25" hidden="1" customHeight="1" outlineLevel="1">
      <c r="A3" s="216" t="str">
        <f>IFERROR(__xludf.DUMMYFUNCTION("ARRAYFORMULA(IFERROR(VLOOKUP(REGEXEXTRACT(B3, ""-(\w+)-""), {Data_Validation!$F$16:$F$29, Data_Validation!$E$16:$E$29}, 2, FALSE), """"))
"),"Nvidia")</f>
        <v>Nvidia</v>
      </c>
      <c r="B3" s="265" t="s">
        <v>1404</v>
      </c>
      <c r="D3" s="265" t="s">
        <v>1405</v>
      </c>
      <c r="E3" s="265" t="s">
        <v>26</v>
      </c>
      <c r="F3" s="265" t="s">
        <v>22</v>
      </c>
      <c r="H3" s="307">
        <v>45161.4978619676</v>
      </c>
      <c r="I3" s="307">
        <v>1.0</v>
      </c>
      <c r="K3" s="318"/>
      <c r="L3" s="311"/>
      <c r="M3" s="312"/>
      <c r="N3" s="313"/>
      <c r="O3" s="314"/>
      <c r="P3" s="314"/>
      <c r="Q3" s="315"/>
      <c r="R3" s="316"/>
      <c r="S3" s="317">
        <f t="shared" ref="S3:S6" si="2">T3*24*R3</f>
        <v>0</v>
      </c>
      <c r="T3" s="317">
        <f>VLOOKUP(F3, Data_Validation!$D$2:$G$15, 4, FALSE)</f>
        <v>125</v>
      </c>
      <c r="U3" s="317"/>
    </row>
    <row r="4" ht="20.25" hidden="1" customHeight="1" outlineLevel="1">
      <c r="A4" s="216" t="str">
        <f>IFERROR(__xludf.DUMMYFUNCTION("ARRAYFORMULA(IFERROR(VLOOKUP(REGEXEXTRACT(B4, ""-(\w+)-""), {Data_Validation!$F$16:$F$29, Data_Validation!$E$16:$E$29}, 2, FALSE), """"))
"),"Nvidia")</f>
        <v>Nvidia</v>
      </c>
      <c r="B4" s="265" t="s">
        <v>1406</v>
      </c>
      <c r="D4" s="265" t="s">
        <v>1407</v>
      </c>
      <c r="E4" s="265" t="s">
        <v>26</v>
      </c>
      <c r="F4" s="265" t="s">
        <v>22</v>
      </c>
      <c r="H4" s="307">
        <v>45161.4978619676</v>
      </c>
      <c r="I4" s="307">
        <v>1.0</v>
      </c>
      <c r="K4" s="318"/>
      <c r="L4" s="311"/>
      <c r="M4" s="312"/>
      <c r="N4" s="313"/>
      <c r="O4" s="314"/>
      <c r="P4" s="314"/>
      <c r="Q4" s="315"/>
      <c r="R4" s="316"/>
      <c r="S4" s="317">
        <f t="shared" si="2"/>
        <v>0</v>
      </c>
      <c r="T4" s="317">
        <f>VLOOKUP(F4, Data_Validation!$D$2:$G$15, 4, FALSE)</f>
        <v>125</v>
      </c>
      <c r="U4" s="317"/>
    </row>
    <row r="5" ht="20.25" hidden="1" customHeight="1" outlineLevel="1">
      <c r="A5" s="216" t="str">
        <f>IFERROR(__xludf.DUMMYFUNCTION("ARRAYFORMULA(IFERROR(VLOOKUP(REGEXEXTRACT(B5, ""-(\w+)-""), {Data_Validation!$F$16:$F$29, Data_Validation!$E$16:$E$29}, 2, FALSE), """"))
"),"Nvidia")</f>
        <v>Nvidia</v>
      </c>
      <c r="B5" s="265" t="s">
        <v>1408</v>
      </c>
      <c r="D5" s="265" t="s">
        <v>661</v>
      </c>
      <c r="E5" s="265" t="s">
        <v>26</v>
      </c>
      <c r="F5" s="265" t="s">
        <v>22</v>
      </c>
      <c r="H5" s="307">
        <v>45168.0</v>
      </c>
      <c r="I5" s="307">
        <v>1.0</v>
      </c>
      <c r="K5" s="318"/>
      <c r="L5" s="311"/>
      <c r="M5" s="312"/>
      <c r="N5" s="313"/>
      <c r="O5" s="314"/>
      <c r="P5" s="314"/>
      <c r="Q5" s="315"/>
      <c r="R5" s="316"/>
      <c r="S5" s="317">
        <f t="shared" si="2"/>
        <v>0</v>
      </c>
      <c r="T5" s="317">
        <f>VLOOKUP(F5, Data_Validation!$D$2:$G$15, 4, FALSE)</f>
        <v>125</v>
      </c>
      <c r="U5" s="317"/>
    </row>
    <row r="6" ht="20.25" hidden="1" customHeight="1" outlineLevel="1">
      <c r="A6" s="216" t="str">
        <f>IFERROR(__xludf.DUMMYFUNCTION("ARRAYFORMULA(IFERROR(VLOOKUP(REGEXEXTRACT(B6, ""-(\w+)-""), {Data_Validation!$F$16:$F$29, Data_Validation!$E$16:$E$29}, 2, FALSE), """"))
"),"Nvidia")</f>
        <v>Nvidia</v>
      </c>
      <c r="B6" s="265" t="s">
        <v>1409</v>
      </c>
      <c r="D6" s="265" t="s">
        <v>1410</v>
      </c>
      <c r="E6" s="265" t="s">
        <v>26</v>
      </c>
      <c r="F6" s="265" t="s">
        <v>22</v>
      </c>
      <c r="H6" s="307">
        <v>45161.4978619676</v>
      </c>
      <c r="I6" s="307">
        <v>1.0</v>
      </c>
      <c r="K6" s="318"/>
      <c r="L6" s="311"/>
      <c r="M6" s="312"/>
      <c r="N6" s="313"/>
      <c r="O6" s="314"/>
      <c r="P6" s="314"/>
      <c r="Q6" s="315"/>
      <c r="R6" s="316"/>
      <c r="S6" s="317">
        <f t="shared" si="2"/>
        <v>0</v>
      </c>
      <c r="T6" s="317">
        <f>VLOOKUP(F6, Data_Validation!$D$2:$G$15, 4, FALSE)</f>
        <v>125</v>
      </c>
      <c r="U6" s="317"/>
    </row>
    <row r="7" ht="20.25" customHeight="1" collapsed="1">
      <c r="A7" s="216" t="str">
        <f>IFERROR(__xludf.DUMMYFUNCTION("ARRAYFORMULA(IFERROR(VLOOKUP(REGEXEXTRACT(B7, ""-(\w+)-""), {Data_Validation!$F$16:$F$29, Data_Validation!$E$16:$E$29}, 2, FALSE), """"))
"),"Picture This!")</f>
        <v>Picture This!</v>
      </c>
      <c r="B7" s="265" t="s">
        <v>1411</v>
      </c>
      <c r="C7" s="265" t="s">
        <v>1412</v>
      </c>
      <c r="E7" s="265" t="s">
        <v>1228</v>
      </c>
      <c r="F7" s="265" t="s">
        <v>22</v>
      </c>
      <c r="G7" s="265" t="s">
        <v>79</v>
      </c>
      <c r="H7" s="307">
        <v>45164.0</v>
      </c>
      <c r="I7" s="308"/>
      <c r="J7" s="309">
        <v>2.0</v>
      </c>
      <c r="K7" s="318"/>
      <c r="L7" s="311"/>
      <c r="M7" s="312">
        <v>45164.6677728588</v>
      </c>
      <c r="N7" s="313">
        <v>45164.67136170139</v>
      </c>
      <c r="O7" s="314"/>
      <c r="P7" s="314"/>
      <c r="Q7" s="315"/>
      <c r="R7" s="316">
        <v>0.002777777779556345</v>
      </c>
      <c r="S7" s="316"/>
      <c r="T7" s="316"/>
      <c r="U7" s="316"/>
    </row>
    <row r="8" ht="20.25" hidden="1" customHeight="1" outlineLevel="1">
      <c r="A8" s="216" t="str">
        <f>IFERROR(__xludf.DUMMYFUNCTION("ARRAYFORMULA(IFERROR(VLOOKUP(REGEXEXTRACT(B8, ""-(\w+)-""), {Data_Validation!$F$16:$F$29, Data_Validation!$E$16:$E$29}, 2, FALSE), """"))
"),"Picture This!")</f>
        <v>Picture This!</v>
      </c>
      <c r="B8" s="265" t="s">
        <v>1413</v>
      </c>
      <c r="D8" s="265" t="s">
        <v>1414</v>
      </c>
      <c r="E8" s="265" t="s">
        <v>26</v>
      </c>
      <c r="F8" s="265" t="s">
        <v>22</v>
      </c>
      <c r="H8" s="307">
        <v>45164.0</v>
      </c>
      <c r="I8" s="309">
        <v>1.0</v>
      </c>
      <c r="K8" s="318"/>
      <c r="L8" s="311"/>
      <c r="M8" s="312">
        <v>45164.6677728588</v>
      </c>
      <c r="N8" s="313">
        <v>45164.670621365745</v>
      </c>
      <c r="O8" s="314"/>
      <c r="P8" s="314"/>
      <c r="Q8" s="319" t="s">
        <v>31</v>
      </c>
      <c r="R8" s="316">
        <v>0.002777777779556345</v>
      </c>
      <c r="S8" s="317">
        <f t="shared" ref="S8:S9" si="3">T8*24*R8</f>
        <v>8.333333339</v>
      </c>
      <c r="T8" s="317">
        <f>VLOOKUP(F8, Data_Validation!$D$2:$G$15, 4, FALSE)</f>
        <v>125</v>
      </c>
      <c r="U8" s="317"/>
    </row>
    <row r="9" ht="20.25" hidden="1" customHeight="1" outlineLevel="1">
      <c r="A9" s="216" t="str">
        <f>IFERROR(__xludf.DUMMYFUNCTION("ARRAYFORMULA(IFERROR(VLOOKUP(REGEXEXTRACT(B9, ""-(\w+)-""), {Data_Validation!$F$16:$F$29, Data_Validation!$E$16:$E$29}, 2, FALSE), """"))
"),"Picture This!")</f>
        <v>Picture This!</v>
      </c>
      <c r="B9" s="265" t="s">
        <v>1415</v>
      </c>
      <c r="D9" s="265" t="s">
        <v>1416</v>
      </c>
      <c r="E9" s="265" t="s">
        <v>26</v>
      </c>
      <c r="F9" s="265" t="s">
        <v>22</v>
      </c>
      <c r="H9" s="307">
        <v>45164.0</v>
      </c>
      <c r="I9" s="309">
        <v>1.0</v>
      </c>
      <c r="K9" s="318"/>
      <c r="L9" s="311"/>
      <c r="M9" s="312">
        <v>45164.67077736111</v>
      </c>
      <c r="N9" s="313">
        <v>45164.67136170139</v>
      </c>
      <c r="O9" s="314"/>
      <c r="P9" s="314"/>
      <c r="Q9" s="319" t="s">
        <v>31</v>
      </c>
      <c r="R9" s="316">
        <v>0.0</v>
      </c>
      <c r="S9" s="317">
        <f t="shared" si="3"/>
        <v>0</v>
      </c>
      <c r="T9" s="317">
        <f>VLOOKUP(F9, Data_Validation!$D$2:$G$15, 4, FALSE)</f>
        <v>125</v>
      </c>
      <c r="U9" s="317"/>
    </row>
    <row r="10" ht="20.25" customHeight="1" collapsed="1">
      <c r="A10" s="216" t="str">
        <f>IFERROR(__xludf.DUMMYFUNCTION("ARRAYFORMULA(IFERROR(VLOOKUP(REGEXEXTRACT(B10, ""-(\w+)-""), {Data_Validation!$F$16:$F$29, Data_Validation!$E$16:$E$29}, 2, FALSE), """"))
"),"TheMVP")</f>
        <v>TheMVP</v>
      </c>
      <c r="B10" s="265" t="s">
        <v>1417</v>
      </c>
      <c r="C10" s="265" t="s">
        <v>1418</v>
      </c>
      <c r="E10" s="265" t="s">
        <v>78</v>
      </c>
      <c r="F10" s="265" t="s">
        <v>48</v>
      </c>
      <c r="G10" s="265" t="s">
        <v>23</v>
      </c>
      <c r="H10" s="320">
        <v>45163.0</v>
      </c>
      <c r="I10" s="308"/>
      <c r="J10" s="309">
        <v>3.0</v>
      </c>
      <c r="K10" s="318"/>
      <c r="L10" s="311"/>
      <c r="M10" s="312">
        <f>MIN(M11:M13)</f>
        <v>45163.65787</v>
      </c>
      <c r="N10" s="313">
        <f>MAX(N11:N13)</f>
        <v>45164.67617</v>
      </c>
      <c r="O10" s="314"/>
      <c r="P10" s="314"/>
      <c r="Q10" s="315"/>
      <c r="R10" s="316">
        <f t="shared" ref="R10:S10" si="4">SUM(R11:R13)</f>
        <v>0.07916666667</v>
      </c>
      <c r="S10" s="317">
        <f t="shared" si="4"/>
        <v>172.8333333</v>
      </c>
      <c r="T10" s="317">
        <f>AVERAGE(T11:T13)</f>
        <v>108.3333333</v>
      </c>
      <c r="U10" s="317"/>
    </row>
    <row r="11" ht="20.25" hidden="1" customHeight="1" outlineLevel="1">
      <c r="A11" s="216" t="str">
        <f>IFERROR(__xludf.DUMMYFUNCTION("ARRAYFORMULA(IFERROR(VLOOKUP(REGEXEXTRACT(B11, ""-(\w+)-""), {Data_Validation!$F$16:$F$29, Data_Validation!$E$16:$E$29}, 2, FALSE), """"))
"),"TheMVP")</f>
        <v>TheMVP</v>
      </c>
      <c r="B11" s="265" t="s">
        <v>1419</v>
      </c>
      <c r="D11" s="265" t="s">
        <v>25</v>
      </c>
      <c r="E11" s="265" t="s">
        <v>26</v>
      </c>
      <c r="F11" s="265" t="s">
        <v>131</v>
      </c>
      <c r="G11" s="265" t="s">
        <v>1420</v>
      </c>
      <c r="H11" s="320">
        <v>45160.063625208335</v>
      </c>
      <c r="I11" s="309">
        <v>1.0</v>
      </c>
      <c r="K11" s="318"/>
      <c r="L11" s="311"/>
      <c r="M11" s="312"/>
      <c r="N11" s="313"/>
      <c r="O11" s="314"/>
      <c r="P11" s="314"/>
      <c r="Q11" s="315"/>
      <c r="R11" s="316"/>
      <c r="S11" s="317">
        <f t="shared" ref="S11:S13" si="5">T11*24*R11</f>
        <v>0</v>
      </c>
      <c r="T11" s="317">
        <f>VLOOKUP(F11, Data_Validation!$D$2:$G$15, 4, FALSE)</f>
        <v>115</v>
      </c>
      <c r="U11" s="317"/>
    </row>
    <row r="12" ht="20.25" hidden="1" customHeight="1" outlineLevel="1">
      <c r="A12" s="216" t="str">
        <f>IFERROR(__xludf.DUMMYFUNCTION("ARRAYFORMULA(IFERROR(VLOOKUP(REGEXEXTRACT(B12, ""-(\w+)-""), {Data_Validation!$F$16:$F$29, Data_Validation!$E$16:$E$29}, 2, FALSE), """"))
"),"TheMVP")</f>
        <v>TheMVP</v>
      </c>
      <c r="B12" s="265" t="s">
        <v>1421</v>
      </c>
      <c r="D12" s="265" t="s">
        <v>40</v>
      </c>
      <c r="E12" s="265" t="s">
        <v>307</v>
      </c>
      <c r="F12" s="265" t="s">
        <v>48</v>
      </c>
      <c r="G12" s="265" t="s">
        <v>1422</v>
      </c>
      <c r="H12" s="320">
        <v>45162.063625208335</v>
      </c>
      <c r="K12" s="318"/>
      <c r="L12" s="311"/>
      <c r="M12" s="312">
        <v>45163.657869386574</v>
      </c>
      <c r="N12" s="313">
        <v>45164.67616513889</v>
      </c>
      <c r="O12" s="314" t="s">
        <v>1423</v>
      </c>
      <c r="P12" s="314" t="s">
        <v>1424</v>
      </c>
      <c r="Q12" s="319" t="s">
        <v>31</v>
      </c>
      <c r="R12" s="316">
        <v>0.06736111111240461</v>
      </c>
      <c r="S12" s="317">
        <f t="shared" si="5"/>
        <v>137.4166667</v>
      </c>
      <c r="T12" s="317">
        <f>VLOOKUP(F12, Data_Validation!$D$2:$G$15, 4, FALSE)</f>
        <v>85</v>
      </c>
      <c r="U12" s="317"/>
    </row>
    <row r="13" ht="20.25" hidden="1" customHeight="1" outlineLevel="1">
      <c r="A13" s="216" t="str">
        <f>IFERROR(__xludf.DUMMYFUNCTION("ARRAYFORMULA(IFERROR(VLOOKUP(REGEXEXTRACT(B13, ""-(\w+)-""), {Data_Validation!$F$16:$F$29, Data_Validation!$E$16:$E$29}, 2, FALSE), """"))
"),"TheMVP")</f>
        <v>TheMVP</v>
      </c>
      <c r="B13" s="321" t="s">
        <v>1425</v>
      </c>
      <c r="C13" s="322"/>
      <c r="D13" s="321" t="s">
        <v>274</v>
      </c>
      <c r="E13" s="321" t="s">
        <v>26</v>
      </c>
      <c r="F13" s="321" t="s">
        <v>22</v>
      </c>
      <c r="G13" s="323"/>
      <c r="H13" s="320">
        <v>45162.0</v>
      </c>
      <c r="I13" s="323">
        <v>1.0</v>
      </c>
      <c r="J13" s="322"/>
      <c r="K13" s="324"/>
      <c r="L13" s="325"/>
      <c r="M13" s="312">
        <v>45164.633564814816</v>
      </c>
      <c r="N13" s="313">
        <v>45164.645684247684</v>
      </c>
      <c r="O13" s="314"/>
      <c r="P13" s="314"/>
      <c r="Q13" s="326" t="s">
        <v>31</v>
      </c>
      <c r="R13" s="316">
        <v>0.01180555555401952</v>
      </c>
      <c r="S13" s="317">
        <f t="shared" si="5"/>
        <v>35.41666666</v>
      </c>
      <c r="T13" s="317">
        <f>VLOOKUP(F13, Data_Validation!$D$2:$G$15, 4, FALSE)</f>
        <v>125</v>
      </c>
      <c r="U13" s="317"/>
    </row>
    <row r="14" ht="20.25" customHeight="1" collapsed="1">
      <c r="A14" s="216" t="str">
        <f>IFERROR(__xludf.DUMMYFUNCTION("ARRAYFORMULA(IFERROR(VLOOKUP(REGEXEXTRACT(B14, ""-(\w+)-""), {Data_Validation!$F$16:$F$29, Data_Validation!$E$16:$E$29}, 2, FALSE), """"))
"),"TheMVP")</f>
        <v>TheMVP</v>
      </c>
      <c r="B14" s="321" t="s">
        <v>1426</v>
      </c>
      <c r="C14" s="321" t="s">
        <v>1427</v>
      </c>
      <c r="D14" s="323"/>
      <c r="E14" s="321" t="s">
        <v>21</v>
      </c>
      <c r="F14" s="321" t="s">
        <v>747</v>
      </c>
      <c r="G14" s="321" t="s">
        <v>89</v>
      </c>
      <c r="H14" s="320">
        <v>45166.0</v>
      </c>
      <c r="I14" s="308"/>
      <c r="J14" s="323">
        <v>5.0</v>
      </c>
      <c r="K14" s="324"/>
      <c r="L14" s="325"/>
      <c r="M14" s="312">
        <f>IFERROR(__xludf.DUMMYFUNCTION("MIN(FILTER(M15:M19, M15:M19&lt;&gt;""""))"),45162.433922870376)</f>
        <v>45162.43392</v>
      </c>
      <c r="N14" s="312">
        <f>IFERROR(__xludf.DUMMYFUNCTION("MAX(FILTER(N15:N19, N15:N19&lt;&gt;""""))"),45167.49006506945)</f>
        <v>45167.49007</v>
      </c>
      <c r="O14" s="314"/>
      <c r="P14" s="314"/>
      <c r="Q14" s="327"/>
      <c r="R14" s="328">
        <f>IFERROR(__xludf.DUMMYFUNCTION("SUM(FILTER(R15:R19, R15:R19&lt;&gt;""""))"),0.34861111110876664)</f>
        <v>0.3486111111</v>
      </c>
      <c r="S14" s="317">
        <f>SUM(S15:S19)</f>
        <v>616.9166667</v>
      </c>
      <c r="T14" s="317">
        <f>AVERAGE(T15:T19)</f>
        <v>89</v>
      </c>
      <c r="U14" s="317"/>
    </row>
    <row r="15" ht="20.25" hidden="1" customHeight="1" outlineLevel="1">
      <c r="A15" s="216" t="str">
        <f>IFERROR(__xludf.DUMMYFUNCTION("ARRAYFORMULA(IFERROR(VLOOKUP(REGEXEXTRACT(B15, ""-(\w+)-""), {Data_Validation!$F$16:$F$29, Data_Validation!$E$16:$E$29}, 2, FALSE), """"))
"),"TheMVP")</f>
        <v>TheMVP</v>
      </c>
      <c r="B15" s="321" t="s">
        <v>1428</v>
      </c>
      <c r="C15" s="323"/>
      <c r="D15" s="321" t="s">
        <v>25</v>
      </c>
      <c r="E15" s="321" t="s">
        <v>26</v>
      </c>
      <c r="F15" s="321" t="s">
        <v>22</v>
      </c>
      <c r="G15" s="321" t="s">
        <v>1429</v>
      </c>
      <c r="H15" s="320">
        <v>45155.0</v>
      </c>
      <c r="I15" s="323">
        <v>1.0</v>
      </c>
      <c r="J15" s="323"/>
      <c r="K15" s="324"/>
      <c r="L15" s="325"/>
      <c r="M15" s="312"/>
      <c r="N15" s="313"/>
      <c r="O15" s="314"/>
      <c r="P15" s="314"/>
      <c r="Q15" s="327"/>
      <c r="R15" s="316"/>
      <c r="S15" s="317">
        <f t="shared" ref="S15:S19" si="6">T15*24*R15</f>
        <v>0</v>
      </c>
      <c r="T15" s="317">
        <f>VLOOKUP(F15, Data_Validation!$D$2:$G$15, 4, FALSE)</f>
        <v>125</v>
      </c>
      <c r="U15" s="317"/>
    </row>
    <row r="16" ht="20.25" hidden="1" customHeight="1" outlineLevel="1">
      <c r="A16" s="216" t="str">
        <f>IFERROR(__xludf.DUMMYFUNCTION("ARRAYFORMULA(IFERROR(VLOOKUP(REGEXEXTRACT(B16, ""-(\w+)-""), {Data_Validation!$F$16:$F$29, Data_Validation!$E$16:$E$29}, 2, FALSE), """"))
"),"TheMVP")</f>
        <v>TheMVP</v>
      </c>
      <c r="B16" s="321" t="s">
        <v>1430</v>
      </c>
      <c r="C16" s="323"/>
      <c r="D16" s="321" t="s">
        <v>33</v>
      </c>
      <c r="E16" s="321" t="s">
        <v>26</v>
      </c>
      <c r="F16" s="321" t="s">
        <v>747</v>
      </c>
      <c r="G16" s="323"/>
      <c r="H16" s="320">
        <v>45156.0</v>
      </c>
      <c r="I16" s="323">
        <v>1.0</v>
      </c>
      <c r="J16" s="323"/>
      <c r="K16" s="324"/>
      <c r="L16" s="325"/>
      <c r="M16" s="312"/>
      <c r="N16" s="313"/>
      <c r="O16" s="314"/>
      <c r="P16" s="314"/>
      <c r="Q16" s="327"/>
      <c r="R16" s="316"/>
      <c r="S16" s="317">
        <f t="shared" si="6"/>
        <v>0</v>
      </c>
      <c r="T16" s="317">
        <f>VLOOKUP(F16, Data_Validation!$D$2:$G$15, 4, FALSE)</f>
        <v>82.5</v>
      </c>
      <c r="U16" s="317"/>
    </row>
    <row r="17" ht="20.25" hidden="1" customHeight="1" outlineLevel="1">
      <c r="A17" s="216" t="str">
        <f>IFERROR(__xludf.DUMMYFUNCTION("ARRAYFORMULA(IFERROR(VLOOKUP(REGEXEXTRACT(B17, ""-(\w+)-""), {Data_Validation!$F$16:$F$29, Data_Validation!$E$16:$E$29}, 2, FALSE), """"))
"),"TheMVP")</f>
        <v>TheMVP</v>
      </c>
      <c r="B17" s="321" t="s">
        <v>1431</v>
      </c>
      <c r="C17" s="323"/>
      <c r="D17" s="321" t="s">
        <v>40</v>
      </c>
      <c r="E17" s="321" t="s">
        <v>26</v>
      </c>
      <c r="F17" s="321" t="s">
        <v>27</v>
      </c>
      <c r="G17" s="323"/>
      <c r="H17" s="320">
        <v>45164.0</v>
      </c>
      <c r="I17" s="323">
        <v>1.0</v>
      </c>
      <c r="J17" s="323"/>
      <c r="K17" s="324"/>
      <c r="L17" s="325"/>
      <c r="M17" s="312">
        <v>45164.53376633102</v>
      </c>
      <c r="N17" s="313">
        <v>45167.49006506945</v>
      </c>
      <c r="O17" s="314" t="s">
        <v>1432</v>
      </c>
      <c r="P17" s="314" t="s">
        <v>1433</v>
      </c>
      <c r="Q17" s="326" t="s">
        <v>31</v>
      </c>
      <c r="R17" s="316">
        <v>0.3055555555547471</v>
      </c>
      <c r="S17" s="317">
        <f t="shared" si="6"/>
        <v>531.6666667</v>
      </c>
      <c r="T17" s="317">
        <f>VLOOKUP(F17, Data_Validation!$D$2:$G$15, 4, FALSE)</f>
        <v>72.5</v>
      </c>
      <c r="U17" s="317"/>
    </row>
    <row r="18" ht="20.25" hidden="1" customHeight="1" outlineLevel="1">
      <c r="A18" s="216" t="str">
        <f>IFERROR(__xludf.DUMMYFUNCTION("ARRAYFORMULA(IFERROR(VLOOKUP(REGEXEXTRACT(B18, ""-(\w+)-""), {Data_Validation!$F$16:$F$29, Data_Validation!$E$16:$E$29}, 2, FALSE), """"))
"),"TheMVP")</f>
        <v>TheMVP</v>
      </c>
      <c r="B18" s="321" t="s">
        <v>1434</v>
      </c>
      <c r="C18" s="323"/>
      <c r="D18" s="321" t="s">
        <v>45</v>
      </c>
      <c r="E18" s="321" t="s">
        <v>26</v>
      </c>
      <c r="F18" s="321" t="s">
        <v>747</v>
      </c>
      <c r="G18" s="323"/>
      <c r="H18" s="320">
        <v>45159.0</v>
      </c>
      <c r="I18" s="323">
        <v>1.0</v>
      </c>
      <c r="J18" s="323"/>
      <c r="K18" s="324"/>
      <c r="L18" s="325"/>
      <c r="M18" s="312">
        <v>45162.433922870376</v>
      </c>
      <c r="N18" s="313">
        <v>45162.47734075232</v>
      </c>
      <c r="O18" s="314"/>
      <c r="P18" s="314"/>
      <c r="Q18" s="326" t="s">
        <v>31</v>
      </c>
      <c r="R18" s="316">
        <v>0.04305555555401952</v>
      </c>
      <c r="S18" s="317">
        <f t="shared" si="6"/>
        <v>85.25</v>
      </c>
      <c r="T18" s="317">
        <f>VLOOKUP(F18, Data_Validation!$D$2:$G$15, 4, FALSE)</f>
        <v>82.5</v>
      </c>
      <c r="U18" s="317"/>
    </row>
    <row r="19" ht="20.25" hidden="1" customHeight="1" outlineLevel="1">
      <c r="A19" s="216" t="str">
        <f>IFERROR(__xludf.DUMMYFUNCTION("ARRAYFORMULA(IFERROR(VLOOKUP(REGEXEXTRACT(B19, ""-(\w+)-""), {Data_Validation!$F$16:$F$29, Data_Validation!$E$16:$E$29}, 2, FALSE), """"))
"),"TheMVP")</f>
        <v>TheMVP</v>
      </c>
      <c r="B19" s="321" t="s">
        <v>1435</v>
      </c>
      <c r="C19" s="323"/>
      <c r="D19" s="321" t="s">
        <v>47</v>
      </c>
      <c r="E19" s="321" t="s">
        <v>26</v>
      </c>
      <c r="F19" s="321" t="s">
        <v>747</v>
      </c>
      <c r="G19" s="323"/>
      <c r="H19" s="320">
        <v>45166.0</v>
      </c>
      <c r="I19" s="323">
        <v>1.0</v>
      </c>
      <c r="J19" s="323"/>
      <c r="K19" s="324"/>
      <c r="L19" s="325"/>
      <c r="M19" s="312"/>
      <c r="N19" s="313"/>
      <c r="O19" s="314"/>
      <c r="P19" s="314"/>
      <c r="Q19" s="327"/>
      <c r="R19" s="316"/>
      <c r="S19" s="317">
        <f t="shared" si="6"/>
        <v>0</v>
      </c>
      <c r="T19" s="317">
        <f>VLOOKUP(F19, Data_Validation!$D$2:$G$15, 4, FALSE)</f>
        <v>82.5</v>
      </c>
      <c r="U19" s="317"/>
    </row>
    <row r="20" ht="20.25" customHeight="1" collapsed="1">
      <c r="A20" s="216" t="str">
        <f>IFERROR(__xludf.DUMMYFUNCTION("ARRAYFORMULA(IFERROR(VLOOKUP(REGEXEXTRACT(B20, ""-(\w+)-""), {Data_Validation!$F$16:$F$29, Data_Validation!$E$16:$E$29}, 2, FALSE), """"))
"),"Picture This!")</f>
        <v>Picture This!</v>
      </c>
      <c r="B20" s="321" t="s">
        <v>1436</v>
      </c>
      <c r="C20" s="321" t="s">
        <v>1437</v>
      </c>
      <c r="D20" s="323"/>
      <c r="E20" s="321" t="s">
        <v>984</v>
      </c>
      <c r="F20" s="321" t="s">
        <v>22</v>
      </c>
      <c r="G20" s="321" t="s">
        <v>63</v>
      </c>
      <c r="H20" s="329">
        <v>45162.0</v>
      </c>
      <c r="I20" s="308"/>
      <c r="J20" s="323">
        <v>2.0</v>
      </c>
      <c r="K20" s="330"/>
      <c r="L20" s="325"/>
      <c r="M20" s="312"/>
      <c r="N20" s="313"/>
      <c r="O20" s="314"/>
      <c r="P20" s="314"/>
      <c r="Q20" s="327"/>
      <c r="R20" s="316"/>
      <c r="S20" s="316"/>
      <c r="T20" s="316"/>
      <c r="U20" s="316"/>
    </row>
    <row r="21" ht="20.25" hidden="1" customHeight="1" outlineLevel="1">
      <c r="A21" s="216" t="str">
        <f>IFERROR(__xludf.DUMMYFUNCTION("ARRAYFORMULA(IFERROR(VLOOKUP(REGEXEXTRACT(B21, ""-(\w+)-""), {Data_Validation!$F$16:$F$29, Data_Validation!$E$16:$E$29}, 2, FALSE), """"))
"),"Picture This!")</f>
        <v>Picture This!</v>
      </c>
      <c r="B21" s="321" t="s">
        <v>1438</v>
      </c>
      <c r="C21" s="323"/>
      <c r="D21" s="321" t="s">
        <v>1439</v>
      </c>
      <c r="E21" s="321" t="s">
        <v>26</v>
      </c>
      <c r="F21" s="321" t="s">
        <v>48</v>
      </c>
      <c r="G21" s="323"/>
      <c r="H21" s="329">
        <v>45161.486826168984</v>
      </c>
      <c r="I21" s="323">
        <v>1.0</v>
      </c>
      <c r="J21" s="323"/>
      <c r="K21" s="331"/>
      <c r="L21" s="325"/>
      <c r="M21" s="312"/>
      <c r="N21" s="313"/>
      <c r="O21" s="314"/>
      <c r="P21" s="314"/>
      <c r="Q21" s="327"/>
      <c r="R21" s="316"/>
      <c r="S21" s="317">
        <f t="shared" ref="S21:S22" si="7">T21*24*R21</f>
        <v>0</v>
      </c>
      <c r="T21" s="317">
        <f>VLOOKUP(F21, Data_Validation!$D$2:$G$15, 4, FALSE)</f>
        <v>85</v>
      </c>
      <c r="U21" s="317"/>
    </row>
    <row r="22" ht="20.25" hidden="1" customHeight="1" outlineLevel="1">
      <c r="A22" s="216" t="str">
        <f>IFERROR(__xludf.DUMMYFUNCTION("ARRAYFORMULA(IFERROR(VLOOKUP(REGEXEXTRACT(B22, ""-(\w+)-""), {Data_Validation!$F$16:$F$29, Data_Validation!$E$16:$E$29}, 2, FALSE), """"))
"),"Picture This!")</f>
        <v>Picture This!</v>
      </c>
      <c r="B22" s="321" t="s">
        <v>1440</v>
      </c>
      <c r="C22" s="323"/>
      <c r="D22" s="321" t="s">
        <v>1441</v>
      </c>
      <c r="E22" s="321" t="s">
        <v>26</v>
      </c>
      <c r="F22" s="321" t="s">
        <v>48</v>
      </c>
      <c r="G22" s="323"/>
      <c r="H22" s="329">
        <v>45162.0</v>
      </c>
      <c r="I22" s="323">
        <v>1.0</v>
      </c>
      <c r="J22" s="323"/>
      <c r="K22" s="331"/>
      <c r="L22" s="325"/>
      <c r="M22" s="312"/>
      <c r="N22" s="313"/>
      <c r="O22" s="314"/>
      <c r="P22" s="314"/>
      <c r="Q22" s="327"/>
      <c r="R22" s="316"/>
      <c r="S22" s="317">
        <f t="shared" si="7"/>
        <v>0</v>
      </c>
      <c r="T22" s="317">
        <f>VLOOKUP(F22, Data_Validation!$D$2:$G$15, 4, FALSE)</f>
        <v>85</v>
      </c>
      <c r="U22" s="317"/>
    </row>
    <row r="23" ht="20.25" customHeight="1" collapsed="1">
      <c r="A23" s="216" t="str">
        <f>IFERROR(__xludf.DUMMYFUNCTION("ARRAYFORMULA(IFERROR(VLOOKUP(REGEXEXTRACT(B23, ""-(\w+)-""), {Data_Validation!$F$16:$F$29, Data_Validation!$E$16:$E$29}, 2, FALSE), """"))
"),"TheMVP")</f>
        <v>TheMVP</v>
      </c>
      <c r="B23" s="321" t="s">
        <v>1442</v>
      </c>
      <c r="C23" s="321" t="s">
        <v>1443</v>
      </c>
      <c r="D23" s="321"/>
      <c r="E23" s="321" t="s">
        <v>984</v>
      </c>
      <c r="F23" s="321" t="s">
        <v>747</v>
      </c>
      <c r="G23" s="321" t="s">
        <v>23</v>
      </c>
      <c r="H23" s="320">
        <v>45164.756064814814</v>
      </c>
      <c r="I23" s="308"/>
      <c r="J23" s="322">
        <v>3.0</v>
      </c>
      <c r="K23" s="324"/>
      <c r="L23" s="325"/>
      <c r="M23" s="312">
        <f>MIN(M24:M26)</f>
        <v>45163.75132</v>
      </c>
      <c r="N23" s="313">
        <f>MAX(N24:N26)</f>
        <v>45167.71464</v>
      </c>
      <c r="O23" s="314"/>
      <c r="P23" s="314"/>
      <c r="Q23" s="315"/>
      <c r="R23" s="316">
        <f t="shared" ref="R23:S23" si="8">SUM(R24:R26)</f>
        <v>0.03055555556</v>
      </c>
      <c r="S23" s="317">
        <f t="shared" si="8"/>
        <v>60.5</v>
      </c>
      <c r="T23" s="317">
        <f>AVERAGE(T24:T26)</f>
        <v>82.5</v>
      </c>
      <c r="U23" s="317"/>
    </row>
    <row r="24" ht="20.25" hidden="1" customHeight="1" outlineLevel="1">
      <c r="A24" s="216" t="str">
        <f>IFERROR(__xludf.DUMMYFUNCTION("ARRAYFORMULA(IFERROR(VLOOKUP(REGEXEXTRACT(B24, ""-(\w+)-""), {Data_Validation!$F$16:$F$29, Data_Validation!$E$16:$E$29}, 2, FALSE), """"))
"),"TheMVP")</f>
        <v>TheMVP</v>
      </c>
      <c r="B24" s="321" t="s">
        <v>1444</v>
      </c>
      <c r="C24" s="321"/>
      <c r="D24" s="321" t="s">
        <v>1445</v>
      </c>
      <c r="E24" s="321" t="s">
        <v>26</v>
      </c>
      <c r="F24" s="321" t="s">
        <v>747</v>
      </c>
      <c r="G24" s="321"/>
      <c r="H24" s="332">
        <v>45163.0</v>
      </c>
      <c r="I24" s="308">
        <v>1.0</v>
      </c>
      <c r="J24" s="322"/>
      <c r="K24" s="324"/>
      <c r="L24" s="325"/>
      <c r="M24" s="312">
        <v>45163.75131944445</v>
      </c>
      <c r="N24" s="313">
        <v>45167.69535097222</v>
      </c>
      <c r="O24" s="314" t="s">
        <v>1446</v>
      </c>
      <c r="P24" s="314" t="s">
        <v>1447</v>
      </c>
      <c r="Q24" s="326" t="s">
        <v>31</v>
      </c>
      <c r="R24" s="316">
        <v>0.016666666666666666</v>
      </c>
      <c r="S24" s="317">
        <f t="shared" ref="S24:S26" si="9">T24*24*R24</f>
        <v>33</v>
      </c>
      <c r="T24" s="317">
        <f>VLOOKUP(F24, Data_Validation!$D$2:$G$15, 4, FALSE)</f>
        <v>82.5</v>
      </c>
      <c r="U24" s="317"/>
    </row>
    <row r="25" ht="20.25" hidden="1" customHeight="1" outlineLevel="1">
      <c r="A25" s="216" t="str">
        <f>IFERROR(__xludf.DUMMYFUNCTION("ARRAYFORMULA(IFERROR(VLOOKUP(REGEXEXTRACT(B25, ""-(\w+)-""), {Data_Validation!$F$16:$F$29, Data_Validation!$E$16:$E$29}, 2, FALSE), """"))
"),"TheMVP")</f>
        <v>TheMVP</v>
      </c>
      <c r="B25" s="321" t="s">
        <v>1448</v>
      </c>
      <c r="C25" s="321"/>
      <c r="D25" s="321" t="s">
        <v>1449</v>
      </c>
      <c r="E25" s="321" t="s">
        <v>26</v>
      </c>
      <c r="F25" s="321" t="s">
        <v>747</v>
      </c>
      <c r="G25" s="321"/>
      <c r="H25" s="332">
        <v>45163.756061712964</v>
      </c>
      <c r="I25" s="308">
        <v>1.0</v>
      </c>
      <c r="J25" s="322"/>
      <c r="K25" s="324"/>
      <c r="L25" s="325"/>
      <c r="M25" s="312"/>
      <c r="N25" s="313"/>
      <c r="O25" s="314"/>
      <c r="P25" s="314"/>
      <c r="Q25" s="313"/>
      <c r="R25" s="316"/>
      <c r="S25" s="317">
        <f t="shared" si="9"/>
        <v>0</v>
      </c>
      <c r="T25" s="317">
        <f>VLOOKUP(F25, Data_Validation!$D$2:$G$15, 4, FALSE)</f>
        <v>82.5</v>
      </c>
      <c r="U25" s="317"/>
    </row>
    <row r="26" ht="20.25" hidden="1" customHeight="1" outlineLevel="1">
      <c r="A26" s="216" t="str">
        <f>IFERROR(__xludf.DUMMYFUNCTION("ARRAYFORMULA(IFERROR(VLOOKUP(REGEXEXTRACT(B26, ""-(\w+)-""), {Data_Validation!$F$16:$F$29, Data_Validation!$E$16:$E$29}, 2, FALSE), """"))
"),"TheMVP")</f>
        <v>TheMVP</v>
      </c>
      <c r="B26" s="321" t="s">
        <v>1450</v>
      </c>
      <c r="C26" s="321"/>
      <c r="D26" s="321" t="s">
        <v>1451</v>
      </c>
      <c r="E26" s="321" t="s">
        <v>26</v>
      </c>
      <c r="F26" s="321" t="s">
        <v>747</v>
      </c>
      <c r="G26" s="321"/>
      <c r="H26" s="332">
        <v>45164.756064814814</v>
      </c>
      <c r="I26" s="308">
        <v>1.0</v>
      </c>
      <c r="J26" s="322"/>
      <c r="K26" s="324"/>
      <c r="L26" s="325"/>
      <c r="M26" s="312">
        <v>45167.70074568287</v>
      </c>
      <c r="N26" s="313">
        <v>45167.7146375463</v>
      </c>
      <c r="O26" s="314"/>
      <c r="P26" s="314"/>
      <c r="Q26" s="326" t="s">
        <v>31</v>
      </c>
      <c r="R26" s="316">
        <v>0.013888888888888888</v>
      </c>
      <c r="S26" s="317">
        <f t="shared" si="9"/>
        <v>27.5</v>
      </c>
      <c r="T26" s="317">
        <f>VLOOKUP(F26, Data_Validation!$D$2:$G$15, 4, FALSE)</f>
        <v>82.5</v>
      </c>
      <c r="U26" s="317"/>
    </row>
    <row r="27" ht="20.25" customHeight="1" collapsed="1">
      <c r="A27" s="216" t="str">
        <f>IFERROR(__xludf.DUMMYFUNCTION("ARRAYFORMULA(IFERROR(VLOOKUP(REGEXEXTRACT(B27, ""-(\w+)-""), {Data_Validation!$F$16:$F$29, Data_Validation!$E$16:$E$29}, 2, FALSE), """"))
"),"TheMVP")</f>
        <v>TheMVP</v>
      </c>
      <c r="B27" s="321" t="s">
        <v>1090</v>
      </c>
      <c r="C27" s="321" t="s">
        <v>1452</v>
      </c>
      <c r="D27" s="321"/>
      <c r="E27" s="321" t="s">
        <v>1051</v>
      </c>
      <c r="F27" s="321" t="s">
        <v>22</v>
      </c>
      <c r="G27" s="321" t="s">
        <v>79</v>
      </c>
      <c r="H27" s="320">
        <v>45167.0</v>
      </c>
      <c r="I27" s="308"/>
      <c r="J27" s="322">
        <v>4.0</v>
      </c>
      <c r="K27" s="324"/>
      <c r="L27" s="325"/>
      <c r="M27" s="312">
        <f>MIN(M28:M31)</f>
        <v>45161.76601</v>
      </c>
      <c r="N27" s="313">
        <f>MAX(N28:N31)</f>
        <v>45164.64814</v>
      </c>
      <c r="O27" s="314"/>
      <c r="P27" s="314"/>
      <c r="Q27" s="315"/>
      <c r="R27" s="316">
        <f t="shared" ref="R27:S27" si="10">SUM(R28:R31)</f>
        <v>1.130555556</v>
      </c>
      <c r="S27" s="317">
        <f t="shared" si="10"/>
        <v>3237.958333</v>
      </c>
      <c r="T27" s="317">
        <f>AVERAGE(T28:T31)</f>
        <v>93.125</v>
      </c>
      <c r="U27" s="317"/>
    </row>
    <row r="28" ht="20.25" hidden="1" customHeight="1" outlineLevel="1">
      <c r="A28" s="216" t="str">
        <f>IFERROR(__xludf.DUMMYFUNCTION("ARRAYFORMULA(IFERROR(VLOOKUP(REGEXEXTRACT(B28, ""-(\w+)-""), {Data_Validation!$F$16:$F$29, Data_Validation!$E$16:$E$29}, 2, FALSE), """"))
"),"TheMVP")</f>
        <v>TheMVP</v>
      </c>
      <c r="B28" s="321" t="s">
        <v>1092</v>
      </c>
      <c r="C28" s="321"/>
      <c r="D28" s="321" t="s">
        <v>1453</v>
      </c>
      <c r="E28" s="321" t="s">
        <v>26</v>
      </c>
      <c r="F28" s="321" t="s">
        <v>22</v>
      </c>
      <c r="G28" s="333" t="s">
        <v>1454</v>
      </c>
      <c r="H28" s="332">
        <v>45161.0</v>
      </c>
      <c r="I28" s="308">
        <v>1.0</v>
      </c>
      <c r="J28" s="322"/>
      <c r="K28" s="324"/>
      <c r="L28" s="325"/>
      <c r="M28" s="312">
        <v>45161.76600502315</v>
      </c>
      <c r="N28" s="313">
        <v>45164.648094421296</v>
      </c>
      <c r="O28" s="314" t="s">
        <v>1455</v>
      </c>
      <c r="P28" s="314" t="s">
        <v>1456</v>
      </c>
      <c r="Q28" s="326" t="s">
        <v>31</v>
      </c>
      <c r="R28" s="316">
        <v>0.9798611111111111</v>
      </c>
      <c r="S28" s="317">
        <f t="shared" ref="S28:S35" si="11">T28*24*R28</f>
        <v>2939.583333</v>
      </c>
      <c r="T28" s="317">
        <f>VLOOKUP(F28, Data_Validation!$D$2:$G$15, 4, FALSE)</f>
        <v>125</v>
      </c>
      <c r="U28" s="317"/>
    </row>
    <row r="29" ht="20.25" hidden="1" customHeight="1" outlineLevel="1">
      <c r="A29" s="216" t="str">
        <f>IFERROR(__xludf.DUMMYFUNCTION("ARRAYFORMULA(IFERROR(VLOOKUP(REGEXEXTRACT(B29, ""-(\w+)-""), {Data_Validation!$F$16:$F$29, Data_Validation!$E$16:$E$29}, 2, FALSE), """"))
"),"TheMVP")</f>
        <v>TheMVP</v>
      </c>
      <c r="B29" s="321" t="s">
        <v>1096</v>
      </c>
      <c r="C29" s="321"/>
      <c r="D29" s="321" t="s">
        <v>1457</v>
      </c>
      <c r="E29" s="321" t="s">
        <v>26</v>
      </c>
      <c r="F29" s="321" t="s">
        <v>747</v>
      </c>
      <c r="G29" s="321"/>
      <c r="H29" s="332">
        <v>45161.0</v>
      </c>
      <c r="I29" s="308">
        <v>1.0</v>
      </c>
      <c r="J29" s="322"/>
      <c r="K29" s="324"/>
      <c r="L29" s="325"/>
      <c r="M29" s="312">
        <v>45163.79441318287</v>
      </c>
      <c r="N29" s="313">
        <v>45164.64812063657</v>
      </c>
      <c r="O29" s="314" t="s">
        <v>1458</v>
      </c>
      <c r="P29" s="314" t="s">
        <v>1459</v>
      </c>
      <c r="Q29" s="326" t="s">
        <v>31</v>
      </c>
      <c r="R29" s="316">
        <v>0.029861111111111113</v>
      </c>
      <c r="S29" s="317">
        <f t="shared" si="11"/>
        <v>59.125</v>
      </c>
      <c r="T29" s="317">
        <f>VLOOKUP(F29, Data_Validation!$D$2:$G$15, 4, FALSE)</f>
        <v>82.5</v>
      </c>
      <c r="U29" s="317"/>
    </row>
    <row r="30" ht="20.25" hidden="1" customHeight="1" outlineLevel="1">
      <c r="A30" s="216" t="str">
        <f>IFERROR(__xludf.DUMMYFUNCTION("ARRAYFORMULA(IFERROR(VLOOKUP(REGEXEXTRACT(B30, ""-(\w+)-""), {Data_Validation!$F$16:$F$29, Data_Validation!$E$16:$E$29}, 2, FALSE), """"))
"),"TheMVP")</f>
        <v>TheMVP</v>
      </c>
      <c r="B30" s="321" t="s">
        <v>1098</v>
      </c>
      <c r="C30" s="321"/>
      <c r="D30" s="321" t="s">
        <v>1460</v>
      </c>
      <c r="E30" s="321" t="s">
        <v>26</v>
      </c>
      <c r="F30" s="321" t="s">
        <v>747</v>
      </c>
      <c r="G30" s="321"/>
      <c r="H30" s="332">
        <v>45161.0</v>
      </c>
      <c r="I30" s="308"/>
      <c r="J30" s="322"/>
      <c r="K30" s="324"/>
      <c r="L30" s="325"/>
      <c r="M30" s="312">
        <v>45163.58997878472</v>
      </c>
      <c r="N30" s="313">
        <v>45164.648141655096</v>
      </c>
      <c r="O30" s="314" t="s">
        <v>1461</v>
      </c>
      <c r="P30" s="314" t="s">
        <v>1462</v>
      </c>
      <c r="Q30" s="326" t="s">
        <v>31</v>
      </c>
      <c r="R30" s="316">
        <v>0.12083333333333333</v>
      </c>
      <c r="S30" s="317">
        <f t="shared" si="11"/>
        <v>239.25</v>
      </c>
      <c r="T30" s="317">
        <f>VLOOKUP(F30, Data_Validation!$D$2:$G$15, 4, FALSE)</f>
        <v>82.5</v>
      </c>
      <c r="U30" s="317"/>
    </row>
    <row r="31" ht="20.25" hidden="1" customHeight="1" outlineLevel="1">
      <c r="A31" s="216" t="str">
        <f>IFERROR(__xludf.DUMMYFUNCTION("ARRAYFORMULA(IFERROR(VLOOKUP(REGEXEXTRACT(B31, ""-(\w+)-""), {Data_Validation!$F$16:$F$29, Data_Validation!$E$16:$E$29}, 2, FALSE), """"))
"),"TheMVP")</f>
        <v>TheMVP</v>
      </c>
      <c r="B31" s="321" t="s">
        <v>1100</v>
      </c>
      <c r="C31" s="321"/>
      <c r="D31" s="321" t="s">
        <v>1449</v>
      </c>
      <c r="E31" s="321" t="s">
        <v>26</v>
      </c>
      <c r="F31" s="321" t="s">
        <v>747</v>
      </c>
      <c r="G31" s="321"/>
      <c r="H31" s="332">
        <v>45161.0</v>
      </c>
      <c r="I31" s="308"/>
      <c r="J31" s="322"/>
      <c r="K31" s="324"/>
      <c r="L31" s="325"/>
      <c r="M31" s="312"/>
      <c r="N31" s="313"/>
      <c r="O31" s="314"/>
      <c r="P31" s="314"/>
      <c r="Q31" s="313"/>
      <c r="R31" s="316"/>
      <c r="S31" s="317">
        <f t="shared" si="11"/>
        <v>0</v>
      </c>
      <c r="T31" s="317">
        <f>VLOOKUP(F31, Data_Validation!$D$2:$G$15, 4, FALSE)</f>
        <v>82.5</v>
      </c>
      <c r="U31" s="317"/>
    </row>
    <row r="32" ht="20.25" hidden="1" customHeight="1" outlineLevel="1">
      <c r="A32" s="216" t="str">
        <f>IFERROR(__xludf.DUMMYFUNCTION("ARRAYFORMULA(IFERROR(VLOOKUP(REGEXEXTRACT(B32, ""-(\w+)-""), {Data_Validation!$F$16:$F$29, Data_Validation!$E$16:$E$29}, 2, FALSE), """"))
"),"TheMVP")</f>
        <v>TheMVP</v>
      </c>
      <c r="B32" s="321" t="s">
        <v>1463</v>
      </c>
      <c r="C32" s="321"/>
      <c r="D32" s="321" t="s">
        <v>1464</v>
      </c>
      <c r="E32" s="321" t="s">
        <v>26</v>
      </c>
      <c r="F32" s="321" t="s">
        <v>747</v>
      </c>
      <c r="G32" s="321"/>
      <c r="H32" s="332">
        <v>45161.0</v>
      </c>
      <c r="I32" s="308"/>
      <c r="J32" s="322"/>
      <c r="K32" s="324"/>
      <c r="L32" s="325"/>
      <c r="M32" s="312"/>
      <c r="N32" s="313"/>
      <c r="O32" s="314"/>
      <c r="P32" s="314"/>
      <c r="Q32" s="313"/>
      <c r="R32" s="316"/>
      <c r="S32" s="317">
        <f t="shared" si="11"/>
        <v>0</v>
      </c>
      <c r="T32" s="317">
        <f>VLOOKUP(F32, Data_Validation!$D$2:$G$15, 4, FALSE)</f>
        <v>82.5</v>
      </c>
      <c r="U32" s="317"/>
    </row>
    <row r="33" ht="20.25" hidden="1" customHeight="1" outlineLevel="1">
      <c r="A33" s="216" t="str">
        <f>IFERROR(__xludf.DUMMYFUNCTION("ARRAYFORMULA(IFERROR(VLOOKUP(REGEXEXTRACT(B33, ""-(\w+)-""), {Data_Validation!$F$16:$F$29, Data_Validation!$E$16:$E$29}, 2, FALSE), """"))
"),"TheMVP")</f>
        <v>TheMVP</v>
      </c>
      <c r="B33" s="321" t="s">
        <v>1465</v>
      </c>
      <c r="C33" s="321"/>
      <c r="D33" s="321" t="s">
        <v>1466</v>
      </c>
      <c r="E33" s="321" t="s">
        <v>26</v>
      </c>
      <c r="F33" s="321" t="s">
        <v>747</v>
      </c>
      <c r="G33" s="321"/>
      <c r="H33" s="332">
        <v>45166.0</v>
      </c>
      <c r="I33" s="308"/>
      <c r="J33" s="322"/>
      <c r="K33" s="324"/>
      <c r="L33" s="325"/>
      <c r="M33" s="312"/>
      <c r="N33" s="313"/>
      <c r="O33" s="314"/>
      <c r="P33" s="314"/>
      <c r="Q33" s="313"/>
      <c r="R33" s="316">
        <v>0.0</v>
      </c>
      <c r="S33" s="317">
        <f t="shared" si="11"/>
        <v>0</v>
      </c>
      <c r="T33" s="317">
        <f>VLOOKUP(F33, Data_Validation!$D$2:$G$15, 4, FALSE)</f>
        <v>82.5</v>
      </c>
      <c r="U33" s="317"/>
    </row>
    <row r="34" ht="20.25" hidden="1" customHeight="1" outlineLevel="1">
      <c r="A34" s="216" t="str">
        <f>IFERROR(__xludf.DUMMYFUNCTION("ARRAYFORMULA(IFERROR(VLOOKUP(REGEXEXTRACT(B34, ""-(\w+)-""), {Data_Validation!$F$16:$F$29, Data_Validation!$E$16:$E$29}, 2, FALSE), """"))
"),"TheMVP")</f>
        <v>TheMVP</v>
      </c>
      <c r="B34" s="321" t="s">
        <v>1104</v>
      </c>
      <c r="C34" s="321"/>
      <c r="D34" s="321" t="s">
        <v>540</v>
      </c>
      <c r="E34" s="321" t="s">
        <v>26</v>
      </c>
      <c r="F34" s="321" t="s">
        <v>747</v>
      </c>
      <c r="G34" s="321"/>
      <c r="H34" s="332">
        <v>45166.0</v>
      </c>
      <c r="I34" s="308">
        <v>1.0</v>
      </c>
      <c r="J34" s="322"/>
      <c r="K34" s="324"/>
      <c r="L34" s="325"/>
      <c r="M34" s="312"/>
      <c r="N34" s="313"/>
      <c r="O34" s="314"/>
      <c r="P34" s="314"/>
      <c r="Q34" s="313"/>
      <c r="R34" s="316"/>
      <c r="S34" s="317">
        <f t="shared" si="11"/>
        <v>0</v>
      </c>
      <c r="T34" s="317">
        <f>VLOOKUP(F34, Data_Validation!$D$2:$G$15, 4, FALSE)</f>
        <v>82.5</v>
      </c>
      <c r="U34" s="317"/>
    </row>
    <row r="35" ht="20.25" hidden="1" customHeight="1" outlineLevel="1">
      <c r="A35" s="216" t="str">
        <f>IFERROR(__xludf.DUMMYFUNCTION("ARRAYFORMULA(IFERROR(VLOOKUP(REGEXEXTRACT(B35, ""-(\w+)-""), {Data_Validation!$F$16:$F$29, Data_Validation!$E$16:$E$29}, 2, FALSE), """"))
"),"TheMVP")</f>
        <v>TheMVP</v>
      </c>
      <c r="B35" s="321" t="s">
        <v>1108</v>
      </c>
      <c r="C35" s="321"/>
      <c r="D35" s="321" t="s">
        <v>1135</v>
      </c>
      <c r="E35" s="321" t="s">
        <v>26</v>
      </c>
      <c r="F35" s="321" t="s">
        <v>22</v>
      </c>
      <c r="G35" s="321"/>
      <c r="H35" s="332">
        <v>45167.0</v>
      </c>
      <c r="I35" s="308">
        <v>1.0</v>
      </c>
      <c r="J35" s="322"/>
      <c r="K35" s="324"/>
      <c r="L35" s="325"/>
      <c r="M35" s="312"/>
      <c r="N35" s="313"/>
      <c r="O35" s="314"/>
      <c r="P35" s="314"/>
      <c r="Q35" s="313"/>
      <c r="R35" s="316"/>
      <c r="S35" s="317">
        <f t="shared" si="11"/>
        <v>0</v>
      </c>
      <c r="T35" s="317">
        <f>VLOOKUP(F35, Data_Validation!$D$2:$G$15, 4, FALSE)</f>
        <v>125</v>
      </c>
      <c r="U35" s="317"/>
    </row>
    <row r="36" ht="20.25" customHeight="1" collapsed="1">
      <c r="A36" s="216" t="str">
        <f>IFERROR(__xludf.DUMMYFUNCTION("ARRAYFORMULA(IFERROR(VLOOKUP(REGEXEXTRACT(B36, ""-(\w+)-""), {Data_Validation!$F$16:$F$29, Data_Validation!$E$16:$E$29}, 2, FALSE), """"))
"),"TheMVP")</f>
        <v>TheMVP</v>
      </c>
      <c r="B36" s="321" t="s">
        <v>1467</v>
      </c>
      <c r="C36" s="321" t="s">
        <v>1468</v>
      </c>
      <c r="D36" s="323"/>
      <c r="E36" s="321" t="s">
        <v>21</v>
      </c>
      <c r="F36" s="321" t="s">
        <v>48</v>
      </c>
      <c r="G36" s="321" t="s">
        <v>79</v>
      </c>
      <c r="H36" s="320">
        <v>45169.0</v>
      </c>
      <c r="I36" s="308"/>
      <c r="J36" s="323">
        <v>3.0</v>
      </c>
      <c r="K36" s="324"/>
      <c r="L36" s="325"/>
      <c r="M36" s="312">
        <v>45169.70942431713</v>
      </c>
      <c r="N36" s="313">
        <v>45169.77327172454</v>
      </c>
      <c r="O36" s="314"/>
      <c r="P36" s="314"/>
      <c r="Q36" s="327"/>
      <c r="R36" s="316">
        <v>0.052083333332120674</v>
      </c>
      <c r="S36" s="317">
        <f>SUM(S37:S39)</f>
        <v>106.25</v>
      </c>
      <c r="T36" s="317">
        <f>AVERAGE(T37:T39)</f>
        <v>85</v>
      </c>
      <c r="U36" s="317"/>
    </row>
    <row r="37" ht="20.25" hidden="1" customHeight="1" outlineLevel="1">
      <c r="A37" s="216" t="str">
        <f>IFERROR(__xludf.DUMMYFUNCTION("ARRAYFORMULA(IFERROR(VLOOKUP(REGEXEXTRACT(B37, ""-(\w+)-""), {Data_Validation!$F$16:$F$29, Data_Validation!$E$16:$E$29}, 2, FALSE), """"))
"),"TheMVP")</f>
        <v>TheMVP</v>
      </c>
      <c r="B37" s="321" t="s">
        <v>1469</v>
      </c>
      <c r="C37" s="323"/>
      <c r="D37" s="321" t="s">
        <v>40</v>
      </c>
      <c r="E37" s="321" t="s">
        <v>26</v>
      </c>
      <c r="F37" s="321" t="s">
        <v>48</v>
      </c>
      <c r="G37" s="323"/>
      <c r="H37" s="320">
        <v>45169.0</v>
      </c>
      <c r="I37" s="323">
        <v>1.0</v>
      </c>
      <c r="J37" s="323"/>
      <c r="K37" s="324"/>
      <c r="L37" s="325"/>
      <c r="M37" s="312">
        <v>45169.70942431713</v>
      </c>
      <c r="N37" s="313">
        <v>45169.77306734954</v>
      </c>
      <c r="O37" s="314" t="s">
        <v>1470</v>
      </c>
      <c r="P37" s="314" t="s">
        <v>1471</v>
      </c>
      <c r="Q37" s="326" t="s">
        <v>31</v>
      </c>
      <c r="R37" s="316">
        <v>0.04722222222335404</v>
      </c>
      <c r="S37" s="317">
        <f t="shared" ref="S37:S39" si="12">T37*24*R37</f>
        <v>96.33333334</v>
      </c>
      <c r="T37" s="317">
        <f>VLOOKUP(F37, Data_Validation!$D$2:$G$15, 4, FALSE)</f>
        <v>85</v>
      </c>
      <c r="U37" s="317"/>
    </row>
    <row r="38" ht="20.25" hidden="1" customHeight="1" outlineLevel="1">
      <c r="A38" s="216" t="str">
        <f>IFERROR(__xludf.DUMMYFUNCTION("ARRAYFORMULA(IFERROR(VLOOKUP(REGEXEXTRACT(B38, ""-(\w+)-""), {Data_Validation!$F$16:$F$29, Data_Validation!$E$16:$E$29}, 2, FALSE), """"))
"),"TheMVP")</f>
        <v>TheMVP</v>
      </c>
      <c r="B38" s="321" t="s">
        <v>1472</v>
      </c>
      <c r="C38" s="323"/>
      <c r="D38" s="321" t="s">
        <v>1473</v>
      </c>
      <c r="E38" s="321" t="s">
        <v>26</v>
      </c>
      <c r="F38" s="321" t="s">
        <v>48</v>
      </c>
      <c r="G38" s="323"/>
      <c r="H38" s="320">
        <v>45169.0</v>
      </c>
      <c r="I38" s="323">
        <v>1.0</v>
      </c>
      <c r="J38" s="323"/>
      <c r="K38" s="324"/>
      <c r="L38" s="325"/>
      <c r="M38" s="312">
        <v>45169.77314615741</v>
      </c>
      <c r="N38" s="313">
        <v>45169.77327172454</v>
      </c>
      <c r="O38" s="314"/>
      <c r="P38" s="314"/>
      <c r="Q38" s="326" t="s">
        <v>31</v>
      </c>
      <c r="R38" s="316">
        <v>0.0</v>
      </c>
      <c r="S38" s="317">
        <f t="shared" si="12"/>
        <v>0</v>
      </c>
      <c r="T38" s="317">
        <f>VLOOKUP(F38, Data_Validation!$D$2:$G$15, 4, FALSE)</f>
        <v>85</v>
      </c>
      <c r="U38" s="317"/>
    </row>
    <row r="39" ht="20.25" hidden="1" customHeight="1" outlineLevel="1">
      <c r="A39" s="216" t="str">
        <f>IFERROR(__xludf.DUMMYFUNCTION("ARRAYFORMULA(IFERROR(VLOOKUP(REGEXEXTRACT(B39, ""-(\w+)-""), {Data_Validation!$F$16:$F$29, Data_Validation!$E$16:$E$29}, 2, FALSE), """"))
"),"TheMVP")</f>
        <v>TheMVP</v>
      </c>
      <c r="B39" s="321" t="s">
        <v>1474</v>
      </c>
      <c r="C39" s="323"/>
      <c r="D39" s="321" t="s">
        <v>47</v>
      </c>
      <c r="E39" s="321" t="s">
        <v>26</v>
      </c>
      <c r="F39" s="321" t="s">
        <v>48</v>
      </c>
      <c r="G39" s="323"/>
      <c r="H39" s="320">
        <v>45169.0</v>
      </c>
      <c r="I39" s="323">
        <v>1.0</v>
      </c>
      <c r="J39" s="323"/>
      <c r="K39" s="324"/>
      <c r="L39" s="325"/>
      <c r="M39" s="312">
        <v>45169.767889016206</v>
      </c>
      <c r="N39" s="313">
        <v>45169.77304640046</v>
      </c>
      <c r="O39" s="314"/>
      <c r="P39" s="314"/>
      <c r="Q39" s="326" t="s">
        <v>31</v>
      </c>
      <c r="R39" s="316">
        <v>0.004861111112404615</v>
      </c>
      <c r="S39" s="317">
        <f t="shared" si="12"/>
        <v>9.916666669</v>
      </c>
      <c r="T39" s="317">
        <f>VLOOKUP(F39, Data_Validation!$D$2:$G$15, 4, FALSE)</f>
        <v>85</v>
      </c>
      <c r="U39" s="317"/>
    </row>
    <row r="40" ht="20.25" customHeight="1" collapsed="1">
      <c r="A40" s="216" t="str">
        <f>IFERROR(__xludf.DUMMYFUNCTION("ARRAYFORMULA(IFERROR(VLOOKUP(REGEXEXTRACT(B40, ""-(\w+)-""), {Data_Validation!$F$16:$F$29, Data_Validation!$E$16:$E$29}, 2, FALSE), """"))
"),"TheMVP")</f>
        <v>TheMVP</v>
      </c>
      <c r="B40" s="321" t="s">
        <v>961</v>
      </c>
      <c r="C40" s="321" t="s">
        <v>1475</v>
      </c>
      <c r="D40" s="321"/>
      <c r="E40" s="321" t="s">
        <v>1228</v>
      </c>
      <c r="F40" s="321" t="s">
        <v>27</v>
      </c>
      <c r="G40" s="321" t="s">
        <v>23</v>
      </c>
      <c r="H40" s="320">
        <v>45161.0</v>
      </c>
      <c r="I40" s="308"/>
      <c r="J40" s="322">
        <v>2.0</v>
      </c>
      <c r="K40" s="324"/>
      <c r="L40" s="334"/>
      <c r="M40" s="312"/>
      <c r="N40" s="313"/>
      <c r="O40" s="314"/>
      <c r="P40" s="314"/>
      <c r="Q40" s="313"/>
      <c r="R40" s="316"/>
      <c r="S40" s="316"/>
      <c r="T40" s="316"/>
      <c r="U40" s="316"/>
    </row>
    <row r="41" ht="20.25" hidden="1" customHeight="1" outlineLevel="1">
      <c r="A41" s="216" t="str">
        <f>IFERROR(__xludf.DUMMYFUNCTION("ARRAYFORMULA(IFERROR(VLOOKUP(REGEXEXTRACT(B41, ""-(\w+)-""), {Data_Validation!$F$16:$F$29, Data_Validation!$E$16:$E$29}, 2, FALSE), """"))
"),"TheMVP")</f>
        <v>TheMVP</v>
      </c>
      <c r="B41" s="321" t="s">
        <v>964</v>
      </c>
      <c r="C41" s="321"/>
      <c r="D41" s="321" t="s">
        <v>40</v>
      </c>
      <c r="E41" s="321" t="s">
        <v>26</v>
      </c>
      <c r="F41" s="321" t="s">
        <v>747</v>
      </c>
      <c r="G41" s="321"/>
      <c r="H41" s="332">
        <v>45160.09986696759</v>
      </c>
      <c r="I41" s="308">
        <v>1.0</v>
      </c>
      <c r="J41" s="322"/>
      <c r="K41" s="324"/>
      <c r="L41" s="325"/>
      <c r="M41" s="312"/>
      <c r="N41" s="313"/>
      <c r="O41" s="314"/>
      <c r="P41" s="314"/>
      <c r="Q41" s="313"/>
      <c r="R41" s="316"/>
      <c r="S41" s="317">
        <f t="shared" ref="S41:S43" si="13">T41*24*R41</f>
        <v>0</v>
      </c>
      <c r="T41" s="317">
        <f>VLOOKUP(F41, Data_Validation!$D$2:$G$15, 4, FALSE)</f>
        <v>82.5</v>
      </c>
      <c r="U41" s="317"/>
    </row>
    <row r="42" ht="20.25" hidden="1" customHeight="1" outlineLevel="1">
      <c r="A42" s="216" t="str">
        <f>IFERROR(__xludf.DUMMYFUNCTION("ARRAYFORMULA(IFERROR(VLOOKUP(REGEXEXTRACT(B42, ""-(\w+)-""), {Data_Validation!$F$16:$F$29, Data_Validation!$E$16:$E$29}, 2, FALSE), """"))
"),"TheMVP")</f>
        <v>TheMVP</v>
      </c>
      <c r="B42" s="321" t="s">
        <v>966</v>
      </c>
      <c r="C42" s="321"/>
      <c r="D42" s="321" t="s">
        <v>1476</v>
      </c>
      <c r="E42" s="321" t="s">
        <v>26</v>
      </c>
      <c r="F42" s="321" t="s">
        <v>22</v>
      </c>
      <c r="G42" s="321"/>
      <c r="H42" s="332">
        <v>45161.0</v>
      </c>
      <c r="I42" s="308"/>
      <c r="J42" s="322"/>
      <c r="K42" s="324"/>
      <c r="L42" s="325"/>
      <c r="M42" s="312"/>
      <c r="N42" s="313"/>
      <c r="O42" s="314"/>
      <c r="P42" s="314"/>
      <c r="Q42" s="326"/>
      <c r="R42" s="316"/>
      <c r="S42" s="317">
        <f t="shared" si="13"/>
        <v>0</v>
      </c>
      <c r="T42" s="317">
        <f>VLOOKUP(F42, Data_Validation!$D$2:$G$15, 4, FALSE)</f>
        <v>125</v>
      </c>
      <c r="U42" s="317"/>
    </row>
    <row r="43" ht="20.25" hidden="1" customHeight="1" outlineLevel="1">
      <c r="A43" s="216" t="str">
        <f>IFERROR(__xludf.DUMMYFUNCTION("ARRAYFORMULA(IFERROR(VLOOKUP(REGEXEXTRACT(B43, ""-(\w+)-""), {Data_Validation!$F$16:$F$29, Data_Validation!$E$16:$E$29}, 2, FALSE), """"))
"),"TheMVP")</f>
        <v>TheMVP</v>
      </c>
      <c r="B43" s="321" t="s">
        <v>968</v>
      </c>
      <c r="C43" s="321"/>
      <c r="D43" s="321" t="s">
        <v>274</v>
      </c>
      <c r="E43" s="321" t="s">
        <v>26</v>
      </c>
      <c r="F43" s="321" t="s">
        <v>22</v>
      </c>
      <c r="G43" s="321"/>
      <c r="H43" s="332">
        <v>45161.0</v>
      </c>
      <c r="I43" s="308">
        <v>1.0</v>
      </c>
      <c r="J43" s="322"/>
      <c r="K43" s="324"/>
      <c r="L43" s="325"/>
      <c r="M43" s="312"/>
      <c r="N43" s="313"/>
      <c r="O43" s="314"/>
      <c r="P43" s="314"/>
      <c r="Q43" s="326"/>
      <c r="R43" s="316"/>
      <c r="S43" s="317">
        <f t="shared" si="13"/>
        <v>0</v>
      </c>
      <c r="T43" s="317">
        <f>VLOOKUP(F43, Data_Validation!$D$2:$G$15, 4, FALSE)</f>
        <v>125</v>
      </c>
      <c r="U43" s="317"/>
    </row>
    <row r="44" ht="20.25" customHeight="1" collapsed="1">
      <c r="A44" s="216" t="str">
        <f>IFERROR(__xludf.DUMMYFUNCTION("ARRAYFORMULA(IFERROR(VLOOKUP(REGEXEXTRACT(B44, ""-(\w+)-""), {Data_Validation!$F$16:$F$29, Data_Validation!$E$16:$E$29}, 2, FALSE), """"))
"),"TheMVP")</f>
        <v>TheMVP</v>
      </c>
      <c r="B44" s="321" t="s">
        <v>1477</v>
      </c>
      <c r="C44" s="321" t="s">
        <v>1478</v>
      </c>
      <c r="D44" s="323"/>
      <c r="E44" s="321" t="s">
        <v>21</v>
      </c>
      <c r="F44" s="321" t="s">
        <v>747</v>
      </c>
      <c r="G44" s="321" t="s">
        <v>23</v>
      </c>
      <c r="H44" s="320">
        <v>45170.0</v>
      </c>
      <c r="I44" s="308"/>
      <c r="J44" s="323">
        <v>7.0</v>
      </c>
      <c r="K44" s="324"/>
      <c r="L44" s="325"/>
      <c r="M44" s="312">
        <f>min(M45:M51)</f>
        <v>45164.70354</v>
      </c>
      <c r="N44" s="312">
        <f>MAX(N45:N51)</f>
        <v>45170.53297</v>
      </c>
      <c r="O44" s="314"/>
      <c r="P44" s="314"/>
      <c r="Q44" s="327"/>
      <c r="R44" s="328">
        <f t="shared" ref="R44:S44" si="14">SUM(R45:R51)</f>
        <v>1.022222222</v>
      </c>
      <c r="S44" s="317">
        <f t="shared" si="14"/>
        <v>2130.25</v>
      </c>
      <c r="T44" s="317">
        <f>AVERAGE(T45:T51)</f>
        <v>88.57142857</v>
      </c>
      <c r="U44" s="317"/>
    </row>
    <row r="45" ht="20.25" hidden="1" customHeight="1" outlineLevel="1">
      <c r="A45" s="216" t="str">
        <f>IFERROR(__xludf.DUMMYFUNCTION("ARRAYFORMULA(IFERROR(VLOOKUP(REGEXEXTRACT(B45, ""-(\w+)-""), {Data_Validation!$F$16:$F$29, Data_Validation!$E$16:$E$29}, 2, FALSE), """"))
"),"TheMVP")</f>
        <v>TheMVP</v>
      </c>
      <c r="B45" s="321" t="s">
        <v>1479</v>
      </c>
      <c r="C45" s="323"/>
      <c r="D45" s="321" t="s">
        <v>25</v>
      </c>
      <c r="E45" s="321" t="s">
        <v>26</v>
      </c>
      <c r="F45" s="321" t="s">
        <v>22</v>
      </c>
      <c r="G45" s="321" t="s">
        <v>1480</v>
      </c>
      <c r="H45" s="320">
        <v>45164.0</v>
      </c>
      <c r="I45" s="323">
        <v>1.0</v>
      </c>
      <c r="J45" s="323"/>
      <c r="K45" s="324"/>
      <c r="L45" s="325"/>
      <c r="M45" s="312">
        <v>45164.70354166666</v>
      </c>
      <c r="N45" s="313">
        <v>45167.49015516204</v>
      </c>
      <c r="O45" s="314" t="s">
        <v>1481</v>
      </c>
      <c r="P45" s="314" t="s">
        <v>1482</v>
      </c>
      <c r="Q45" s="326" t="s">
        <v>31</v>
      </c>
      <c r="R45" s="316">
        <v>0.10416666666787933</v>
      </c>
      <c r="S45" s="317">
        <f t="shared" ref="S45:S51" si="15">T45*24*R45</f>
        <v>312.5</v>
      </c>
      <c r="T45" s="317">
        <f>VLOOKUP(F45, Data_Validation!$D$2:$G$15, 4, FALSE)</f>
        <v>125</v>
      </c>
      <c r="U45" s="317"/>
    </row>
    <row r="46" ht="20.25" hidden="1" customHeight="1" outlineLevel="1">
      <c r="A46" s="216" t="str">
        <f>IFERROR(__xludf.DUMMYFUNCTION("ARRAYFORMULA(IFERROR(VLOOKUP(REGEXEXTRACT(B46, ""-(\w+)-""), {Data_Validation!$F$16:$F$29, Data_Validation!$E$16:$E$29}, 2, FALSE), """"))
"),"TheMVP")</f>
        <v>TheMVP</v>
      </c>
      <c r="B46" s="321" t="s">
        <v>1483</v>
      </c>
      <c r="C46" s="323"/>
      <c r="D46" s="321" t="s">
        <v>33</v>
      </c>
      <c r="E46" s="321" t="s">
        <v>26</v>
      </c>
      <c r="F46" s="321" t="s">
        <v>747</v>
      </c>
      <c r="G46" s="323"/>
      <c r="H46" s="320">
        <v>45155.0</v>
      </c>
      <c r="I46" s="323">
        <v>1.0</v>
      </c>
      <c r="J46" s="323"/>
      <c r="K46" s="324"/>
      <c r="L46" s="325"/>
      <c r="M46" s="312"/>
      <c r="N46" s="313"/>
      <c r="O46" s="314"/>
      <c r="P46" s="314"/>
      <c r="Q46" s="327"/>
      <c r="R46" s="316"/>
      <c r="S46" s="317">
        <f t="shared" si="15"/>
        <v>0</v>
      </c>
      <c r="T46" s="317">
        <f>VLOOKUP(F46, Data_Validation!$D$2:$G$15, 4, FALSE)</f>
        <v>82.5</v>
      </c>
      <c r="U46" s="317"/>
    </row>
    <row r="47" ht="20.25" hidden="1" customHeight="1" outlineLevel="1">
      <c r="A47" s="216" t="str">
        <f>IFERROR(__xludf.DUMMYFUNCTION("ARRAYFORMULA(IFERROR(VLOOKUP(REGEXEXTRACT(B47, ""-(\w+)-""), {Data_Validation!$F$16:$F$29, Data_Validation!$E$16:$E$29}, 2, FALSE), """"))
"),"TheMVP")</f>
        <v>TheMVP</v>
      </c>
      <c r="B47" s="321" t="s">
        <v>1484</v>
      </c>
      <c r="C47" s="323"/>
      <c r="D47" s="321" t="s">
        <v>112</v>
      </c>
      <c r="E47" s="321" t="s">
        <v>26</v>
      </c>
      <c r="F47" s="321" t="s">
        <v>747</v>
      </c>
      <c r="G47" s="323"/>
      <c r="H47" s="320">
        <v>45168.0</v>
      </c>
      <c r="I47" s="323">
        <v>1.0</v>
      </c>
      <c r="J47" s="323"/>
      <c r="K47" s="324"/>
      <c r="L47" s="325"/>
      <c r="M47" s="312">
        <v>45168.625069444446</v>
      </c>
      <c r="N47" s="313">
        <v>45168.63528935185</v>
      </c>
      <c r="O47" s="314"/>
      <c r="P47" s="314"/>
      <c r="Q47" s="327"/>
      <c r="R47" s="316"/>
      <c r="S47" s="317">
        <f t="shared" si="15"/>
        <v>0</v>
      </c>
      <c r="T47" s="317">
        <f>VLOOKUP(F47, Data_Validation!$D$2:$G$15, 4, FALSE)</f>
        <v>82.5</v>
      </c>
      <c r="U47" s="317"/>
    </row>
    <row r="48" ht="20.25" hidden="1" customHeight="1" outlineLevel="1">
      <c r="A48" s="216" t="str">
        <f>IFERROR(__xludf.DUMMYFUNCTION("ARRAYFORMULA(IFERROR(VLOOKUP(REGEXEXTRACT(B48, ""-(\w+)-""), {Data_Validation!$F$16:$F$29, Data_Validation!$E$16:$E$29}, 2, FALSE), """"))
"),"TheMVP")</f>
        <v>TheMVP</v>
      </c>
      <c r="B48" s="321" t="s">
        <v>1485</v>
      </c>
      <c r="C48" s="323"/>
      <c r="D48" s="321" t="s">
        <v>38</v>
      </c>
      <c r="E48" s="321" t="s">
        <v>26</v>
      </c>
      <c r="F48" s="321" t="s">
        <v>747</v>
      </c>
      <c r="G48" s="323"/>
      <c r="H48" s="320">
        <v>45167.43761736111</v>
      </c>
      <c r="I48" s="323">
        <v>1.0</v>
      </c>
      <c r="J48" s="323"/>
      <c r="K48" s="324"/>
      <c r="L48" s="325"/>
      <c r="M48" s="312"/>
      <c r="N48" s="313"/>
      <c r="O48" s="314"/>
      <c r="P48" s="314"/>
      <c r="Q48" s="327"/>
      <c r="R48" s="316"/>
      <c r="S48" s="317">
        <f t="shared" si="15"/>
        <v>0</v>
      </c>
      <c r="T48" s="317">
        <f>VLOOKUP(F48, Data_Validation!$D$2:$G$15, 4, FALSE)</f>
        <v>82.5</v>
      </c>
      <c r="U48" s="317"/>
    </row>
    <row r="49" ht="20.25" hidden="1" customHeight="1" outlineLevel="1">
      <c r="A49" s="216" t="str">
        <f>IFERROR(__xludf.DUMMYFUNCTION("ARRAYFORMULA(IFERROR(VLOOKUP(REGEXEXTRACT(B49, ""-(\w+)-""), {Data_Validation!$F$16:$F$29, Data_Validation!$E$16:$E$29}, 2, FALSE), """"))
"),"TheMVP")</f>
        <v>TheMVP</v>
      </c>
      <c r="B49" s="321" t="s">
        <v>1486</v>
      </c>
      <c r="C49" s="323"/>
      <c r="D49" s="321" t="s">
        <v>40</v>
      </c>
      <c r="E49" s="321" t="s">
        <v>26</v>
      </c>
      <c r="F49" s="321" t="s">
        <v>747</v>
      </c>
      <c r="G49" s="323"/>
      <c r="H49" s="320">
        <v>45168.0</v>
      </c>
      <c r="I49" s="323">
        <v>1.0</v>
      </c>
      <c r="J49" s="323"/>
      <c r="K49" s="324"/>
      <c r="L49" s="325"/>
      <c r="M49" s="312">
        <v>45168.66973016204</v>
      </c>
      <c r="N49" s="313">
        <v>45170.53297189815</v>
      </c>
      <c r="O49" s="314" t="s">
        <v>1487</v>
      </c>
      <c r="P49" s="314" t="s">
        <v>1488</v>
      </c>
      <c r="Q49" s="326" t="s">
        <v>31</v>
      </c>
      <c r="R49" s="316">
        <v>0.8555555555540195</v>
      </c>
      <c r="S49" s="317">
        <f t="shared" si="15"/>
        <v>1694</v>
      </c>
      <c r="T49" s="317">
        <f>VLOOKUP(F49, Data_Validation!$D$2:$G$15, 4, FALSE)</f>
        <v>82.5</v>
      </c>
      <c r="U49" s="317"/>
    </row>
    <row r="50" ht="20.25" hidden="1" customHeight="1" outlineLevel="1">
      <c r="A50" s="216" t="str">
        <f>IFERROR(__xludf.DUMMYFUNCTION("ARRAYFORMULA(IFERROR(VLOOKUP(REGEXEXTRACT(B50, ""-(\w+)-""), {Data_Validation!$F$16:$F$29, Data_Validation!$E$16:$E$29}, 2, FALSE), """"))
"),"TheMVP")</f>
        <v>TheMVP</v>
      </c>
      <c r="B50" s="321" t="s">
        <v>1489</v>
      </c>
      <c r="C50" s="323"/>
      <c r="D50" s="321" t="s">
        <v>45</v>
      </c>
      <c r="E50" s="321" t="s">
        <v>26</v>
      </c>
      <c r="F50" s="321" t="s">
        <v>747</v>
      </c>
      <c r="G50" s="323"/>
      <c r="H50" s="320">
        <v>45169.0</v>
      </c>
      <c r="I50" s="323">
        <v>1.0</v>
      </c>
      <c r="J50" s="323"/>
      <c r="K50" s="324"/>
      <c r="L50" s="325"/>
      <c r="M50" s="312">
        <v>45168.63548611111</v>
      </c>
      <c r="N50" s="313">
        <v>45170.418701863426</v>
      </c>
      <c r="O50" s="314" t="s">
        <v>1490</v>
      </c>
      <c r="P50" s="314" t="s">
        <v>1491</v>
      </c>
      <c r="Q50" s="326" t="s">
        <v>31</v>
      </c>
      <c r="R50" s="316">
        <v>0.0625</v>
      </c>
      <c r="S50" s="317">
        <f t="shared" si="15"/>
        <v>123.75</v>
      </c>
      <c r="T50" s="317">
        <f>VLOOKUP(F50, Data_Validation!$D$2:$G$15, 4, FALSE)</f>
        <v>82.5</v>
      </c>
      <c r="U50" s="317"/>
    </row>
    <row r="51" ht="20.25" hidden="1" customHeight="1" outlineLevel="1">
      <c r="A51" s="216" t="str">
        <f>IFERROR(__xludf.DUMMYFUNCTION("ARRAYFORMULA(IFERROR(VLOOKUP(REGEXEXTRACT(B51, ""-(\w+)-""), {Data_Validation!$F$16:$F$29, Data_Validation!$E$16:$E$29}, 2, FALSE), """"))
"),"TheMVP")</f>
        <v>TheMVP</v>
      </c>
      <c r="B51" s="321" t="s">
        <v>1492</v>
      </c>
      <c r="C51" s="323"/>
      <c r="D51" s="321" t="s">
        <v>47</v>
      </c>
      <c r="E51" s="321" t="s">
        <v>26</v>
      </c>
      <c r="F51" s="321" t="s">
        <v>747</v>
      </c>
      <c r="G51" s="323"/>
      <c r="H51" s="320">
        <v>45170.0</v>
      </c>
      <c r="I51" s="323">
        <v>1.0</v>
      </c>
      <c r="J51" s="323"/>
      <c r="K51" s="324"/>
      <c r="L51" s="325"/>
      <c r="M51" s="312"/>
      <c r="N51" s="313"/>
      <c r="O51" s="314"/>
      <c r="P51" s="314"/>
      <c r="Q51" s="327"/>
      <c r="R51" s="316"/>
      <c r="S51" s="317">
        <f t="shared" si="15"/>
        <v>0</v>
      </c>
      <c r="T51" s="317">
        <f>VLOOKUP(F51, Data_Validation!$D$2:$G$15, 4, FALSE)</f>
        <v>82.5</v>
      </c>
      <c r="U51" s="317"/>
    </row>
    <row r="52" ht="20.25" customHeight="1" collapsed="1">
      <c r="A52" s="216" t="str">
        <f>IFERROR(__xludf.DUMMYFUNCTION("ARRAYFORMULA(IFERROR(VLOOKUP(REGEXEXTRACT(B52, ""-(\w+)-""), {Data_Validation!$F$16:$F$29, Data_Validation!$E$16:$E$29}, 2, FALSE), """"))
"),"Picture This!")</f>
        <v>Picture This!</v>
      </c>
      <c r="B52" s="321" t="s">
        <v>1411</v>
      </c>
      <c r="C52" s="321" t="s">
        <v>1493</v>
      </c>
      <c r="D52" s="323"/>
      <c r="E52" s="321" t="s">
        <v>984</v>
      </c>
      <c r="F52" s="321" t="s">
        <v>22</v>
      </c>
      <c r="G52" s="321" t="s">
        <v>23</v>
      </c>
      <c r="H52" s="329">
        <v>45185.0</v>
      </c>
      <c r="I52" s="308"/>
      <c r="J52" s="323">
        <v>2.0</v>
      </c>
      <c r="K52" s="324"/>
      <c r="L52" s="325"/>
      <c r="M52" s="312">
        <v>45171.56880230324</v>
      </c>
      <c r="N52" s="313">
        <v>45173.46822702546</v>
      </c>
      <c r="O52" s="314"/>
      <c r="P52" s="314"/>
      <c r="Q52" s="327"/>
      <c r="R52" s="316">
        <v>0.10416666666787933</v>
      </c>
      <c r="S52" s="316"/>
      <c r="T52" s="316"/>
      <c r="U52" s="316"/>
    </row>
    <row r="53" ht="20.25" hidden="1" customHeight="1" outlineLevel="1">
      <c r="A53" s="216" t="str">
        <f>IFERROR(__xludf.DUMMYFUNCTION("ARRAYFORMULA(IFERROR(VLOOKUP(REGEXEXTRACT(B53, ""-(\w+)-""), {Data_Validation!$F$16:$F$29, Data_Validation!$E$16:$E$29}, 2, FALSE), """"))
"),"Picture This!")</f>
        <v>Picture This!</v>
      </c>
      <c r="B53" s="321" t="s">
        <v>1494</v>
      </c>
      <c r="C53" s="323"/>
      <c r="D53" s="321" t="s">
        <v>1495</v>
      </c>
      <c r="E53" s="321" t="s">
        <v>26</v>
      </c>
      <c r="F53" s="321" t="s">
        <v>22</v>
      </c>
      <c r="G53" s="323"/>
      <c r="H53" s="329">
        <v>45185.0</v>
      </c>
      <c r="I53" s="323">
        <v>1.0</v>
      </c>
      <c r="J53" s="323"/>
      <c r="K53" s="324"/>
      <c r="L53" s="325"/>
      <c r="M53" s="312">
        <v>45171.67687520833</v>
      </c>
      <c r="N53" s="313">
        <v>45173.46822702546</v>
      </c>
      <c r="O53" s="314" t="s">
        <v>1496</v>
      </c>
      <c r="P53" s="314" t="s">
        <v>1497</v>
      </c>
      <c r="Q53" s="326" t="s">
        <v>31</v>
      </c>
      <c r="R53" s="316">
        <v>0.06388888888977817</v>
      </c>
      <c r="S53" s="317">
        <f t="shared" ref="S53:S55" si="16">T53*24*R53</f>
        <v>191.6666667</v>
      </c>
      <c r="T53" s="317">
        <f>VLOOKUP(F53, Data_Validation!$D$2:$G$15, 4, FALSE)</f>
        <v>125</v>
      </c>
      <c r="U53" s="317"/>
    </row>
    <row r="54" ht="20.25" hidden="1" customHeight="1" outlineLevel="1">
      <c r="A54" s="216" t="str">
        <f>IFERROR(__xludf.DUMMYFUNCTION("ARRAYFORMULA(IFERROR(VLOOKUP(REGEXEXTRACT(B54, ""-(\w+)-""), {Data_Validation!$F$16:$F$29, Data_Validation!$E$16:$E$29}, 2, FALSE), """"))
"),"Picture This!")</f>
        <v>Picture This!</v>
      </c>
      <c r="B54" s="321" t="s">
        <v>1498</v>
      </c>
      <c r="C54" s="323"/>
      <c r="D54" s="321" t="s">
        <v>1499</v>
      </c>
      <c r="E54" s="321" t="s">
        <v>26</v>
      </c>
      <c r="F54" s="321" t="s">
        <v>41</v>
      </c>
      <c r="G54" s="323"/>
      <c r="H54" s="329">
        <v>45171.0</v>
      </c>
      <c r="I54" s="323"/>
      <c r="J54" s="323"/>
      <c r="K54" s="324"/>
      <c r="L54" s="325"/>
      <c r="M54" s="312">
        <v>45171.56880230324</v>
      </c>
      <c r="N54" s="313">
        <v>45171.581513032404</v>
      </c>
      <c r="O54" s="314"/>
      <c r="P54" s="314"/>
      <c r="Q54" s="326" t="s">
        <v>31</v>
      </c>
      <c r="R54" s="316">
        <v>0.012500000000727596</v>
      </c>
      <c r="S54" s="317">
        <f t="shared" si="16"/>
        <v>34.5</v>
      </c>
      <c r="T54" s="317">
        <f>VLOOKUP(F54, Data_Validation!$D$2:$G$15, 4, FALSE)</f>
        <v>115</v>
      </c>
      <c r="U54" s="317"/>
    </row>
    <row r="55" ht="20.25" hidden="1" customHeight="1" outlineLevel="1">
      <c r="A55" s="216" t="str">
        <f>IFERROR(__xludf.DUMMYFUNCTION("ARRAYFORMULA(IFERROR(VLOOKUP(REGEXEXTRACT(B55, ""-(\w+)-""), {Data_Validation!$F$16:$F$29, Data_Validation!$E$16:$E$29}, 2, FALSE), """"))
"),"Picture This!")</f>
        <v>Picture This!</v>
      </c>
      <c r="B55" s="321" t="s">
        <v>1413</v>
      </c>
      <c r="C55" s="321"/>
      <c r="D55" s="321" t="s">
        <v>1500</v>
      </c>
      <c r="E55" s="321" t="s">
        <v>26</v>
      </c>
      <c r="F55" s="321" t="s">
        <v>22</v>
      </c>
      <c r="G55" s="321"/>
      <c r="H55" s="332">
        <v>45171.0</v>
      </c>
      <c r="I55" s="308">
        <v>1.0</v>
      </c>
      <c r="J55" s="322"/>
      <c r="K55" s="324"/>
      <c r="L55" s="325"/>
      <c r="M55" s="312">
        <v>45171.62010598379</v>
      </c>
      <c r="N55" s="313">
        <v>45171.681077905094</v>
      </c>
      <c r="O55" s="314" t="s">
        <v>1501</v>
      </c>
      <c r="P55" s="314" t="s">
        <v>1502</v>
      </c>
      <c r="Q55" s="326" t="s">
        <v>31</v>
      </c>
      <c r="R55" s="328">
        <v>0.027777777777777776</v>
      </c>
      <c r="S55" s="317">
        <f t="shared" si="16"/>
        <v>83.33333333</v>
      </c>
      <c r="T55" s="317">
        <f>VLOOKUP(F55, Data_Validation!$D$2:$G$15, 4, FALSE)</f>
        <v>125</v>
      </c>
      <c r="U55" s="317"/>
    </row>
    <row r="56" ht="20.25" customHeight="1" collapsed="1">
      <c r="A56" s="216" t="str">
        <f>IFERROR(__xludf.DUMMYFUNCTION("ARRAYFORMULA(IFERROR(VLOOKUP(REGEXEXTRACT(B56, ""-(\w+)-""), {Data_Validation!$F$16:$F$29, Data_Validation!$E$16:$E$29}, 2, FALSE), """"))
"),"TheMVP")</f>
        <v>TheMVP</v>
      </c>
      <c r="B56" s="321" t="s">
        <v>1503</v>
      </c>
      <c r="C56" s="322" t="s">
        <v>1504</v>
      </c>
      <c r="D56" s="322"/>
      <c r="E56" s="321" t="s">
        <v>21</v>
      </c>
      <c r="F56" s="321" t="s">
        <v>22</v>
      </c>
      <c r="G56" s="321" t="s">
        <v>79</v>
      </c>
      <c r="H56" s="320">
        <v>45160.0</v>
      </c>
      <c r="I56" s="308"/>
      <c r="J56" s="322">
        <v>9.0</v>
      </c>
      <c r="K56" s="324"/>
      <c r="L56" s="325"/>
      <c r="M56" s="312">
        <f>min(M57:M65)</f>
        <v>0</v>
      </c>
      <c r="N56" s="312">
        <f>MAX(N57:N65)</f>
        <v>0</v>
      </c>
      <c r="O56" s="314"/>
      <c r="P56" s="314"/>
      <c r="Q56" s="327"/>
      <c r="R56" s="328">
        <f>SUM(R57:R63)</f>
        <v>0</v>
      </c>
      <c r="S56" s="317">
        <f>SUM(S57:S65)</f>
        <v>0</v>
      </c>
      <c r="T56" s="317">
        <f>AVERAGE(T57:T65)</f>
        <v>80.27777778</v>
      </c>
      <c r="U56" s="317"/>
    </row>
    <row r="57" ht="20.25" hidden="1" customHeight="1" outlineLevel="1">
      <c r="A57" s="216" t="str">
        <f>IFERROR(__xludf.DUMMYFUNCTION("ARRAYFORMULA(IFERROR(VLOOKUP(REGEXEXTRACT(B57, ""-(\w+)-""), {Data_Validation!$F$16:$F$29, Data_Validation!$E$16:$E$29}, 2, FALSE), """"))
"),"TheMVP")</f>
        <v>TheMVP</v>
      </c>
      <c r="B57" s="321" t="s">
        <v>1505</v>
      </c>
      <c r="C57" s="322" t="s">
        <v>1317</v>
      </c>
      <c r="D57" s="322" t="s">
        <v>25</v>
      </c>
      <c r="E57" s="321" t="s">
        <v>26</v>
      </c>
      <c r="F57" s="321" t="s">
        <v>747</v>
      </c>
      <c r="G57" s="322" t="s">
        <v>1317</v>
      </c>
      <c r="H57" s="320">
        <v>45120.0</v>
      </c>
      <c r="I57" s="335">
        <v>1.0</v>
      </c>
      <c r="J57" s="322"/>
      <c r="K57" s="324"/>
      <c r="L57" s="325"/>
      <c r="M57" s="312"/>
      <c r="N57" s="313"/>
      <c r="O57" s="314"/>
      <c r="P57" s="314"/>
      <c r="Q57" s="336"/>
      <c r="R57" s="337"/>
      <c r="S57" s="317">
        <f t="shared" ref="S57:S65" si="17">T57*24*R57</f>
        <v>0</v>
      </c>
      <c r="T57" s="317">
        <f>VLOOKUP(F57, Data_Validation!$D$2:$G$15, 4, FALSE)</f>
        <v>82.5</v>
      </c>
      <c r="U57" s="317"/>
    </row>
    <row r="58" ht="20.25" hidden="1" customHeight="1" outlineLevel="1">
      <c r="A58" s="216" t="str">
        <f>IFERROR(__xludf.DUMMYFUNCTION("ARRAYFORMULA(IFERROR(VLOOKUP(REGEXEXTRACT(B58, ""-(\w+)-""), {Data_Validation!$F$16:$F$29, Data_Validation!$E$16:$E$29}, 2, FALSE), """"))
"),"TheMVP")</f>
        <v>TheMVP</v>
      </c>
      <c r="B58" s="321" t="s">
        <v>1506</v>
      </c>
      <c r="C58" s="322" t="s">
        <v>1317</v>
      </c>
      <c r="D58" s="321" t="s">
        <v>1507</v>
      </c>
      <c r="E58" s="322" t="s">
        <v>26</v>
      </c>
      <c r="F58" s="321" t="s">
        <v>747</v>
      </c>
      <c r="G58" s="322" t="s">
        <v>1317</v>
      </c>
      <c r="H58" s="320">
        <v>45132.0</v>
      </c>
      <c r="I58" s="335">
        <v>1.0</v>
      </c>
      <c r="J58" s="322"/>
      <c r="K58" s="324"/>
      <c r="L58" s="325"/>
      <c r="M58" s="312"/>
      <c r="N58" s="313"/>
      <c r="O58" s="314"/>
      <c r="P58" s="314"/>
      <c r="Q58" s="336"/>
      <c r="R58" s="337"/>
      <c r="S58" s="317">
        <f t="shared" si="17"/>
        <v>0</v>
      </c>
      <c r="T58" s="317">
        <f>VLOOKUP(F58, Data_Validation!$D$2:$G$15, 4, FALSE)</f>
        <v>82.5</v>
      </c>
      <c r="U58" s="317"/>
    </row>
    <row r="59" ht="20.25" hidden="1" customHeight="1" outlineLevel="1">
      <c r="A59" s="216" t="str">
        <f>IFERROR(__xludf.DUMMYFUNCTION("ARRAYFORMULA(IFERROR(VLOOKUP(REGEXEXTRACT(B59, ""-(\w+)-""), {Data_Validation!$F$16:$F$29, Data_Validation!$E$16:$E$29}, 2, FALSE), """"))
"),"TheMVP")</f>
        <v>TheMVP</v>
      </c>
      <c r="B59" s="321" t="s">
        <v>1508</v>
      </c>
      <c r="C59" s="322" t="s">
        <v>1317</v>
      </c>
      <c r="D59" s="322" t="s">
        <v>33</v>
      </c>
      <c r="E59" s="321" t="s">
        <v>26</v>
      </c>
      <c r="F59" s="321" t="s">
        <v>747</v>
      </c>
      <c r="G59" s="322" t="s">
        <v>1317</v>
      </c>
      <c r="H59" s="320">
        <v>45121.0</v>
      </c>
      <c r="I59" s="335">
        <v>1.0</v>
      </c>
      <c r="J59" s="322"/>
      <c r="K59" s="324"/>
      <c r="L59" s="325"/>
      <c r="M59" s="312"/>
      <c r="N59" s="313"/>
      <c r="O59" s="314"/>
      <c r="P59" s="314"/>
      <c r="Q59" s="336"/>
      <c r="R59" s="337"/>
      <c r="S59" s="317">
        <f t="shared" si="17"/>
        <v>0</v>
      </c>
      <c r="T59" s="317">
        <f>VLOOKUP(F59, Data_Validation!$D$2:$G$15, 4, FALSE)</f>
        <v>82.5</v>
      </c>
      <c r="U59" s="317"/>
    </row>
    <row r="60" ht="20.25" hidden="1" customHeight="1" outlineLevel="1">
      <c r="A60" s="216" t="str">
        <f>IFERROR(__xludf.DUMMYFUNCTION("ARRAYFORMULA(IFERROR(VLOOKUP(REGEXEXTRACT(B60, ""-(\w+)-""), {Data_Validation!$F$16:$F$29, Data_Validation!$E$16:$E$29}, 2, FALSE), """"))
"),"TheMVP")</f>
        <v>TheMVP</v>
      </c>
      <c r="B60" s="321" t="s">
        <v>1509</v>
      </c>
      <c r="C60" s="322" t="s">
        <v>1317</v>
      </c>
      <c r="D60" s="322" t="s">
        <v>121</v>
      </c>
      <c r="E60" s="321" t="s">
        <v>26</v>
      </c>
      <c r="F60" s="321" t="s">
        <v>27</v>
      </c>
      <c r="G60" s="322" t="s">
        <v>1317</v>
      </c>
      <c r="H60" s="320">
        <v>45122.0</v>
      </c>
      <c r="I60" s="335">
        <v>1.0</v>
      </c>
      <c r="J60" s="322"/>
      <c r="K60" s="324"/>
      <c r="L60" s="325"/>
      <c r="M60" s="312"/>
      <c r="N60" s="313"/>
      <c r="O60" s="314"/>
      <c r="P60" s="314"/>
      <c r="Q60" s="336"/>
      <c r="R60" s="337"/>
      <c r="S60" s="317">
        <f t="shared" si="17"/>
        <v>0</v>
      </c>
      <c r="T60" s="317">
        <f>VLOOKUP(F60, Data_Validation!$D$2:$G$15, 4, FALSE)</f>
        <v>72.5</v>
      </c>
      <c r="U60" s="317"/>
    </row>
    <row r="61" ht="20.25" hidden="1" customHeight="1" outlineLevel="1">
      <c r="A61" s="216" t="str">
        <f>IFERROR(__xludf.DUMMYFUNCTION("ARRAYFORMULA(IFERROR(VLOOKUP(REGEXEXTRACT(B61, ""-(\w+)-""), {Data_Validation!$F$16:$F$29, Data_Validation!$E$16:$E$29}, 2, FALSE), """"))
"),"TheMVP")</f>
        <v>TheMVP</v>
      </c>
      <c r="B61" s="321" t="s">
        <v>1510</v>
      </c>
      <c r="C61" s="322" t="s">
        <v>1317</v>
      </c>
      <c r="D61" s="322" t="s">
        <v>38</v>
      </c>
      <c r="E61" s="321" t="s">
        <v>26</v>
      </c>
      <c r="F61" s="321" t="s">
        <v>747</v>
      </c>
      <c r="G61" s="322" t="s">
        <v>1317</v>
      </c>
      <c r="H61" s="320">
        <v>45157.0</v>
      </c>
      <c r="I61" s="335">
        <v>1.0</v>
      </c>
      <c r="J61" s="322"/>
      <c r="K61" s="324"/>
      <c r="L61" s="325"/>
      <c r="M61" s="312"/>
      <c r="N61" s="313"/>
      <c r="O61" s="314"/>
      <c r="P61" s="314"/>
      <c r="Q61" s="336"/>
      <c r="R61" s="337"/>
      <c r="S61" s="317">
        <f t="shared" si="17"/>
        <v>0</v>
      </c>
      <c r="T61" s="317">
        <f>VLOOKUP(F61, Data_Validation!$D$2:$G$15, 4, FALSE)</f>
        <v>82.5</v>
      </c>
      <c r="U61" s="317"/>
    </row>
    <row r="62" ht="20.25" hidden="1" customHeight="1" outlineLevel="1">
      <c r="A62" s="216" t="str">
        <f>IFERROR(__xludf.DUMMYFUNCTION("ARRAYFORMULA(IFERROR(VLOOKUP(REGEXEXTRACT(B62, ""-(\w+)-""), {Data_Validation!$F$16:$F$29, Data_Validation!$E$16:$E$29}, 2, FALSE), """"))
"),"TheMVP")</f>
        <v>TheMVP</v>
      </c>
      <c r="B62" s="321" t="s">
        <v>1511</v>
      </c>
      <c r="C62" s="322" t="s">
        <v>1317</v>
      </c>
      <c r="D62" s="322" t="s">
        <v>1512</v>
      </c>
      <c r="E62" s="322" t="s">
        <v>26</v>
      </c>
      <c r="F62" s="321" t="s">
        <v>747</v>
      </c>
      <c r="G62" s="322" t="s">
        <v>1317</v>
      </c>
      <c r="H62" s="320">
        <v>45155.0</v>
      </c>
      <c r="I62" s="335">
        <v>1.0</v>
      </c>
      <c r="J62" s="322"/>
      <c r="K62" s="324"/>
      <c r="L62" s="325"/>
      <c r="M62" s="312"/>
      <c r="N62" s="313"/>
      <c r="O62" s="314"/>
      <c r="P62" s="314"/>
      <c r="Q62" s="336"/>
      <c r="R62" s="337"/>
      <c r="S62" s="317">
        <f t="shared" si="17"/>
        <v>0</v>
      </c>
      <c r="T62" s="317">
        <f>VLOOKUP(F62, Data_Validation!$D$2:$G$15, 4, FALSE)</f>
        <v>82.5</v>
      </c>
      <c r="U62" s="317"/>
    </row>
    <row r="63" ht="20.25" hidden="1" customHeight="1" outlineLevel="1">
      <c r="A63" s="216" t="str">
        <f>IFERROR(__xludf.DUMMYFUNCTION("ARRAYFORMULA(IFERROR(VLOOKUP(REGEXEXTRACT(B63, ""-(\w+)-""), {Data_Validation!$F$16:$F$29, Data_Validation!$E$16:$E$29}, 2, FALSE), """"))
"),"TheMVP")</f>
        <v>TheMVP</v>
      </c>
      <c r="B63" s="321" t="s">
        <v>1513</v>
      </c>
      <c r="C63" s="322" t="s">
        <v>1317</v>
      </c>
      <c r="D63" s="322" t="s">
        <v>40</v>
      </c>
      <c r="E63" s="321" t="s">
        <v>26</v>
      </c>
      <c r="F63" s="321" t="s">
        <v>27</v>
      </c>
      <c r="G63" s="322" t="s">
        <v>1317</v>
      </c>
      <c r="H63" s="320">
        <v>45156.0</v>
      </c>
      <c r="I63" s="335">
        <v>1.0</v>
      </c>
      <c r="J63" s="322"/>
      <c r="K63" s="324"/>
      <c r="L63" s="325"/>
      <c r="M63" s="312"/>
      <c r="N63" s="313"/>
      <c r="O63" s="314"/>
      <c r="P63" s="314"/>
      <c r="Q63" s="336"/>
      <c r="R63" s="337"/>
      <c r="S63" s="317">
        <f t="shared" si="17"/>
        <v>0</v>
      </c>
      <c r="T63" s="317">
        <f>VLOOKUP(F63, Data_Validation!$D$2:$G$15, 4, FALSE)</f>
        <v>72.5</v>
      </c>
      <c r="U63" s="317"/>
    </row>
    <row r="64" ht="20.25" hidden="1" customHeight="1" outlineLevel="1">
      <c r="A64" s="216" t="str">
        <f>IFERROR(__xludf.DUMMYFUNCTION("ARRAYFORMULA(IFERROR(VLOOKUP(REGEXEXTRACT(B64, ""-(\w+)-""), {Data_Validation!$F$16:$F$29, Data_Validation!$E$16:$E$29}, 2, FALSE), """"))
"),"TheMVP")</f>
        <v>TheMVP</v>
      </c>
      <c r="B64" s="321" t="s">
        <v>1514</v>
      </c>
      <c r="C64" s="322" t="s">
        <v>1317</v>
      </c>
      <c r="D64" s="322" t="s">
        <v>45</v>
      </c>
      <c r="E64" s="321" t="s">
        <v>26</v>
      </c>
      <c r="F64" s="321" t="s">
        <v>747</v>
      </c>
      <c r="G64" s="322" t="s">
        <v>1317</v>
      </c>
      <c r="H64" s="320">
        <v>45157.0</v>
      </c>
      <c r="I64" s="335">
        <v>1.0</v>
      </c>
      <c r="J64" s="322"/>
      <c r="K64" s="324"/>
      <c r="L64" s="325"/>
      <c r="M64" s="312"/>
      <c r="N64" s="313"/>
      <c r="O64" s="314"/>
      <c r="P64" s="314"/>
      <c r="Q64" s="326"/>
      <c r="R64" s="328"/>
      <c r="S64" s="317">
        <f t="shared" si="17"/>
        <v>0</v>
      </c>
      <c r="T64" s="317">
        <f>VLOOKUP(F64, Data_Validation!$D$2:$G$15, 4, FALSE)</f>
        <v>82.5</v>
      </c>
      <c r="U64" s="317"/>
    </row>
    <row r="65" ht="20.25" hidden="1" customHeight="1" outlineLevel="1">
      <c r="A65" s="216" t="str">
        <f>IFERROR(__xludf.DUMMYFUNCTION("ARRAYFORMULA(IFERROR(VLOOKUP(REGEXEXTRACT(B65, ""-(\w+)-""), {Data_Validation!$F$16:$F$29, Data_Validation!$E$16:$E$29}, 2, FALSE), """"))
"),"TheMVP")</f>
        <v>TheMVP</v>
      </c>
      <c r="B65" s="321" t="s">
        <v>1515</v>
      </c>
      <c r="C65" s="322" t="s">
        <v>1317</v>
      </c>
      <c r="D65" s="322" t="s">
        <v>47</v>
      </c>
      <c r="E65" s="321" t="s">
        <v>26</v>
      </c>
      <c r="F65" s="321" t="s">
        <v>747</v>
      </c>
      <c r="G65" s="322" t="s">
        <v>1317</v>
      </c>
      <c r="H65" s="320">
        <v>45160.0</v>
      </c>
      <c r="I65" s="335">
        <v>1.0</v>
      </c>
      <c r="J65" s="322"/>
      <c r="K65" s="324"/>
      <c r="L65" s="325"/>
      <c r="M65" s="312"/>
      <c r="N65" s="313"/>
      <c r="O65" s="314"/>
      <c r="P65" s="314"/>
      <c r="Q65" s="336"/>
      <c r="R65" s="337"/>
      <c r="S65" s="317">
        <f t="shared" si="17"/>
        <v>0</v>
      </c>
      <c r="T65" s="317">
        <f>VLOOKUP(F65, Data_Validation!$D$2:$G$15, 4, FALSE)</f>
        <v>82.5</v>
      </c>
      <c r="U65" s="317"/>
    </row>
    <row r="66" ht="20.25" customHeight="1" collapsed="1">
      <c r="A66" s="216" t="str">
        <f>IFERROR(__xludf.DUMMYFUNCTION("ARRAYFORMULA(IFERROR(VLOOKUP(REGEXEXTRACT(B66, ""-(\w+)-""), {Data_Validation!$F$16:$F$29, Data_Validation!$E$16:$E$29}, 2, FALSE), """"))
"),"TheMVP")</f>
        <v>TheMVP</v>
      </c>
      <c r="B66" s="321" t="s">
        <v>1516</v>
      </c>
      <c r="C66" s="322" t="s">
        <v>1517</v>
      </c>
      <c r="D66" s="322"/>
      <c r="E66" s="321" t="s">
        <v>21</v>
      </c>
      <c r="F66" s="321" t="s">
        <v>22</v>
      </c>
      <c r="G66" s="321" t="s">
        <v>63</v>
      </c>
      <c r="H66" s="320">
        <v>45161.0</v>
      </c>
      <c r="I66" s="308"/>
      <c r="J66" s="322">
        <v>6.0</v>
      </c>
      <c r="K66" s="324"/>
      <c r="L66" s="325"/>
      <c r="M66" s="312">
        <f>MIN(M67:M72)</f>
        <v>45161.43691</v>
      </c>
      <c r="N66" s="313">
        <f>MAX(N67:N72)</f>
        <v>45162.8063</v>
      </c>
      <c r="O66" s="314"/>
      <c r="P66" s="314"/>
      <c r="Q66" s="315"/>
      <c r="R66" s="316">
        <f t="shared" ref="R66:S66" si="18">SUM(R67:R72)</f>
        <v>0.002777777778</v>
      </c>
      <c r="S66" s="317">
        <f t="shared" si="18"/>
        <v>5.5</v>
      </c>
      <c r="T66" s="317">
        <f>AVERAGE(T67:T72)</f>
        <v>87.91666667</v>
      </c>
      <c r="U66" s="317"/>
    </row>
    <row r="67" ht="20.25" hidden="1" customHeight="1" outlineLevel="1">
      <c r="A67" s="216" t="str">
        <f>IFERROR(__xludf.DUMMYFUNCTION("ARRAYFORMULA(IFERROR(VLOOKUP(REGEXEXTRACT(B67, ""-(\w+)-""), {Data_Validation!$F$16:$F$29, Data_Validation!$E$16:$E$29}, 2, FALSE), """"))
"),"TheMVP")</f>
        <v>TheMVP</v>
      </c>
      <c r="B67" s="321" t="s">
        <v>1518</v>
      </c>
      <c r="C67" s="322"/>
      <c r="D67" s="322" t="s">
        <v>25</v>
      </c>
      <c r="E67" s="321" t="s">
        <v>26</v>
      </c>
      <c r="F67" s="321" t="s">
        <v>22</v>
      </c>
      <c r="G67" s="333" t="s">
        <v>1519</v>
      </c>
      <c r="H67" s="320">
        <v>45159.0</v>
      </c>
      <c r="I67" s="335">
        <v>1.0</v>
      </c>
      <c r="J67" s="322"/>
      <c r="K67" s="324"/>
      <c r="L67" s="325"/>
      <c r="M67" s="312"/>
      <c r="N67" s="313"/>
      <c r="O67" s="314"/>
      <c r="P67" s="314"/>
      <c r="Q67" s="336"/>
      <c r="R67" s="337"/>
      <c r="S67" s="317">
        <f t="shared" ref="S67:S73" si="19">T67*24*R67</f>
        <v>0</v>
      </c>
      <c r="T67" s="317">
        <f>VLOOKUP(F67, Data_Validation!$D$2:$G$15, 4, FALSE)</f>
        <v>125</v>
      </c>
      <c r="U67" s="317"/>
    </row>
    <row r="68" ht="20.25" hidden="1" customHeight="1" outlineLevel="1">
      <c r="A68" s="216" t="str">
        <f>IFERROR(__xludf.DUMMYFUNCTION("ARRAYFORMULA(IFERROR(VLOOKUP(REGEXEXTRACT(B68, ""-(\w+)-""), {Data_Validation!$F$16:$F$29, Data_Validation!$E$16:$E$29}, 2, FALSE), """"))
"),"TheMVP")</f>
        <v>TheMVP</v>
      </c>
      <c r="B68" s="321" t="s">
        <v>1520</v>
      </c>
      <c r="C68" s="322"/>
      <c r="D68" s="321" t="s">
        <v>112</v>
      </c>
      <c r="E68" s="321" t="s">
        <v>26</v>
      </c>
      <c r="F68" s="321" t="s">
        <v>747</v>
      </c>
      <c r="G68" s="322" t="s">
        <v>1317</v>
      </c>
      <c r="H68" s="320">
        <v>45160.0</v>
      </c>
      <c r="I68" s="335">
        <v>1.0</v>
      </c>
      <c r="J68" s="322"/>
      <c r="K68" s="324"/>
      <c r="L68" s="325"/>
      <c r="M68" s="312"/>
      <c r="N68" s="313"/>
      <c r="O68" s="314"/>
      <c r="P68" s="314"/>
      <c r="Q68" s="336"/>
      <c r="R68" s="337"/>
      <c r="S68" s="317">
        <f t="shared" si="19"/>
        <v>0</v>
      </c>
      <c r="T68" s="317">
        <f>VLOOKUP(F68, Data_Validation!$D$2:$G$15, 4, FALSE)</f>
        <v>82.5</v>
      </c>
      <c r="U68" s="317"/>
    </row>
    <row r="69" ht="20.25" hidden="1" customHeight="1" outlineLevel="1">
      <c r="A69" s="216" t="str">
        <f>IFERROR(__xludf.DUMMYFUNCTION("ARRAYFORMULA(IFERROR(VLOOKUP(REGEXEXTRACT(B69, ""-(\w+)-""), {Data_Validation!$F$16:$F$29, Data_Validation!$E$16:$E$29}, 2, FALSE), """"))
"),"TheMVP")</f>
        <v>TheMVP</v>
      </c>
      <c r="B69" s="321" t="s">
        <v>1521</v>
      </c>
      <c r="C69" s="322"/>
      <c r="D69" s="322" t="s">
        <v>33</v>
      </c>
      <c r="E69" s="322" t="s">
        <v>26</v>
      </c>
      <c r="F69" s="321" t="s">
        <v>747</v>
      </c>
      <c r="G69" s="322" t="s">
        <v>1317</v>
      </c>
      <c r="H69" s="320">
        <v>45155.0</v>
      </c>
      <c r="I69" s="335">
        <v>1.0</v>
      </c>
      <c r="J69" s="322"/>
      <c r="K69" s="324"/>
      <c r="L69" s="325"/>
      <c r="M69" s="312"/>
      <c r="N69" s="313"/>
      <c r="O69" s="314"/>
      <c r="P69" s="314"/>
      <c r="Q69" s="336"/>
      <c r="R69" s="337"/>
      <c r="S69" s="317">
        <f t="shared" si="19"/>
        <v>0</v>
      </c>
      <c r="T69" s="317">
        <f>VLOOKUP(F69, Data_Validation!$D$2:$G$15, 4, FALSE)</f>
        <v>82.5</v>
      </c>
      <c r="U69" s="317"/>
    </row>
    <row r="70" ht="20.25" hidden="1" customHeight="1" outlineLevel="1">
      <c r="A70" s="216" t="str">
        <f>IFERROR(__xludf.DUMMYFUNCTION("ARRAYFORMULA(IFERROR(VLOOKUP(REGEXEXTRACT(B70, ""-(\w+)-""), {Data_Validation!$F$16:$F$29, Data_Validation!$E$16:$E$29}, 2, FALSE), """"))
"),"TheMVP")</f>
        <v>TheMVP</v>
      </c>
      <c r="B70" s="321" t="s">
        <v>1522</v>
      </c>
      <c r="C70" s="322"/>
      <c r="D70" s="322" t="s">
        <v>40</v>
      </c>
      <c r="E70" s="321" t="s">
        <v>26</v>
      </c>
      <c r="F70" s="321" t="s">
        <v>27</v>
      </c>
      <c r="G70" s="322" t="s">
        <v>1317</v>
      </c>
      <c r="H70" s="320">
        <v>45160.0</v>
      </c>
      <c r="I70" s="335">
        <v>1.0</v>
      </c>
      <c r="J70" s="322"/>
      <c r="K70" s="324"/>
      <c r="L70" s="325"/>
      <c r="M70" s="312">
        <v>45161.43690972222</v>
      </c>
      <c r="N70" s="313"/>
      <c r="O70" s="314" t="s">
        <v>1523</v>
      </c>
      <c r="P70" s="314" t="s">
        <v>1524</v>
      </c>
      <c r="Q70" s="326" t="s">
        <v>309</v>
      </c>
      <c r="R70" s="337"/>
      <c r="S70" s="317">
        <f t="shared" si="19"/>
        <v>0</v>
      </c>
      <c r="T70" s="317">
        <f>VLOOKUP(F70, Data_Validation!$D$2:$G$15, 4, FALSE)</f>
        <v>72.5</v>
      </c>
      <c r="U70" s="317"/>
    </row>
    <row r="71" ht="20.25" hidden="1" customHeight="1" outlineLevel="1">
      <c r="A71" s="216" t="str">
        <f>IFERROR(__xludf.DUMMYFUNCTION("ARRAYFORMULA(IFERROR(VLOOKUP(REGEXEXTRACT(B71, ""-(\w+)-""), {Data_Validation!$F$16:$F$29, Data_Validation!$E$16:$E$29}, 2, FALSE), """"))
"),"TheMVP")</f>
        <v>TheMVP</v>
      </c>
      <c r="B71" s="321" t="s">
        <v>1525</v>
      </c>
      <c r="C71" s="322"/>
      <c r="D71" s="321" t="s">
        <v>274</v>
      </c>
      <c r="E71" s="321" t="s">
        <v>26</v>
      </c>
      <c r="F71" s="321" t="s">
        <v>747</v>
      </c>
      <c r="G71" s="322"/>
      <c r="H71" s="320">
        <v>45160.0</v>
      </c>
      <c r="I71" s="335"/>
      <c r="J71" s="322"/>
      <c r="K71" s="324"/>
      <c r="L71" s="325"/>
      <c r="M71" s="312">
        <v>45162.56561369213</v>
      </c>
      <c r="N71" s="313"/>
      <c r="O71" s="314" t="s">
        <v>1526</v>
      </c>
      <c r="P71" s="314" t="s">
        <v>1527</v>
      </c>
      <c r="Q71" s="326" t="s">
        <v>309</v>
      </c>
      <c r="R71" s="337"/>
      <c r="S71" s="317">
        <f t="shared" si="19"/>
        <v>0</v>
      </c>
      <c r="T71" s="317">
        <f>VLOOKUP(F71, Data_Validation!$D$2:$G$15, 4, FALSE)</f>
        <v>82.5</v>
      </c>
      <c r="U71" s="317"/>
    </row>
    <row r="72" ht="20.25" hidden="1" customHeight="1" outlineLevel="1">
      <c r="A72" s="216" t="str">
        <f>IFERROR(__xludf.DUMMYFUNCTION("ARRAYFORMULA(IFERROR(VLOOKUP(REGEXEXTRACT(B72, ""-(\w+)-""), {Data_Validation!$F$16:$F$29, Data_Validation!$E$16:$E$29}, 2, FALSE), """"))
"),"TheMVP")</f>
        <v>TheMVP</v>
      </c>
      <c r="B72" s="321" t="s">
        <v>1528</v>
      </c>
      <c r="C72" s="322"/>
      <c r="D72" s="322" t="s">
        <v>45</v>
      </c>
      <c r="E72" s="321" t="s">
        <v>26</v>
      </c>
      <c r="F72" s="321" t="s">
        <v>747</v>
      </c>
      <c r="G72" s="322" t="s">
        <v>1317</v>
      </c>
      <c r="H72" s="320">
        <v>45160.0</v>
      </c>
      <c r="I72" s="335">
        <v>1.0</v>
      </c>
      <c r="J72" s="322"/>
      <c r="K72" s="324"/>
      <c r="L72" s="325"/>
      <c r="M72" s="312">
        <v>45162.4996556713</v>
      </c>
      <c r="N72" s="313">
        <v>45162.80630193287</v>
      </c>
      <c r="O72" s="314" t="s">
        <v>1529</v>
      </c>
      <c r="P72" s="314" t="s">
        <v>1530</v>
      </c>
      <c r="Q72" s="326" t="s">
        <v>31</v>
      </c>
      <c r="R72" s="328">
        <v>0.002777777777777778</v>
      </c>
      <c r="S72" s="317">
        <f t="shared" si="19"/>
        <v>5.5</v>
      </c>
      <c r="T72" s="317">
        <f>VLOOKUP(F72, Data_Validation!$D$2:$G$15, 4, FALSE)</f>
        <v>82.5</v>
      </c>
      <c r="U72" s="317"/>
    </row>
    <row r="73" ht="20.25" hidden="1" customHeight="1" outlineLevel="1">
      <c r="A73" s="216" t="str">
        <f>IFERROR(__xludf.DUMMYFUNCTION("ARRAYFORMULA(IFERROR(VLOOKUP(REGEXEXTRACT(B73, ""-(\w+)-""), {Data_Validation!$F$16:$F$29, Data_Validation!$E$16:$E$29}, 2, FALSE), """"))
"),"TheMVP")</f>
        <v>TheMVP</v>
      </c>
      <c r="B73" s="321" t="s">
        <v>1528</v>
      </c>
      <c r="C73" s="322"/>
      <c r="D73" s="322" t="s">
        <v>47</v>
      </c>
      <c r="E73" s="321" t="s">
        <v>26</v>
      </c>
      <c r="F73" s="321" t="s">
        <v>48</v>
      </c>
      <c r="G73" s="322" t="s">
        <v>1317</v>
      </c>
      <c r="H73" s="320">
        <v>45161.0</v>
      </c>
      <c r="I73" s="335">
        <v>1.0</v>
      </c>
      <c r="J73" s="322"/>
      <c r="K73" s="324"/>
      <c r="L73" s="325"/>
      <c r="M73" s="312"/>
      <c r="N73" s="313"/>
      <c r="O73" s="314"/>
      <c r="P73" s="314"/>
      <c r="Q73" s="336"/>
      <c r="R73" s="337"/>
      <c r="S73" s="317">
        <f t="shared" si="19"/>
        <v>0</v>
      </c>
      <c r="T73" s="317">
        <f>VLOOKUP(F73, Data_Validation!$D$2:$G$15, 4, FALSE)</f>
        <v>85</v>
      </c>
      <c r="U73" s="317"/>
    </row>
    <row r="74" ht="20.25" customHeight="1" collapsed="1">
      <c r="A74" s="216" t="str">
        <f>IFERROR(__xludf.DUMMYFUNCTION("ARRAYFORMULA(IFERROR(VLOOKUP(REGEXEXTRACT(B74, ""-(\w+)-""), {Data_Validation!$F$16:$F$29, Data_Validation!$E$16:$E$29}, 2, FALSE), """"))
"),"TheMVP")</f>
        <v>TheMVP</v>
      </c>
      <c r="B74" s="321" t="s">
        <v>1417</v>
      </c>
      <c r="C74" s="321" t="s">
        <v>1418</v>
      </c>
      <c r="D74" s="322"/>
      <c r="E74" s="321" t="s">
        <v>78</v>
      </c>
      <c r="F74" s="321" t="s">
        <v>48</v>
      </c>
      <c r="G74" s="321" t="s">
        <v>23</v>
      </c>
      <c r="H74" s="320">
        <v>45164.0</v>
      </c>
      <c r="I74" s="308"/>
      <c r="J74" s="322">
        <v>4.0</v>
      </c>
      <c r="K74" s="324"/>
      <c r="L74" s="325"/>
      <c r="M74" s="312">
        <f>MIN(M75:M78)</f>
        <v>45163.65787</v>
      </c>
      <c r="N74" s="313">
        <f>MAX(N75:N78)</f>
        <v>45164.67617</v>
      </c>
      <c r="O74" s="314"/>
      <c r="P74" s="314"/>
      <c r="Q74" s="315"/>
      <c r="R74" s="316">
        <f t="shared" ref="R74:S74" si="20">SUM(R75:R78)</f>
        <v>0.09791666667</v>
      </c>
      <c r="S74" s="317">
        <f t="shared" si="20"/>
        <v>211.0833333</v>
      </c>
      <c r="T74" s="317">
        <f>AVERAGE(T75:T78)</f>
        <v>102.5</v>
      </c>
      <c r="U74" s="317"/>
    </row>
    <row r="75" ht="20.25" hidden="1" customHeight="1" outlineLevel="1">
      <c r="A75" s="216" t="str">
        <f>IFERROR(__xludf.DUMMYFUNCTION("ARRAYFORMULA(IFERROR(VLOOKUP(REGEXEXTRACT(B75, ""-(\w+)-""), {Data_Validation!$F$16:$F$29, Data_Validation!$E$16:$E$29}, 2, FALSE), """"))
"),"TheMVP")</f>
        <v>TheMVP</v>
      </c>
      <c r="B75" s="321" t="s">
        <v>1419</v>
      </c>
      <c r="C75" s="321"/>
      <c r="D75" s="321" t="s">
        <v>25</v>
      </c>
      <c r="E75" s="321" t="s">
        <v>26</v>
      </c>
      <c r="F75" s="321" t="s">
        <v>131</v>
      </c>
      <c r="G75" s="333" t="s">
        <v>1420</v>
      </c>
      <c r="H75" s="320">
        <v>45160.063625208335</v>
      </c>
      <c r="I75" s="308">
        <v>1.0</v>
      </c>
      <c r="J75" s="322"/>
      <c r="K75" s="324"/>
      <c r="L75" s="325"/>
      <c r="M75" s="312"/>
      <c r="N75" s="313"/>
      <c r="O75" s="314"/>
      <c r="P75" s="314"/>
      <c r="Q75" s="313"/>
      <c r="R75" s="328"/>
      <c r="S75" s="317">
        <f t="shared" ref="S75:S78" si="21">T75*24*R75</f>
        <v>0</v>
      </c>
      <c r="T75" s="317">
        <f>VLOOKUP(F75, Data_Validation!$D$2:$G$15, 4, FALSE)</f>
        <v>115</v>
      </c>
      <c r="U75" s="317"/>
    </row>
    <row r="76" ht="20.25" hidden="1" customHeight="1" outlineLevel="1">
      <c r="A76" s="216" t="str">
        <f>IFERROR(__xludf.DUMMYFUNCTION("ARRAYFORMULA(IFERROR(VLOOKUP(REGEXEXTRACT(B76, ""-(\w+)-""), {Data_Validation!$F$16:$F$29, Data_Validation!$E$16:$E$29}, 2, FALSE), """"))
"),"TheMVP")</f>
        <v>TheMVP</v>
      </c>
      <c r="B76" s="321" t="s">
        <v>1421</v>
      </c>
      <c r="C76" s="321"/>
      <c r="D76" s="321" t="s">
        <v>40</v>
      </c>
      <c r="E76" s="321" t="s">
        <v>26</v>
      </c>
      <c r="F76" s="321" t="s">
        <v>48</v>
      </c>
      <c r="G76" s="333" t="s">
        <v>1422</v>
      </c>
      <c r="H76" s="320">
        <v>45162.063625208335</v>
      </c>
      <c r="I76" s="308">
        <v>1.0</v>
      </c>
      <c r="J76" s="322"/>
      <c r="K76" s="324"/>
      <c r="L76" s="325"/>
      <c r="M76" s="312">
        <v>45163.657869386574</v>
      </c>
      <c r="N76" s="313">
        <v>45164.67616513889</v>
      </c>
      <c r="O76" s="314" t="s">
        <v>1423</v>
      </c>
      <c r="P76" s="314" t="s">
        <v>1424</v>
      </c>
      <c r="Q76" s="326" t="s">
        <v>31</v>
      </c>
      <c r="R76" s="328">
        <v>0.06736111111111111</v>
      </c>
      <c r="S76" s="317">
        <f t="shared" si="21"/>
        <v>137.4166667</v>
      </c>
      <c r="T76" s="317">
        <f>VLOOKUP(F76, Data_Validation!$D$2:$G$15, 4, FALSE)</f>
        <v>85</v>
      </c>
      <c r="U76" s="317"/>
    </row>
    <row r="77" ht="20.25" hidden="1" customHeight="1" outlineLevel="1">
      <c r="A77" s="216" t="str">
        <f>IFERROR(__xludf.DUMMYFUNCTION("ARRAYFORMULA(IFERROR(VLOOKUP(REGEXEXTRACT(B77, ""-(\w+)-""), {Data_Validation!$F$16:$F$29, Data_Validation!$E$16:$E$29}, 2, FALSE), """"))
"),"TheMVP")</f>
        <v>TheMVP</v>
      </c>
      <c r="B77" s="321" t="s">
        <v>1425</v>
      </c>
      <c r="C77" s="321"/>
      <c r="D77" s="321" t="s">
        <v>274</v>
      </c>
      <c r="E77" s="321" t="s">
        <v>26</v>
      </c>
      <c r="F77" s="321" t="s">
        <v>22</v>
      </c>
      <c r="G77" s="321"/>
      <c r="H77" s="320">
        <v>45162.0</v>
      </c>
      <c r="I77" s="308">
        <v>1.0</v>
      </c>
      <c r="J77" s="322"/>
      <c r="K77" s="324"/>
      <c r="L77" s="325"/>
      <c r="M77" s="312">
        <v>45164.633564814816</v>
      </c>
      <c r="N77" s="313">
        <v>45164.645684247684</v>
      </c>
      <c r="O77" s="314"/>
      <c r="P77" s="314"/>
      <c r="Q77" s="326" t="s">
        <v>31</v>
      </c>
      <c r="R77" s="328">
        <v>0.011805555555555555</v>
      </c>
      <c r="S77" s="317">
        <f t="shared" si="21"/>
        <v>35.41666667</v>
      </c>
      <c r="T77" s="317">
        <f>VLOOKUP(F77, Data_Validation!$D$2:$G$15, 4, FALSE)</f>
        <v>125</v>
      </c>
      <c r="U77" s="317"/>
    </row>
    <row r="78" ht="20.25" hidden="1" customHeight="1" outlineLevel="1">
      <c r="A78" s="216" t="str">
        <f>IFERROR(__xludf.DUMMYFUNCTION("ARRAYFORMULA(IFERROR(VLOOKUP(REGEXEXTRACT(B78, ""-(\w+)-""), {Data_Validation!$F$16:$F$29, Data_Validation!$E$16:$E$29}, 2, FALSE), """"))
"),"TheMVP")</f>
        <v>TheMVP</v>
      </c>
      <c r="B78" s="321" t="s">
        <v>1531</v>
      </c>
      <c r="C78" s="321"/>
      <c r="D78" s="321" t="s">
        <v>47</v>
      </c>
      <c r="E78" s="321" t="s">
        <v>26</v>
      </c>
      <c r="F78" s="321" t="s">
        <v>48</v>
      </c>
      <c r="G78" s="321"/>
      <c r="H78" s="320">
        <v>45164.0</v>
      </c>
      <c r="I78" s="308">
        <v>1.0</v>
      </c>
      <c r="J78" s="322"/>
      <c r="K78" s="324"/>
      <c r="L78" s="325"/>
      <c r="M78" s="312">
        <v>45164.65724059028</v>
      </c>
      <c r="N78" s="313">
        <v>45164.676144537036</v>
      </c>
      <c r="O78" s="314"/>
      <c r="P78" s="314"/>
      <c r="Q78" s="326" t="s">
        <v>31</v>
      </c>
      <c r="R78" s="328">
        <v>0.01875</v>
      </c>
      <c r="S78" s="317">
        <f t="shared" si="21"/>
        <v>38.25</v>
      </c>
      <c r="T78" s="317">
        <f>VLOOKUP(F78, Data_Validation!$D$2:$G$15, 4, FALSE)</f>
        <v>85</v>
      </c>
      <c r="U78" s="317"/>
    </row>
    <row r="79" ht="20.25" customHeight="1" collapsed="1">
      <c r="A79" s="216" t="str">
        <f>IFERROR(__xludf.DUMMYFUNCTION("ARRAYFORMULA(IFERROR(VLOOKUP(REGEXEXTRACT(B79, ""-(\w+)-""), {Data_Validation!$F$16:$F$29, Data_Validation!$E$16:$E$29}, 2, FALSE), """"))
"),"TheMVP")</f>
        <v>TheMVP</v>
      </c>
      <c r="B79" s="321" t="s">
        <v>1532</v>
      </c>
      <c r="C79" s="322" t="s">
        <v>1533</v>
      </c>
      <c r="D79" s="322"/>
      <c r="E79" s="321" t="s">
        <v>62</v>
      </c>
      <c r="F79" s="321" t="s">
        <v>22</v>
      </c>
      <c r="G79" s="321" t="s">
        <v>23</v>
      </c>
      <c r="H79" s="320">
        <v>45166.0</v>
      </c>
      <c r="I79" s="308"/>
      <c r="J79" s="322">
        <v>6.0</v>
      </c>
      <c r="K79" s="324"/>
      <c r="L79" s="325"/>
      <c r="M79" s="312">
        <f>MIN(M80:M85)</f>
        <v>45161.78464</v>
      </c>
      <c r="N79" s="313">
        <f>MAX(N80:N85)</f>
        <v>45167.48759</v>
      </c>
      <c r="O79" s="314"/>
      <c r="P79" s="314"/>
      <c r="Q79" s="315"/>
      <c r="R79" s="316">
        <f t="shared" ref="R79:S79" si="22">SUM(R80:R85)</f>
        <v>0.6423611111</v>
      </c>
      <c r="S79" s="317">
        <f t="shared" si="22"/>
        <v>1120.041667</v>
      </c>
      <c r="T79" s="317">
        <f>AVERAGE(T80:T85)</f>
        <v>87.91666667</v>
      </c>
      <c r="U79" s="317"/>
    </row>
    <row r="80" ht="20.25" hidden="1" customHeight="1" outlineLevel="1">
      <c r="A80" s="216" t="str">
        <f>IFERROR(__xludf.DUMMYFUNCTION("ARRAYFORMULA(IFERROR(VLOOKUP(REGEXEXTRACT(B80, ""-(\w+)-""), {Data_Validation!$F$16:$F$29, Data_Validation!$E$16:$E$29}, 2, FALSE), """"))
"),"TheMVP")</f>
        <v>TheMVP</v>
      </c>
      <c r="B80" s="321" t="s">
        <v>1534</v>
      </c>
      <c r="C80" s="322"/>
      <c r="D80" s="321" t="s">
        <v>25</v>
      </c>
      <c r="E80" s="321" t="s">
        <v>26</v>
      </c>
      <c r="F80" s="321" t="s">
        <v>22</v>
      </c>
      <c r="G80" s="333" t="s">
        <v>1535</v>
      </c>
      <c r="H80" s="320">
        <v>45154.0</v>
      </c>
      <c r="I80" s="335">
        <v>1.0</v>
      </c>
      <c r="J80" s="322"/>
      <c r="K80" s="324"/>
      <c r="L80" s="325"/>
      <c r="M80" s="312"/>
      <c r="N80" s="313"/>
      <c r="O80" s="314"/>
      <c r="P80" s="314"/>
      <c r="Q80" s="313"/>
      <c r="R80" s="328"/>
      <c r="S80" s="317">
        <f t="shared" ref="S80:S86" si="23">T80*24*R80</f>
        <v>0</v>
      </c>
      <c r="T80" s="317">
        <f>VLOOKUP(F80, Data_Validation!$D$2:$G$15, 4, FALSE)</f>
        <v>125</v>
      </c>
      <c r="U80" s="317"/>
    </row>
    <row r="81" ht="20.25" hidden="1" customHeight="1" outlineLevel="1">
      <c r="A81" s="216" t="str">
        <f>IFERROR(__xludf.DUMMYFUNCTION("ARRAYFORMULA(IFERROR(VLOOKUP(REGEXEXTRACT(B81, ""-(\w+)-""), {Data_Validation!$F$16:$F$29, Data_Validation!$E$16:$E$29}, 2, FALSE), """"))
"),"TheMVP")</f>
        <v>TheMVP</v>
      </c>
      <c r="B81" s="321" t="s">
        <v>1536</v>
      </c>
      <c r="C81" s="322"/>
      <c r="D81" s="321" t="s">
        <v>33</v>
      </c>
      <c r="E81" s="321" t="s">
        <v>26</v>
      </c>
      <c r="F81" s="321" t="s">
        <v>747</v>
      </c>
      <c r="G81" s="322"/>
      <c r="H81" s="320">
        <v>45156.0</v>
      </c>
      <c r="I81" s="335">
        <v>1.0</v>
      </c>
      <c r="J81" s="322"/>
      <c r="K81" s="324"/>
      <c r="L81" s="325"/>
      <c r="M81" s="312"/>
      <c r="N81" s="313"/>
      <c r="O81" s="314"/>
      <c r="P81" s="314"/>
      <c r="Q81" s="313"/>
      <c r="R81" s="328"/>
      <c r="S81" s="317">
        <f t="shared" si="23"/>
        <v>0</v>
      </c>
      <c r="T81" s="317">
        <f>VLOOKUP(F81, Data_Validation!$D$2:$G$15, 4, FALSE)</f>
        <v>82.5</v>
      </c>
      <c r="U81" s="317"/>
    </row>
    <row r="82" ht="20.25" hidden="1" customHeight="1" outlineLevel="1">
      <c r="A82" s="216" t="str">
        <f>IFERROR(__xludf.DUMMYFUNCTION("ARRAYFORMULA(IFERROR(VLOOKUP(REGEXEXTRACT(B82, ""-(\w+)-""), {Data_Validation!$F$16:$F$29, Data_Validation!$E$16:$E$29}, 2, FALSE), """"))
"),"TheMVP")</f>
        <v>TheMVP</v>
      </c>
      <c r="B82" s="321" t="s">
        <v>1537</v>
      </c>
      <c r="C82" s="322"/>
      <c r="D82" s="321" t="s">
        <v>38</v>
      </c>
      <c r="E82" s="321" t="s">
        <v>26</v>
      </c>
      <c r="F82" s="321" t="s">
        <v>747</v>
      </c>
      <c r="G82" s="322"/>
      <c r="H82" s="320">
        <v>45160.0</v>
      </c>
      <c r="I82" s="335"/>
      <c r="J82" s="322"/>
      <c r="K82" s="324"/>
      <c r="L82" s="325"/>
      <c r="M82" s="312"/>
      <c r="N82" s="313"/>
      <c r="O82" s="314"/>
      <c r="P82" s="314"/>
      <c r="Q82" s="313"/>
      <c r="R82" s="328"/>
      <c r="S82" s="317">
        <f t="shared" si="23"/>
        <v>0</v>
      </c>
      <c r="T82" s="317">
        <f>VLOOKUP(F82, Data_Validation!$D$2:$G$15, 4, FALSE)</f>
        <v>82.5</v>
      </c>
      <c r="U82" s="317"/>
    </row>
    <row r="83" ht="20.25" hidden="1" customHeight="1" outlineLevel="1">
      <c r="A83" s="216" t="str">
        <f>IFERROR(__xludf.DUMMYFUNCTION("ARRAYFORMULA(IFERROR(VLOOKUP(REGEXEXTRACT(B83, ""-(\w+)-""), {Data_Validation!$F$16:$F$29, Data_Validation!$E$16:$E$29}, 2, FALSE), """"))
"),"TheMVP")</f>
        <v>TheMVP</v>
      </c>
      <c r="B83" s="321" t="s">
        <v>1538</v>
      </c>
      <c r="C83" s="322"/>
      <c r="D83" s="321" t="s">
        <v>40</v>
      </c>
      <c r="E83" s="321" t="s">
        <v>26</v>
      </c>
      <c r="F83" s="321" t="s">
        <v>27</v>
      </c>
      <c r="G83" s="322"/>
      <c r="H83" s="320">
        <v>45161.0</v>
      </c>
      <c r="I83" s="335">
        <v>1.0</v>
      </c>
      <c r="J83" s="322"/>
      <c r="K83" s="324"/>
      <c r="L83" s="325"/>
      <c r="M83" s="312">
        <v>45161.784638321755</v>
      </c>
      <c r="N83" s="313">
        <v>45164.817065428244</v>
      </c>
      <c r="O83" s="314" t="s">
        <v>1539</v>
      </c>
      <c r="P83" s="314" t="s">
        <v>1540</v>
      </c>
      <c r="Q83" s="326" t="s">
        <v>31</v>
      </c>
      <c r="R83" s="328">
        <v>0.6326388888888889</v>
      </c>
      <c r="S83" s="317">
        <f t="shared" si="23"/>
        <v>1100.791667</v>
      </c>
      <c r="T83" s="317">
        <f>VLOOKUP(F83, Data_Validation!$D$2:$G$15, 4, FALSE)</f>
        <v>72.5</v>
      </c>
      <c r="U83" s="317"/>
    </row>
    <row r="84" ht="20.25" hidden="1" customHeight="1" outlineLevel="1">
      <c r="A84" s="216" t="str">
        <f>IFERROR(__xludf.DUMMYFUNCTION("ARRAYFORMULA(IFERROR(VLOOKUP(REGEXEXTRACT(B84, ""-(\w+)-""), {Data_Validation!$F$16:$F$29, Data_Validation!$E$16:$E$29}, 2, FALSE), """"))
"),"TheMVP")</f>
        <v>TheMVP</v>
      </c>
      <c r="B84" s="321" t="s">
        <v>1541</v>
      </c>
      <c r="C84" s="322"/>
      <c r="D84" s="321" t="s">
        <v>274</v>
      </c>
      <c r="E84" s="321" t="s">
        <v>26</v>
      </c>
      <c r="F84" s="321" t="s">
        <v>747</v>
      </c>
      <c r="G84" s="322"/>
      <c r="H84" s="320">
        <v>45163.0</v>
      </c>
      <c r="I84" s="335">
        <v>1.0</v>
      </c>
      <c r="J84" s="322"/>
      <c r="K84" s="324"/>
      <c r="L84" s="325"/>
      <c r="M84" s="312"/>
      <c r="N84" s="313"/>
      <c r="O84" s="314"/>
      <c r="P84" s="314"/>
      <c r="Q84" s="326"/>
      <c r="R84" s="328"/>
      <c r="S84" s="317">
        <f t="shared" si="23"/>
        <v>0</v>
      </c>
      <c r="T84" s="317">
        <f>VLOOKUP(F84, Data_Validation!$D$2:$G$15, 4, FALSE)</f>
        <v>82.5</v>
      </c>
      <c r="U84" s="317"/>
    </row>
    <row r="85" ht="20.25" hidden="1" customHeight="1" outlineLevel="1">
      <c r="A85" s="216" t="str">
        <f>IFERROR(__xludf.DUMMYFUNCTION("ARRAYFORMULA(IFERROR(VLOOKUP(REGEXEXTRACT(B85, ""-(\w+)-""), {Data_Validation!$F$16:$F$29, Data_Validation!$E$16:$E$29}, 2, FALSE), """"))
"),"TheMVP")</f>
        <v>TheMVP</v>
      </c>
      <c r="B85" s="321" t="s">
        <v>1542</v>
      </c>
      <c r="C85" s="322"/>
      <c r="D85" s="321" t="s">
        <v>45</v>
      </c>
      <c r="E85" s="321" t="s">
        <v>26</v>
      </c>
      <c r="F85" s="321" t="s">
        <v>747</v>
      </c>
      <c r="G85" s="322"/>
      <c r="H85" s="320">
        <v>45158.0</v>
      </c>
      <c r="I85" s="335">
        <v>1.0</v>
      </c>
      <c r="J85" s="322"/>
      <c r="K85" s="324"/>
      <c r="L85" s="325"/>
      <c r="M85" s="312">
        <v>45162.49476939815</v>
      </c>
      <c r="N85" s="313">
        <v>45167.48758582176</v>
      </c>
      <c r="O85" s="314" t="s">
        <v>1543</v>
      </c>
      <c r="P85" s="314" t="s">
        <v>1544</v>
      </c>
      <c r="Q85" s="326" t="s">
        <v>31</v>
      </c>
      <c r="R85" s="328">
        <v>0.009722222222222222</v>
      </c>
      <c r="S85" s="317">
        <f t="shared" si="23"/>
        <v>19.25</v>
      </c>
      <c r="T85" s="317">
        <f>VLOOKUP(F85, Data_Validation!$D$2:$G$15, 4, FALSE)</f>
        <v>82.5</v>
      </c>
      <c r="U85" s="317"/>
    </row>
    <row r="86" ht="20.25" hidden="1" customHeight="1" outlineLevel="1">
      <c r="A86" s="216" t="str">
        <f>IFERROR(__xludf.DUMMYFUNCTION("ARRAYFORMULA(IFERROR(VLOOKUP(REGEXEXTRACT(B86, ""-(\w+)-""), {Data_Validation!$F$16:$F$29, Data_Validation!$E$16:$E$29}, 2, FALSE), """"))
"),"TheMVP")</f>
        <v>TheMVP</v>
      </c>
      <c r="B86" s="321" t="s">
        <v>1545</v>
      </c>
      <c r="C86" s="322"/>
      <c r="D86" s="321" t="s">
        <v>47</v>
      </c>
      <c r="E86" s="321" t="s">
        <v>26</v>
      </c>
      <c r="F86" s="321" t="s">
        <v>747</v>
      </c>
      <c r="G86" s="322"/>
      <c r="H86" s="320">
        <v>45166.0</v>
      </c>
      <c r="I86" s="335">
        <v>1.0</v>
      </c>
      <c r="J86" s="322"/>
      <c r="K86" s="324"/>
      <c r="L86" s="325"/>
      <c r="M86" s="312"/>
      <c r="N86" s="313"/>
      <c r="O86" s="314"/>
      <c r="P86" s="314"/>
      <c r="Q86" s="313"/>
      <c r="R86" s="328"/>
      <c r="S86" s="317">
        <f t="shared" si="23"/>
        <v>0</v>
      </c>
      <c r="T86" s="317">
        <f>VLOOKUP(F86, Data_Validation!$D$2:$G$15, 4, FALSE)</f>
        <v>82.5</v>
      </c>
      <c r="U86" s="317"/>
    </row>
    <row r="87" ht="20.25" customHeight="1" collapsed="1">
      <c r="A87" s="216" t="str">
        <f>IFERROR(__xludf.DUMMYFUNCTION("ARRAYFORMULA(IFERROR(VLOOKUP(REGEXEXTRACT(B87, ""-(\w+)-""), {Data_Validation!$F$16:$F$29, Data_Validation!$E$16:$E$29}, 2, FALSE), """"))
"),"TheMVP")</f>
        <v>TheMVP</v>
      </c>
      <c r="B87" s="321" t="s">
        <v>1546</v>
      </c>
      <c r="C87" s="322" t="s">
        <v>1547</v>
      </c>
      <c r="D87" s="322"/>
      <c r="E87" s="321" t="s">
        <v>51</v>
      </c>
      <c r="F87" s="321" t="s">
        <v>22</v>
      </c>
      <c r="G87" s="321" t="s">
        <v>63</v>
      </c>
      <c r="H87" s="320">
        <v>45166.0</v>
      </c>
      <c r="I87" s="308"/>
      <c r="J87" s="322">
        <v>4.0</v>
      </c>
      <c r="K87" s="324"/>
      <c r="L87" s="325"/>
      <c r="M87" s="312">
        <f>MIN(M88:M91)</f>
        <v>0</v>
      </c>
      <c r="N87" s="313">
        <f>MAX(N88:N91)</f>
        <v>0</v>
      </c>
      <c r="O87" s="314"/>
      <c r="P87" s="314"/>
      <c r="Q87" s="315"/>
      <c r="R87" s="316">
        <f t="shared" ref="R87:S87" si="24">SUM(R88:R91)</f>
        <v>0</v>
      </c>
      <c r="S87" s="317">
        <f t="shared" si="24"/>
        <v>0</v>
      </c>
      <c r="T87" s="317">
        <f>AVERAGE(T88:T91)</f>
        <v>82.5</v>
      </c>
      <c r="U87" s="317"/>
    </row>
    <row r="88" ht="20.25" hidden="1" customHeight="1" outlineLevel="1">
      <c r="A88" s="216" t="str">
        <f>IFERROR(__xludf.DUMMYFUNCTION("ARRAYFORMULA(IFERROR(VLOOKUP(REGEXEXTRACT(B88, ""-(\w+)-""), {Data_Validation!$F$16:$F$29, Data_Validation!$E$16:$E$29}, 2, FALSE), """"))
"),"TheMVP")</f>
        <v>TheMVP</v>
      </c>
      <c r="B88" s="321" t="s">
        <v>1548</v>
      </c>
      <c r="C88" s="322"/>
      <c r="D88" s="321" t="s">
        <v>33</v>
      </c>
      <c r="E88" s="321" t="s">
        <v>26</v>
      </c>
      <c r="F88" s="321" t="s">
        <v>747</v>
      </c>
      <c r="G88" s="322"/>
      <c r="H88" s="320">
        <v>45127.0</v>
      </c>
      <c r="I88" s="335">
        <v>1.0</v>
      </c>
      <c r="J88" s="322"/>
      <c r="K88" s="324"/>
      <c r="L88" s="325"/>
      <c r="M88" s="312"/>
      <c r="N88" s="313"/>
      <c r="O88" s="314"/>
      <c r="P88" s="314"/>
      <c r="Q88" s="313"/>
      <c r="R88" s="328"/>
      <c r="S88" s="317">
        <f t="shared" ref="S88:S91" si="25">T88*24*R88</f>
        <v>0</v>
      </c>
      <c r="T88" s="317">
        <f>VLOOKUP(F88, Data_Validation!$D$2:$G$15, 4, FALSE)</f>
        <v>82.5</v>
      </c>
      <c r="U88" s="317"/>
    </row>
    <row r="89" ht="20.25" hidden="1" customHeight="1" outlineLevel="1">
      <c r="A89" s="216" t="str">
        <f>IFERROR(__xludf.DUMMYFUNCTION("ARRAYFORMULA(IFERROR(VLOOKUP(REGEXEXTRACT(B89, ""-(\w+)-""), {Data_Validation!$F$16:$F$29, Data_Validation!$E$16:$E$29}, 2, FALSE), """"))
"),"TheMVP")</f>
        <v>TheMVP</v>
      </c>
      <c r="B89" s="321" t="s">
        <v>1549</v>
      </c>
      <c r="C89" s="322" t="s">
        <v>1317</v>
      </c>
      <c r="D89" s="322" t="s">
        <v>40</v>
      </c>
      <c r="E89" s="322" t="s">
        <v>26</v>
      </c>
      <c r="F89" s="321" t="s">
        <v>747</v>
      </c>
      <c r="G89" s="322" t="s">
        <v>1317</v>
      </c>
      <c r="H89" s="320">
        <v>45128.0</v>
      </c>
      <c r="I89" s="335">
        <v>1.0</v>
      </c>
      <c r="J89" s="322"/>
      <c r="K89" s="324"/>
      <c r="L89" s="325"/>
      <c r="M89" s="312"/>
      <c r="N89" s="313"/>
      <c r="O89" s="314"/>
      <c r="P89" s="314"/>
      <c r="Q89" s="313"/>
      <c r="R89" s="328"/>
      <c r="S89" s="317">
        <f t="shared" si="25"/>
        <v>0</v>
      </c>
      <c r="T89" s="317">
        <f>VLOOKUP(F89, Data_Validation!$D$2:$G$15, 4, FALSE)</f>
        <v>82.5</v>
      </c>
      <c r="U89" s="317"/>
    </row>
    <row r="90" ht="20.25" hidden="1" customHeight="1" outlineLevel="1">
      <c r="A90" s="216" t="str">
        <f>IFERROR(__xludf.DUMMYFUNCTION("ARRAYFORMULA(IFERROR(VLOOKUP(REGEXEXTRACT(B90, ""-(\w+)-""), {Data_Validation!$F$16:$F$29, Data_Validation!$E$16:$E$29}, 2, FALSE), """"))
"),"TheMVP")</f>
        <v>TheMVP</v>
      </c>
      <c r="B90" s="321" t="s">
        <v>1550</v>
      </c>
      <c r="C90" s="322"/>
      <c r="D90" s="321" t="s">
        <v>1551</v>
      </c>
      <c r="E90" s="321" t="s">
        <v>26</v>
      </c>
      <c r="F90" s="321" t="s">
        <v>747</v>
      </c>
      <c r="G90" s="322"/>
      <c r="H90" s="320">
        <v>45136.0</v>
      </c>
      <c r="I90" s="335">
        <v>1.0</v>
      </c>
      <c r="J90" s="322"/>
      <c r="K90" s="324"/>
      <c r="L90" s="325"/>
      <c r="M90" s="312"/>
      <c r="N90" s="313"/>
      <c r="O90" s="314"/>
      <c r="P90" s="314"/>
      <c r="Q90" s="313"/>
      <c r="R90" s="328"/>
      <c r="S90" s="317">
        <f t="shared" si="25"/>
        <v>0</v>
      </c>
      <c r="T90" s="317">
        <f>VLOOKUP(F90, Data_Validation!$D$2:$G$15, 4, FALSE)</f>
        <v>82.5</v>
      </c>
      <c r="U90" s="317"/>
    </row>
    <row r="91" ht="20.25" hidden="1" customHeight="1" outlineLevel="1">
      <c r="A91" s="216" t="str">
        <f>IFERROR(__xludf.DUMMYFUNCTION("ARRAYFORMULA(IFERROR(VLOOKUP(REGEXEXTRACT(B91, ""-(\w+)-""), {Data_Validation!$F$16:$F$29, Data_Validation!$E$16:$E$29}, 2, FALSE), """"))
"),"TheMVP")</f>
        <v>TheMVP</v>
      </c>
      <c r="B91" s="321" t="s">
        <v>1552</v>
      </c>
      <c r="C91" s="322" t="s">
        <v>1317</v>
      </c>
      <c r="D91" s="322" t="s">
        <v>47</v>
      </c>
      <c r="E91" s="321" t="s">
        <v>26</v>
      </c>
      <c r="F91" s="321" t="s">
        <v>747</v>
      </c>
      <c r="G91" s="322" t="s">
        <v>1317</v>
      </c>
      <c r="H91" s="320">
        <v>45166.0</v>
      </c>
      <c r="I91" s="335">
        <v>1.0</v>
      </c>
      <c r="J91" s="322"/>
      <c r="K91" s="324"/>
      <c r="L91" s="325"/>
      <c r="M91" s="312"/>
      <c r="N91" s="313"/>
      <c r="O91" s="314"/>
      <c r="P91" s="314"/>
      <c r="Q91" s="313"/>
      <c r="R91" s="328"/>
      <c r="S91" s="317">
        <f t="shared" si="25"/>
        <v>0</v>
      </c>
      <c r="T91" s="317">
        <f>VLOOKUP(F91, Data_Validation!$D$2:$G$15, 4, FALSE)</f>
        <v>82.5</v>
      </c>
      <c r="U91" s="317"/>
    </row>
    <row r="92" ht="20.25" customHeight="1" collapsed="1">
      <c r="A92" s="216" t="str">
        <f>IFERROR(__xludf.DUMMYFUNCTION("ARRAYFORMULA(IFERROR(VLOOKUP(REGEXEXTRACT(B92, ""-(\w+)-""), {Data_Validation!$F$16:$F$29, Data_Validation!$E$16:$E$29}, 2, FALSE), """"))
"),"TheMVP")</f>
        <v>TheMVP</v>
      </c>
      <c r="B92" s="321" t="s">
        <v>1426</v>
      </c>
      <c r="C92" s="321" t="s">
        <v>1427</v>
      </c>
      <c r="D92" s="322"/>
      <c r="E92" s="321" t="s">
        <v>21</v>
      </c>
      <c r="F92" s="321" t="s">
        <v>22</v>
      </c>
      <c r="G92" s="321" t="s">
        <v>89</v>
      </c>
      <c r="H92" s="320">
        <v>45168.0</v>
      </c>
      <c r="I92" s="308"/>
      <c r="J92" s="322">
        <v>5.0</v>
      </c>
      <c r="K92" s="324"/>
      <c r="L92" s="325"/>
      <c r="M92" s="312">
        <f>min(M93:M96)</f>
        <v>45162.43392</v>
      </c>
      <c r="N92" s="313">
        <f>max(N93:N96)</f>
        <v>45167.49007</v>
      </c>
      <c r="O92" s="314"/>
      <c r="P92" s="314"/>
      <c r="Q92" s="313"/>
      <c r="R92" s="328">
        <f>sum(R93:R96)</f>
        <v>0.3486111111</v>
      </c>
      <c r="S92" s="317">
        <f>SUM(S93:S97)</f>
        <v>723.1666667</v>
      </c>
      <c r="T92" s="317">
        <f>AVERAGE(T93:T97)</f>
        <v>89.5</v>
      </c>
      <c r="U92" s="317"/>
    </row>
    <row r="93" ht="20.25" hidden="1" customHeight="1" outlineLevel="1">
      <c r="A93" s="216" t="str">
        <f>IFERROR(__xludf.DUMMYFUNCTION("ARRAYFORMULA(IFERROR(VLOOKUP(REGEXEXTRACT(B93, ""-(\w+)-""), {Data_Validation!$F$16:$F$29, Data_Validation!$E$16:$E$29}, 2, FALSE), """"))
"),"TheMVP")</f>
        <v>TheMVP</v>
      </c>
      <c r="B93" s="321" t="s">
        <v>1428</v>
      </c>
      <c r="C93" s="322"/>
      <c r="D93" s="321" t="s">
        <v>25</v>
      </c>
      <c r="E93" s="321" t="s">
        <v>26</v>
      </c>
      <c r="F93" s="321" t="s">
        <v>22</v>
      </c>
      <c r="G93" s="333" t="s">
        <v>1429</v>
      </c>
      <c r="H93" s="320">
        <v>45155.0</v>
      </c>
      <c r="I93" s="335">
        <v>1.0</v>
      </c>
      <c r="J93" s="322"/>
      <c r="K93" s="324"/>
      <c r="L93" s="325"/>
      <c r="M93" s="312"/>
      <c r="N93" s="313"/>
      <c r="O93" s="314"/>
      <c r="P93" s="314"/>
      <c r="Q93" s="313"/>
      <c r="R93" s="328"/>
      <c r="S93" s="317">
        <f t="shared" ref="S93:S96" si="26">T93*24*R93</f>
        <v>0</v>
      </c>
      <c r="T93" s="317">
        <f>VLOOKUP(F93, Data_Validation!$D$2:$G$15, 4, FALSE)</f>
        <v>125</v>
      </c>
      <c r="U93" s="317"/>
    </row>
    <row r="94" ht="20.25" hidden="1" customHeight="1" outlineLevel="1">
      <c r="A94" s="216" t="str">
        <f>IFERROR(__xludf.DUMMYFUNCTION("ARRAYFORMULA(IFERROR(VLOOKUP(REGEXEXTRACT(B94, ""-(\w+)-""), {Data_Validation!$F$16:$F$29, Data_Validation!$E$16:$E$29}, 2, FALSE), """"))
"),"TheMVP")</f>
        <v>TheMVP</v>
      </c>
      <c r="B94" s="321" t="s">
        <v>1431</v>
      </c>
      <c r="C94" s="322"/>
      <c r="D94" s="321" t="s">
        <v>40</v>
      </c>
      <c r="E94" s="321" t="s">
        <v>26</v>
      </c>
      <c r="F94" s="321" t="s">
        <v>27</v>
      </c>
      <c r="G94" s="322"/>
      <c r="H94" s="320">
        <v>45164.0</v>
      </c>
      <c r="I94" s="335">
        <v>1.0</v>
      </c>
      <c r="J94" s="322"/>
      <c r="K94" s="324"/>
      <c r="L94" s="325"/>
      <c r="M94" s="312">
        <v>45164.53376633102</v>
      </c>
      <c r="N94" s="313">
        <v>45167.49006506945</v>
      </c>
      <c r="O94" s="314" t="s">
        <v>1432</v>
      </c>
      <c r="P94" s="314" t="s">
        <v>1433</v>
      </c>
      <c r="Q94" s="326" t="s">
        <v>31</v>
      </c>
      <c r="R94" s="328">
        <v>0.3055555555555556</v>
      </c>
      <c r="S94" s="317">
        <f t="shared" si="26"/>
        <v>531.6666667</v>
      </c>
      <c r="T94" s="317">
        <f>VLOOKUP(F94, Data_Validation!$D$2:$G$15, 4, FALSE)</f>
        <v>72.5</v>
      </c>
      <c r="U94" s="317"/>
    </row>
    <row r="95" ht="20.25" hidden="1" customHeight="1" outlineLevel="1">
      <c r="A95" s="216" t="str">
        <f>IFERROR(__xludf.DUMMYFUNCTION("ARRAYFORMULA(IFERROR(VLOOKUP(REGEXEXTRACT(B95, ""-(\w+)-""), {Data_Validation!$F$16:$F$29, Data_Validation!$E$16:$E$29}, 2, FALSE), """"))
"),"TheMVP")</f>
        <v>TheMVP</v>
      </c>
      <c r="B95" s="321" t="s">
        <v>1434</v>
      </c>
      <c r="C95" s="322"/>
      <c r="D95" s="321" t="s">
        <v>45</v>
      </c>
      <c r="E95" s="321" t="s">
        <v>26</v>
      </c>
      <c r="F95" s="321" t="s">
        <v>747</v>
      </c>
      <c r="G95" s="322"/>
      <c r="H95" s="320">
        <v>45159.0</v>
      </c>
      <c r="I95" s="335">
        <v>1.0</v>
      </c>
      <c r="J95" s="322"/>
      <c r="K95" s="324"/>
      <c r="L95" s="325"/>
      <c r="M95" s="312">
        <v>45162.433922870376</v>
      </c>
      <c r="N95" s="313">
        <v>45162.47734075232</v>
      </c>
      <c r="O95" s="314"/>
      <c r="P95" s="314"/>
      <c r="Q95" s="326" t="s">
        <v>31</v>
      </c>
      <c r="R95" s="328">
        <v>0.043055555555555555</v>
      </c>
      <c r="S95" s="317">
        <f t="shared" si="26"/>
        <v>85.25</v>
      </c>
      <c r="T95" s="317">
        <f>VLOOKUP(F95, Data_Validation!$D$2:$G$15, 4, FALSE)</f>
        <v>82.5</v>
      </c>
      <c r="U95" s="317"/>
    </row>
    <row r="96" ht="20.25" hidden="1" customHeight="1" outlineLevel="1">
      <c r="A96" s="216" t="str">
        <f>IFERROR(__xludf.DUMMYFUNCTION("ARRAYFORMULA(IFERROR(VLOOKUP(REGEXEXTRACT(B96, ""-(\w+)-""), {Data_Validation!$F$16:$F$29, Data_Validation!$E$16:$E$29}, 2, FALSE), """"))
"),"TheMVP")</f>
        <v>TheMVP</v>
      </c>
      <c r="B96" s="321" t="s">
        <v>1435</v>
      </c>
      <c r="C96" s="322"/>
      <c r="D96" s="321" t="s">
        <v>47</v>
      </c>
      <c r="E96" s="321" t="s">
        <v>26</v>
      </c>
      <c r="F96" s="321" t="s">
        <v>747</v>
      </c>
      <c r="G96" s="322"/>
      <c r="H96" s="320">
        <v>45168.0</v>
      </c>
      <c r="I96" s="335">
        <v>1.0</v>
      </c>
      <c r="J96" s="322"/>
      <c r="K96" s="324"/>
      <c r="L96" s="325"/>
      <c r="M96" s="312"/>
      <c r="N96" s="313"/>
      <c r="O96" s="314"/>
      <c r="P96" s="314"/>
      <c r="Q96" s="313"/>
      <c r="R96" s="328"/>
      <c r="S96" s="317">
        <f t="shared" si="26"/>
        <v>0</v>
      </c>
      <c r="T96" s="317">
        <f>VLOOKUP(F96, Data_Validation!$D$2:$G$15, 4, FALSE)</f>
        <v>82.5</v>
      </c>
      <c r="U96" s="317"/>
    </row>
    <row r="97" ht="20.25" customHeight="1" collapsed="1">
      <c r="A97" s="216" t="str">
        <f>IFERROR(__xludf.DUMMYFUNCTION("ARRAYFORMULA(IFERROR(VLOOKUP(REGEXEXTRACT(B97, ""-(\w+)-""), {Data_Validation!$F$16:$F$29, Data_Validation!$E$16:$E$29}, 2, FALSE), """"))
"),"TheMVP")</f>
        <v>TheMVP</v>
      </c>
      <c r="B97" s="321" t="s">
        <v>1467</v>
      </c>
      <c r="C97" s="321" t="s">
        <v>1468</v>
      </c>
      <c r="D97" s="322"/>
      <c r="E97" s="321" t="s">
        <v>21</v>
      </c>
      <c r="F97" s="321" t="s">
        <v>48</v>
      </c>
      <c r="G97" s="321" t="s">
        <v>79</v>
      </c>
      <c r="H97" s="320">
        <v>45169.0</v>
      </c>
      <c r="I97" s="308"/>
      <c r="J97" s="322">
        <v>3.0</v>
      </c>
      <c r="K97" s="324"/>
      <c r="L97" s="325"/>
      <c r="M97" s="312">
        <v>45169.70942431713</v>
      </c>
      <c r="N97" s="313">
        <v>45169.77327172454</v>
      </c>
      <c r="O97" s="314"/>
      <c r="P97" s="314"/>
      <c r="Q97" s="313"/>
      <c r="R97" s="328">
        <v>0.05208333333333333</v>
      </c>
      <c r="S97" s="317">
        <f>SUM(S98:S100)</f>
        <v>106.25</v>
      </c>
      <c r="T97" s="317">
        <f>AVERAGE(T98:T100)</f>
        <v>85</v>
      </c>
      <c r="U97" s="317"/>
    </row>
    <row r="98" ht="20.25" hidden="1" customHeight="1" outlineLevel="1">
      <c r="A98" s="216" t="str">
        <f>IFERROR(__xludf.DUMMYFUNCTION("ARRAYFORMULA(IFERROR(VLOOKUP(REGEXEXTRACT(B98, ""-(\w+)-""), {Data_Validation!$F$16:$F$29, Data_Validation!$E$16:$E$29}, 2, FALSE), """"))
"),"TheMVP")</f>
        <v>TheMVP</v>
      </c>
      <c r="B98" s="321" t="s">
        <v>1469</v>
      </c>
      <c r="C98" s="321"/>
      <c r="D98" s="321" t="s">
        <v>40</v>
      </c>
      <c r="E98" s="321" t="s">
        <v>26</v>
      </c>
      <c r="F98" s="321" t="s">
        <v>48</v>
      </c>
      <c r="G98" s="321"/>
      <c r="H98" s="320">
        <v>45169.0</v>
      </c>
      <c r="I98" s="308">
        <v>1.0</v>
      </c>
      <c r="J98" s="322"/>
      <c r="K98" s="324"/>
      <c r="L98" s="325"/>
      <c r="M98" s="312">
        <v>45169.70942431713</v>
      </c>
      <c r="N98" s="313">
        <v>45169.77306734954</v>
      </c>
      <c r="O98" s="314" t="s">
        <v>1470</v>
      </c>
      <c r="P98" s="314" t="s">
        <v>1471</v>
      </c>
      <c r="Q98" s="326" t="s">
        <v>31</v>
      </c>
      <c r="R98" s="328">
        <v>0.04722222222222222</v>
      </c>
      <c r="S98" s="317">
        <f t="shared" ref="S98:S100" si="27">T98*24*R98</f>
        <v>96.33333333</v>
      </c>
      <c r="T98" s="317">
        <f>VLOOKUP(F98, Data_Validation!$D$2:$G$15, 4, FALSE)</f>
        <v>85</v>
      </c>
      <c r="U98" s="317"/>
    </row>
    <row r="99" ht="20.25" hidden="1" customHeight="1" outlineLevel="1">
      <c r="A99" s="216" t="str">
        <f>IFERROR(__xludf.DUMMYFUNCTION("ARRAYFORMULA(IFERROR(VLOOKUP(REGEXEXTRACT(B99, ""-(\w+)-""), {Data_Validation!$F$16:$F$29, Data_Validation!$E$16:$E$29}, 2, FALSE), """"))
"),"TheMVP")</f>
        <v>TheMVP</v>
      </c>
      <c r="B99" s="321" t="s">
        <v>1472</v>
      </c>
      <c r="C99" s="321"/>
      <c r="D99" s="321" t="s">
        <v>1473</v>
      </c>
      <c r="E99" s="321" t="s">
        <v>26</v>
      </c>
      <c r="F99" s="321" t="s">
        <v>48</v>
      </c>
      <c r="G99" s="321"/>
      <c r="H99" s="320">
        <v>45169.0</v>
      </c>
      <c r="I99" s="308">
        <v>1.0</v>
      </c>
      <c r="J99" s="322"/>
      <c r="K99" s="324"/>
      <c r="L99" s="325"/>
      <c r="M99" s="312">
        <v>45169.77314615741</v>
      </c>
      <c r="N99" s="313">
        <v>45169.77327172454</v>
      </c>
      <c r="O99" s="314"/>
      <c r="P99" s="314"/>
      <c r="Q99" s="326" t="s">
        <v>31</v>
      </c>
      <c r="R99" s="328">
        <v>0.0</v>
      </c>
      <c r="S99" s="317">
        <f t="shared" si="27"/>
        <v>0</v>
      </c>
      <c r="T99" s="317">
        <f>VLOOKUP(F99, Data_Validation!$D$2:$G$15, 4, FALSE)</f>
        <v>85</v>
      </c>
      <c r="U99" s="317"/>
    </row>
    <row r="100" ht="20.25" hidden="1" customHeight="1" outlineLevel="1">
      <c r="A100" s="216" t="str">
        <f>IFERROR(__xludf.DUMMYFUNCTION("ARRAYFORMULA(IFERROR(VLOOKUP(REGEXEXTRACT(B100, ""-(\w+)-""), {Data_Validation!$F$16:$F$29, Data_Validation!$E$16:$E$29}, 2, FALSE), """"))
"),"TheMVP")</f>
        <v>TheMVP</v>
      </c>
      <c r="B100" s="321" t="s">
        <v>1474</v>
      </c>
      <c r="C100" s="321"/>
      <c r="D100" s="321" t="s">
        <v>47</v>
      </c>
      <c r="E100" s="321" t="s">
        <v>26</v>
      </c>
      <c r="F100" s="321" t="s">
        <v>48</v>
      </c>
      <c r="G100" s="321"/>
      <c r="H100" s="320">
        <v>45169.0</v>
      </c>
      <c r="I100" s="308">
        <v>1.0</v>
      </c>
      <c r="J100" s="322"/>
      <c r="K100" s="324"/>
      <c r="L100" s="325"/>
      <c r="M100" s="312">
        <v>45169.767889016206</v>
      </c>
      <c r="N100" s="313">
        <v>45169.77304640046</v>
      </c>
      <c r="O100" s="314"/>
      <c r="P100" s="314"/>
      <c r="Q100" s="326" t="s">
        <v>31</v>
      </c>
      <c r="R100" s="328">
        <v>0.004861111111111111</v>
      </c>
      <c r="S100" s="317">
        <f t="shared" si="27"/>
        <v>9.916666667</v>
      </c>
      <c r="T100" s="317">
        <f>VLOOKUP(F100, Data_Validation!$D$2:$G$15, 4, FALSE)</f>
        <v>85</v>
      </c>
      <c r="U100" s="317"/>
    </row>
    <row r="101" ht="20.25" customHeight="1" collapsed="1">
      <c r="A101" s="216" t="str">
        <f>IFERROR(__xludf.DUMMYFUNCTION("ARRAYFORMULA(IFERROR(VLOOKUP(REGEXEXTRACT(B101, ""-(\w+)-""), {Data_Validation!$F$16:$F$29, Data_Validation!$E$16:$E$29}, 2, FALSE), """"))
"),"TheMVP")</f>
        <v>TheMVP</v>
      </c>
      <c r="B101" s="321" t="s">
        <v>1477</v>
      </c>
      <c r="C101" s="321" t="s">
        <v>1478</v>
      </c>
      <c r="D101" s="322"/>
      <c r="E101" s="321" t="s">
        <v>21</v>
      </c>
      <c r="F101" s="321" t="s">
        <v>22</v>
      </c>
      <c r="G101" s="321" t="s">
        <v>23</v>
      </c>
      <c r="H101" s="320">
        <v>45170.0</v>
      </c>
      <c r="I101" s="308"/>
      <c r="J101" s="322">
        <v>7.0</v>
      </c>
      <c r="K101" s="324"/>
      <c r="L101" s="325"/>
      <c r="M101" s="312">
        <f>MIN(M102:M107)</f>
        <v>45164.70354</v>
      </c>
      <c r="N101" s="313">
        <v>45169.77327172454</v>
      </c>
      <c r="O101" s="314"/>
      <c r="P101" s="314"/>
      <c r="Q101" s="313"/>
      <c r="R101" s="328">
        <f>sum(R102:R108)</f>
        <v>1.043055556</v>
      </c>
      <c r="S101" s="317">
        <f>SUM(S102:S108)</f>
        <v>2171.5</v>
      </c>
      <c r="T101" s="317">
        <f>AVERAGE(T102:T108)</f>
        <v>88.57142857</v>
      </c>
      <c r="U101" s="317"/>
    </row>
    <row r="102" ht="20.25" hidden="1" customHeight="1" outlineLevel="1">
      <c r="A102" s="216" t="str">
        <f>IFERROR(__xludf.DUMMYFUNCTION("ARRAYFORMULA(IFERROR(VLOOKUP(REGEXEXTRACT(B102, ""-(\w+)-""), {Data_Validation!$F$16:$F$29, Data_Validation!$E$16:$E$29}, 2, FALSE), """"))
"),"TheMVP")</f>
        <v>TheMVP</v>
      </c>
      <c r="B102" s="321" t="s">
        <v>1479</v>
      </c>
      <c r="C102" s="321"/>
      <c r="D102" s="321" t="s">
        <v>25</v>
      </c>
      <c r="E102" s="321" t="s">
        <v>26</v>
      </c>
      <c r="F102" s="321" t="s">
        <v>22</v>
      </c>
      <c r="G102" s="321" t="s">
        <v>1480</v>
      </c>
      <c r="H102" s="320">
        <v>45164.0</v>
      </c>
      <c r="I102" s="308">
        <v>1.0</v>
      </c>
      <c r="J102" s="322"/>
      <c r="K102" s="324"/>
      <c r="L102" s="325"/>
      <c r="M102" s="312">
        <v>45164.70354166667</v>
      </c>
      <c r="N102" s="313">
        <v>45167.49015516204</v>
      </c>
      <c r="O102" s="314" t="s">
        <v>1481</v>
      </c>
      <c r="P102" s="314" t="s">
        <v>1482</v>
      </c>
      <c r="Q102" s="326" t="s">
        <v>31</v>
      </c>
      <c r="R102" s="328">
        <v>0.10416666666666667</v>
      </c>
      <c r="S102" s="317">
        <f t="shared" ref="S102:S108" si="28">T102*24*R102</f>
        <v>312.5</v>
      </c>
      <c r="T102" s="317">
        <f>VLOOKUP(F102, Data_Validation!$D$2:$G$15, 4, FALSE)</f>
        <v>125</v>
      </c>
      <c r="U102" s="317"/>
    </row>
    <row r="103" ht="20.25" hidden="1" customHeight="1" outlineLevel="1">
      <c r="A103" s="216" t="str">
        <f>IFERROR(__xludf.DUMMYFUNCTION("ARRAYFORMULA(IFERROR(VLOOKUP(REGEXEXTRACT(B103, ""-(\w+)-""), {Data_Validation!$F$16:$F$29, Data_Validation!$E$16:$E$29}, 2, FALSE), """"))
"),"TheMVP")</f>
        <v>TheMVP</v>
      </c>
      <c r="B103" s="321" t="s">
        <v>1483</v>
      </c>
      <c r="C103" s="321"/>
      <c r="D103" s="321" t="s">
        <v>33</v>
      </c>
      <c r="E103" s="321" t="s">
        <v>26</v>
      </c>
      <c r="F103" s="321" t="s">
        <v>747</v>
      </c>
      <c r="G103" s="321"/>
      <c r="H103" s="320">
        <v>45155.0</v>
      </c>
      <c r="I103" s="308">
        <v>1.0</v>
      </c>
      <c r="J103" s="322"/>
      <c r="K103" s="324"/>
      <c r="L103" s="325"/>
      <c r="M103" s="312"/>
      <c r="N103" s="313"/>
      <c r="O103" s="314"/>
      <c r="P103" s="314"/>
      <c r="Q103" s="326"/>
      <c r="R103" s="328"/>
      <c r="S103" s="317">
        <f t="shared" si="28"/>
        <v>0</v>
      </c>
      <c r="T103" s="317">
        <f>VLOOKUP(F103, Data_Validation!$D$2:$G$15, 4, FALSE)</f>
        <v>82.5</v>
      </c>
      <c r="U103" s="317"/>
    </row>
    <row r="104" ht="20.25" hidden="1" customHeight="1" outlineLevel="1">
      <c r="A104" s="216" t="str">
        <f>IFERROR(__xludf.DUMMYFUNCTION("ARRAYFORMULA(IFERROR(VLOOKUP(REGEXEXTRACT(B104, ""-(\w+)-""), {Data_Validation!$F$16:$F$29, Data_Validation!$E$16:$E$29}, 2, FALSE), """"))
"),"TheMVP")</f>
        <v>TheMVP</v>
      </c>
      <c r="B104" s="321" t="s">
        <v>1484</v>
      </c>
      <c r="C104" s="321"/>
      <c r="D104" s="321" t="s">
        <v>112</v>
      </c>
      <c r="E104" s="321" t="s">
        <v>26</v>
      </c>
      <c r="F104" s="321" t="s">
        <v>747</v>
      </c>
      <c r="G104" s="321"/>
      <c r="H104" s="320">
        <v>45168.0</v>
      </c>
      <c r="I104" s="308">
        <v>1.0</v>
      </c>
      <c r="J104" s="322"/>
      <c r="K104" s="324"/>
      <c r="L104" s="325"/>
      <c r="M104" s="312">
        <v>45168.625069444446</v>
      </c>
      <c r="N104" s="313">
        <v>45168.63528935185</v>
      </c>
      <c r="O104" s="314"/>
      <c r="P104" s="314"/>
      <c r="Q104" s="313"/>
      <c r="R104" s="328"/>
      <c r="S104" s="317">
        <f t="shared" si="28"/>
        <v>0</v>
      </c>
      <c r="T104" s="317">
        <f>VLOOKUP(F104, Data_Validation!$D$2:$G$15, 4, FALSE)</f>
        <v>82.5</v>
      </c>
      <c r="U104" s="317"/>
    </row>
    <row r="105" ht="20.25" hidden="1" customHeight="1" outlineLevel="1">
      <c r="A105" s="216" t="str">
        <f>IFERROR(__xludf.DUMMYFUNCTION("ARRAYFORMULA(IFERROR(VLOOKUP(REGEXEXTRACT(B105, ""-(\w+)-""), {Data_Validation!$F$16:$F$29, Data_Validation!$E$16:$E$29}, 2, FALSE), """"))
"),"TheMVP")</f>
        <v>TheMVP</v>
      </c>
      <c r="B105" s="321" t="s">
        <v>1485</v>
      </c>
      <c r="C105" s="321"/>
      <c r="D105" s="321" t="s">
        <v>38</v>
      </c>
      <c r="E105" s="321" t="s">
        <v>26</v>
      </c>
      <c r="F105" s="321" t="s">
        <v>747</v>
      </c>
      <c r="G105" s="321"/>
      <c r="H105" s="320">
        <v>45167.43761736111</v>
      </c>
      <c r="I105" s="308">
        <v>1.0</v>
      </c>
      <c r="J105" s="322"/>
      <c r="K105" s="324"/>
      <c r="L105" s="325"/>
      <c r="M105" s="312"/>
      <c r="N105" s="313"/>
      <c r="O105" s="314"/>
      <c r="P105" s="314"/>
      <c r="Q105" s="313"/>
      <c r="R105" s="328"/>
      <c r="S105" s="317">
        <f t="shared" si="28"/>
        <v>0</v>
      </c>
      <c r="T105" s="317">
        <f>VLOOKUP(F105, Data_Validation!$D$2:$G$15, 4, FALSE)</f>
        <v>82.5</v>
      </c>
      <c r="U105" s="317"/>
    </row>
    <row r="106" ht="20.25" hidden="1" customHeight="1" outlineLevel="1">
      <c r="A106" s="216" t="str">
        <f>IFERROR(__xludf.DUMMYFUNCTION("ARRAYFORMULA(IFERROR(VLOOKUP(REGEXEXTRACT(B106, ""-(\w+)-""), {Data_Validation!$F$16:$F$29, Data_Validation!$E$16:$E$29}, 2, FALSE), """"))
"),"TheMVP")</f>
        <v>TheMVP</v>
      </c>
      <c r="B106" s="321" t="s">
        <v>1486</v>
      </c>
      <c r="C106" s="321"/>
      <c r="D106" s="321" t="s">
        <v>40</v>
      </c>
      <c r="E106" s="321" t="s">
        <v>26</v>
      </c>
      <c r="F106" s="321" t="s">
        <v>747</v>
      </c>
      <c r="G106" s="321"/>
      <c r="H106" s="320">
        <v>45168.0</v>
      </c>
      <c r="I106" s="308">
        <v>1.0</v>
      </c>
      <c r="J106" s="322"/>
      <c r="K106" s="324"/>
      <c r="L106" s="325"/>
      <c r="M106" s="312">
        <v>45168.66973016204</v>
      </c>
      <c r="N106" s="313">
        <v>45170.53297189815</v>
      </c>
      <c r="O106" s="314" t="s">
        <v>1487</v>
      </c>
      <c r="P106" s="314" t="s">
        <v>1488</v>
      </c>
      <c r="Q106" s="326" t="s">
        <v>31</v>
      </c>
      <c r="R106" s="328">
        <v>0.8555555555555555</v>
      </c>
      <c r="S106" s="317">
        <f t="shared" si="28"/>
        <v>1694</v>
      </c>
      <c r="T106" s="317">
        <f>VLOOKUP(F106, Data_Validation!$D$2:$G$15, 4, FALSE)</f>
        <v>82.5</v>
      </c>
      <c r="U106" s="317"/>
    </row>
    <row r="107" ht="20.25" hidden="1" customHeight="1" outlineLevel="1">
      <c r="A107" s="216" t="str">
        <f>IFERROR(__xludf.DUMMYFUNCTION("ARRAYFORMULA(IFERROR(VLOOKUP(REGEXEXTRACT(B107, ""-(\w+)-""), {Data_Validation!$F$16:$F$29, Data_Validation!$E$16:$E$29}, 2, FALSE), """"))
"),"TheMVP")</f>
        <v>TheMVP</v>
      </c>
      <c r="B107" s="321" t="s">
        <v>1489</v>
      </c>
      <c r="C107" s="321"/>
      <c r="D107" s="321" t="s">
        <v>45</v>
      </c>
      <c r="E107" s="321" t="s">
        <v>26</v>
      </c>
      <c r="F107" s="321" t="s">
        <v>747</v>
      </c>
      <c r="G107" s="321"/>
      <c r="H107" s="320">
        <v>45169.0</v>
      </c>
      <c r="I107" s="308">
        <v>1.0</v>
      </c>
      <c r="J107" s="322"/>
      <c r="K107" s="324"/>
      <c r="L107" s="325"/>
      <c r="M107" s="312">
        <v>45168.63548611111</v>
      </c>
      <c r="N107" s="313">
        <v>45170.418701863426</v>
      </c>
      <c r="O107" s="314" t="s">
        <v>1490</v>
      </c>
      <c r="P107" s="314" t="s">
        <v>1491</v>
      </c>
      <c r="Q107" s="326" t="s">
        <v>31</v>
      </c>
      <c r="R107" s="328">
        <v>0.08333333333333333</v>
      </c>
      <c r="S107" s="317">
        <f t="shared" si="28"/>
        <v>165</v>
      </c>
      <c r="T107" s="317">
        <f>VLOOKUP(F107, Data_Validation!$D$2:$G$15, 4, FALSE)</f>
        <v>82.5</v>
      </c>
      <c r="U107" s="317"/>
    </row>
    <row r="108" ht="20.25" hidden="1" customHeight="1" outlineLevel="1">
      <c r="A108" s="216" t="str">
        <f>IFERROR(__xludf.DUMMYFUNCTION("ARRAYFORMULA(IFERROR(VLOOKUP(REGEXEXTRACT(B108, ""-(\w+)-""), {Data_Validation!$F$16:$F$29, Data_Validation!$E$16:$E$29}, 2, FALSE), """"))
"),"TheMVP")</f>
        <v>TheMVP</v>
      </c>
      <c r="B108" s="321" t="s">
        <v>1492</v>
      </c>
      <c r="C108" s="321"/>
      <c r="D108" s="321" t="s">
        <v>47</v>
      </c>
      <c r="E108" s="321" t="s">
        <v>26</v>
      </c>
      <c r="F108" s="321" t="s">
        <v>747</v>
      </c>
      <c r="G108" s="321"/>
      <c r="H108" s="320">
        <v>45170.0</v>
      </c>
      <c r="I108" s="308">
        <v>1.0</v>
      </c>
      <c r="J108" s="322"/>
      <c r="K108" s="324"/>
      <c r="L108" s="325"/>
      <c r="M108" s="312"/>
      <c r="N108" s="313"/>
      <c r="O108" s="314"/>
      <c r="P108" s="314"/>
      <c r="Q108" s="313"/>
      <c r="R108" s="328"/>
      <c r="S108" s="317">
        <f t="shared" si="28"/>
        <v>0</v>
      </c>
      <c r="T108" s="317">
        <f>VLOOKUP(F108, Data_Validation!$D$2:$G$15, 4, FALSE)</f>
        <v>82.5</v>
      </c>
      <c r="U108" s="317"/>
    </row>
    <row r="109" ht="20.25" customHeight="1" collapsed="1">
      <c r="A109" s="216" t="str">
        <f>IFERROR(__xludf.DUMMYFUNCTION("ARRAYFORMULA(IFERROR(VLOOKUP(REGEXEXTRACT(B109, ""-(\w+)-""), {Data_Validation!$F$16:$F$29, Data_Validation!$E$16:$E$29}, 2, FALSE), """"))
"),"Emerson")</f>
        <v>Emerson</v>
      </c>
      <c r="B109" s="321" t="s">
        <v>1553</v>
      </c>
      <c r="C109" s="321" t="s">
        <v>1554</v>
      </c>
      <c r="D109" s="321"/>
      <c r="E109" s="321" t="s">
        <v>963</v>
      </c>
      <c r="F109" s="321" t="s">
        <v>22</v>
      </c>
      <c r="G109" s="321" t="s">
        <v>79</v>
      </c>
      <c r="H109" s="320">
        <v>45174.0</v>
      </c>
      <c r="I109" s="308"/>
      <c r="J109" s="322">
        <v>1.0</v>
      </c>
      <c r="K109" s="324" t="s">
        <v>1317</v>
      </c>
      <c r="L109" s="325"/>
      <c r="M109" s="312">
        <v>45174.555843090275</v>
      </c>
      <c r="N109" s="313">
        <v>45174.69038194444</v>
      </c>
      <c r="O109" s="314"/>
      <c r="P109" s="314"/>
      <c r="Q109" s="313"/>
      <c r="R109" s="328">
        <v>0.13453885416674893</v>
      </c>
      <c r="S109" s="328"/>
      <c r="T109" s="328"/>
      <c r="U109" s="328"/>
    </row>
    <row r="110" ht="20.25" hidden="1" customHeight="1" outlineLevel="1">
      <c r="A110" s="216" t="str">
        <f>IFERROR(__xludf.DUMMYFUNCTION("ARRAYFORMULA(IFERROR(VLOOKUP(REGEXEXTRACT(B110, ""-(\w+)-""), {Data_Validation!$F$16:$F$29, Data_Validation!$E$16:$E$29}, 2, FALSE), """"))
"),"Emerson")</f>
        <v>Emerson</v>
      </c>
      <c r="B110" s="321" t="s">
        <v>1555</v>
      </c>
      <c r="C110" s="321"/>
      <c r="D110" s="321" t="s">
        <v>40</v>
      </c>
      <c r="E110" s="321" t="s">
        <v>26</v>
      </c>
      <c r="F110" s="321" t="s">
        <v>22</v>
      </c>
      <c r="G110" s="321"/>
      <c r="H110" s="332">
        <v>45174.0</v>
      </c>
      <c r="I110" s="308">
        <v>1.0</v>
      </c>
      <c r="J110" s="322"/>
      <c r="K110" s="324"/>
      <c r="L110" s="325"/>
      <c r="M110" s="312">
        <v>45174.555843090275</v>
      </c>
      <c r="N110" s="313">
        <v>45174.69038194444</v>
      </c>
      <c r="O110" s="314"/>
      <c r="P110" s="314"/>
      <c r="Q110" s="326" t="s">
        <v>31</v>
      </c>
      <c r="R110" s="328">
        <v>0.13453885416674893</v>
      </c>
      <c r="S110" s="317">
        <f>T110*24*R110</f>
        <v>403.6165625</v>
      </c>
      <c r="T110" s="317">
        <f>VLOOKUP(F110, Data_Validation!$D$2:$G$15, 4, FALSE)</f>
        <v>125</v>
      </c>
      <c r="U110" s="317"/>
    </row>
    <row r="111" ht="20.25" customHeight="1" collapsed="1">
      <c r="A111" s="216" t="str">
        <f>IFERROR(__xludf.DUMMYFUNCTION("ARRAYFORMULA(IFERROR(VLOOKUP(REGEXEXTRACT(B111, ""-(\w+)-""), {Data_Validation!$F$16:$F$29, Data_Validation!$E$16:$E$29}, 2, FALSE), """"))
"),"TheMVP")</f>
        <v>TheMVP</v>
      </c>
      <c r="B111" s="321" t="s">
        <v>1556</v>
      </c>
      <c r="C111" s="321" t="s">
        <v>1557</v>
      </c>
      <c r="D111" s="323"/>
      <c r="E111" s="321" t="s">
        <v>62</v>
      </c>
      <c r="F111" s="321" t="s">
        <v>22</v>
      </c>
      <c r="G111" s="321" t="s">
        <v>79</v>
      </c>
      <c r="H111" s="320">
        <v>45175.0</v>
      </c>
      <c r="I111" s="308"/>
      <c r="J111" s="323">
        <v>8.0</v>
      </c>
      <c r="K111" s="324"/>
      <c r="L111" s="325"/>
      <c r="M111" s="312">
        <v>45173.442407407405</v>
      </c>
      <c r="N111" s="313">
        <v>45175.81138888889</v>
      </c>
      <c r="O111" s="314"/>
      <c r="P111" s="314"/>
      <c r="Q111" s="327"/>
      <c r="R111" s="328">
        <v>0.7729166666666667</v>
      </c>
      <c r="S111" s="317">
        <f>SUM(S112:S119)</f>
        <v>2913.524375</v>
      </c>
      <c r="T111" s="317">
        <f>AVERAGE(T112:T119)</f>
        <v>114.6875</v>
      </c>
      <c r="U111" s="317"/>
    </row>
    <row r="112" ht="20.25" hidden="1" customHeight="1" outlineLevel="1">
      <c r="A112" s="216" t="str">
        <f>IFERROR(__xludf.DUMMYFUNCTION("ARRAYFORMULA(IFERROR(VLOOKUP(REGEXEXTRACT(B112, ""-(\w+)-""), {Data_Validation!$F$16:$F$29, Data_Validation!$E$16:$E$29}, 2, FALSE), """"))
"),"TheMVP")</f>
        <v>TheMVP</v>
      </c>
      <c r="B112" s="321" t="s">
        <v>1558</v>
      </c>
      <c r="C112" s="323"/>
      <c r="D112" s="321" t="s">
        <v>25</v>
      </c>
      <c r="E112" s="321" t="s">
        <v>26</v>
      </c>
      <c r="F112" s="321" t="s">
        <v>22</v>
      </c>
      <c r="G112" s="321" t="s">
        <v>1559</v>
      </c>
      <c r="H112" s="320">
        <v>45173.48278719907</v>
      </c>
      <c r="I112" s="323">
        <v>1.0</v>
      </c>
      <c r="J112" s="323"/>
      <c r="K112" s="324"/>
      <c r="L112" s="325"/>
      <c r="M112" s="312">
        <v>45173.442407407405</v>
      </c>
      <c r="N112" s="313">
        <v>45174.50560185185</v>
      </c>
      <c r="O112" s="314"/>
      <c r="P112" s="314"/>
      <c r="Q112" s="326" t="s">
        <v>31</v>
      </c>
      <c r="R112" s="328">
        <v>0.14652777777777778</v>
      </c>
      <c r="S112" s="317">
        <f t="shared" ref="S112:S119" si="29">T112*24*R112</f>
        <v>439.5833333</v>
      </c>
      <c r="T112" s="317">
        <f>VLOOKUP(F112, Data_Validation!$D$2:$G$15, 4, FALSE)</f>
        <v>125</v>
      </c>
      <c r="U112" s="317"/>
    </row>
    <row r="113" ht="20.25" hidden="1" customHeight="1" outlineLevel="1">
      <c r="A113" s="216" t="str">
        <f>IFERROR(__xludf.DUMMYFUNCTION("ARRAYFORMULA(IFERROR(VLOOKUP(REGEXEXTRACT(B113, ""-(\w+)-""), {Data_Validation!$F$16:$F$29, Data_Validation!$E$16:$E$29}, 2, FALSE), """"))
"),"TheMVP")</f>
        <v>TheMVP</v>
      </c>
      <c r="B113" s="321" t="s">
        <v>1560</v>
      </c>
      <c r="C113" s="323"/>
      <c r="D113" s="321" t="s">
        <v>33</v>
      </c>
      <c r="E113" s="321" t="s">
        <v>26</v>
      </c>
      <c r="F113" s="321" t="s">
        <v>22</v>
      </c>
      <c r="G113" s="323"/>
      <c r="H113" s="320">
        <v>45173.0</v>
      </c>
      <c r="I113" s="323">
        <v>1.0</v>
      </c>
      <c r="J113" s="323"/>
      <c r="K113" s="324"/>
      <c r="L113" s="325"/>
      <c r="M113" s="312">
        <v>45174.51393518518</v>
      </c>
      <c r="N113" s="313">
        <v>45174.556431481484</v>
      </c>
      <c r="O113" s="314"/>
      <c r="P113" s="314"/>
      <c r="Q113" s="326" t="s">
        <v>31</v>
      </c>
      <c r="R113" s="328">
        <v>0.04236111111094942</v>
      </c>
      <c r="S113" s="317">
        <f t="shared" si="29"/>
        <v>127.0833333</v>
      </c>
      <c r="T113" s="317">
        <f>VLOOKUP(F113, Data_Validation!$D$2:$G$15, 4, FALSE)</f>
        <v>125</v>
      </c>
      <c r="U113" s="317"/>
    </row>
    <row r="114" ht="20.25" hidden="1" customHeight="1" outlineLevel="1">
      <c r="A114" s="216" t="str">
        <f>IFERROR(__xludf.DUMMYFUNCTION("ARRAYFORMULA(IFERROR(VLOOKUP(REGEXEXTRACT(B114, ""-(\w+)-""), {Data_Validation!$F$16:$F$29, Data_Validation!$E$16:$E$29}, 2, FALSE), """"))
"),"TheMVP")</f>
        <v>TheMVP</v>
      </c>
      <c r="B114" s="321" t="s">
        <v>1561</v>
      </c>
      <c r="C114" s="323"/>
      <c r="D114" s="321" t="s">
        <v>121</v>
      </c>
      <c r="E114" s="321" t="s">
        <v>26</v>
      </c>
      <c r="F114" s="321" t="s">
        <v>41</v>
      </c>
      <c r="G114" s="323"/>
      <c r="H114" s="320">
        <v>45173.0</v>
      </c>
      <c r="I114" s="323">
        <v>1.0</v>
      </c>
      <c r="J114" s="323"/>
      <c r="K114" s="324"/>
      <c r="L114" s="325"/>
      <c r="M114" s="312">
        <v>45174.582141203704</v>
      </c>
      <c r="N114" s="313">
        <v>45175.430588993055</v>
      </c>
      <c r="O114" s="314" t="s">
        <v>1562</v>
      </c>
      <c r="P114" s="314" t="s">
        <v>1563</v>
      </c>
      <c r="Q114" s="326" t="s">
        <v>31</v>
      </c>
      <c r="R114" s="328">
        <v>0.17291666666642413</v>
      </c>
      <c r="S114" s="317">
        <f t="shared" si="29"/>
        <v>477.25</v>
      </c>
      <c r="T114" s="317">
        <f>VLOOKUP(F114, Data_Validation!$D$2:$G$15, 4, FALSE)</f>
        <v>115</v>
      </c>
      <c r="U114" s="317"/>
    </row>
    <row r="115" ht="20.25" hidden="1" customHeight="1" outlineLevel="1">
      <c r="A115" s="216" t="str">
        <f>IFERROR(__xludf.DUMMYFUNCTION("ARRAYFORMULA(IFERROR(VLOOKUP(REGEXEXTRACT(B115, ""-(\w+)-""), {Data_Validation!$F$16:$F$29, Data_Validation!$E$16:$E$29}, 2, FALSE), """"))
"),"TheMVP")</f>
        <v>TheMVP</v>
      </c>
      <c r="B115" s="321" t="s">
        <v>1564</v>
      </c>
      <c r="C115" s="323"/>
      <c r="D115" s="321" t="s">
        <v>40</v>
      </c>
      <c r="E115" s="321" t="s">
        <v>26</v>
      </c>
      <c r="F115" s="321" t="s">
        <v>27</v>
      </c>
      <c r="G115" s="323"/>
      <c r="H115" s="320">
        <v>45174.0</v>
      </c>
      <c r="I115" s="323">
        <v>1.0</v>
      </c>
      <c r="J115" s="323"/>
      <c r="K115" s="324"/>
      <c r="L115" s="325"/>
      <c r="M115" s="312">
        <v>45175.44333333333</v>
      </c>
      <c r="N115" s="313">
        <v>45175.81138888889</v>
      </c>
      <c r="O115" s="314"/>
      <c r="P115" s="314"/>
      <c r="Q115" s="326" t="s">
        <v>31</v>
      </c>
      <c r="R115" s="328">
        <v>0.8687500000014552</v>
      </c>
      <c r="S115" s="317">
        <f t="shared" si="29"/>
        <v>1511.625</v>
      </c>
      <c r="T115" s="317">
        <f>VLOOKUP(F115, Data_Validation!$D$2:$G$15, 4, FALSE)</f>
        <v>72.5</v>
      </c>
      <c r="U115" s="317"/>
    </row>
    <row r="116" ht="20.25" hidden="1" customHeight="1" outlineLevel="1">
      <c r="A116" s="216" t="str">
        <f>IFERROR(__xludf.DUMMYFUNCTION("ARRAYFORMULA(IFERROR(VLOOKUP(REGEXEXTRACT(B116, ""-(\w+)-""), {Data_Validation!$F$16:$F$29, Data_Validation!$E$16:$E$29}, 2, FALSE), """"))
"),"TheMVP")</f>
        <v>TheMVP</v>
      </c>
      <c r="B116" s="321" t="s">
        <v>1565</v>
      </c>
      <c r="C116" s="323"/>
      <c r="D116" s="321" t="s">
        <v>45</v>
      </c>
      <c r="E116" s="321" t="s">
        <v>26</v>
      </c>
      <c r="F116" s="321" t="s">
        <v>41</v>
      </c>
      <c r="G116" s="323"/>
      <c r="H116" s="320">
        <v>45175.0</v>
      </c>
      <c r="I116" s="323">
        <v>1.0</v>
      </c>
      <c r="J116" s="323"/>
      <c r="K116" s="324"/>
      <c r="L116" s="325"/>
      <c r="M116" s="312">
        <v>45175.752983252314</v>
      </c>
      <c r="N116" s="313">
        <v>45175.7653033449</v>
      </c>
      <c r="O116" s="314"/>
      <c r="P116" s="314"/>
      <c r="Q116" s="326" t="s">
        <v>31</v>
      </c>
      <c r="R116" s="328">
        <v>0.01180555555401952</v>
      </c>
      <c r="S116" s="317">
        <f t="shared" si="29"/>
        <v>32.58333333</v>
      </c>
      <c r="T116" s="317">
        <f>VLOOKUP(F116, Data_Validation!$D$2:$G$15, 4, FALSE)</f>
        <v>115</v>
      </c>
      <c r="U116" s="317"/>
    </row>
    <row r="117" ht="20.25" hidden="1" customHeight="1" outlineLevel="1">
      <c r="A117" s="216" t="str">
        <f>IFERROR(__xludf.DUMMYFUNCTION("ARRAYFORMULA(IFERROR(VLOOKUP(REGEXEXTRACT(B117, ""-(\w+)-""), {Data_Validation!$F$16:$F$29, Data_Validation!$E$16:$E$29}, 2, FALSE), """"))
"),"TheMVP")</f>
        <v>TheMVP</v>
      </c>
      <c r="B117" s="321" t="s">
        <v>1566</v>
      </c>
      <c r="C117" s="323"/>
      <c r="D117" s="321" t="s">
        <v>1567</v>
      </c>
      <c r="E117" s="321" t="s">
        <v>26</v>
      </c>
      <c r="F117" s="321" t="s">
        <v>41</v>
      </c>
      <c r="G117" s="323"/>
      <c r="H117" s="320">
        <v>45173.0</v>
      </c>
      <c r="I117" s="323">
        <v>1.0</v>
      </c>
      <c r="J117" s="323"/>
      <c r="K117" s="324"/>
      <c r="L117" s="325"/>
      <c r="M117" s="312">
        <v>45175.507731481484</v>
      </c>
      <c r="N117" s="313">
        <v>45175.58412037037</v>
      </c>
      <c r="O117" s="314" t="s">
        <v>1568</v>
      </c>
      <c r="P117" s="314"/>
      <c r="Q117" s="326" t="s">
        <v>31</v>
      </c>
      <c r="R117" s="328">
        <f t="shared" ref="R117:R118" si="30">N117-M117</f>
        <v>0.07638888888</v>
      </c>
      <c r="S117" s="317">
        <f t="shared" si="29"/>
        <v>210.8333333</v>
      </c>
      <c r="T117" s="317">
        <f>VLOOKUP(F117, Data_Validation!$D$2:$G$15, 4, FALSE)</f>
        <v>115</v>
      </c>
      <c r="U117" s="317"/>
    </row>
    <row r="118" ht="20.25" hidden="1" customHeight="1" outlineLevel="1">
      <c r="A118" s="216" t="str">
        <f>IFERROR(__xludf.DUMMYFUNCTION("ARRAYFORMULA(IFERROR(VLOOKUP(REGEXEXTRACT(B118, ""-(\w+)-""), {Data_Validation!$F$16:$F$29, Data_Validation!$E$16:$E$29}, 2, FALSE), """"))
"),"TheMVP")</f>
        <v>TheMVP</v>
      </c>
      <c r="B118" s="321" t="s">
        <v>1569</v>
      </c>
      <c r="C118" s="323"/>
      <c r="D118" s="321" t="s">
        <v>303</v>
      </c>
      <c r="E118" s="321" t="s">
        <v>26</v>
      </c>
      <c r="F118" s="321" t="s">
        <v>22</v>
      </c>
      <c r="G118" s="323"/>
      <c r="H118" s="320">
        <v>45175.0</v>
      </c>
      <c r="I118" s="323">
        <v>1.0</v>
      </c>
      <c r="J118" s="323"/>
      <c r="K118" s="324"/>
      <c r="L118" s="325"/>
      <c r="M118" s="312">
        <v>45175.56029511574</v>
      </c>
      <c r="N118" s="313">
        <v>45175.5984837963</v>
      </c>
      <c r="O118" s="314" t="s">
        <v>1570</v>
      </c>
      <c r="P118" s="314" t="s">
        <v>1571</v>
      </c>
      <c r="Q118" s="326" t="s">
        <v>31</v>
      </c>
      <c r="R118" s="328">
        <f t="shared" si="30"/>
        <v>0.03818868056</v>
      </c>
      <c r="S118" s="317">
        <f t="shared" si="29"/>
        <v>114.5660417</v>
      </c>
      <c r="T118" s="317">
        <f>VLOOKUP(F118, Data_Validation!$D$2:$G$15, 4, FALSE)</f>
        <v>125</v>
      </c>
      <c r="U118" s="317"/>
    </row>
    <row r="119" ht="20.25" hidden="1" customHeight="1" outlineLevel="1">
      <c r="A119" s="216" t="str">
        <f>IFERROR(__xludf.DUMMYFUNCTION("ARRAYFORMULA(IFERROR(VLOOKUP(REGEXEXTRACT(B119, ""-(\w+)-""), {Data_Validation!$F$16:$F$29, Data_Validation!$E$16:$E$29}, 2, FALSE), """"))
"),"TheMVP")</f>
        <v>TheMVP</v>
      </c>
      <c r="B119" s="321" t="s">
        <v>1572</v>
      </c>
      <c r="C119" s="323"/>
      <c r="D119" s="321" t="s">
        <v>47</v>
      </c>
      <c r="E119" s="321" t="s">
        <v>26</v>
      </c>
      <c r="F119" s="321" t="s">
        <v>22</v>
      </c>
      <c r="G119" s="323"/>
      <c r="H119" s="320">
        <v>45175.0</v>
      </c>
      <c r="I119" s="323">
        <v>1.0</v>
      </c>
      <c r="J119" s="323"/>
      <c r="K119" s="324"/>
      <c r="L119" s="325"/>
      <c r="M119" s="312"/>
      <c r="N119" s="313"/>
      <c r="O119" s="314"/>
      <c r="P119" s="314"/>
      <c r="Q119" s="327"/>
      <c r="R119" s="328"/>
      <c r="S119" s="317">
        <f t="shared" si="29"/>
        <v>0</v>
      </c>
      <c r="T119" s="317">
        <f>VLOOKUP(F119, Data_Validation!$D$2:$G$15, 4, FALSE)</f>
        <v>125</v>
      </c>
      <c r="U119" s="317"/>
    </row>
    <row r="120" ht="20.25" customHeight="1" collapsed="1">
      <c r="A120" s="216" t="str">
        <f>IFERROR(__xludf.DUMMYFUNCTION("ARRAYFORMULA(IFERROR(VLOOKUP(REGEXEXTRACT(B120, ""-(\w+)-""), {Data_Validation!$F$16:$F$29, Data_Validation!$E$16:$E$29}, 2, FALSE), """"))
"),"Kommu Tech")</f>
        <v>Kommu Tech</v>
      </c>
      <c r="B120" s="321" t="s">
        <v>1573</v>
      </c>
      <c r="C120" s="321" t="s">
        <v>1574</v>
      </c>
      <c r="D120" s="323"/>
      <c r="E120" s="321" t="s">
        <v>984</v>
      </c>
      <c r="F120" s="321" t="s">
        <v>48</v>
      </c>
      <c r="G120" s="321" t="s">
        <v>23</v>
      </c>
      <c r="H120" s="329">
        <v>45173.0</v>
      </c>
      <c r="I120" s="308"/>
      <c r="J120" s="323">
        <v>4.0</v>
      </c>
      <c r="K120" s="324"/>
      <c r="L120" s="325"/>
      <c r="M120" s="312">
        <v>45176.53002060185</v>
      </c>
      <c r="N120" s="313">
        <v>45182.504871655095</v>
      </c>
      <c r="O120" s="314"/>
      <c r="P120" s="314"/>
      <c r="Q120" s="327"/>
      <c r="R120" s="328">
        <v>0.15555555555555556</v>
      </c>
      <c r="S120" s="317">
        <f>SUM(S121:S124)</f>
        <v>471.75</v>
      </c>
      <c r="T120" s="317">
        <f>AVERAGE(T121:T124)</f>
        <v>85</v>
      </c>
      <c r="U120" s="317"/>
    </row>
    <row r="121" ht="20.25" hidden="1" customHeight="1" outlineLevel="1">
      <c r="A121" s="216" t="str">
        <f>IFERROR(__xludf.DUMMYFUNCTION("ARRAYFORMULA(IFERROR(VLOOKUP(REGEXEXTRACT(B121, ""-(\w+)-""), {Data_Validation!$F$16:$F$29, Data_Validation!$E$16:$E$29}, 2, FALSE), """"))
"),"Kommu Tech")</f>
        <v>Kommu Tech</v>
      </c>
      <c r="B121" s="321" t="s">
        <v>1575</v>
      </c>
      <c r="C121" s="323"/>
      <c r="D121" s="321" t="s">
        <v>1576</v>
      </c>
      <c r="E121" s="321" t="s">
        <v>26</v>
      </c>
      <c r="F121" s="321" t="s">
        <v>48</v>
      </c>
      <c r="G121" s="321" t="s">
        <v>1577</v>
      </c>
      <c r="H121" s="329">
        <v>45161.0</v>
      </c>
      <c r="I121" s="323">
        <v>1.0</v>
      </c>
      <c r="J121" s="323"/>
      <c r="K121" s="324"/>
      <c r="L121" s="325"/>
      <c r="M121" s="312">
        <v>45161.57102959491</v>
      </c>
      <c r="N121" s="313">
        <v>45167.48768248843</v>
      </c>
      <c r="O121" s="314" t="s">
        <v>1578</v>
      </c>
      <c r="P121" s="314" t="s">
        <v>1579</v>
      </c>
      <c r="Q121" s="326" t="s">
        <v>31</v>
      </c>
      <c r="R121" s="328">
        <v>0.12083333333430346</v>
      </c>
      <c r="S121" s="317">
        <f t="shared" ref="S121:S124" si="31">T121*24*R121</f>
        <v>246.5</v>
      </c>
      <c r="T121" s="317">
        <f>VLOOKUP(F121, Data_Validation!$D$2:$G$15, 4, FALSE)</f>
        <v>85</v>
      </c>
      <c r="U121" s="317"/>
    </row>
    <row r="122" ht="20.25" hidden="1" customHeight="1" outlineLevel="1">
      <c r="A122" s="216" t="str">
        <f>IFERROR(__xludf.DUMMYFUNCTION("ARRAYFORMULA(IFERROR(VLOOKUP(REGEXEXTRACT(B122, ""-(\w+)-""), {Data_Validation!$F$16:$F$29, Data_Validation!$E$16:$E$29}, 2, FALSE), """"))
"),"Kommu Tech")</f>
        <v>Kommu Tech</v>
      </c>
      <c r="B122" s="321" t="s">
        <v>1580</v>
      </c>
      <c r="C122" s="323"/>
      <c r="D122" s="321" t="s">
        <v>1581</v>
      </c>
      <c r="E122" s="321" t="s">
        <v>26</v>
      </c>
      <c r="F122" s="321" t="s">
        <v>48</v>
      </c>
      <c r="G122" s="323"/>
      <c r="H122" s="329">
        <v>45161.0</v>
      </c>
      <c r="I122" s="323">
        <v>1.0</v>
      </c>
      <c r="J122" s="323"/>
      <c r="K122" s="324"/>
      <c r="L122" s="325"/>
      <c r="M122" s="312">
        <v>45161.714772314815</v>
      </c>
      <c r="N122" s="313">
        <v>45162.69992982638</v>
      </c>
      <c r="O122" s="314" t="s">
        <v>1582</v>
      </c>
      <c r="P122" s="314" t="s">
        <v>1583</v>
      </c>
      <c r="Q122" s="326" t="s">
        <v>31</v>
      </c>
      <c r="R122" s="328">
        <v>0.05416666666496894</v>
      </c>
      <c r="S122" s="317">
        <f t="shared" si="31"/>
        <v>110.5</v>
      </c>
      <c r="T122" s="317">
        <f>VLOOKUP(F122, Data_Validation!$D$2:$G$15, 4, FALSE)</f>
        <v>85</v>
      </c>
      <c r="U122" s="317"/>
    </row>
    <row r="123" ht="20.25" hidden="1" customHeight="1" outlineLevel="1">
      <c r="A123" s="216" t="str">
        <f>IFERROR(__xludf.DUMMYFUNCTION("ARRAYFORMULA(IFERROR(VLOOKUP(REGEXEXTRACT(B123, ""-(\w+)-""), {Data_Validation!$F$16:$F$29, Data_Validation!$E$16:$E$29}, 2, FALSE), """"))
"),"Kommu Tech")</f>
        <v>Kommu Tech</v>
      </c>
      <c r="B123" s="321" t="s">
        <v>1584</v>
      </c>
      <c r="C123" s="323"/>
      <c r="D123" s="321" t="s">
        <v>274</v>
      </c>
      <c r="E123" s="321" t="s">
        <v>26</v>
      </c>
      <c r="F123" s="321" t="s">
        <v>48</v>
      </c>
      <c r="G123" s="323"/>
      <c r="H123" s="329">
        <v>45173.0</v>
      </c>
      <c r="I123" s="323">
        <v>1.0</v>
      </c>
      <c r="J123" s="323"/>
      <c r="K123" s="324"/>
      <c r="L123" s="325"/>
      <c r="M123" s="312">
        <v>45164.62901842593</v>
      </c>
      <c r="N123" s="313">
        <v>45176.42391090278</v>
      </c>
      <c r="O123" s="314" t="s">
        <v>1585</v>
      </c>
      <c r="P123" s="314" t="s">
        <v>1586</v>
      </c>
      <c r="Q123" s="326" t="s">
        <v>31</v>
      </c>
      <c r="R123" s="328">
        <v>0.05625000000145519</v>
      </c>
      <c r="S123" s="317">
        <f t="shared" si="31"/>
        <v>114.75</v>
      </c>
      <c r="T123" s="317">
        <f>VLOOKUP(F123, Data_Validation!$D$2:$G$15, 4, FALSE)</f>
        <v>85</v>
      </c>
      <c r="U123" s="317"/>
    </row>
    <row r="124" ht="20.25" hidden="1" customHeight="1" outlineLevel="1">
      <c r="A124" s="216" t="str">
        <f>IFERROR(__xludf.DUMMYFUNCTION("ARRAYFORMULA(IFERROR(VLOOKUP(REGEXEXTRACT(B124, ""-(\w+)-""), {Data_Validation!$F$16:$F$29, Data_Validation!$E$16:$E$29}, 2, FALSE), """"))
"),"Kommu Tech")</f>
        <v>Kommu Tech</v>
      </c>
      <c r="B124" s="321" t="s">
        <v>1587</v>
      </c>
      <c r="C124" s="323"/>
      <c r="D124" s="321" t="s">
        <v>1135</v>
      </c>
      <c r="E124" s="321" t="s">
        <v>26</v>
      </c>
      <c r="F124" s="321" t="s">
        <v>48</v>
      </c>
      <c r="G124" s="323"/>
      <c r="H124" s="329">
        <v>45173.0</v>
      </c>
      <c r="I124" s="323">
        <v>1.0</v>
      </c>
      <c r="J124" s="323"/>
      <c r="K124" s="324"/>
      <c r="L124" s="325"/>
      <c r="M124" s="312"/>
      <c r="N124" s="313"/>
      <c r="O124" s="314"/>
      <c r="P124" s="314"/>
      <c r="Q124" s="327"/>
      <c r="R124" s="328"/>
      <c r="S124" s="317">
        <f t="shared" si="31"/>
        <v>0</v>
      </c>
      <c r="T124" s="317">
        <f>VLOOKUP(F124, Data_Validation!$D$2:$G$15, 4, FALSE)</f>
        <v>85</v>
      </c>
      <c r="U124" s="317"/>
    </row>
    <row r="125" ht="20.25" customHeight="1" collapsed="1">
      <c r="A125" s="216" t="str">
        <f>IFERROR(__xludf.DUMMYFUNCTION("ARRAYFORMULA(IFERROR(VLOOKUP(REGEXEXTRACT(B125, ""-(\w+)-""), {Data_Validation!$F$16:$F$29, Data_Validation!$E$16:$E$29}, 2, FALSE), """"))
"),"TheMVP")</f>
        <v>TheMVP</v>
      </c>
      <c r="B125" s="321" t="s">
        <v>1588</v>
      </c>
      <c r="C125" s="321" t="s">
        <v>1589</v>
      </c>
      <c r="D125" s="323"/>
      <c r="E125" s="321" t="s">
        <v>62</v>
      </c>
      <c r="F125" s="321" t="s">
        <v>22</v>
      </c>
      <c r="G125" s="321" t="s">
        <v>23</v>
      </c>
      <c r="H125" s="320">
        <v>45177.0</v>
      </c>
      <c r="I125" s="308"/>
      <c r="J125" s="323">
        <v>6.0</v>
      </c>
      <c r="K125" s="324"/>
      <c r="L125" s="325"/>
      <c r="M125" s="312">
        <v>45174.70758615741</v>
      </c>
      <c r="N125" s="313">
        <v>45178.43137077546</v>
      </c>
      <c r="O125" s="314" t="s">
        <v>105</v>
      </c>
      <c r="P125" s="314"/>
      <c r="Q125" s="327"/>
      <c r="R125" s="328">
        <f>sum(R126:R131)</f>
        <v>0.5167361111</v>
      </c>
      <c r="S125" s="317">
        <f>SUM(S126:S131)</f>
        <v>1101.775</v>
      </c>
      <c r="T125" s="317">
        <f>AVERAGE(T126:T131)</f>
        <v>111.25</v>
      </c>
      <c r="U125" s="317"/>
    </row>
    <row r="126" ht="20.25" hidden="1" customHeight="1" outlineLevel="1">
      <c r="A126" s="216" t="str">
        <f>IFERROR(__xludf.DUMMYFUNCTION("ARRAYFORMULA(IFERROR(VLOOKUP(REGEXEXTRACT(B126, ""-(\w+)-""), {Data_Validation!$F$16:$F$29, Data_Validation!$E$16:$E$29}, 2, FALSE), """"))
"),"TheMVP")</f>
        <v>TheMVP</v>
      </c>
      <c r="B126" s="321" t="s">
        <v>1590</v>
      </c>
      <c r="C126" s="323"/>
      <c r="D126" s="321" t="s">
        <v>25</v>
      </c>
      <c r="E126" s="321" t="s">
        <v>26</v>
      </c>
      <c r="F126" s="321" t="s">
        <v>22</v>
      </c>
      <c r="G126" s="321" t="s">
        <v>1591</v>
      </c>
      <c r="H126" s="320">
        <v>45174.0</v>
      </c>
      <c r="I126" s="323">
        <v>1.0</v>
      </c>
      <c r="J126" s="323"/>
      <c r="K126" s="324"/>
      <c r="L126" s="325"/>
      <c r="M126" s="312"/>
      <c r="N126" s="313"/>
      <c r="O126" s="314"/>
      <c r="P126" s="314"/>
      <c r="Q126" s="326"/>
      <c r="R126" s="328"/>
      <c r="S126" s="317">
        <f t="shared" ref="S126:S131" si="32">T126*24*R126</f>
        <v>0</v>
      </c>
      <c r="T126" s="317">
        <f>VLOOKUP(F126, Data_Validation!$D$2:$G$15, 4, FALSE)</f>
        <v>125</v>
      </c>
      <c r="U126" s="317"/>
    </row>
    <row r="127" ht="20.25" hidden="1" customHeight="1" outlineLevel="1">
      <c r="A127" s="216" t="str">
        <f>IFERROR(__xludf.DUMMYFUNCTION("ARRAYFORMULA(IFERROR(VLOOKUP(REGEXEXTRACT(B127, ""-(\w+)-""), {Data_Validation!$F$16:$F$29, Data_Validation!$E$16:$E$29}, 2, FALSE), """"))
"),"TheMVP")</f>
        <v>TheMVP</v>
      </c>
      <c r="B127" s="321" t="s">
        <v>1592</v>
      </c>
      <c r="C127" s="323"/>
      <c r="D127" s="321" t="s">
        <v>33</v>
      </c>
      <c r="E127" s="321" t="s">
        <v>26</v>
      </c>
      <c r="F127" s="321" t="s">
        <v>22</v>
      </c>
      <c r="G127" s="323"/>
      <c r="H127" s="320">
        <v>45174.0</v>
      </c>
      <c r="I127" s="323">
        <v>1.0</v>
      </c>
      <c r="J127" s="323"/>
      <c r="K127" s="324"/>
      <c r="L127" s="325"/>
      <c r="M127" s="312"/>
      <c r="N127" s="313"/>
      <c r="O127" s="314"/>
      <c r="P127" s="314"/>
      <c r="Q127" s="327"/>
      <c r="R127" s="328"/>
      <c r="S127" s="317">
        <f t="shared" si="32"/>
        <v>0</v>
      </c>
      <c r="T127" s="317">
        <f>VLOOKUP(F127, Data_Validation!$D$2:$G$15, 4, FALSE)</f>
        <v>125</v>
      </c>
      <c r="U127" s="317"/>
    </row>
    <row r="128" ht="20.25" hidden="1" customHeight="1" outlineLevel="1">
      <c r="A128" s="216" t="str">
        <f>IFERROR(__xludf.DUMMYFUNCTION("ARRAYFORMULA(IFERROR(VLOOKUP(REGEXEXTRACT(B128, ""-(\w+)-""), {Data_Validation!$F$16:$F$29, Data_Validation!$E$16:$E$29}, 2, FALSE), """"))
"),"TheMVP")</f>
        <v>TheMVP</v>
      </c>
      <c r="B128" s="321" t="s">
        <v>1593</v>
      </c>
      <c r="C128" s="323"/>
      <c r="D128" s="321" t="s">
        <v>121</v>
      </c>
      <c r="E128" s="321" t="s">
        <v>26</v>
      </c>
      <c r="F128" s="321" t="s">
        <v>41</v>
      </c>
      <c r="G128" s="323"/>
      <c r="H128" s="320">
        <v>45174.0</v>
      </c>
      <c r="I128" s="323">
        <v>1.0</v>
      </c>
      <c r="J128" s="323"/>
      <c r="K128" s="324"/>
      <c r="L128" s="325"/>
      <c r="M128" s="312">
        <v>45174.70758615741</v>
      </c>
      <c r="N128" s="313">
        <v>45176.42936792824</v>
      </c>
      <c r="O128" s="314" t="s">
        <v>1594</v>
      </c>
      <c r="P128" s="314" t="s">
        <v>1595</v>
      </c>
      <c r="Q128" s="326" t="s">
        <v>31</v>
      </c>
      <c r="R128" s="328">
        <v>0.10555555555401952</v>
      </c>
      <c r="S128" s="317">
        <f t="shared" si="32"/>
        <v>291.3333333</v>
      </c>
      <c r="T128" s="317">
        <f>VLOOKUP(F128, Data_Validation!$D$2:$G$15, 4, FALSE)</f>
        <v>115</v>
      </c>
      <c r="U128" s="317"/>
    </row>
    <row r="129" ht="20.25" hidden="1" customHeight="1" outlineLevel="1">
      <c r="A129" s="216" t="str">
        <f>IFERROR(__xludf.DUMMYFUNCTION("ARRAYFORMULA(IFERROR(VLOOKUP(REGEXEXTRACT(B129, ""-(\w+)-""), {Data_Validation!$F$16:$F$29, Data_Validation!$E$16:$E$29}, 2, FALSE), """"))
"),"TheMVP")</f>
        <v>TheMVP</v>
      </c>
      <c r="B129" s="321" t="s">
        <v>1596</v>
      </c>
      <c r="C129" s="323"/>
      <c r="D129" s="321" t="s">
        <v>303</v>
      </c>
      <c r="E129" s="321" t="s">
        <v>26</v>
      </c>
      <c r="F129" s="321" t="s">
        <v>41</v>
      </c>
      <c r="G129" s="323"/>
      <c r="H129" s="320">
        <v>45173.0</v>
      </c>
      <c r="I129" s="323"/>
      <c r="J129" s="323"/>
      <c r="K129" s="324"/>
      <c r="L129" s="325"/>
      <c r="M129" s="312">
        <v>45174.75896990741</v>
      </c>
      <c r="N129" s="312">
        <v>45174.82355324074</v>
      </c>
      <c r="O129" s="314"/>
      <c r="P129" s="314"/>
      <c r="Q129" s="326" t="s">
        <v>31</v>
      </c>
      <c r="R129" s="328">
        <f>N129-M129</f>
        <v>0.06458333333</v>
      </c>
      <c r="S129" s="317">
        <f t="shared" si="32"/>
        <v>178.25</v>
      </c>
      <c r="T129" s="317">
        <f>VLOOKUP(F129, Data_Validation!$D$2:$G$15, 4, FALSE)</f>
        <v>115</v>
      </c>
      <c r="U129" s="317"/>
    </row>
    <row r="130" ht="20.25" hidden="1" customHeight="1" outlineLevel="1">
      <c r="A130" s="216" t="str">
        <f>IFERROR(__xludf.DUMMYFUNCTION("ARRAYFORMULA(IFERROR(VLOOKUP(REGEXEXTRACT(B130, ""-(\w+)-""), {Data_Validation!$F$16:$F$29, Data_Validation!$E$16:$E$29}, 2, FALSE), """"))
"),"TheMVP")</f>
        <v>TheMVP</v>
      </c>
      <c r="B130" s="321" t="s">
        <v>1597</v>
      </c>
      <c r="C130" s="323"/>
      <c r="D130" s="321" t="s">
        <v>40</v>
      </c>
      <c r="E130" s="321" t="s">
        <v>26</v>
      </c>
      <c r="F130" s="321" t="s">
        <v>27</v>
      </c>
      <c r="G130" s="323"/>
      <c r="H130" s="320">
        <v>45175.0</v>
      </c>
      <c r="I130" s="323">
        <v>1.0</v>
      </c>
      <c r="J130" s="323"/>
      <c r="K130" s="324"/>
      <c r="L130" s="325"/>
      <c r="M130" s="312">
        <v>45176.494462511575</v>
      </c>
      <c r="N130" s="313">
        <v>45178.385061030094</v>
      </c>
      <c r="O130" s="314" t="s">
        <v>1598</v>
      </c>
      <c r="P130" s="314" t="s">
        <v>1599</v>
      </c>
      <c r="Q130" s="326" t="s">
        <v>31</v>
      </c>
      <c r="R130" s="328">
        <v>0.3180555555554747</v>
      </c>
      <c r="S130" s="317">
        <f t="shared" si="32"/>
        <v>553.4166667</v>
      </c>
      <c r="T130" s="317">
        <f>VLOOKUP(F130, Data_Validation!$D$2:$G$15, 4, FALSE)</f>
        <v>72.5</v>
      </c>
      <c r="U130" s="317"/>
    </row>
    <row r="131" ht="20.25" hidden="1" customHeight="1" outlineLevel="1">
      <c r="A131" s="216" t="str">
        <f>IFERROR(__xludf.DUMMYFUNCTION("ARRAYFORMULA(IFERROR(VLOOKUP(REGEXEXTRACT(B131, ""-(\w+)-""), {Data_Validation!$F$16:$F$29, Data_Validation!$E$16:$E$29}, 2, FALSE), """"))
"),"TheMVP")</f>
        <v>TheMVP</v>
      </c>
      <c r="B131" s="321" t="s">
        <v>1600</v>
      </c>
      <c r="C131" s="323"/>
      <c r="D131" s="321" t="s">
        <v>45</v>
      </c>
      <c r="E131" s="321" t="s">
        <v>26</v>
      </c>
      <c r="F131" s="321" t="s">
        <v>41</v>
      </c>
      <c r="G131" s="323"/>
      <c r="H131" s="320">
        <v>45175.0</v>
      </c>
      <c r="I131" s="323">
        <v>1.0</v>
      </c>
      <c r="J131" s="323"/>
      <c r="K131" s="324"/>
      <c r="L131" s="325"/>
      <c r="M131" s="312">
        <v>45176.718448541666</v>
      </c>
      <c r="N131" s="313">
        <v>45178.43137077546</v>
      </c>
      <c r="O131" s="314"/>
      <c r="P131" s="314"/>
      <c r="Q131" s="326" t="s">
        <v>31</v>
      </c>
      <c r="R131" s="328">
        <v>0.028541666666666667</v>
      </c>
      <c r="S131" s="317">
        <f t="shared" si="32"/>
        <v>78.775</v>
      </c>
      <c r="T131" s="317">
        <f>VLOOKUP(F131, Data_Validation!$D$2:$G$15, 4, FALSE)</f>
        <v>115</v>
      </c>
      <c r="U131" s="317"/>
    </row>
    <row r="132" ht="20.25" customHeight="1" collapsed="1">
      <c r="A132" s="216" t="str">
        <f>IFERROR(__xludf.DUMMYFUNCTION("ARRAYFORMULA(IFERROR(VLOOKUP(REGEXEXTRACT(B132, ""-(\w+)-""), {Data_Validation!$F$16:$F$29, Data_Validation!$E$16:$E$29}, 2, FALSE), """"))
"),"Emerson")</f>
        <v>Emerson</v>
      </c>
      <c r="B132" s="321" t="s">
        <v>1553</v>
      </c>
      <c r="C132" s="321" t="s">
        <v>1601</v>
      </c>
      <c r="D132" s="323"/>
      <c r="E132" s="321" t="s">
        <v>1051</v>
      </c>
      <c r="F132" s="321" t="s">
        <v>22</v>
      </c>
      <c r="G132" s="321" t="s">
        <v>23</v>
      </c>
      <c r="H132" s="329">
        <v>45178.0</v>
      </c>
      <c r="I132" s="308"/>
      <c r="J132" s="323">
        <v>3.0</v>
      </c>
      <c r="K132" s="324"/>
      <c r="L132" s="325"/>
      <c r="M132" s="312">
        <v>45176.53002060185</v>
      </c>
      <c r="N132" s="313">
        <v>45182.504871655095</v>
      </c>
      <c r="O132" s="314"/>
      <c r="P132" s="314"/>
      <c r="Q132" s="327"/>
      <c r="R132" s="328">
        <f>sum(R133:R135)</f>
        <v>0.1556712963</v>
      </c>
      <c r="S132" s="317">
        <f>SUM(S133:S135)</f>
        <v>459.1527778</v>
      </c>
      <c r="T132" s="317">
        <f>AVERAGE(T133:T135)</f>
        <v>118.3333333</v>
      </c>
      <c r="U132" s="317"/>
    </row>
    <row r="133" ht="20.25" hidden="1" customHeight="1" outlineLevel="1">
      <c r="A133" s="216" t="str">
        <f>IFERROR(__xludf.DUMMYFUNCTION("ARRAYFORMULA(IFERROR(VLOOKUP(REGEXEXTRACT(B133, ""-(\w+)-""), {Data_Validation!$F$16:$F$29, Data_Validation!$E$16:$E$29}, 2, FALSE), """"))
"),"Emerson")</f>
        <v>Emerson</v>
      </c>
      <c r="B133" s="321" t="s">
        <v>1602</v>
      </c>
      <c r="C133" s="323"/>
      <c r="D133" s="321" t="s">
        <v>25</v>
      </c>
      <c r="E133" s="321" t="s">
        <v>26</v>
      </c>
      <c r="F133" s="321" t="s">
        <v>22</v>
      </c>
      <c r="G133" s="321" t="s">
        <v>1603</v>
      </c>
      <c r="H133" s="329">
        <v>45176.43931248842</v>
      </c>
      <c r="I133" s="323">
        <v>1.0</v>
      </c>
      <c r="J133" s="323"/>
      <c r="K133" s="324"/>
      <c r="L133" s="325"/>
      <c r="M133" s="312">
        <v>45176.53002060185</v>
      </c>
      <c r="N133" s="313">
        <v>45176.653278819445</v>
      </c>
      <c r="O133" s="314"/>
      <c r="P133" s="314"/>
      <c r="Q133" s="326" t="s">
        <v>31</v>
      </c>
      <c r="R133" s="328">
        <v>0.12291666666715173</v>
      </c>
      <c r="S133" s="317">
        <f t="shared" ref="S133:S135" si="33">T133*24*R133</f>
        <v>368.75</v>
      </c>
      <c r="T133" s="317">
        <f>VLOOKUP(F133, Data_Validation!$D$2:$G$15, 4, FALSE)</f>
        <v>125</v>
      </c>
      <c r="U133" s="317"/>
    </row>
    <row r="134" ht="20.25" hidden="1" customHeight="1" outlineLevel="1">
      <c r="A134" s="216" t="str">
        <f>IFERROR(__xludf.DUMMYFUNCTION("ARRAYFORMULA(IFERROR(VLOOKUP(REGEXEXTRACT(B134, ""-(\w+)-""), {Data_Validation!$F$16:$F$29, Data_Validation!$E$16:$E$29}, 2, FALSE), """"))
"),"Emerson")</f>
        <v>Emerson</v>
      </c>
      <c r="B134" s="321" t="s">
        <v>1604</v>
      </c>
      <c r="C134" s="323"/>
      <c r="D134" s="321" t="s">
        <v>1605</v>
      </c>
      <c r="E134" s="321" t="s">
        <v>26</v>
      </c>
      <c r="F134" s="321" t="s">
        <v>41</v>
      </c>
      <c r="G134" s="323"/>
      <c r="H134" s="329">
        <v>45178.0</v>
      </c>
      <c r="I134" s="323">
        <v>1.0</v>
      </c>
      <c r="J134" s="323"/>
      <c r="K134" s="324"/>
      <c r="L134" s="325"/>
      <c r="M134" s="312">
        <v>45177.52031039352</v>
      </c>
      <c r="N134" s="313">
        <v>45182.504871655095</v>
      </c>
      <c r="O134" s="314" t="s">
        <v>1606</v>
      </c>
      <c r="P134" s="314" t="s">
        <v>1607</v>
      </c>
      <c r="Q134" s="326" t="s">
        <v>31</v>
      </c>
      <c r="R134" s="328">
        <v>0.03275462962962963</v>
      </c>
      <c r="S134" s="317">
        <f t="shared" si="33"/>
        <v>90.40277778</v>
      </c>
      <c r="T134" s="317">
        <f>VLOOKUP(F134, Data_Validation!$D$2:$G$15, 4, FALSE)</f>
        <v>115</v>
      </c>
      <c r="U134" s="317"/>
    </row>
    <row r="135" ht="20.25" hidden="1" customHeight="1" outlineLevel="1">
      <c r="A135" s="216" t="str">
        <f>IFERROR(__xludf.DUMMYFUNCTION("ARRAYFORMULA(IFERROR(VLOOKUP(REGEXEXTRACT(B135, ""-(\w+)-""), {Data_Validation!$F$16:$F$29, Data_Validation!$E$16:$E$29}, 2, FALSE), """"))
"),"Emerson")</f>
        <v>Emerson</v>
      </c>
      <c r="B135" s="321" t="s">
        <v>1608</v>
      </c>
      <c r="C135" s="323"/>
      <c r="D135" s="321" t="s">
        <v>274</v>
      </c>
      <c r="E135" s="321" t="s">
        <v>26</v>
      </c>
      <c r="F135" s="321" t="s">
        <v>41</v>
      </c>
      <c r="G135" s="323"/>
      <c r="H135" s="329">
        <v>45178.0</v>
      </c>
      <c r="I135" s="323">
        <v>1.0</v>
      </c>
      <c r="J135" s="323"/>
      <c r="K135" s="324"/>
      <c r="L135" s="325"/>
      <c r="M135" s="312"/>
      <c r="N135" s="313"/>
      <c r="O135" s="314"/>
      <c r="P135" s="314"/>
      <c r="Q135" s="327"/>
      <c r="R135" s="328"/>
      <c r="S135" s="317">
        <f t="shared" si="33"/>
        <v>0</v>
      </c>
      <c r="T135" s="317">
        <f>VLOOKUP(F135, Data_Validation!$D$2:$G$15, 4, FALSE)</f>
        <v>115</v>
      </c>
      <c r="U135" s="317"/>
    </row>
    <row r="136" ht="20.25" customHeight="1" collapsed="1">
      <c r="A136" s="216" t="str">
        <f>IFERROR(__xludf.DUMMYFUNCTION("ARRAYFORMULA(IFERROR(VLOOKUP(REGEXEXTRACT(B136, ""-(\w+)-""), {Data_Validation!$F$16:$F$29, Data_Validation!$E$16:$E$29}, 2, FALSE), """"))
"),"TheMVP")</f>
        <v>TheMVP</v>
      </c>
      <c r="B136" s="321" t="s">
        <v>1609</v>
      </c>
      <c r="C136" s="321" t="s">
        <v>1610</v>
      </c>
      <c r="D136" s="323"/>
      <c r="E136" s="321" t="s">
        <v>21</v>
      </c>
      <c r="F136" s="321" t="s">
        <v>22</v>
      </c>
      <c r="G136" s="321" t="s">
        <v>23</v>
      </c>
      <c r="H136" s="320">
        <v>45182.0</v>
      </c>
      <c r="I136" s="308"/>
      <c r="J136" s="323">
        <v>3.0</v>
      </c>
      <c r="K136" s="324"/>
      <c r="L136" s="325"/>
      <c r="M136" s="312">
        <v>45182.45019506944</v>
      </c>
      <c r="N136" s="313">
        <v>45182.83765878472</v>
      </c>
      <c r="O136" s="314"/>
      <c r="P136" s="314"/>
      <c r="Q136" s="327"/>
      <c r="R136" s="328">
        <v>0.0</v>
      </c>
      <c r="S136" s="244">
        <v>0.0</v>
      </c>
      <c r="T136" s="244">
        <v>0.0</v>
      </c>
      <c r="U136" s="244"/>
    </row>
    <row r="137" ht="20.25" hidden="1" customHeight="1" outlineLevel="1">
      <c r="A137" s="216" t="str">
        <f>IFERROR(__xludf.DUMMYFUNCTION("ARRAYFORMULA(IFERROR(VLOOKUP(REGEXEXTRACT(B137, ""-(\w+)-""), {Data_Validation!$F$16:$F$29, Data_Validation!$E$16:$E$29}, 2, FALSE), """"))
"),"TheMVP")</f>
        <v>TheMVP</v>
      </c>
      <c r="B137" s="321" t="s">
        <v>1611</v>
      </c>
      <c r="C137" s="323"/>
      <c r="D137" s="321" t="s">
        <v>25</v>
      </c>
      <c r="E137" s="321" t="s">
        <v>26</v>
      </c>
      <c r="F137" s="321" t="s">
        <v>22</v>
      </c>
      <c r="G137" s="323"/>
      <c r="H137" s="320">
        <v>45180.0</v>
      </c>
      <c r="I137" s="323">
        <v>1.0</v>
      </c>
      <c r="J137" s="323"/>
      <c r="K137" s="324"/>
      <c r="L137" s="325"/>
      <c r="M137" s="312">
        <v>45182.83709814815</v>
      </c>
      <c r="N137" s="313">
        <v>45182.83750371527</v>
      </c>
      <c r="O137" s="314"/>
      <c r="P137" s="314"/>
      <c r="Q137" s="326" t="s">
        <v>31</v>
      </c>
      <c r="R137" s="328">
        <v>0.0</v>
      </c>
      <c r="S137" s="317">
        <f t="shared" ref="S137:S139" si="34">T137*24*R137</f>
        <v>0</v>
      </c>
      <c r="T137" s="317">
        <f>VLOOKUP(F137, Data_Validation!$D$2:$G$15, 4, FALSE)</f>
        <v>125</v>
      </c>
      <c r="U137" s="317"/>
    </row>
    <row r="138" ht="20.25" hidden="1" customHeight="1" outlineLevel="1">
      <c r="A138" s="216" t="str">
        <f>IFERROR(__xludf.DUMMYFUNCTION("ARRAYFORMULA(IFERROR(VLOOKUP(REGEXEXTRACT(B138, ""-(\w+)-""), {Data_Validation!$F$16:$F$29, Data_Validation!$E$16:$E$29}, 2, FALSE), """"))
"),"TheMVP")</f>
        <v>TheMVP</v>
      </c>
      <c r="B138" s="321" t="s">
        <v>1612</v>
      </c>
      <c r="C138" s="323"/>
      <c r="D138" s="321" t="s">
        <v>40</v>
      </c>
      <c r="E138" s="321" t="s">
        <v>26</v>
      </c>
      <c r="F138" s="321" t="s">
        <v>27</v>
      </c>
      <c r="G138" s="323"/>
      <c r="H138" s="320">
        <v>45181.0</v>
      </c>
      <c r="I138" s="323">
        <v>1.0</v>
      </c>
      <c r="J138" s="323"/>
      <c r="K138" s="324"/>
      <c r="L138" s="325"/>
      <c r="M138" s="312">
        <v>45182.45019506944</v>
      </c>
      <c r="N138" s="313">
        <v>45182.807954131946</v>
      </c>
      <c r="O138" s="314" t="s">
        <v>1613</v>
      </c>
      <c r="P138" s="314" t="s">
        <v>1614</v>
      </c>
      <c r="Q138" s="326" t="s">
        <v>31</v>
      </c>
      <c r="R138" s="328">
        <v>0.3548611111109494</v>
      </c>
      <c r="S138" s="317">
        <f t="shared" si="34"/>
        <v>617.4583333</v>
      </c>
      <c r="T138" s="317">
        <f>VLOOKUP(F138, Data_Validation!$D$2:$G$15, 4, FALSE)</f>
        <v>72.5</v>
      </c>
      <c r="U138" s="317"/>
    </row>
    <row r="139" ht="20.25" hidden="1" customHeight="1" outlineLevel="1">
      <c r="A139" s="216" t="str">
        <f>IFERROR(__xludf.DUMMYFUNCTION("ARRAYFORMULA(IFERROR(VLOOKUP(REGEXEXTRACT(B139, ""-(\w+)-""), {Data_Validation!$F$16:$F$29, Data_Validation!$E$16:$E$29}, 2, FALSE), """"))
"),"TheMVP")</f>
        <v>TheMVP</v>
      </c>
      <c r="B139" s="321" t="s">
        <v>1615</v>
      </c>
      <c r="C139" s="323"/>
      <c r="D139" s="321" t="s">
        <v>47</v>
      </c>
      <c r="E139" s="321" t="s">
        <v>26</v>
      </c>
      <c r="F139" s="321" t="s">
        <v>48</v>
      </c>
      <c r="G139" s="323"/>
      <c r="H139" s="320">
        <v>45182.0</v>
      </c>
      <c r="I139" s="323">
        <v>1.0</v>
      </c>
      <c r="J139" s="323"/>
      <c r="K139" s="324"/>
      <c r="L139" s="325"/>
      <c r="M139" s="312">
        <v>45182.83713164352</v>
      </c>
      <c r="N139" s="313">
        <v>45182.83765878472</v>
      </c>
      <c r="O139" s="314"/>
      <c r="P139" s="314"/>
      <c r="Q139" s="326" t="s">
        <v>31</v>
      </c>
      <c r="R139" s="328">
        <v>0.0</v>
      </c>
      <c r="S139" s="317">
        <f t="shared" si="34"/>
        <v>0</v>
      </c>
      <c r="T139" s="317">
        <f>VLOOKUP(F139, Data_Validation!$D$2:$G$15, 4, FALSE)</f>
        <v>85</v>
      </c>
      <c r="U139" s="317"/>
    </row>
    <row r="140" ht="20.25" customHeight="1" collapsed="1">
      <c r="A140" s="216" t="str">
        <f>IFERROR(__xludf.DUMMYFUNCTION("ARRAYFORMULA(IFERROR(VLOOKUP(REGEXEXTRACT(B140, ""-(\w+)-""), {Data_Validation!$F$16:$F$29, Data_Validation!$E$16:$E$29}, 2, FALSE), """"))
"),"TheMVP")</f>
        <v>TheMVP</v>
      </c>
      <c r="B140" s="321" t="s">
        <v>1616</v>
      </c>
      <c r="C140" s="321" t="s">
        <v>1617</v>
      </c>
      <c r="D140" s="323"/>
      <c r="E140" s="321" t="s">
        <v>62</v>
      </c>
      <c r="F140" s="321" t="s">
        <v>22</v>
      </c>
      <c r="G140" s="321" t="s">
        <v>23</v>
      </c>
      <c r="H140" s="320">
        <v>45183.0</v>
      </c>
      <c r="I140" s="308"/>
      <c r="J140" s="323">
        <v>7.0</v>
      </c>
      <c r="K140" s="324"/>
      <c r="L140" s="325"/>
      <c r="M140" s="312">
        <f>min(M141:M147)</f>
        <v>45164.81738</v>
      </c>
      <c r="N140" s="312">
        <f>MAX(N141:N147)</f>
        <v>45182.54466</v>
      </c>
      <c r="O140" s="314"/>
      <c r="P140" s="314"/>
      <c r="Q140" s="327"/>
      <c r="R140" s="328">
        <f t="shared" ref="R140:S140" si="35">SUM(R141:R147)</f>
        <v>2.658541667</v>
      </c>
      <c r="S140" s="317">
        <f t="shared" si="35"/>
        <v>4976.495833</v>
      </c>
      <c r="T140" s="317">
        <f>AVERAGE(T141:T147)</f>
        <v>90.71428571</v>
      </c>
      <c r="U140" s="317"/>
    </row>
    <row r="141" ht="20.25" hidden="1" customHeight="1" outlineLevel="1">
      <c r="A141" s="216" t="str">
        <f>IFERROR(__xludf.DUMMYFUNCTION("ARRAYFORMULA(IFERROR(VLOOKUP(REGEXEXTRACT(B141, ""-(\w+)-""), {Data_Validation!$F$16:$F$29, Data_Validation!$E$16:$E$29}, 2, FALSE), """"))
"),"TheMVP")</f>
        <v>TheMVP</v>
      </c>
      <c r="B141" s="321" t="s">
        <v>1618</v>
      </c>
      <c r="C141" s="323"/>
      <c r="D141" s="321" t="s">
        <v>25</v>
      </c>
      <c r="E141" s="321" t="s">
        <v>26</v>
      </c>
      <c r="F141" s="321" t="s">
        <v>22</v>
      </c>
      <c r="G141" s="321" t="s">
        <v>1619</v>
      </c>
      <c r="H141" s="320">
        <v>45164.0</v>
      </c>
      <c r="I141" s="323">
        <v>1.0</v>
      </c>
      <c r="J141" s="323"/>
      <c r="K141" s="324"/>
      <c r="L141" s="325"/>
      <c r="M141" s="312">
        <v>45164.81737936343</v>
      </c>
      <c r="N141" s="313">
        <v>45166.712731481486</v>
      </c>
      <c r="O141" s="314" t="s">
        <v>1620</v>
      </c>
      <c r="P141" s="314" t="s">
        <v>1621</v>
      </c>
      <c r="Q141" s="326" t="s">
        <v>31</v>
      </c>
      <c r="R141" s="328">
        <v>0.15416666666715173</v>
      </c>
      <c r="S141" s="317">
        <f t="shared" ref="S141:S147" si="36">T141*24*R141</f>
        <v>462.5</v>
      </c>
      <c r="T141" s="317">
        <f>VLOOKUP(F141, Data_Validation!$D$2:$G$15, 4, FALSE)</f>
        <v>125</v>
      </c>
      <c r="U141" s="317"/>
    </row>
    <row r="142" ht="20.25" hidden="1" customHeight="1" outlineLevel="1">
      <c r="A142" s="216" t="str">
        <f>IFERROR(__xludf.DUMMYFUNCTION("ARRAYFORMULA(IFERROR(VLOOKUP(REGEXEXTRACT(B142, ""-(\w+)-""), {Data_Validation!$F$16:$F$29, Data_Validation!$E$16:$E$29}, 2, FALSE), """"))
"),"TheMVP")</f>
        <v>TheMVP</v>
      </c>
      <c r="B142" s="321" t="s">
        <v>1622</v>
      </c>
      <c r="C142" s="323"/>
      <c r="D142" s="321" t="s">
        <v>33</v>
      </c>
      <c r="E142" s="321" t="s">
        <v>26</v>
      </c>
      <c r="F142" s="321" t="s">
        <v>48</v>
      </c>
      <c r="G142" s="323"/>
      <c r="H142" s="320">
        <v>45168.0</v>
      </c>
      <c r="I142" s="323">
        <v>1.0</v>
      </c>
      <c r="J142" s="323"/>
      <c r="K142" s="324"/>
      <c r="L142" s="325"/>
      <c r="M142" s="312">
        <v>45169.59861410879</v>
      </c>
      <c r="N142" s="313">
        <v>45169.66083424768</v>
      </c>
      <c r="O142" s="314" t="s">
        <v>1623</v>
      </c>
      <c r="P142" s="314" t="s">
        <v>1624</v>
      </c>
      <c r="Q142" s="326" t="s">
        <v>31</v>
      </c>
      <c r="R142" s="328">
        <v>0.02569444444452529</v>
      </c>
      <c r="S142" s="317">
        <f t="shared" si="36"/>
        <v>52.41666667</v>
      </c>
      <c r="T142" s="317">
        <f>VLOOKUP(F142, Data_Validation!$D$2:$G$15, 4, FALSE)</f>
        <v>85</v>
      </c>
      <c r="U142" s="317"/>
    </row>
    <row r="143" ht="20.25" hidden="1" customHeight="1" outlineLevel="1">
      <c r="A143" s="216" t="str">
        <f>IFERROR(__xludf.DUMMYFUNCTION("ARRAYFORMULA(IFERROR(VLOOKUP(REGEXEXTRACT(B143, ""-(\w+)-""), {Data_Validation!$F$16:$F$29, Data_Validation!$E$16:$E$29}, 2, FALSE), """"))
"),"TheMVP")</f>
        <v>TheMVP</v>
      </c>
      <c r="B143" s="321" t="s">
        <v>1625</v>
      </c>
      <c r="C143" s="323"/>
      <c r="D143" s="321" t="s">
        <v>1626</v>
      </c>
      <c r="E143" s="321" t="s">
        <v>26</v>
      </c>
      <c r="F143" s="321" t="s">
        <v>747</v>
      </c>
      <c r="G143" s="323"/>
      <c r="H143" s="320">
        <v>45169.0</v>
      </c>
      <c r="I143" s="323">
        <v>1.0</v>
      </c>
      <c r="J143" s="323"/>
      <c r="K143" s="324"/>
      <c r="L143" s="325"/>
      <c r="M143" s="312">
        <v>45169.66126284722</v>
      </c>
      <c r="N143" s="313">
        <v>45169.70625304398</v>
      </c>
      <c r="O143" s="314" t="s">
        <v>1627</v>
      </c>
      <c r="P143" s="314" t="s">
        <v>1628</v>
      </c>
      <c r="Q143" s="326" t="s">
        <v>31</v>
      </c>
      <c r="R143" s="328">
        <v>0.002777777779556345</v>
      </c>
      <c r="S143" s="317">
        <f t="shared" si="36"/>
        <v>5.500000004</v>
      </c>
      <c r="T143" s="317">
        <f>VLOOKUP(F143, Data_Validation!$D$2:$G$15, 4, FALSE)</f>
        <v>82.5</v>
      </c>
      <c r="U143" s="317"/>
    </row>
    <row r="144" ht="20.25" hidden="1" customHeight="1" outlineLevel="1">
      <c r="A144" s="216" t="str">
        <f>IFERROR(__xludf.DUMMYFUNCTION("ARRAYFORMULA(IFERROR(VLOOKUP(REGEXEXTRACT(B144, ""-(\w+)-""), {Data_Validation!$F$16:$F$29, Data_Validation!$E$16:$E$29}, 2, FALSE), """"))
"),"TheMVP")</f>
        <v>TheMVP</v>
      </c>
      <c r="B144" s="321" t="s">
        <v>1629</v>
      </c>
      <c r="C144" s="323"/>
      <c r="D144" s="321" t="s">
        <v>121</v>
      </c>
      <c r="E144" s="321" t="s">
        <v>26</v>
      </c>
      <c r="F144" s="321" t="s">
        <v>27</v>
      </c>
      <c r="G144" s="323"/>
      <c r="H144" s="320">
        <v>45169.0</v>
      </c>
      <c r="I144" s="323">
        <v>1.0</v>
      </c>
      <c r="J144" s="323"/>
      <c r="K144" s="324"/>
      <c r="L144" s="325"/>
      <c r="M144" s="312">
        <v>45170.4616553588</v>
      </c>
      <c r="N144" s="313">
        <v>45171.48600528935</v>
      </c>
      <c r="O144" s="314" t="s">
        <v>1630</v>
      </c>
      <c r="P144" s="314" t="s">
        <v>1631</v>
      </c>
      <c r="Q144" s="326" t="s">
        <v>31</v>
      </c>
      <c r="R144" s="328">
        <v>0.37916666666569654</v>
      </c>
      <c r="S144" s="317">
        <f t="shared" si="36"/>
        <v>659.75</v>
      </c>
      <c r="T144" s="317">
        <f>VLOOKUP(F144, Data_Validation!$D$2:$G$15, 4, FALSE)</f>
        <v>72.5</v>
      </c>
      <c r="U144" s="317"/>
    </row>
    <row r="145" ht="20.25" hidden="1" customHeight="1" outlineLevel="1">
      <c r="A145" s="216" t="str">
        <f>IFERROR(__xludf.DUMMYFUNCTION("ARRAYFORMULA(IFERROR(VLOOKUP(REGEXEXTRACT(B145, ""-(\w+)-""), {Data_Validation!$F$16:$F$29, Data_Validation!$E$16:$E$29}, 2, FALSE), """"))
"),"TheMVP")</f>
        <v>TheMVP</v>
      </c>
      <c r="B145" s="321" t="s">
        <v>1632</v>
      </c>
      <c r="C145" s="323"/>
      <c r="D145" s="321" t="s">
        <v>38</v>
      </c>
      <c r="E145" s="321" t="s">
        <v>26</v>
      </c>
      <c r="F145" s="321" t="s">
        <v>747</v>
      </c>
      <c r="G145" s="323"/>
      <c r="H145" s="320">
        <v>45169.0</v>
      </c>
      <c r="I145" s="323">
        <v>1.0</v>
      </c>
      <c r="J145" s="323"/>
      <c r="K145" s="324"/>
      <c r="L145" s="325"/>
      <c r="M145" s="312">
        <v>45168.54168981481</v>
      </c>
      <c r="N145" s="313">
        <v>45168.55925925926</v>
      </c>
      <c r="O145" s="314"/>
      <c r="P145" s="314"/>
      <c r="Q145" s="326" t="s">
        <v>31</v>
      </c>
      <c r="R145" s="328">
        <v>0.01756944444423425</v>
      </c>
      <c r="S145" s="317">
        <f t="shared" si="36"/>
        <v>34.7875</v>
      </c>
      <c r="T145" s="317">
        <f>VLOOKUP(F145, Data_Validation!$D$2:$G$15, 4, FALSE)</f>
        <v>82.5</v>
      </c>
      <c r="U145" s="317"/>
    </row>
    <row r="146" ht="20.25" hidden="1" customHeight="1" outlineLevel="1">
      <c r="A146" s="216" t="str">
        <f>IFERROR(__xludf.DUMMYFUNCTION("ARRAYFORMULA(IFERROR(VLOOKUP(REGEXEXTRACT(B146, ""-(\w+)-""), {Data_Validation!$F$16:$F$29, Data_Validation!$E$16:$E$29}, 2, FALSE), """"))
"),"TheMVP")</f>
        <v>TheMVP</v>
      </c>
      <c r="B146" s="321" t="s">
        <v>1633</v>
      </c>
      <c r="C146" s="323"/>
      <c r="D146" s="321" t="s">
        <v>40</v>
      </c>
      <c r="E146" s="321" t="s">
        <v>26</v>
      </c>
      <c r="F146" s="321" t="s">
        <v>27</v>
      </c>
      <c r="G146" s="323"/>
      <c r="H146" s="320">
        <v>45176.0</v>
      </c>
      <c r="I146" s="323">
        <v>1.0</v>
      </c>
      <c r="J146" s="323"/>
      <c r="K146" s="324"/>
      <c r="L146" s="325"/>
      <c r="M146" s="312">
        <v>45171.499526898144</v>
      </c>
      <c r="N146" s="313">
        <v>45182.54465740741</v>
      </c>
      <c r="O146" s="314" t="s">
        <v>1634</v>
      </c>
      <c r="P146" s="314" t="s">
        <v>1635</v>
      </c>
      <c r="Q146" s="326" t="s">
        <v>31</v>
      </c>
      <c r="R146" s="328">
        <v>1.93819444444307</v>
      </c>
      <c r="S146" s="317">
        <f t="shared" si="36"/>
        <v>3372.458333</v>
      </c>
      <c r="T146" s="317">
        <f>VLOOKUP(F146, Data_Validation!$D$2:$G$15, 4, FALSE)</f>
        <v>72.5</v>
      </c>
      <c r="U146" s="317"/>
    </row>
    <row r="147" ht="20.25" hidden="1" customHeight="1" outlineLevel="1">
      <c r="A147" s="216" t="str">
        <f>IFERROR(__xludf.DUMMYFUNCTION("ARRAYFORMULA(IFERROR(VLOOKUP(REGEXEXTRACT(B147, ""-(\w+)-""), {Data_Validation!$F$16:$F$29, Data_Validation!$E$16:$E$29}, 2, FALSE), """"))
"),"TheMVP")</f>
        <v>TheMVP</v>
      </c>
      <c r="B147" s="321" t="s">
        <v>1636</v>
      </c>
      <c r="C147" s="323"/>
      <c r="D147" s="321" t="s">
        <v>1637</v>
      </c>
      <c r="E147" s="321" t="s">
        <v>26</v>
      </c>
      <c r="F147" s="321" t="s">
        <v>41</v>
      </c>
      <c r="G147" s="323"/>
      <c r="H147" s="320">
        <v>45174.0</v>
      </c>
      <c r="I147" s="323">
        <v>1.0</v>
      </c>
      <c r="J147" s="323"/>
      <c r="K147" s="324"/>
      <c r="L147" s="325"/>
      <c r="M147" s="312">
        <v>45178.56738943287</v>
      </c>
      <c r="N147" s="313">
        <v>45178.70853690972</v>
      </c>
      <c r="O147" s="314"/>
      <c r="P147" s="314"/>
      <c r="Q147" s="326" t="s">
        <v>31</v>
      </c>
      <c r="R147" s="328">
        <v>0.14097222222335404</v>
      </c>
      <c r="S147" s="317">
        <f t="shared" si="36"/>
        <v>389.0833333</v>
      </c>
      <c r="T147" s="317">
        <f>VLOOKUP(F147, Data_Validation!$D$2:$G$15, 4, FALSE)</f>
        <v>115</v>
      </c>
      <c r="U147" s="317"/>
    </row>
    <row r="148" ht="20.25" customHeight="1" collapsed="1">
      <c r="A148" s="216" t="str">
        <f>IFERROR(__xludf.DUMMYFUNCTION("ARRAYFORMULA(IFERROR(VLOOKUP(REGEXEXTRACT(B148, ""-(\w+)-""), {Data_Validation!$F$16:$F$29, Data_Validation!$E$16:$E$29}, 2, FALSE), """"))
"),"TheMVP")</f>
        <v>TheMVP</v>
      </c>
      <c r="B148" s="321" t="s">
        <v>1638</v>
      </c>
      <c r="C148" s="321" t="s">
        <v>1639</v>
      </c>
      <c r="D148" s="323"/>
      <c r="E148" s="321" t="s">
        <v>51</v>
      </c>
      <c r="F148" s="321" t="s">
        <v>22</v>
      </c>
      <c r="G148" s="321" t="s">
        <v>63</v>
      </c>
      <c r="H148" s="320">
        <v>45183.0</v>
      </c>
      <c r="I148" s="308"/>
      <c r="J148" s="323">
        <v>3.0</v>
      </c>
      <c r="K148" s="324"/>
      <c r="L148" s="325"/>
      <c r="M148" s="312">
        <f>min(M149:M151)</f>
        <v>45180.45496</v>
      </c>
      <c r="N148" s="312">
        <f>MAX(M149:M151)</f>
        <v>45183.75395</v>
      </c>
      <c r="O148" s="314"/>
      <c r="P148" s="314"/>
      <c r="Q148" s="327"/>
      <c r="R148" s="328">
        <f>sum(R150:R151)</f>
        <v>0.05277777778</v>
      </c>
      <c r="S148" s="317">
        <f>SUM(S149:S151)</f>
        <v>143.1666667</v>
      </c>
      <c r="T148" s="317">
        <f>AVERAGE(T149:T151)</f>
        <v>94.16666667</v>
      </c>
      <c r="U148" s="317"/>
    </row>
    <row r="149" ht="20.25" hidden="1" customHeight="1" outlineLevel="1">
      <c r="A149" s="216" t="str">
        <f>IFERROR(__xludf.DUMMYFUNCTION("ARRAYFORMULA(IFERROR(VLOOKUP(REGEXEXTRACT(B149, ""-(\w+)-""), {Data_Validation!$F$16:$F$29, Data_Validation!$E$16:$E$29}, 2, FALSE), """"))
"),"TheMVP")</f>
        <v>TheMVP</v>
      </c>
      <c r="B149" s="321" t="s">
        <v>1640</v>
      </c>
      <c r="C149" s="323"/>
      <c r="D149" s="321" t="s">
        <v>33</v>
      </c>
      <c r="E149" s="321" t="s">
        <v>26</v>
      </c>
      <c r="F149" s="321" t="s">
        <v>747</v>
      </c>
      <c r="G149" s="323"/>
      <c r="H149" s="320">
        <v>45162.05891569445</v>
      </c>
      <c r="I149" s="323">
        <v>1.0</v>
      </c>
      <c r="J149" s="323"/>
      <c r="K149" s="324"/>
      <c r="L149" s="325"/>
      <c r="M149" s="312"/>
      <c r="N149" s="312"/>
      <c r="O149" s="314"/>
      <c r="P149" s="314"/>
      <c r="Q149" s="327"/>
      <c r="R149" s="328"/>
      <c r="S149" s="317">
        <f t="shared" ref="S149:S151" si="37">T149*24*R149</f>
        <v>0</v>
      </c>
      <c r="T149" s="317">
        <f>VLOOKUP(F149, Data_Validation!$D$2:$G$15, 4, FALSE)</f>
        <v>82.5</v>
      </c>
      <c r="U149" s="317"/>
    </row>
    <row r="150" ht="20.25" hidden="1" customHeight="1" outlineLevel="1">
      <c r="A150" s="216" t="str">
        <f>IFERROR(__xludf.DUMMYFUNCTION("ARRAYFORMULA(IFERROR(VLOOKUP(REGEXEXTRACT(B150, ""-(\w+)-""), {Data_Validation!$F$16:$F$29, Data_Validation!$E$16:$E$29}, 2, FALSE), """"))
"),"TheMVP")</f>
        <v>TheMVP</v>
      </c>
      <c r="B150" s="321" t="s">
        <v>1641</v>
      </c>
      <c r="C150" s="323"/>
      <c r="D150" s="321" t="s">
        <v>40</v>
      </c>
      <c r="E150" s="321" t="s">
        <v>26</v>
      </c>
      <c r="F150" s="321" t="s">
        <v>41</v>
      </c>
      <c r="G150" s="323"/>
      <c r="H150" s="320">
        <v>45176.0</v>
      </c>
      <c r="I150" s="323">
        <v>1.0</v>
      </c>
      <c r="J150" s="323"/>
      <c r="K150" s="324"/>
      <c r="L150" s="325"/>
      <c r="M150" s="312">
        <v>45180.454960856485</v>
      </c>
      <c r="N150" s="313">
        <v>45180.504607106486</v>
      </c>
      <c r="O150" s="314"/>
      <c r="P150" s="314"/>
      <c r="Q150" s="326" t="s">
        <v>31</v>
      </c>
      <c r="R150" s="328">
        <v>0.04930555555620231</v>
      </c>
      <c r="S150" s="317">
        <f t="shared" si="37"/>
        <v>136.0833333</v>
      </c>
      <c r="T150" s="317">
        <f>VLOOKUP(F150, Data_Validation!$D$2:$G$15, 4, FALSE)</f>
        <v>115</v>
      </c>
      <c r="U150" s="317"/>
    </row>
    <row r="151" ht="20.25" hidden="1" customHeight="1" outlineLevel="1">
      <c r="A151" s="216" t="str">
        <f>IFERROR(__xludf.DUMMYFUNCTION("ARRAYFORMULA(IFERROR(VLOOKUP(REGEXEXTRACT(B151, ""-(\w+)-""), {Data_Validation!$F$16:$F$29, Data_Validation!$E$16:$E$29}, 2, FALSE), """"))
"),"TheMVP")</f>
        <v>TheMVP</v>
      </c>
      <c r="B151" s="321" t="s">
        <v>1642</v>
      </c>
      <c r="C151" s="323"/>
      <c r="D151" s="321" t="s">
        <v>47</v>
      </c>
      <c r="E151" s="321" t="s">
        <v>26</v>
      </c>
      <c r="F151" s="321" t="s">
        <v>48</v>
      </c>
      <c r="G151" s="323"/>
      <c r="H151" s="320">
        <v>45183.0</v>
      </c>
      <c r="I151" s="323">
        <v>1.0</v>
      </c>
      <c r="J151" s="323"/>
      <c r="K151" s="324"/>
      <c r="L151" s="325"/>
      <c r="M151" s="312">
        <v>45183.75395349537</v>
      </c>
      <c r="N151" s="313">
        <v>45183.75756835648</v>
      </c>
      <c r="O151" s="314"/>
      <c r="P151" s="314"/>
      <c r="Q151" s="326" t="s">
        <v>31</v>
      </c>
      <c r="R151" s="328">
        <v>0.003472222222626442</v>
      </c>
      <c r="S151" s="317">
        <f t="shared" si="37"/>
        <v>7.083333334</v>
      </c>
      <c r="T151" s="317">
        <f>VLOOKUP(F151, Data_Validation!$D$2:$G$15, 4, FALSE)</f>
        <v>85</v>
      </c>
      <c r="U151" s="317"/>
    </row>
    <row r="152" ht="20.25" customHeight="1" collapsed="1">
      <c r="A152" s="216" t="str">
        <f>IFERROR(__xludf.DUMMYFUNCTION("ARRAYFORMULA(IFERROR(VLOOKUP(REGEXEXTRACT(B152, ""-(\w+)-""), {Data_Validation!$F$16:$F$29, Data_Validation!$E$16:$E$29}, 2, FALSE), """"))
"),"TheMVP")</f>
        <v>TheMVP</v>
      </c>
      <c r="B152" s="321" t="s">
        <v>1643</v>
      </c>
      <c r="C152" s="321" t="s">
        <v>1644</v>
      </c>
      <c r="D152" s="323"/>
      <c r="E152" s="321" t="s">
        <v>21</v>
      </c>
      <c r="F152" s="321" t="s">
        <v>22</v>
      </c>
      <c r="G152" s="321" t="s">
        <v>63</v>
      </c>
      <c r="H152" s="320">
        <v>45184.0</v>
      </c>
      <c r="I152" s="308"/>
      <c r="J152" s="323">
        <v>5.0</v>
      </c>
      <c r="K152" s="324"/>
      <c r="L152" s="325"/>
      <c r="M152" s="312">
        <f>IFERROR(__xludf.DUMMYFUNCTION("MIN(FILTER(M153:M157, M153:M157&lt;&gt;""""))"),45171.78125734953)</f>
        <v>45171.78126</v>
      </c>
      <c r="N152" s="312">
        <f>IFERROR(__xludf.DUMMYFUNCTION("MAX(FILTER(N153:N157, N153:N157&lt;&gt;""""))"),45185.77643518519)</f>
        <v>45185.77644</v>
      </c>
      <c r="O152" s="314"/>
      <c r="P152" s="314"/>
      <c r="Q152" s="327"/>
      <c r="R152" s="328">
        <f>IFERROR(__xludf.DUMMYFUNCTION("SUM(FILTER(R153:R157, R153:R157&lt;&gt;""""))"),1.034722222219231)</f>
        <v>1.034722222</v>
      </c>
      <c r="S152" s="317">
        <f>SUM(S153:S157)</f>
        <v>2020.833333</v>
      </c>
      <c r="T152" s="317">
        <f>AVERAGE(T153:T157)</f>
        <v>110.5</v>
      </c>
      <c r="U152" s="317"/>
    </row>
    <row r="153" ht="20.25" hidden="1" customHeight="1" outlineLevel="1">
      <c r="A153" s="216" t="str">
        <f>IFERROR(__xludf.DUMMYFUNCTION("ARRAYFORMULA(IFERROR(VLOOKUP(REGEXEXTRACT(B153, ""-(\w+)-""), {Data_Validation!$F$16:$F$29, Data_Validation!$E$16:$E$29}, 2, FALSE), """"))
"),"TheMVP")</f>
        <v>TheMVP</v>
      </c>
      <c r="B153" s="321" t="s">
        <v>1645</v>
      </c>
      <c r="C153" s="323"/>
      <c r="D153" s="321" t="s">
        <v>25</v>
      </c>
      <c r="E153" s="321" t="s">
        <v>26</v>
      </c>
      <c r="F153" s="321" t="s">
        <v>22</v>
      </c>
      <c r="G153" s="321" t="s">
        <v>1646</v>
      </c>
      <c r="H153" s="320">
        <v>45176.0</v>
      </c>
      <c r="I153" s="323">
        <v>1.0</v>
      </c>
      <c r="J153" s="323"/>
      <c r="K153" s="324"/>
      <c r="L153" s="325"/>
      <c r="M153" s="312">
        <v>45171.78125734953</v>
      </c>
      <c r="N153" s="313">
        <v>45182.49582244213</v>
      </c>
      <c r="O153" s="314" t="s">
        <v>1647</v>
      </c>
      <c r="P153" s="314" t="s">
        <v>1648</v>
      </c>
      <c r="Q153" s="326" t="s">
        <v>31</v>
      </c>
      <c r="R153" s="328">
        <v>0.015277777776645962</v>
      </c>
      <c r="S153" s="317">
        <f t="shared" ref="S153:S157" si="38">T153*24*R153</f>
        <v>45.83333333</v>
      </c>
      <c r="T153" s="317">
        <f>VLOOKUP(F153, Data_Validation!$D$2:$G$15, 4, FALSE)</f>
        <v>125</v>
      </c>
      <c r="U153" s="317"/>
    </row>
    <row r="154" ht="20.25" hidden="1" customHeight="1" outlineLevel="1">
      <c r="A154" s="216" t="str">
        <f>IFERROR(__xludf.DUMMYFUNCTION("ARRAYFORMULA(IFERROR(VLOOKUP(REGEXEXTRACT(B154, ""-(\w+)-""), {Data_Validation!$F$16:$F$29, Data_Validation!$E$16:$E$29}, 2, FALSE), """"))
"),"TheMVP")</f>
        <v>TheMVP</v>
      </c>
      <c r="B154" s="321" t="s">
        <v>1649</v>
      </c>
      <c r="C154" s="323"/>
      <c r="D154" s="321" t="s">
        <v>38</v>
      </c>
      <c r="E154" s="321" t="s">
        <v>26</v>
      </c>
      <c r="F154" s="321" t="s">
        <v>22</v>
      </c>
      <c r="G154" s="323"/>
      <c r="H154" s="320">
        <v>45182.0</v>
      </c>
      <c r="I154" s="323"/>
      <c r="J154" s="323"/>
      <c r="K154" s="324"/>
      <c r="L154" s="325"/>
      <c r="M154" s="312"/>
      <c r="N154" s="313"/>
      <c r="O154" s="314"/>
      <c r="P154" s="314"/>
      <c r="Q154" s="327"/>
      <c r="R154" s="328"/>
      <c r="S154" s="317">
        <f t="shared" si="38"/>
        <v>0</v>
      </c>
      <c r="T154" s="317">
        <f>VLOOKUP(F154, Data_Validation!$D$2:$G$15, 4, FALSE)</f>
        <v>125</v>
      </c>
      <c r="U154" s="317"/>
    </row>
    <row r="155" ht="20.25" hidden="1" customHeight="1" outlineLevel="1">
      <c r="A155" s="216" t="str">
        <f>IFERROR(__xludf.DUMMYFUNCTION("ARRAYFORMULA(IFERROR(VLOOKUP(REGEXEXTRACT(B155, ""-(\w+)-""), {Data_Validation!$F$16:$F$29, Data_Validation!$E$16:$E$29}, 2, FALSE), """"))
"),"TheMVP")</f>
        <v>TheMVP</v>
      </c>
      <c r="B155" s="321" t="s">
        <v>1650</v>
      </c>
      <c r="C155" s="323"/>
      <c r="D155" s="321" t="s">
        <v>33</v>
      </c>
      <c r="E155" s="321" t="s">
        <v>26</v>
      </c>
      <c r="F155" s="321" t="s">
        <v>41</v>
      </c>
      <c r="G155" s="323"/>
      <c r="H155" s="320">
        <v>45182.0</v>
      </c>
      <c r="I155" s="323">
        <v>1.0</v>
      </c>
      <c r="J155" s="323"/>
      <c r="K155" s="324"/>
      <c r="L155" s="325"/>
      <c r="M155" s="312">
        <v>45182.55464935185</v>
      </c>
      <c r="N155" s="313">
        <v>45182.7354445949</v>
      </c>
      <c r="O155" s="314"/>
      <c r="P155" s="314"/>
      <c r="Q155" s="326" t="s">
        <v>31</v>
      </c>
      <c r="R155" s="328">
        <v>0.18055555555474712</v>
      </c>
      <c r="S155" s="317">
        <f t="shared" si="38"/>
        <v>498.3333333</v>
      </c>
      <c r="T155" s="317">
        <f>VLOOKUP(F155, Data_Validation!$D$2:$G$15, 4, FALSE)</f>
        <v>115</v>
      </c>
      <c r="U155" s="317"/>
    </row>
    <row r="156" ht="20.25" hidden="1" customHeight="1" outlineLevel="1">
      <c r="A156" s="216" t="str">
        <f>IFERROR(__xludf.DUMMYFUNCTION("ARRAYFORMULA(IFERROR(VLOOKUP(REGEXEXTRACT(B156, ""-(\w+)-""), {Data_Validation!$F$16:$F$29, Data_Validation!$E$16:$E$29}, 2, FALSE), """"))
"),"TheMVP")</f>
        <v>TheMVP</v>
      </c>
      <c r="B156" s="321" t="s">
        <v>1651</v>
      </c>
      <c r="C156" s="323"/>
      <c r="D156" s="321" t="s">
        <v>40</v>
      </c>
      <c r="E156" s="321" t="s">
        <v>26</v>
      </c>
      <c r="F156" s="321" t="s">
        <v>27</v>
      </c>
      <c r="G156" s="323"/>
      <c r="H156" s="320">
        <v>45183.0</v>
      </c>
      <c r="I156" s="323">
        <v>1.0</v>
      </c>
      <c r="J156" s="323"/>
      <c r="K156" s="324"/>
      <c r="L156" s="325"/>
      <c r="M156" s="312">
        <v>45184.556287326384</v>
      </c>
      <c r="N156" s="313">
        <v>45185.40143616898</v>
      </c>
      <c r="O156" s="314" t="s">
        <v>1652</v>
      </c>
      <c r="P156" s="314" t="s">
        <v>1653</v>
      </c>
      <c r="Q156" s="326" t="s">
        <v>31</v>
      </c>
      <c r="R156" s="328">
        <v>0.8222222222211713</v>
      </c>
      <c r="S156" s="317">
        <f t="shared" si="38"/>
        <v>1430.666667</v>
      </c>
      <c r="T156" s="317">
        <f>VLOOKUP(F156, Data_Validation!$D$2:$G$15, 4, FALSE)</f>
        <v>72.5</v>
      </c>
      <c r="U156" s="317"/>
    </row>
    <row r="157" ht="20.25" hidden="1" customHeight="1" outlineLevel="1">
      <c r="A157" s="216" t="str">
        <f>IFERROR(__xludf.DUMMYFUNCTION("ARRAYFORMULA(IFERROR(VLOOKUP(REGEXEXTRACT(B157, ""-(\w+)-""), {Data_Validation!$F$16:$F$29, Data_Validation!$E$16:$E$29}, 2, FALSE), """"))
"),"TheMVP")</f>
        <v>TheMVP</v>
      </c>
      <c r="B157" s="321" t="s">
        <v>1654</v>
      </c>
      <c r="C157" s="323"/>
      <c r="D157" s="321" t="s">
        <v>45</v>
      </c>
      <c r="E157" s="321" t="s">
        <v>26</v>
      </c>
      <c r="F157" s="321" t="s">
        <v>41</v>
      </c>
      <c r="G157" s="323"/>
      <c r="H157" s="320">
        <v>45184.0</v>
      </c>
      <c r="I157" s="323">
        <v>1.0</v>
      </c>
      <c r="J157" s="323"/>
      <c r="K157" s="324"/>
      <c r="L157" s="325"/>
      <c r="M157" s="313">
        <v>45185.734768518516</v>
      </c>
      <c r="N157" s="313">
        <v>45185.77643518519</v>
      </c>
      <c r="O157" s="314"/>
      <c r="P157" s="314"/>
      <c r="Q157" s="326" t="s">
        <v>31</v>
      </c>
      <c r="R157" s="328">
        <v>0.016666666666666666</v>
      </c>
      <c r="S157" s="317">
        <f t="shared" si="38"/>
        <v>46</v>
      </c>
      <c r="T157" s="317">
        <f>VLOOKUP(F157, Data_Validation!$D$2:$G$15, 4, FALSE)</f>
        <v>115</v>
      </c>
      <c r="U157" s="317"/>
    </row>
    <row r="158" ht="20.25" customHeight="1" collapsed="1">
      <c r="A158" s="216" t="str">
        <f>IFERROR(__xludf.DUMMYFUNCTION("ARRAYFORMULA(IFERROR(VLOOKUP(REGEXEXTRACT(B158, ""-(\w+)-""), {Data_Validation!$F$16:$F$29, Data_Validation!$E$16:$E$29}, 2, FALSE), """"))
"),"Emerson")</f>
        <v>Emerson</v>
      </c>
      <c r="B158" s="321" t="s">
        <v>1553</v>
      </c>
      <c r="C158" s="321" t="s">
        <v>1601</v>
      </c>
      <c r="D158" s="323"/>
      <c r="E158" s="321" t="s">
        <v>1051</v>
      </c>
      <c r="F158" s="321" t="s">
        <v>22</v>
      </c>
      <c r="G158" s="321" t="s">
        <v>23</v>
      </c>
      <c r="H158" s="329">
        <v>45178.0</v>
      </c>
      <c r="I158" s="308"/>
      <c r="J158" s="323">
        <v>4.0</v>
      </c>
      <c r="K158" s="324"/>
      <c r="L158" s="325"/>
      <c r="M158" s="312">
        <v>45176.53002060185</v>
      </c>
      <c r="N158" s="313">
        <v>45182.504871655095</v>
      </c>
      <c r="O158" s="314"/>
      <c r="P158" s="314"/>
      <c r="Q158" s="327"/>
      <c r="R158" s="328">
        <v>0.15555555555555556</v>
      </c>
      <c r="S158" s="317">
        <f>SUM(S159:S162)</f>
        <v>5808.25</v>
      </c>
      <c r="T158" s="317">
        <f>AVERAGE(T159:T162)</f>
        <v>117.5</v>
      </c>
      <c r="U158" s="317"/>
    </row>
    <row r="159" ht="20.25" hidden="1" customHeight="1" outlineLevel="1">
      <c r="A159" s="216" t="str">
        <f>IFERROR(__xludf.DUMMYFUNCTION("ARRAYFORMULA(IFERROR(VLOOKUP(REGEXEXTRACT(B159, ""-(\w+)-""), {Data_Validation!$F$16:$F$29, Data_Validation!$E$16:$E$29}, 2, FALSE), """"))
"),"Emerson")</f>
        <v>Emerson</v>
      </c>
      <c r="B159" s="321" t="s">
        <v>1602</v>
      </c>
      <c r="C159" s="323"/>
      <c r="D159" s="321" t="s">
        <v>25</v>
      </c>
      <c r="E159" s="321" t="s">
        <v>26</v>
      </c>
      <c r="F159" s="321" t="s">
        <v>22</v>
      </c>
      <c r="G159" s="321" t="s">
        <v>1603</v>
      </c>
      <c r="H159" s="329">
        <v>45176.43931248842</v>
      </c>
      <c r="I159" s="323">
        <v>1.0</v>
      </c>
      <c r="J159" s="323"/>
      <c r="K159" s="324"/>
      <c r="L159" s="325"/>
      <c r="M159" s="312">
        <v>45176.53002060185</v>
      </c>
      <c r="N159" s="313">
        <v>45176.653278819445</v>
      </c>
      <c r="O159" s="314"/>
      <c r="P159" s="314"/>
      <c r="Q159" s="326" t="s">
        <v>31</v>
      </c>
      <c r="R159" s="328">
        <v>0.12291666666715173</v>
      </c>
      <c r="S159" s="317">
        <f t="shared" ref="S159:S162" si="39">T159*24*R159</f>
        <v>368.75</v>
      </c>
      <c r="T159" s="317">
        <f>VLOOKUP(F159, Data_Validation!$D$2:$G$15, 4, FALSE)</f>
        <v>125</v>
      </c>
      <c r="U159" s="317"/>
    </row>
    <row r="160" ht="20.25" hidden="1" customHeight="1" outlineLevel="1">
      <c r="A160" s="216" t="str">
        <f>IFERROR(__xludf.DUMMYFUNCTION("ARRAYFORMULA(IFERROR(VLOOKUP(REGEXEXTRACT(B160, ""-(\w+)-""), {Data_Validation!$F$16:$F$29, Data_Validation!$E$16:$E$29}, 2, FALSE), """"))
"),"Emerson")</f>
        <v>Emerson</v>
      </c>
      <c r="B160" s="321" t="s">
        <v>1604</v>
      </c>
      <c r="C160" s="323"/>
      <c r="D160" s="321" t="s">
        <v>1605</v>
      </c>
      <c r="E160" s="321" t="s">
        <v>26</v>
      </c>
      <c r="F160" s="321" t="s">
        <v>41</v>
      </c>
      <c r="G160" s="323"/>
      <c r="H160" s="329">
        <v>45178.0</v>
      </c>
      <c r="I160" s="323">
        <v>1.0</v>
      </c>
      <c r="J160" s="323"/>
      <c r="K160" s="324"/>
      <c r="L160" s="325"/>
      <c r="M160" s="312">
        <v>45177.52031039352</v>
      </c>
      <c r="N160" s="313">
        <v>45182.504871655095</v>
      </c>
      <c r="O160" s="314" t="s">
        <v>1606</v>
      </c>
      <c r="P160" s="314" t="s">
        <v>1607</v>
      </c>
      <c r="Q160" s="326" t="s">
        <v>31</v>
      </c>
      <c r="R160" s="328">
        <v>1.9652777777773736</v>
      </c>
      <c r="S160" s="317">
        <f t="shared" si="39"/>
        <v>5424.166667</v>
      </c>
      <c r="T160" s="317">
        <f>VLOOKUP(F160, Data_Validation!$D$2:$G$15, 4, FALSE)</f>
        <v>115</v>
      </c>
      <c r="U160" s="317"/>
    </row>
    <row r="161" ht="20.25" hidden="1" customHeight="1" outlineLevel="1">
      <c r="A161" s="216" t="str">
        <f>IFERROR(__xludf.DUMMYFUNCTION("ARRAYFORMULA(IFERROR(VLOOKUP(REGEXEXTRACT(B161, ""-(\w+)-""), {Data_Validation!$F$16:$F$29, Data_Validation!$E$16:$E$29}, 2, FALSE), """"))
"),"Emerson")</f>
        <v>Emerson</v>
      </c>
      <c r="B161" s="321" t="s">
        <v>1608</v>
      </c>
      <c r="C161" s="323"/>
      <c r="D161" s="321" t="s">
        <v>274</v>
      </c>
      <c r="E161" s="321" t="s">
        <v>26</v>
      </c>
      <c r="F161" s="321" t="s">
        <v>41</v>
      </c>
      <c r="G161" s="323"/>
      <c r="H161" s="329">
        <v>45178.0</v>
      </c>
      <c r="I161" s="323">
        <v>1.0</v>
      </c>
      <c r="J161" s="323"/>
      <c r="K161" s="324"/>
      <c r="L161" s="325"/>
      <c r="M161" s="312"/>
      <c r="N161" s="313"/>
      <c r="O161" s="314"/>
      <c r="P161" s="314"/>
      <c r="Q161" s="327"/>
      <c r="R161" s="328"/>
      <c r="S161" s="317">
        <f t="shared" si="39"/>
        <v>0</v>
      </c>
      <c r="T161" s="317">
        <f>VLOOKUP(F161, Data_Validation!$D$2:$G$15, 4, FALSE)</f>
        <v>115</v>
      </c>
      <c r="U161" s="317"/>
    </row>
    <row r="162" ht="20.25" hidden="1" customHeight="1" outlineLevel="1">
      <c r="A162" s="216" t="str">
        <f>IFERROR(__xludf.DUMMYFUNCTION("ARRAYFORMULA(IFERROR(VLOOKUP(REGEXEXTRACT(B162, ""-(\w+)-""), {Data_Validation!$F$16:$F$29, Data_Validation!$E$16:$E$29}, 2, FALSE), """"))
"),"Emerson")</f>
        <v>Emerson</v>
      </c>
      <c r="B162" s="321" t="s">
        <v>1655</v>
      </c>
      <c r="C162" s="323"/>
      <c r="D162" s="321" t="s">
        <v>1656</v>
      </c>
      <c r="E162" s="321" t="s">
        <v>26</v>
      </c>
      <c r="F162" s="321" t="s">
        <v>41</v>
      </c>
      <c r="G162" s="323"/>
      <c r="H162" s="329">
        <v>45178.0</v>
      </c>
      <c r="I162" s="323">
        <v>1.0</v>
      </c>
      <c r="J162" s="323"/>
      <c r="K162" s="324"/>
      <c r="L162" s="325"/>
      <c r="M162" s="312">
        <v>45185.50215230324</v>
      </c>
      <c r="N162" s="313">
        <v>45188.449540648144</v>
      </c>
      <c r="O162" s="314" t="s">
        <v>1657</v>
      </c>
      <c r="P162" s="314" t="s">
        <v>1658</v>
      </c>
      <c r="Q162" s="326" t="s">
        <v>31</v>
      </c>
      <c r="R162" s="328">
        <v>0.005555555555474712</v>
      </c>
      <c r="S162" s="317">
        <f t="shared" si="39"/>
        <v>15.33333333</v>
      </c>
      <c r="T162" s="317">
        <f>VLOOKUP(F162, Data_Validation!$D$2:$G$15, 4, FALSE)</f>
        <v>115</v>
      </c>
      <c r="U162" s="317"/>
    </row>
    <row r="163" ht="20.25" customHeight="1" collapsed="1">
      <c r="A163" s="216" t="str">
        <f>IFERROR(__xludf.DUMMYFUNCTION("ARRAYFORMULA(IFERROR(VLOOKUP(REGEXEXTRACT(B163, ""-(\w+)-""), {Data_Validation!$F$16:$F$29, Data_Validation!$E$16:$E$29}, 2, FALSE), """"))
"),"Colorful Tech")</f>
        <v>Colorful Tech</v>
      </c>
      <c r="B163" s="265" t="s">
        <v>1659</v>
      </c>
      <c r="C163" s="265" t="s">
        <v>1660</v>
      </c>
      <c r="E163" s="265" t="s">
        <v>21</v>
      </c>
      <c r="F163" s="265" t="s">
        <v>22</v>
      </c>
      <c r="G163" s="265" t="s">
        <v>23</v>
      </c>
      <c r="H163" s="307">
        <v>45189.0</v>
      </c>
      <c r="I163" s="308"/>
      <c r="J163" s="309">
        <v>4.0</v>
      </c>
      <c r="K163" s="318"/>
      <c r="L163" s="311"/>
      <c r="M163" s="312">
        <v>45175.40795138889</v>
      </c>
      <c r="N163" s="313">
        <v>45189.74475726852</v>
      </c>
      <c r="O163" s="314"/>
      <c r="P163" s="314"/>
      <c r="Q163" s="315"/>
      <c r="R163" s="316">
        <v>0.5833333333321207</v>
      </c>
      <c r="S163" s="317">
        <f>SUM(S164:S167)</f>
        <v>1033.333333</v>
      </c>
      <c r="T163" s="317">
        <f>AVERAGE(T164:T167)</f>
        <v>88.75</v>
      </c>
      <c r="U163" s="317"/>
    </row>
    <row r="164" ht="20.25" hidden="1" customHeight="1" outlineLevel="1">
      <c r="A164" s="216" t="str">
        <f>IFERROR(__xludf.DUMMYFUNCTION("ARRAYFORMULA(IFERROR(VLOOKUP(REGEXEXTRACT(B164, ""-(\w+)-""), {Data_Validation!$F$16:$F$29, Data_Validation!$E$16:$E$29}, 2, FALSE), """"))
"),"Colorful Tech")</f>
        <v>Colorful Tech</v>
      </c>
      <c r="B164" s="265" t="s">
        <v>1661</v>
      </c>
      <c r="D164" s="265" t="s">
        <v>25</v>
      </c>
      <c r="E164" s="265" t="s">
        <v>26</v>
      </c>
      <c r="F164" s="265" t="s">
        <v>22</v>
      </c>
      <c r="G164" s="265" t="s">
        <v>1662</v>
      </c>
      <c r="H164" s="307">
        <v>45171.67920890046</v>
      </c>
      <c r="I164" s="309">
        <v>1.0</v>
      </c>
      <c r="K164" s="318"/>
      <c r="L164" s="311"/>
      <c r="M164" s="312">
        <v>45175.40795138889</v>
      </c>
      <c r="N164" s="313">
        <v>45175.42205572917</v>
      </c>
      <c r="O164" s="314"/>
      <c r="P164" s="314"/>
      <c r="Q164" s="319" t="s">
        <v>31</v>
      </c>
      <c r="R164" s="316">
        <v>0.013888888890505768</v>
      </c>
      <c r="S164" s="317">
        <f t="shared" ref="S164:S167" si="40">T164*24*R164</f>
        <v>41.66666667</v>
      </c>
      <c r="T164" s="317">
        <f>VLOOKUP(F164, Data_Validation!$D$2:$G$15, 4, FALSE)</f>
        <v>125</v>
      </c>
      <c r="U164" s="317"/>
    </row>
    <row r="165" ht="20.25" hidden="1" customHeight="1" outlineLevel="1">
      <c r="A165" s="216" t="str">
        <f>IFERROR(__xludf.DUMMYFUNCTION("ARRAYFORMULA(IFERROR(VLOOKUP(REGEXEXTRACT(B165, ""-(\w+)-""), {Data_Validation!$F$16:$F$29, Data_Validation!$E$16:$E$29}, 2, FALSE), """"))
"),"Colorful Tech")</f>
        <v>Colorful Tech</v>
      </c>
      <c r="B165" s="265" t="s">
        <v>1663</v>
      </c>
      <c r="D165" s="265" t="s">
        <v>40</v>
      </c>
      <c r="E165" s="265" t="s">
        <v>26</v>
      </c>
      <c r="F165" s="265" t="s">
        <v>27</v>
      </c>
      <c r="H165" s="307">
        <v>45184.0</v>
      </c>
      <c r="I165" s="309">
        <v>1.0</v>
      </c>
      <c r="K165" s="318"/>
      <c r="L165" s="311"/>
      <c r="M165" s="312">
        <v>45175.4553474537</v>
      </c>
      <c r="N165" s="313">
        <v>45185.6589547801</v>
      </c>
      <c r="O165" s="314" t="s">
        <v>1664</v>
      </c>
      <c r="P165" s="314" t="s">
        <v>1665</v>
      </c>
      <c r="Q165" s="319" t="s">
        <v>31</v>
      </c>
      <c r="R165" s="316">
        <v>0.515972222223354</v>
      </c>
      <c r="S165" s="317">
        <f t="shared" si="40"/>
        <v>897.7916667</v>
      </c>
      <c r="T165" s="317">
        <f>VLOOKUP(F165, Data_Validation!$D$2:$G$15, 4, FALSE)</f>
        <v>72.5</v>
      </c>
      <c r="U165" s="317"/>
    </row>
    <row r="166" ht="20.25" hidden="1" customHeight="1" outlineLevel="1">
      <c r="A166" s="216" t="str">
        <f>IFERROR(__xludf.DUMMYFUNCTION("ARRAYFORMULA(IFERROR(VLOOKUP(REGEXEXTRACT(B166, ""-(\w+)-""), {Data_Validation!$F$16:$F$29, Data_Validation!$E$16:$E$29}, 2, FALSE), """"))
"),"Colorful Tech")</f>
        <v>Colorful Tech</v>
      </c>
      <c r="B166" s="265" t="s">
        <v>1666</v>
      </c>
      <c r="D166" s="265" t="s">
        <v>274</v>
      </c>
      <c r="E166" s="265" t="s">
        <v>26</v>
      </c>
      <c r="F166" s="265" t="s">
        <v>27</v>
      </c>
      <c r="H166" s="307">
        <v>45184.0</v>
      </c>
      <c r="I166" s="309">
        <v>1.0</v>
      </c>
      <c r="K166" s="318"/>
      <c r="L166" s="311"/>
      <c r="M166" s="312">
        <v>45188.45811008102</v>
      </c>
      <c r="N166" s="313">
        <v>45189.4458353588</v>
      </c>
      <c r="O166" s="314" t="s">
        <v>1667</v>
      </c>
      <c r="P166" s="314" t="s">
        <v>1668</v>
      </c>
      <c r="Q166" s="319" t="s">
        <v>31</v>
      </c>
      <c r="R166" s="316">
        <v>0.05069444444598048</v>
      </c>
      <c r="S166" s="317">
        <f t="shared" si="40"/>
        <v>88.20833334</v>
      </c>
      <c r="T166" s="317">
        <f>VLOOKUP(F166, Data_Validation!$D$2:$G$15, 4, FALSE)</f>
        <v>72.5</v>
      </c>
      <c r="U166" s="317"/>
    </row>
    <row r="167" ht="20.25" hidden="1" customHeight="1" outlineLevel="1">
      <c r="A167" s="216" t="str">
        <f>IFERROR(__xludf.DUMMYFUNCTION("ARRAYFORMULA(IFERROR(VLOOKUP(REGEXEXTRACT(B167, ""-(\w+)-""), {Data_Validation!$F$16:$F$29, Data_Validation!$E$16:$E$29}, 2, FALSE), """"))
"),"Colorful Tech")</f>
        <v>Colorful Tech</v>
      </c>
      <c r="B167" s="265" t="s">
        <v>1669</v>
      </c>
      <c r="D167" s="265" t="s">
        <v>47</v>
      </c>
      <c r="E167" s="265" t="s">
        <v>26</v>
      </c>
      <c r="F167" s="265" t="s">
        <v>48</v>
      </c>
      <c r="H167" s="307">
        <v>45189.0</v>
      </c>
      <c r="I167" s="309">
        <v>1.0</v>
      </c>
      <c r="K167" s="318"/>
      <c r="L167" s="311"/>
      <c r="M167" s="312">
        <v>45189.741775648145</v>
      </c>
      <c r="N167" s="313">
        <v>45189.74475726852</v>
      </c>
      <c r="O167" s="314"/>
      <c r="P167" s="314"/>
      <c r="Q167" s="319" t="s">
        <v>31</v>
      </c>
      <c r="R167" s="316">
        <v>0.002777777779556345</v>
      </c>
      <c r="S167" s="317">
        <f t="shared" si="40"/>
        <v>5.66666667</v>
      </c>
      <c r="T167" s="317">
        <f>VLOOKUP(F167, Data_Validation!$D$2:$G$15, 4, FALSE)</f>
        <v>85</v>
      </c>
      <c r="U167" s="317"/>
    </row>
    <row r="168" ht="20.25" customHeight="1" collapsed="1">
      <c r="A168" s="216" t="str">
        <f>IFERROR(__xludf.DUMMYFUNCTION("ARRAYFORMULA(IFERROR(VLOOKUP(REGEXEXTRACT(B168, ""-(\w+)-""), {Data_Validation!$F$16:$F$29, Data_Validation!$E$16:$E$29}, 2, FALSE), """"))
"),"TheMVP")</f>
        <v>TheMVP</v>
      </c>
      <c r="B168" s="265" t="s">
        <v>1670</v>
      </c>
      <c r="C168" s="265" t="s">
        <v>1671</v>
      </c>
      <c r="E168" s="265" t="s">
        <v>21</v>
      </c>
      <c r="F168" s="265" t="s">
        <v>22</v>
      </c>
      <c r="G168" s="265" t="s">
        <v>63</v>
      </c>
      <c r="H168" s="320">
        <v>45189.0</v>
      </c>
      <c r="I168" s="308"/>
      <c r="J168" s="309">
        <v>7.0</v>
      </c>
      <c r="K168" s="318"/>
      <c r="L168" s="311"/>
      <c r="M168" s="312">
        <v>45169.67005591435</v>
      </c>
      <c r="N168" s="313">
        <v>45190.00711452546</v>
      </c>
      <c r="O168" s="314"/>
      <c r="P168" s="314"/>
      <c r="Q168" s="315"/>
      <c r="R168" s="316">
        <v>1.2881944444452529</v>
      </c>
      <c r="S168" s="317">
        <f>SUM(S169:S175)</f>
        <v>2510.5</v>
      </c>
      <c r="T168" s="317">
        <f>AVERAGE(T169:T175)</f>
        <v>93.92857143</v>
      </c>
      <c r="U168" s="317"/>
    </row>
    <row r="169" ht="20.25" hidden="1" customHeight="1" outlineLevel="1">
      <c r="A169" s="216" t="str">
        <f>IFERROR(__xludf.DUMMYFUNCTION("ARRAYFORMULA(IFERROR(VLOOKUP(REGEXEXTRACT(B169, ""-(\w+)-""), {Data_Validation!$F$16:$F$29, Data_Validation!$E$16:$E$29}, 2, FALSE), """"))
"),"TheMVP")</f>
        <v>TheMVP</v>
      </c>
      <c r="B169" s="265" t="s">
        <v>1672</v>
      </c>
      <c r="D169" s="265" t="s">
        <v>25</v>
      </c>
      <c r="E169" s="265" t="s">
        <v>26</v>
      </c>
      <c r="F169" s="265" t="s">
        <v>27</v>
      </c>
      <c r="G169" s="265" t="s">
        <v>1673</v>
      </c>
      <c r="H169" s="320">
        <v>45181.0</v>
      </c>
      <c r="I169" s="309">
        <v>1.0</v>
      </c>
      <c r="K169" s="318"/>
      <c r="L169" s="311"/>
      <c r="M169" s="312">
        <v>45169.67005591435</v>
      </c>
      <c r="N169" s="313">
        <v>45181.826917708335</v>
      </c>
      <c r="O169" s="314" t="s">
        <v>1674</v>
      </c>
      <c r="P169" s="314" t="s">
        <v>1675</v>
      </c>
      <c r="Q169" s="319" t="s">
        <v>31</v>
      </c>
      <c r="R169" s="316">
        <v>0.3138888888897782</v>
      </c>
      <c r="S169" s="317">
        <f t="shared" ref="S169:S175" si="41">T169*24*R169</f>
        <v>546.1666667</v>
      </c>
      <c r="T169" s="317">
        <f>VLOOKUP(F169, Data_Validation!$D$2:$G$15, 4, FALSE)</f>
        <v>72.5</v>
      </c>
      <c r="U169" s="317"/>
    </row>
    <row r="170" ht="20.25" hidden="1" customHeight="1" outlineLevel="1">
      <c r="A170" s="216" t="str">
        <f>IFERROR(__xludf.DUMMYFUNCTION("ARRAYFORMULA(IFERROR(VLOOKUP(REGEXEXTRACT(B170, ""-(\w+)-""), {Data_Validation!$F$16:$F$29, Data_Validation!$E$16:$E$29}, 2, FALSE), """"))
"),"TheMVP")</f>
        <v>TheMVP</v>
      </c>
      <c r="B170" s="265" t="s">
        <v>1676</v>
      </c>
      <c r="D170" s="265" t="s">
        <v>33</v>
      </c>
      <c r="E170" s="265" t="s">
        <v>26</v>
      </c>
      <c r="F170" s="265" t="s">
        <v>41</v>
      </c>
      <c r="H170" s="320">
        <v>45182.0</v>
      </c>
      <c r="I170" s="309">
        <v>1.0</v>
      </c>
      <c r="K170" s="318"/>
      <c r="L170" s="311"/>
      <c r="M170" s="312">
        <v>45183.74913070602</v>
      </c>
      <c r="N170" s="313"/>
      <c r="O170" s="314" t="s">
        <v>1677</v>
      </c>
      <c r="P170" s="314" t="s">
        <v>1678</v>
      </c>
      <c r="Q170" s="315"/>
      <c r="R170" s="316"/>
      <c r="S170" s="317">
        <f t="shared" si="41"/>
        <v>0</v>
      </c>
      <c r="T170" s="317">
        <f>VLOOKUP(F170, Data_Validation!$D$2:$G$15, 4, FALSE)</f>
        <v>115</v>
      </c>
      <c r="U170" s="317"/>
    </row>
    <row r="171" ht="20.25" hidden="1" customHeight="1" outlineLevel="1">
      <c r="A171" s="216" t="str">
        <f>IFERROR(__xludf.DUMMYFUNCTION("ARRAYFORMULA(IFERROR(VLOOKUP(REGEXEXTRACT(B171, ""-(\w+)-""), {Data_Validation!$F$16:$F$29, Data_Validation!$E$16:$E$29}, 2, FALSE), """"))
"),"TheMVP")</f>
        <v>TheMVP</v>
      </c>
      <c r="B171" s="265" t="s">
        <v>1679</v>
      </c>
      <c r="D171" s="265" t="s">
        <v>121</v>
      </c>
      <c r="E171" s="265" t="s">
        <v>26</v>
      </c>
      <c r="F171" s="265" t="s">
        <v>27</v>
      </c>
      <c r="H171" s="320">
        <v>45184.0</v>
      </c>
      <c r="I171" s="309">
        <v>1.0</v>
      </c>
      <c r="K171" s="318"/>
      <c r="L171" s="311"/>
      <c r="M171" s="312">
        <v>45185.62533635416</v>
      </c>
      <c r="N171" s="313">
        <v>45186.68088431713</v>
      </c>
      <c r="O171" s="314" t="s">
        <v>1680</v>
      </c>
      <c r="P171" s="314" t="s">
        <v>1681</v>
      </c>
      <c r="Q171" s="319" t="s">
        <v>31</v>
      </c>
      <c r="R171" s="316">
        <v>0.23819444444598048</v>
      </c>
      <c r="S171" s="317">
        <f t="shared" si="41"/>
        <v>414.4583333</v>
      </c>
      <c r="T171" s="317">
        <f>VLOOKUP(F171, Data_Validation!$D$2:$G$15, 4, FALSE)</f>
        <v>72.5</v>
      </c>
      <c r="U171" s="317"/>
    </row>
    <row r="172" ht="20.25" hidden="1" customHeight="1" outlineLevel="1">
      <c r="A172" s="216" t="str">
        <f>IFERROR(__xludf.DUMMYFUNCTION("ARRAYFORMULA(IFERROR(VLOOKUP(REGEXEXTRACT(B172, ""-(\w+)-""), {Data_Validation!$F$16:$F$29, Data_Validation!$E$16:$E$29}, 2, FALSE), """"))
"),"TheMVP")</f>
        <v>TheMVP</v>
      </c>
      <c r="B172" s="265" t="s">
        <v>1682</v>
      </c>
      <c r="D172" s="265" t="s">
        <v>38</v>
      </c>
      <c r="E172" s="265" t="s">
        <v>26</v>
      </c>
      <c r="F172" s="265" t="s">
        <v>22</v>
      </c>
      <c r="H172" s="320">
        <v>45184.0</v>
      </c>
      <c r="I172" s="309">
        <v>1.0</v>
      </c>
      <c r="K172" s="318"/>
      <c r="L172" s="311"/>
      <c r="M172" s="312"/>
      <c r="N172" s="313"/>
      <c r="O172" s="314"/>
      <c r="P172" s="314"/>
      <c r="Q172" s="315"/>
      <c r="R172" s="316"/>
      <c r="S172" s="317">
        <f t="shared" si="41"/>
        <v>0</v>
      </c>
      <c r="T172" s="317">
        <f>VLOOKUP(F172, Data_Validation!$D$2:$G$15, 4, FALSE)</f>
        <v>125</v>
      </c>
      <c r="U172" s="317"/>
    </row>
    <row r="173" ht="20.25" hidden="1" customHeight="1" outlineLevel="1">
      <c r="A173" s="216" t="str">
        <f>IFERROR(__xludf.DUMMYFUNCTION("ARRAYFORMULA(IFERROR(VLOOKUP(REGEXEXTRACT(B173, ""-(\w+)-""), {Data_Validation!$F$16:$F$29, Data_Validation!$E$16:$E$29}, 2, FALSE), """"))
"),"TheMVP")</f>
        <v>TheMVP</v>
      </c>
      <c r="B173" s="265" t="s">
        <v>1683</v>
      </c>
      <c r="E173" s="265" t="s">
        <v>26</v>
      </c>
      <c r="F173" s="265" t="s">
        <v>27</v>
      </c>
      <c r="H173" s="320">
        <v>45184.0</v>
      </c>
      <c r="I173" s="309">
        <v>1.0</v>
      </c>
      <c r="K173" s="318"/>
      <c r="L173" s="311"/>
      <c r="M173" s="312">
        <v>45186.68056908565</v>
      </c>
      <c r="N173" s="313">
        <v>45188.769664085645</v>
      </c>
      <c r="O173" s="314" t="s">
        <v>1684</v>
      </c>
      <c r="P173" s="314" t="s">
        <v>1685</v>
      </c>
      <c r="Q173" s="319" t="s">
        <v>31</v>
      </c>
      <c r="R173" s="316">
        <v>0.2243055555554747</v>
      </c>
      <c r="S173" s="317">
        <f t="shared" si="41"/>
        <v>390.2916667</v>
      </c>
      <c r="T173" s="317">
        <f>VLOOKUP(F173, Data_Validation!$D$2:$G$15, 4, FALSE)</f>
        <v>72.5</v>
      </c>
      <c r="U173" s="317"/>
    </row>
    <row r="174" ht="20.25" hidden="1" customHeight="1" outlineLevel="1">
      <c r="A174" s="216" t="str">
        <f>IFERROR(__xludf.DUMMYFUNCTION("ARRAYFORMULA(IFERROR(VLOOKUP(REGEXEXTRACT(B174, ""-(\w+)-""), {Data_Validation!$F$16:$F$29, Data_Validation!$E$16:$E$29}, 2, FALSE), """"))
"),"TheMVP")</f>
        <v>TheMVP</v>
      </c>
      <c r="B174" s="265" t="s">
        <v>1686</v>
      </c>
      <c r="D174" s="265" t="s">
        <v>40</v>
      </c>
      <c r="E174" s="265" t="s">
        <v>26</v>
      </c>
      <c r="F174" s="265" t="s">
        <v>48</v>
      </c>
      <c r="H174" s="320">
        <v>45188.0</v>
      </c>
      <c r="I174" s="309">
        <v>1.0</v>
      </c>
      <c r="K174" s="318"/>
      <c r="L174" s="311"/>
      <c r="M174" s="312">
        <v>45185.68996344907</v>
      </c>
      <c r="N174" s="313">
        <v>45190.00708440972</v>
      </c>
      <c r="O174" s="314" t="s">
        <v>1687</v>
      </c>
      <c r="P174" s="314" t="s">
        <v>1688</v>
      </c>
      <c r="Q174" s="319" t="s">
        <v>31</v>
      </c>
      <c r="R174" s="316">
        <v>0.3194444444452529</v>
      </c>
      <c r="S174" s="317">
        <f t="shared" si="41"/>
        <v>651.6666667</v>
      </c>
      <c r="T174" s="317">
        <f>VLOOKUP(F174, Data_Validation!$D$2:$G$15, 4, FALSE)</f>
        <v>85</v>
      </c>
      <c r="U174" s="317"/>
    </row>
    <row r="175" ht="20.25" hidden="1" customHeight="1" outlineLevel="1">
      <c r="A175" s="216" t="str">
        <f>IFERROR(__xludf.DUMMYFUNCTION("ARRAYFORMULA(IFERROR(VLOOKUP(REGEXEXTRACT(B175, ""-(\w+)-""), {Data_Validation!$F$16:$F$29, Data_Validation!$E$16:$E$29}, 2, FALSE), """"))
"),"TheMVP")</f>
        <v>TheMVP</v>
      </c>
      <c r="B175" s="265" t="s">
        <v>1689</v>
      </c>
      <c r="D175" s="265" t="s">
        <v>45</v>
      </c>
      <c r="E175" s="265" t="s">
        <v>26</v>
      </c>
      <c r="F175" s="265" t="s">
        <v>41</v>
      </c>
      <c r="H175" s="320">
        <v>45189.0</v>
      </c>
      <c r="K175" s="318"/>
      <c r="L175" s="311"/>
      <c r="M175" s="312">
        <v>45189.52953107639</v>
      </c>
      <c r="N175" s="313">
        <v>45189.713725775466</v>
      </c>
      <c r="O175" s="314" t="s">
        <v>1690</v>
      </c>
      <c r="P175" s="314" t="s">
        <v>1691</v>
      </c>
      <c r="Q175" s="319" t="s">
        <v>31</v>
      </c>
      <c r="R175" s="316">
        <v>0.18402777777737356</v>
      </c>
      <c r="S175" s="317">
        <f t="shared" si="41"/>
        <v>507.9166667</v>
      </c>
      <c r="T175" s="317">
        <f>VLOOKUP(F175, Data_Validation!$D$2:$G$15, 4, FALSE)</f>
        <v>115</v>
      </c>
      <c r="U175" s="317"/>
    </row>
    <row r="176" ht="20.25" customHeight="1" collapsed="1">
      <c r="A176" s="216" t="str">
        <f>IFERROR(__xludf.DUMMYFUNCTION("ARRAYFORMULA(IFERROR(VLOOKUP(REGEXEXTRACT(B176, ""-(\w+)-""), {Data_Validation!$F$16:$F$29, Data_Validation!$E$16:$E$29}, 2, FALSE), """"))
"),"TheMVP")</f>
        <v>TheMVP</v>
      </c>
      <c r="B176" s="265" t="s">
        <v>1692</v>
      </c>
      <c r="C176" s="265" t="s">
        <v>1693</v>
      </c>
      <c r="E176" s="265" t="s">
        <v>21</v>
      </c>
      <c r="F176" s="265" t="s">
        <v>27</v>
      </c>
      <c r="G176" s="265" t="s">
        <v>89</v>
      </c>
      <c r="H176" s="320">
        <v>45191.0</v>
      </c>
      <c r="I176" s="308"/>
      <c r="J176" s="309">
        <v>7.0</v>
      </c>
      <c r="K176" s="318"/>
      <c r="L176" s="311"/>
      <c r="M176" s="312">
        <v>45173.54984361111</v>
      </c>
      <c r="N176" s="313">
        <v>45191.82138857638</v>
      </c>
      <c r="O176" s="314"/>
      <c r="P176" s="314"/>
      <c r="Q176" s="315"/>
      <c r="R176" s="316">
        <v>0.7923611111109494</v>
      </c>
      <c r="S176" s="317">
        <f>SUM(S177:S183)</f>
        <v>1559.791667</v>
      </c>
      <c r="T176" s="317">
        <f>AVERAGE(T177:T183)</f>
        <v>93.92857143</v>
      </c>
      <c r="U176" s="317"/>
    </row>
    <row r="177" ht="20.25" hidden="1" customHeight="1" outlineLevel="1">
      <c r="A177" s="216" t="str">
        <f>IFERROR(__xludf.DUMMYFUNCTION("ARRAYFORMULA(IFERROR(VLOOKUP(REGEXEXTRACT(B177, ""-(\w+)-""), {Data_Validation!$F$16:$F$29, Data_Validation!$E$16:$E$29}, 2, FALSE), """"))
"),"TheMVP")</f>
        <v>TheMVP</v>
      </c>
      <c r="B177" s="265" t="s">
        <v>1694</v>
      </c>
      <c r="D177" s="265" t="s">
        <v>25</v>
      </c>
      <c r="E177" s="265" t="s">
        <v>26</v>
      </c>
      <c r="F177" s="265" t="s">
        <v>48</v>
      </c>
      <c r="G177" s="265" t="s">
        <v>1695</v>
      </c>
      <c r="H177" s="320">
        <v>45178.0</v>
      </c>
      <c r="I177" s="309">
        <v>1.0</v>
      </c>
      <c r="K177" s="318"/>
      <c r="L177" s="311"/>
      <c r="M177" s="312">
        <v>45173.54984361111</v>
      </c>
      <c r="N177" s="313">
        <v>45182.495795752315</v>
      </c>
      <c r="O177" s="314" t="s">
        <v>1696</v>
      </c>
      <c r="P177" s="314" t="s">
        <v>1697</v>
      </c>
      <c r="Q177" s="319" t="s">
        <v>31</v>
      </c>
      <c r="R177" s="316">
        <v>0.10069444444525288</v>
      </c>
      <c r="S177" s="317">
        <f t="shared" ref="S177:S183" si="42">T177*24*R177</f>
        <v>205.4166667</v>
      </c>
      <c r="T177" s="317">
        <f>VLOOKUP(F177, Data_Validation!$D$2:$G$15, 4, FALSE)</f>
        <v>85</v>
      </c>
      <c r="U177" s="317"/>
    </row>
    <row r="178" ht="20.25" hidden="1" customHeight="1" outlineLevel="1">
      <c r="A178" s="216" t="str">
        <f>IFERROR(__xludf.DUMMYFUNCTION("ARRAYFORMULA(IFERROR(VLOOKUP(REGEXEXTRACT(B178, ""-(\w+)-""), {Data_Validation!$F$16:$F$29, Data_Validation!$E$16:$E$29}, 2, FALSE), """"))
"),"TheMVP")</f>
        <v>TheMVP</v>
      </c>
      <c r="B178" s="265" t="s">
        <v>1698</v>
      </c>
      <c r="D178" s="265" t="s">
        <v>38</v>
      </c>
      <c r="E178" s="265" t="s">
        <v>26</v>
      </c>
      <c r="F178" s="265" t="s">
        <v>22</v>
      </c>
      <c r="H178" s="320">
        <v>45181.0</v>
      </c>
      <c r="I178" s="309">
        <v>1.0</v>
      </c>
      <c r="K178" s="318"/>
      <c r="L178" s="311"/>
      <c r="M178" s="312"/>
      <c r="N178" s="313"/>
      <c r="O178" s="314"/>
      <c r="P178" s="314"/>
      <c r="Q178" s="315"/>
      <c r="R178" s="316"/>
      <c r="S178" s="317">
        <f t="shared" si="42"/>
        <v>0</v>
      </c>
      <c r="T178" s="317">
        <f>VLOOKUP(F178, Data_Validation!$D$2:$G$15, 4, FALSE)</f>
        <v>125</v>
      </c>
      <c r="U178" s="317"/>
    </row>
    <row r="179" ht="20.25" hidden="1" customHeight="1" outlineLevel="1">
      <c r="A179" s="216" t="str">
        <f>IFERROR(__xludf.DUMMYFUNCTION("ARRAYFORMULA(IFERROR(VLOOKUP(REGEXEXTRACT(B179, ""-(\w+)-""), {Data_Validation!$F$16:$F$29, Data_Validation!$E$16:$E$29}, 2, FALSE), """"))
"),"TheMVP")</f>
        <v>TheMVP</v>
      </c>
      <c r="B179" s="265" t="s">
        <v>1699</v>
      </c>
      <c r="D179" s="265" t="s">
        <v>33</v>
      </c>
      <c r="E179" s="265" t="s">
        <v>26</v>
      </c>
      <c r="F179" s="265" t="s">
        <v>41</v>
      </c>
      <c r="H179" s="320">
        <v>45188.0</v>
      </c>
      <c r="I179" s="309">
        <v>1.0</v>
      </c>
      <c r="K179" s="318"/>
      <c r="L179" s="311"/>
      <c r="M179" s="312">
        <v>45185.53646300926</v>
      </c>
      <c r="N179" s="313">
        <v>45188.81219254629</v>
      </c>
      <c r="O179" s="314" t="s">
        <v>1700</v>
      </c>
      <c r="P179" s="314" t="s">
        <v>1701</v>
      </c>
      <c r="Q179" s="319" t="s">
        <v>31</v>
      </c>
      <c r="R179" s="316">
        <v>0.12708333333284827</v>
      </c>
      <c r="S179" s="317">
        <f t="shared" si="42"/>
        <v>350.75</v>
      </c>
      <c r="T179" s="317">
        <f>VLOOKUP(F179, Data_Validation!$D$2:$G$15, 4, FALSE)</f>
        <v>115</v>
      </c>
      <c r="U179" s="317"/>
    </row>
    <row r="180" ht="20.25" hidden="1" customHeight="1" outlineLevel="1">
      <c r="A180" s="216" t="str">
        <f>IFERROR(__xludf.DUMMYFUNCTION("ARRAYFORMULA(IFERROR(VLOOKUP(REGEXEXTRACT(B180, ""-(\w+)-""), {Data_Validation!$F$16:$F$29, Data_Validation!$E$16:$E$29}, 2, FALSE), """"))
"),"TheMVP")</f>
        <v>TheMVP</v>
      </c>
      <c r="B180" s="265" t="s">
        <v>1702</v>
      </c>
      <c r="D180" s="265" t="s">
        <v>121</v>
      </c>
      <c r="E180" s="265" t="s">
        <v>26</v>
      </c>
      <c r="F180" s="265" t="s">
        <v>27</v>
      </c>
      <c r="H180" s="320">
        <v>45189.0</v>
      </c>
      <c r="I180" s="309">
        <v>1.0</v>
      </c>
      <c r="K180" s="318"/>
      <c r="L180" s="311"/>
      <c r="M180" s="312">
        <v>45189.52283873843</v>
      </c>
      <c r="N180" s="313">
        <v>45189.70812819444</v>
      </c>
      <c r="O180" s="314" t="s">
        <v>1703</v>
      </c>
      <c r="P180" s="314" t="s">
        <v>1704</v>
      </c>
      <c r="Q180" s="319" t="s">
        <v>31</v>
      </c>
      <c r="R180" s="316">
        <v>0.16458333333503106</v>
      </c>
      <c r="S180" s="317">
        <f t="shared" si="42"/>
        <v>286.375</v>
      </c>
      <c r="T180" s="317">
        <f>VLOOKUP(F180, Data_Validation!$D$2:$G$15, 4, FALSE)</f>
        <v>72.5</v>
      </c>
      <c r="U180" s="317"/>
    </row>
    <row r="181" ht="20.25" hidden="1" customHeight="1" outlineLevel="1">
      <c r="A181" s="216" t="str">
        <f>IFERROR(__xludf.DUMMYFUNCTION("ARRAYFORMULA(IFERROR(VLOOKUP(REGEXEXTRACT(B181, ""-(\w+)-""), {Data_Validation!$F$16:$F$29, Data_Validation!$E$16:$E$29}, 2, FALSE), """"))
"),"TheMVP")</f>
        <v>TheMVP</v>
      </c>
      <c r="B181" s="265" t="s">
        <v>1705</v>
      </c>
      <c r="D181" s="265" t="s">
        <v>40</v>
      </c>
      <c r="E181" s="265" t="s">
        <v>26</v>
      </c>
      <c r="F181" s="265" t="s">
        <v>27</v>
      </c>
      <c r="H181" s="320">
        <v>45189.0</v>
      </c>
      <c r="I181" s="309">
        <v>1.0</v>
      </c>
      <c r="K181" s="318"/>
      <c r="L181" s="311"/>
      <c r="M181" s="312">
        <v>45189.708166157405</v>
      </c>
      <c r="N181" s="313">
        <v>45191.81496234954</v>
      </c>
      <c r="O181" s="314" t="s">
        <v>1706</v>
      </c>
      <c r="P181" s="314" t="s">
        <v>1707</v>
      </c>
      <c r="Q181" s="319" t="s">
        <v>31</v>
      </c>
      <c r="R181" s="316">
        <v>0.37291666666715173</v>
      </c>
      <c r="S181" s="317">
        <f t="shared" si="42"/>
        <v>648.875</v>
      </c>
      <c r="T181" s="317">
        <f>VLOOKUP(F181, Data_Validation!$D$2:$G$15, 4, FALSE)</f>
        <v>72.5</v>
      </c>
      <c r="U181" s="317"/>
    </row>
    <row r="182" ht="20.25" hidden="1" customHeight="1" outlineLevel="1">
      <c r="A182" s="216" t="str">
        <f>IFERROR(__xludf.DUMMYFUNCTION("ARRAYFORMULA(IFERROR(VLOOKUP(REGEXEXTRACT(B182, ""-(\w+)-""), {Data_Validation!$F$16:$F$29, Data_Validation!$E$16:$E$29}, 2, FALSE), """"))
"),"TheMVP")</f>
        <v>TheMVP</v>
      </c>
      <c r="B182" s="265" t="s">
        <v>1708</v>
      </c>
      <c r="D182" s="265" t="s">
        <v>45</v>
      </c>
      <c r="E182" s="265" t="s">
        <v>26</v>
      </c>
      <c r="F182" s="265" t="s">
        <v>41</v>
      </c>
      <c r="H182" s="320">
        <v>45190.0</v>
      </c>
      <c r="I182" s="309">
        <v>1.0</v>
      </c>
      <c r="K182" s="318"/>
      <c r="L182" s="311"/>
      <c r="M182" s="312">
        <v>45189.71383609954</v>
      </c>
      <c r="N182" s="313">
        <v>45189.735100289356</v>
      </c>
      <c r="O182" s="314"/>
      <c r="P182" s="314"/>
      <c r="Q182" s="319" t="s">
        <v>31</v>
      </c>
      <c r="R182" s="316">
        <v>0.020833333332120674</v>
      </c>
      <c r="S182" s="317">
        <f t="shared" si="42"/>
        <v>57.5</v>
      </c>
      <c r="T182" s="317">
        <f>VLOOKUP(F182, Data_Validation!$D$2:$G$15, 4, FALSE)</f>
        <v>115</v>
      </c>
      <c r="U182" s="317"/>
    </row>
    <row r="183" ht="20.25" hidden="1" customHeight="1" outlineLevel="1">
      <c r="A183" s="216" t="str">
        <f>IFERROR(__xludf.DUMMYFUNCTION("ARRAYFORMULA(IFERROR(VLOOKUP(REGEXEXTRACT(B183, ""-(\w+)-""), {Data_Validation!$F$16:$F$29, Data_Validation!$E$16:$E$29}, 2, FALSE), """"))
"),"TheMVP")</f>
        <v>TheMVP</v>
      </c>
      <c r="B183" s="265" t="s">
        <v>1709</v>
      </c>
      <c r="D183" s="265" t="s">
        <v>47</v>
      </c>
      <c r="E183" s="265" t="s">
        <v>26</v>
      </c>
      <c r="F183" s="265" t="s">
        <v>27</v>
      </c>
      <c r="H183" s="320">
        <v>45191.0</v>
      </c>
      <c r="I183" s="309">
        <v>1.0</v>
      </c>
      <c r="K183" s="318"/>
      <c r="L183" s="311"/>
      <c r="M183" s="312">
        <v>45191.815001435185</v>
      </c>
      <c r="N183" s="313">
        <v>45191.82138857638</v>
      </c>
      <c r="O183" s="314"/>
      <c r="P183" s="314"/>
      <c r="Q183" s="319" t="s">
        <v>31</v>
      </c>
      <c r="R183" s="316">
        <v>0.0062499999985448085</v>
      </c>
      <c r="S183" s="317">
        <f t="shared" si="42"/>
        <v>10.875</v>
      </c>
      <c r="T183" s="317">
        <f>VLOOKUP(F183, Data_Validation!$D$2:$G$15, 4, FALSE)</f>
        <v>72.5</v>
      </c>
      <c r="U183" s="317"/>
    </row>
    <row r="184" ht="20.25" customHeight="1" collapsed="1">
      <c r="A184" s="216" t="str">
        <f>IFERROR(__xludf.DUMMYFUNCTION("ARRAYFORMULA(IFERROR(VLOOKUP(REGEXEXTRACT(B184, ""-(\w+)-""), {Data_Validation!$F$16:$F$29, Data_Validation!$E$16:$E$29}, 2, FALSE), """"))
"),"Emerson")</f>
        <v>Emerson</v>
      </c>
      <c r="B184" s="265" t="s">
        <v>1710</v>
      </c>
      <c r="C184" s="265" t="s">
        <v>1711</v>
      </c>
      <c r="E184" s="265" t="s">
        <v>1051</v>
      </c>
      <c r="F184" s="265" t="s">
        <v>41</v>
      </c>
      <c r="G184" s="265" t="s">
        <v>23</v>
      </c>
      <c r="H184" s="307">
        <v>45191.0</v>
      </c>
      <c r="I184" s="308"/>
      <c r="J184" s="309">
        <v>4.0</v>
      </c>
      <c r="K184" s="318"/>
      <c r="L184" s="311"/>
      <c r="M184" s="312">
        <v>45189.74791958333</v>
      </c>
      <c r="N184" s="313">
        <v>45192.416902060184</v>
      </c>
      <c r="O184" s="314"/>
      <c r="P184" s="314"/>
      <c r="Q184" s="315"/>
      <c r="R184" s="316">
        <v>0.029861111110221827</v>
      </c>
      <c r="S184" s="317">
        <f>SUM(S185:S188)</f>
        <v>89.58333333</v>
      </c>
      <c r="T184" s="317">
        <f>AVERAGE(T185:T188)</f>
        <v>120</v>
      </c>
      <c r="U184" s="317"/>
    </row>
    <row r="185" ht="20.25" hidden="1" customHeight="1" outlineLevel="1">
      <c r="A185" s="216" t="str">
        <f>IFERROR(__xludf.DUMMYFUNCTION("ARRAYFORMULA(IFERROR(VLOOKUP(REGEXEXTRACT(B185, ""-(\w+)-""), {Data_Validation!$F$16:$F$29, Data_Validation!$E$16:$E$29}, 2, FALSE), """"))
"),"Emerson")</f>
        <v>Emerson</v>
      </c>
      <c r="B185" s="265" t="s">
        <v>1712</v>
      </c>
      <c r="D185" s="265" t="s">
        <v>1713</v>
      </c>
      <c r="E185" s="265" t="s">
        <v>26</v>
      </c>
      <c r="F185" s="265" t="s">
        <v>22</v>
      </c>
      <c r="H185" s="307">
        <v>45170.406150497685</v>
      </c>
      <c r="I185" s="309">
        <v>1.0</v>
      </c>
      <c r="K185" s="318"/>
      <c r="L185" s="311"/>
      <c r="M185" s="312"/>
      <c r="N185" s="313"/>
      <c r="O185" s="314"/>
      <c r="P185" s="314"/>
      <c r="Q185" s="315"/>
      <c r="R185" s="316"/>
      <c r="S185" s="317">
        <f t="shared" ref="S185:S188" si="43">T185*24*R185</f>
        <v>0</v>
      </c>
      <c r="T185" s="317">
        <f>VLOOKUP(F185, Data_Validation!$D$2:$G$15, 4, FALSE)</f>
        <v>125</v>
      </c>
      <c r="U185" s="317"/>
    </row>
    <row r="186" ht="20.25" hidden="1" customHeight="1" outlineLevel="1">
      <c r="A186" s="216" t="str">
        <f>IFERROR(__xludf.DUMMYFUNCTION("ARRAYFORMULA(IFERROR(VLOOKUP(REGEXEXTRACT(B186, ""-(\w+)-""), {Data_Validation!$F$16:$F$29, Data_Validation!$E$16:$E$29}, 2, FALSE), """"))
"),"Emerson")</f>
        <v>Emerson</v>
      </c>
      <c r="B186" s="265" t="s">
        <v>1714</v>
      </c>
      <c r="D186" s="265" t="s">
        <v>1715</v>
      </c>
      <c r="E186" s="265" t="s">
        <v>26</v>
      </c>
      <c r="F186" s="265" t="s">
        <v>41</v>
      </c>
      <c r="H186" s="307">
        <v>45180.0</v>
      </c>
      <c r="I186" s="309">
        <v>1.0</v>
      </c>
      <c r="K186" s="318"/>
      <c r="L186" s="311"/>
      <c r="M186" s="312"/>
      <c r="N186" s="313"/>
      <c r="O186" s="314"/>
      <c r="P186" s="314"/>
      <c r="Q186" s="315"/>
      <c r="R186" s="316"/>
      <c r="S186" s="317">
        <f t="shared" si="43"/>
        <v>0</v>
      </c>
      <c r="T186" s="317">
        <f>VLOOKUP(F186, Data_Validation!$D$2:$G$15, 4, FALSE)</f>
        <v>115</v>
      </c>
      <c r="U186" s="317"/>
    </row>
    <row r="187" ht="20.25" hidden="1" customHeight="1" outlineLevel="1">
      <c r="A187" s="216" t="str">
        <f>IFERROR(__xludf.DUMMYFUNCTION("ARRAYFORMULA(IFERROR(VLOOKUP(REGEXEXTRACT(B187, ""-(\w+)-""), {Data_Validation!$F$16:$F$29, Data_Validation!$E$16:$E$29}, 2, FALSE), """"))
"),"Emerson")</f>
        <v>Emerson</v>
      </c>
      <c r="B187" s="265" t="s">
        <v>1716</v>
      </c>
      <c r="D187" s="265" t="s">
        <v>540</v>
      </c>
      <c r="E187" s="265" t="s">
        <v>26</v>
      </c>
      <c r="F187" s="265" t="s">
        <v>41</v>
      </c>
      <c r="H187" s="307">
        <v>45182.0</v>
      </c>
      <c r="I187" s="309">
        <v>1.0</v>
      </c>
      <c r="K187" s="318"/>
      <c r="L187" s="311"/>
      <c r="M187" s="312"/>
      <c r="N187" s="313"/>
      <c r="O187" s="314"/>
      <c r="P187" s="314"/>
      <c r="Q187" s="315"/>
      <c r="R187" s="316"/>
      <c r="S187" s="317">
        <f t="shared" si="43"/>
        <v>0</v>
      </c>
      <c r="T187" s="317">
        <f>VLOOKUP(F187, Data_Validation!$D$2:$G$15, 4, FALSE)</f>
        <v>115</v>
      </c>
      <c r="U187" s="317"/>
    </row>
    <row r="188" ht="20.25" hidden="1" customHeight="1" outlineLevel="1">
      <c r="A188" s="216" t="str">
        <f>IFERROR(__xludf.DUMMYFUNCTION("ARRAYFORMULA(IFERROR(VLOOKUP(REGEXEXTRACT(B188, ""-(\w+)-""), {Data_Validation!$F$16:$F$29, Data_Validation!$E$16:$E$29}, 2, FALSE), """"))
"),"Emerson")</f>
        <v>Emerson</v>
      </c>
      <c r="B188" s="265" t="s">
        <v>1717</v>
      </c>
      <c r="D188" s="265" t="s">
        <v>1718</v>
      </c>
      <c r="E188" s="265" t="s">
        <v>26</v>
      </c>
      <c r="F188" s="265" t="s">
        <v>22</v>
      </c>
      <c r="H188" s="307">
        <v>45191.0</v>
      </c>
      <c r="K188" s="318"/>
      <c r="L188" s="311"/>
      <c r="M188" s="312">
        <v>45189.74791958333</v>
      </c>
      <c r="N188" s="313">
        <v>45192.416902060184</v>
      </c>
      <c r="O188" s="314" t="s">
        <v>1719</v>
      </c>
      <c r="P188" s="314" t="s">
        <v>1720</v>
      </c>
      <c r="Q188" s="319" t="s">
        <v>31</v>
      </c>
      <c r="R188" s="316">
        <v>0.029861111110221827</v>
      </c>
      <c r="S188" s="317">
        <f t="shared" si="43"/>
        <v>89.58333333</v>
      </c>
      <c r="T188" s="317">
        <f>VLOOKUP(F188, Data_Validation!$D$2:$G$15, 4, FALSE)</f>
        <v>125</v>
      </c>
      <c r="U188" s="317"/>
    </row>
    <row r="189" ht="20.25" customHeight="1" collapsed="1">
      <c r="A189" s="216" t="str">
        <f>IFERROR(__xludf.DUMMYFUNCTION("ARRAYFORMULA(IFERROR(VLOOKUP(REGEXEXTRACT(B189, ""-(\w+)-""), {Data_Validation!$F$16:$F$29, Data_Validation!$E$16:$E$29}, 2, FALSE), """"))
"),"Emerson")</f>
        <v>Emerson</v>
      </c>
      <c r="B189" s="265" t="s">
        <v>1721</v>
      </c>
      <c r="C189" s="265" t="s">
        <v>1722</v>
      </c>
      <c r="E189" s="265" t="s">
        <v>963</v>
      </c>
      <c r="F189" s="265" t="s">
        <v>48</v>
      </c>
      <c r="G189" s="265" t="s">
        <v>79</v>
      </c>
      <c r="H189" s="307">
        <v>45191.0</v>
      </c>
      <c r="I189" s="308"/>
      <c r="J189" s="309">
        <v>4.0</v>
      </c>
      <c r="K189" s="318"/>
      <c r="L189" s="311"/>
      <c r="M189" s="312">
        <v>45184.40168981481</v>
      </c>
      <c r="N189" s="313">
        <v>45192.43251871528</v>
      </c>
      <c r="O189" s="314"/>
      <c r="P189" s="314"/>
      <c r="Q189" s="315"/>
      <c r="R189" s="316">
        <v>0.7909722222211713</v>
      </c>
      <c r="S189" s="317">
        <f>SUM(S190:S193)</f>
        <v>1613.583333</v>
      </c>
      <c r="T189" s="317">
        <f>AVERAGE(T190:T193)</f>
        <v>85</v>
      </c>
      <c r="U189" s="317"/>
    </row>
    <row r="190" ht="20.25" hidden="1" customHeight="1" outlineLevel="1">
      <c r="A190" s="216" t="str">
        <f>IFERROR(__xludf.DUMMYFUNCTION("ARRAYFORMULA(IFERROR(VLOOKUP(REGEXEXTRACT(B190, ""-(\w+)-""), {Data_Validation!$F$16:$F$29, Data_Validation!$E$16:$E$29}, 2, FALSE), """"))
"),"Emerson")</f>
        <v>Emerson</v>
      </c>
      <c r="B190" s="265" t="s">
        <v>1723</v>
      </c>
      <c r="D190" s="265" t="s">
        <v>1724</v>
      </c>
      <c r="E190" s="265" t="s">
        <v>26</v>
      </c>
      <c r="F190" s="265" t="s">
        <v>48</v>
      </c>
      <c r="H190" s="307">
        <v>45191.0</v>
      </c>
      <c r="I190" s="309">
        <v>1.0</v>
      </c>
      <c r="K190" s="318"/>
      <c r="L190" s="311"/>
      <c r="M190" s="312">
        <v>45184.40168981481</v>
      </c>
      <c r="N190" s="313">
        <v>45192.43246736111</v>
      </c>
      <c r="O190" s="314" t="s">
        <v>1725</v>
      </c>
      <c r="P190" s="314" t="s">
        <v>1726</v>
      </c>
      <c r="Q190" s="319" t="s">
        <v>31</v>
      </c>
      <c r="R190" s="316">
        <v>0.2750000000014552</v>
      </c>
      <c r="S190" s="317">
        <f t="shared" ref="S190:S193" si="44">T190*24*R190</f>
        <v>561</v>
      </c>
      <c r="T190" s="317">
        <f>VLOOKUP(F190, Data_Validation!$D$2:$G$15, 4, FALSE)</f>
        <v>85</v>
      </c>
      <c r="U190" s="317"/>
    </row>
    <row r="191" ht="20.25" hidden="1" customHeight="1" outlineLevel="1">
      <c r="A191" s="216" t="str">
        <f>IFERROR(__xludf.DUMMYFUNCTION("ARRAYFORMULA(IFERROR(VLOOKUP(REGEXEXTRACT(B191, ""-(\w+)-""), {Data_Validation!$F$16:$F$29, Data_Validation!$E$16:$E$29}, 2, FALSE), """"))
"),"Emerson")</f>
        <v>Emerson</v>
      </c>
      <c r="B191" s="265" t="s">
        <v>1727</v>
      </c>
      <c r="D191" s="265" t="s">
        <v>1728</v>
      </c>
      <c r="E191" s="265" t="s">
        <v>26</v>
      </c>
      <c r="F191" s="265" t="s">
        <v>48</v>
      </c>
      <c r="H191" s="307">
        <v>45191.0</v>
      </c>
      <c r="I191" s="309">
        <v>1.0</v>
      </c>
      <c r="K191" s="318"/>
      <c r="L191" s="311"/>
      <c r="M191" s="312">
        <v>45184.760949675925</v>
      </c>
      <c r="N191" s="313">
        <v>45192.43249949074</v>
      </c>
      <c r="O191" s="314" t="s">
        <v>1729</v>
      </c>
      <c r="P191" s="314" t="s">
        <v>1730</v>
      </c>
      <c r="Q191" s="319" t="s">
        <v>31</v>
      </c>
      <c r="R191" s="316">
        <v>0.16041666666569654</v>
      </c>
      <c r="S191" s="317">
        <f t="shared" si="44"/>
        <v>327.25</v>
      </c>
      <c r="T191" s="317">
        <f>VLOOKUP(F191, Data_Validation!$D$2:$G$15, 4, FALSE)</f>
        <v>85</v>
      </c>
      <c r="U191" s="317"/>
    </row>
    <row r="192" ht="20.25" hidden="1" customHeight="1" outlineLevel="1">
      <c r="A192" s="216" t="str">
        <f>IFERROR(__xludf.DUMMYFUNCTION("ARRAYFORMULA(IFERROR(VLOOKUP(REGEXEXTRACT(B192, ""-(\w+)-""), {Data_Validation!$F$16:$F$29, Data_Validation!$E$16:$E$29}, 2, FALSE), """"))
"),"Emerson")</f>
        <v>Emerson</v>
      </c>
      <c r="B192" s="265" t="s">
        <v>1731</v>
      </c>
      <c r="D192" s="265" t="s">
        <v>1732</v>
      </c>
      <c r="E192" s="265" t="s">
        <v>26</v>
      </c>
      <c r="F192" s="265" t="s">
        <v>48</v>
      </c>
      <c r="H192" s="307">
        <v>45191.0</v>
      </c>
      <c r="I192" s="309">
        <v>1.0</v>
      </c>
      <c r="K192" s="318"/>
      <c r="L192" s="311"/>
      <c r="M192" s="312">
        <v>45184.760939444444</v>
      </c>
      <c r="N192" s="313">
        <v>45192.43251871528</v>
      </c>
      <c r="O192" s="314" t="s">
        <v>1733</v>
      </c>
      <c r="P192" s="314" t="s">
        <v>1734</v>
      </c>
      <c r="Q192" s="319" t="s">
        <v>31</v>
      </c>
      <c r="R192" s="316">
        <v>0.18611111111022183</v>
      </c>
      <c r="S192" s="317">
        <f t="shared" si="44"/>
        <v>379.6666667</v>
      </c>
      <c r="T192" s="317">
        <f>VLOOKUP(F192, Data_Validation!$D$2:$G$15, 4, FALSE)</f>
        <v>85</v>
      </c>
      <c r="U192" s="317"/>
    </row>
    <row r="193" ht="20.25" hidden="1" customHeight="1" outlineLevel="1">
      <c r="A193" s="216" t="str">
        <f>IFERROR(__xludf.DUMMYFUNCTION("ARRAYFORMULA(IFERROR(VLOOKUP(REGEXEXTRACT(B193, ""-(\w+)-""), {Data_Validation!$F$16:$F$29, Data_Validation!$E$16:$E$29}, 2, FALSE), """"))
"),"Emerson")</f>
        <v>Emerson</v>
      </c>
      <c r="B193" s="265" t="s">
        <v>1735</v>
      </c>
      <c r="D193" s="265" t="s">
        <v>1736</v>
      </c>
      <c r="E193" s="265" t="s">
        <v>26</v>
      </c>
      <c r="F193" s="265" t="s">
        <v>48</v>
      </c>
      <c r="H193" s="307">
        <v>45188.0</v>
      </c>
      <c r="I193" s="309">
        <v>1.0</v>
      </c>
      <c r="K193" s="318"/>
      <c r="L193" s="311"/>
      <c r="M193" s="312">
        <v>45185.48503581018</v>
      </c>
      <c r="N193" s="313">
        <v>45189.4350484375</v>
      </c>
      <c r="O193" s="314" t="s">
        <v>1737</v>
      </c>
      <c r="P193" s="314" t="s">
        <v>1738</v>
      </c>
      <c r="Q193" s="319" t="s">
        <v>31</v>
      </c>
      <c r="R193" s="316">
        <v>0.1694444444437977</v>
      </c>
      <c r="S193" s="317">
        <f t="shared" si="44"/>
        <v>345.6666667</v>
      </c>
      <c r="T193" s="317">
        <f>VLOOKUP(F193, Data_Validation!$D$2:$G$15, 4, FALSE)</f>
        <v>85</v>
      </c>
      <c r="U193" s="317"/>
    </row>
    <row r="194" ht="20.25" customHeight="1" collapsed="1">
      <c r="A194" s="216" t="str">
        <f>IFERROR(__xludf.DUMMYFUNCTION("ARRAYFORMULA(IFERROR(VLOOKUP(REGEXEXTRACT(B194, ""-(\w+)-""), {Data_Validation!$F$16:$F$29, Data_Validation!$E$16:$E$29}, 2, FALSE), """"))
"),"Emerson")</f>
        <v>Emerson</v>
      </c>
      <c r="B194" s="265" t="s">
        <v>1721</v>
      </c>
      <c r="C194" s="265" t="s">
        <v>1722</v>
      </c>
      <c r="E194" s="265" t="s">
        <v>963</v>
      </c>
      <c r="F194" s="265" t="s">
        <v>48</v>
      </c>
      <c r="G194" s="265" t="s">
        <v>79</v>
      </c>
      <c r="H194" s="307">
        <v>45191.0</v>
      </c>
      <c r="I194" s="308"/>
      <c r="J194" s="309">
        <v>4.0</v>
      </c>
      <c r="K194" s="318"/>
      <c r="L194" s="311"/>
      <c r="M194" s="312">
        <v>45184.40168981481</v>
      </c>
      <c r="N194" s="313">
        <v>45192.43251871528</v>
      </c>
      <c r="O194" s="314"/>
      <c r="P194" s="314"/>
      <c r="Q194" s="315"/>
      <c r="R194" s="316">
        <v>0.7909722222211713</v>
      </c>
      <c r="S194" s="317">
        <f>SUM(S195:S198)</f>
        <v>1613.583333</v>
      </c>
      <c r="T194" s="317">
        <f>AVERAGE(T195:T198)</f>
        <v>85</v>
      </c>
      <c r="U194" s="317"/>
    </row>
    <row r="195" ht="20.25" hidden="1" customHeight="1" outlineLevel="1">
      <c r="A195" s="216" t="str">
        <f>IFERROR(__xludf.DUMMYFUNCTION("ARRAYFORMULA(IFERROR(VLOOKUP(REGEXEXTRACT(B195, ""-(\w+)-""), {Data_Validation!$F$16:$F$29, Data_Validation!$E$16:$E$29}, 2, FALSE), """"))
"),"Emerson")</f>
        <v>Emerson</v>
      </c>
      <c r="B195" s="265" t="s">
        <v>1723</v>
      </c>
      <c r="D195" s="265" t="s">
        <v>1724</v>
      </c>
      <c r="E195" s="265" t="s">
        <v>26</v>
      </c>
      <c r="F195" s="265" t="s">
        <v>48</v>
      </c>
      <c r="H195" s="307">
        <v>45191.0</v>
      </c>
      <c r="I195" s="309">
        <v>1.0</v>
      </c>
      <c r="K195" s="318"/>
      <c r="L195" s="311"/>
      <c r="M195" s="312">
        <v>45184.40168981481</v>
      </c>
      <c r="N195" s="313">
        <v>45192.43246736111</v>
      </c>
      <c r="O195" s="314" t="s">
        <v>1725</v>
      </c>
      <c r="P195" s="314" t="s">
        <v>1726</v>
      </c>
      <c r="Q195" s="319" t="s">
        <v>31</v>
      </c>
      <c r="R195" s="316">
        <v>0.2750000000014552</v>
      </c>
      <c r="S195" s="317">
        <f t="shared" ref="S195:S198" si="45">T195*24*R195</f>
        <v>561</v>
      </c>
      <c r="T195" s="317">
        <f>VLOOKUP(F195, Data_Validation!$D$2:$G$15, 4, FALSE)</f>
        <v>85</v>
      </c>
      <c r="U195" s="317"/>
    </row>
    <row r="196" ht="20.25" hidden="1" customHeight="1" outlineLevel="1">
      <c r="A196" s="216" t="str">
        <f>IFERROR(__xludf.DUMMYFUNCTION("ARRAYFORMULA(IFERROR(VLOOKUP(REGEXEXTRACT(B196, ""-(\w+)-""), {Data_Validation!$F$16:$F$29, Data_Validation!$E$16:$E$29}, 2, FALSE), """"))
"),"Emerson")</f>
        <v>Emerson</v>
      </c>
      <c r="B196" s="265" t="s">
        <v>1727</v>
      </c>
      <c r="D196" s="265" t="s">
        <v>1728</v>
      </c>
      <c r="E196" s="265" t="s">
        <v>26</v>
      </c>
      <c r="F196" s="265" t="s">
        <v>48</v>
      </c>
      <c r="H196" s="307">
        <v>45191.0</v>
      </c>
      <c r="I196" s="309">
        <v>1.0</v>
      </c>
      <c r="K196" s="318"/>
      <c r="L196" s="311"/>
      <c r="M196" s="312">
        <v>45184.760949675925</v>
      </c>
      <c r="N196" s="313">
        <v>45192.43249949074</v>
      </c>
      <c r="O196" s="314" t="s">
        <v>1729</v>
      </c>
      <c r="P196" s="314" t="s">
        <v>1730</v>
      </c>
      <c r="Q196" s="319" t="s">
        <v>31</v>
      </c>
      <c r="R196" s="316">
        <v>0.16041666666569654</v>
      </c>
      <c r="S196" s="317">
        <f t="shared" si="45"/>
        <v>327.25</v>
      </c>
      <c r="T196" s="317">
        <f>VLOOKUP(F196, Data_Validation!$D$2:$G$15, 4, FALSE)</f>
        <v>85</v>
      </c>
      <c r="U196" s="317"/>
    </row>
    <row r="197" ht="20.25" hidden="1" customHeight="1" outlineLevel="1">
      <c r="A197" s="216" t="str">
        <f>IFERROR(__xludf.DUMMYFUNCTION("ARRAYFORMULA(IFERROR(VLOOKUP(REGEXEXTRACT(B197, ""-(\w+)-""), {Data_Validation!$F$16:$F$29, Data_Validation!$E$16:$E$29}, 2, FALSE), """"))
"),"Emerson")</f>
        <v>Emerson</v>
      </c>
      <c r="B197" s="265" t="s">
        <v>1731</v>
      </c>
      <c r="D197" s="265" t="s">
        <v>1732</v>
      </c>
      <c r="E197" s="265" t="s">
        <v>26</v>
      </c>
      <c r="F197" s="265" t="s">
        <v>48</v>
      </c>
      <c r="H197" s="307">
        <v>45191.0</v>
      </c>
      <c r="I197" s="309">
        <v>1.0</v>
      </c>
      <c r="K197" s="318"/>
      <c r="L197" s="311"/>
      <c r="M197" s="312">
        <v>45184.760939444444</v>
      </c>
      <c r="N197" s="313">
        <v>45192.43251871528</v>
      </c>
      <c r="O197" s="314" t="s">
        <v>1733</v>
      </c>
      <c r="P197" s="314" t="s">
        <v>1734</v>
      </c>
      <c r="Q197" s="319" t="s">
        <v>31</v>
      </c>
      <c r="R197" s="316">
        <v>0.18611111111022183</v>
      </c>
      <c r="S197" s="317">
        <f t="shared" si="45"/>
        <v>379.6666667</v>
      </c>
      <c r="T197" s="317">
        <f>VLOOKUP(F197, Data_Validation!$D$2:$G$15, 4, FALSE)</f>
        <v>85</v>
      </c>
      <c r="U197" s="317"/>
    </row>
    <row r="198" ht="20.25" hidden="1" customHeight="1" outlineLevel="1">
      <c r="A198" s="216" t="str">
        <f>IFERROR(__xludf.DUMMYFUNCTION("ARRAYFORMULA(IFERROR(VLOOKUP(REGEXEXTRACT(B198, ""-(\w+)-""), {Data_Validation!$F$16:$F$29, Data_Validation!$E$16:$E$29}, 2, FALSE), """"))
"),"Emerson")</f>
        <v>Emerson</v>
      </c>
      <c r="B198" s="265" t="s">
        <v>1735</v>
      </c>
      <c r="D198" s="265" t="s">
        <v>1736</v>
      </c>
      <c r="E198" s="265" t="s">
        <v>26</v>
      </c>
      <c r="F198" s="265" t="s">
        <v>48</v>
      </c>
      <c r="H198" s="307">
        <v>45188.0</v>
      </c>
      <c r="I198" s="309">
        <v>1.0</v>
      </c>
      <c r="K198" s="318"/>
      <c r="L198" s="311"/>
      <c r="M198" s="312">
        <v>45185.48503581018</v>
      </c>
      <c r="N198" s="313">
        <v>45189.4350484375</v>
      </c>
      <c r="O198" s="314" t="s">
        <v>1737</v>
      </c>
      <c r="P198" s="314" t="s">
        <v>1738</v>
      </c>
      <c r="Q198" s="319" t="s">
        <v>31</v>
      </c>
      <c r="R198" s="316">
        <v>0.1694444444437977</v>
      </c>
      <c r="S198" s="317">
        <f t="shared" si="45"/>
        <v>345.6666667</v>
      </c>
      <c r="T198" s="317">
        <f>VLOOKUP(F198, Data_Validation!$D$2:$G$15, 4, FALSE)</f>
        <v>85</v>
      </c>
      <c r="U198" s="317"/>
    </row>
    <row r="199" ht="20.25" customHeight="1" collapsed="1">
      <c r="A199" s="216" t="str">
        <f>IFERROR(__xludf.DUMMYFUNCTION("ARRAYFORMULA(IFERROR(VLOOKUP(REGEXEXTRACT(B199, ""-(\w+)-""), {Data_Validation!$F$16:$F$29, Data_Validation!$E$16:$E$29}, 2, FALSE), """"))
"),"TheMVP")</f>
        <v>TheMVP</v>
      </c>
      <c r="B199" s="265" t="s">
        <v>1739</v>
      </c>
      <c r="C199" s="265" t="s">
        <v>1740</v>
      </c>
      <c r="E199" s="265" t="s">
        <v>1228</v>
      </c>
      <c r="F199" s="265" t="s">
        <v>22</v>
      </c>
      <c r="G199" s="265" t="s">
        <v>79</v>
      </c>
      <c r="H199" s="307">
        <v>45194.463101064815</v>
      </c>
      <c r="I199" s="308"/>
      <c r="J199" s="309">
        <v>1.0</v>
      </c>
      <c r="K199" s="318"/>
      <c r="L199" s="311"/>
      <c r="M199" s="312">
        <v>45194.455</v>
      </c>
      <c r="N199" s="313">
        <v>45194.463482141204</v>
      </c>
      <c r="O199" s="314"/>
      <c r="P199" s="314"/>
      <c r="Q199" s="315"/>
      <c r="R199" s="316">
        <v>0.008333333335031057</v>
      </c>
      <c r="S199" s="316"/>
      <c r="T199" s="316"/>
      <c r="U199" s="316"/>
    </row>
    <row r="200" ht="20.25" hidden="1" customHeight="1" outlineLevel="1">
      <c r="A200" s="216" t="str">
        <f>IFERROR(__xludf.DUMMYFUNCTION("ARRAYFORMULA(IFERROR(VLOOKUP(REGEXEXTRACT(B200, ""-(\w+)-""), {Data_Validation!$F$16:$F$29, Data_Validation!$E$16:$E$29}, 2, FALSE), """"))
"),"TheMVP")</f>
        <v>TheMVP</v>
      </c>
      <c r="B200" s="265" t="s">
        <v>1741</v>
      </c>
      <c r="D200" s="265" t="s">
        <v>1416</v>
      </c>
      <c r="E200" s="265" t="s">
        <v>26</v>
      </c>
      <c r="F200" s="265" t="s">
        <v>22</v>
      </c>
      <c r="H200" s="307">
        <v>45194.463101064815</v>
      </c>
      <c r="I200" s="309">
        <v>1.0</v>
      </c>
      <c r="K200" s="318"/>
      <c r="L200" s="311"/>
      <c r="M200" s="312">
        <v>45194.455</v>
      </c>
      <c r="N200" s="313">
        <v>45194.463482141204</v>
      </c>
      <c r="O200" s="314"/>
      <c r="P200" s="314"/>
      <c r="Q200" s="319" t="s">
        <v>31</v>
      </c>
      <c r="R200" s="316">
        <v>0.008333333335031057</v>
      </c>
      <c r="S200" s="317">
        <f>T200*24*R200</f>
        <v>25.00000001</v>
      </c>
      <c r="T200" s="317">
        <f>VLOOKUP(F200, Data_Validation!$D$2:$G$15, 4, FALSE)</f>
        <v>125</v>
      </c>
      <c r="U200" s="317"/>
    </row>
    <row r="201" ht="20.25" customHeight="1" collapsed="1">
      <c r="A201" s="216" t="str">
        <f>IFERROR(__xludf.DUMMYFUNCTION("ARRAYFORMULA(IFERROR(VLOOKUP(REGEXEXTRACT(B201, ""-(\w+)-""), {Data_Validation!$F$16:$F$29, Data_Validation!$E$16:$E$29}, 2, FALSE), """"))
"),"TheMVP")</f>
        <v>TheMVP</v>
      </c>
      <c r="B201" s="265" t="s">
        <v>1742</v>
      </c>
      <c r="C201" s="265" t="s">
        <v>844</v>
      </c>
      <c r="E201" s="265" t="s">
        <v>51</v>
      </c>
      <c r="F201" s="265" t="s">
        <v>27</v>
      </c>
      <c r="G201" s="265" t="s">
        <v>63</v>
      </c>
      <c r="H201" s="320">
        <v>45192.0</v>
      </c>
      <c r="I201" s="308"/>
      <c r="J201" s="309">
        <v>4.0</v>
      </c>
      <c r="K201" s="318"/>
      <c r="L201" s="311"/>
      <c r="M201" s="312">
        <v>0.0</v>
      </c>
      <c r="N201" s="313">
        <v>0.0</v>
      </c>
      <c r="O201" s="314"/>
      <c r="P201" s="314"/>
      <c r="Q201" s="315"/>
      <c r="R201" s="316">
        <v>0.0</v>
      </c>
      <c r="S201" s="317">
        <f>SUM(S202:S205)</f>
        <v>0</v>
      </c>
      <c r="T201" s="317">
        <f>AVERAGE(T202:T205)</f>
        <v>88.75</v>
      </c>
      <c r="U201" s="317"/>
    </row>
    <row r="202" ht="20.25" hidden="1" customHeight="1" outlineLevel="1">
      <c r="A202" s="216" t="str">
        <f>IFERROR(__xludf.DUMMYFUNCTION("ARRAYFORMULA(IFERROR(VLOOKUP(REGEXEXTRACT(B202, ""-(\w+)-""), {Data_Validation!$F$16:$F$29, Data_Validation!$E$16:$E$29}, 2, FALSE), """"))
"),"TheMVP")</f>
        <v>TheMVP</v>
      </c>
      <c r="B202" s="265" t="s">
        <v>1743</v>
      </c>
      <c r="D202" s="265" t="s">
        <v>25</v>
      </c>
      <c r="E202" s="265" t="s">
        <v>26</v>
      </c>
      <c r="F202" s="265" t="s">
        <v>48</v>
      </c>
      <c r="H202" s="320">
        <v>45192.0</v>
      </c>
      <c r="I202" s="309">
        <v>1.0</v>
      </c>
      <c r="K202" s="318"/>
      <c r="L202" s="311"/>
      <c r="M202" s="312"/>
      <c r="N202" s="313"/>
      <c r="O202" s="314"/>
      <c r="P202" s="314"/>
      <c r="Q202" s="315"/>
      <c r="R202" s="316"/>
      <c r="S202" s="317">
        <f t="shared" ref="S202:S205" si="46">T202*24*R202</f>
        <v>0</v>
      </c>
      <c r="T202" s="317">
        <f>VLOOKUP(F202, Data_Validation!$D$2:$G$15, 4, FALSE)</f>
        <v>85</v>
      </c>
      <c r="U202" s="317"/>
    </row>
    <row r="203" ht="20.25" hidden="1" customHeight="1" outlineLevel="1">
      <c r="A203" s="216" t="str">
        <f>IFERROR(__xludf.DUMMYFUNCTION("ARRAYFORMULA(IFERROR(VLOOKUP(REGEXEXTRACT(B203, ""-(\w+)-""), {Data_Validation!$F$16:$F$29, Data_Validation!$E$16:$E$29}, 2, FALSE), """"))
"),"TheMVP")</f>
        <v>TheMVP</v>
      </c>
      <c r="B203" s="265" t="s">
        <v>1744</v>
      </c>
      <c r="D203" s="265" t="s">
        <v>33</v>
      </c>
      <c r="E203" s="265" t="s">
        <v>26</v>
      </c>
      <c r="F203" s="265" t="s">
        <v>747</v>
      </c>
      <c r="H203" s="320">
        <v>45168.0</v>
      </c>
      <c r="I203" s="309">
        <v>1.0</v>
      </c>
      <c r="K203" s="318"/>
      <c r="L203" s="311"/>
      <c r="M203" s="312"/>
      <c r="N203" s="313"/>
      <c r="O203" s="314"/>
      <c r="P203" s="314"/>
      <c r="Q203" s="315"/>
      <c r="R203" s="316"/>
      <c r="S203" s="317">
        <f t="shared" si="46"/>
        <v>0</v>
      </c>
      <c r="T203" s="317">
        <f>VLOOKUP(F203, Data_Validation!$D$2:$G$15, 4, FALSE)</f>
        <v>82.5</v>
      </c>
      <c r="U203" s="317"/>
    </row>
    <row r="204" ht="20.25" hidden="1" customHeight="1" outlineLevel="1">
      <c r="A204" s="216" t="str">
        <f>IFERROR(__xludf.DUMMYFUNCTION("ARRAYFORMULA(IFERROR(VLOOKUP(REGEXEXTRACT(B204, ""-(\w+)-""), {Data_Validation!$F$16:$F$29, Data_Validation!$E$16:$E$29}, 2, FALSE), """"))
"),"TheMVP")</f>
        <v>TheMVP</v>
      </c>
      <c r="B204" s="265" t="s">
        <v>1745</v>
      </c>
      <c r="D204" s="265" t="s">
        <v>40</v>
      </c>
      <c r="E204" s="265" t="s">
        <v>26</v>
      </c>
      <c r="F204" s="265" t="s">
        <v>41</v>
      </c>
      <c r="H204" s="320">
        <v>45192.0</v>
      </c>
      <c r="I204" s="309">
        <v>1.0</v>
      </c>
      <c r="K204" s="318"/>
      <c r="L204" s="311"/>
      <c r="M204" s="312"/>
      <c r="N204" s="313"/>
      <c r="O204" s="314"/>
      <c r="P204" s="314"/>
      <c r="Q204" s="315"/>
      <c r="R204" s="316"/>
      <c r="S204" s="317">
        <f t="shared" si="46"/>
        <v>0</v>
      </c>
      <c r="T204" s="317">
        <f>VLOOKUP(F204, Data_Validation!$D$2:$G$15, 4, FALSE)</f>
        <v>115</v>
      </c>
      <c r="U204" s="317"/>
    </row>
    <row r="205" ht="20.25" hidden="1" customHeight="1" outlineLevel="1">
      <c r="A205" s="216" t="str">
        <f>IFERROR(__xludf.DUMMYFUNCTION("ARRAYFORMULA(IFERROR(VLOOKUP(REGEXEXTRACT(B205, ""-(\w+)-""), {Data_Validation!$F$16:$F$29, Data_Validation!$E$16:$E$29}, 2, FALSE), """"))
"),"TheMVP")</f>
        <v>TheMVP</v>
      </c>
      <c r="B205" s="265" t="s">
        <v>1746</v>
      </c>
      <c r="D205" s="265" t="s">
        <v>47</v>
      </c>
      <c r="E205" s="265" t="s">
        <v>26</v>
      </c>
      <c r="F205" s="265" t="s">
        <v>27</v>
      </c>
      <c r="H205" s="320">
        <v>45192.0</v>
      </c>
      <c r="I205" s="309">
        <v>1.0</v>
      </c>
      <c r="K205" s="318"/>
      <c r="L205" s="311"/>
      <c r="M205" s="312"/>
      <c r="N205" s="313"/>
      <c r="O205" s="314"/>
      <c r="P205" s="314"/>
      <c r="Q205" s="315"/>
      <c r="R205" s="316"/>
      <c r="S205" s="317">
        <f t="shared" si="46"/>
        <v>0</v>
      </c>
      <c r="T205" s="317">
        <f>VLOOKUP(F205, Data_Validation!$D$2:$G$15, 4, FALSE)</f>
        <v>72.5</v>
      </c>
      <c r="U205" s="317"/>
    </row>
    <row r="206" ht="20.25" customHeight="1" collapsed="1">
      <c r="A206" s="216" t="str">
        <f>IFERROR(__xludf.DUMMYFUNCTION("ARRAYFORMULA(IFERROR(VLOOKUP(REGEXEXTRACT(B206, ""-(\w+)-""), {Data_Validation!$F$16:$F$29, Data_Validation!$E$16:$E$29}, 2, FALSE), """"))
"),"TheMVP")</f>
        <v>TheMVP</v>
      </c>
      <c r="B206" s="265" t="s">
        <v>1739</v>
      </c>
      <c r="C206" s="265" t="s">
        <v>1740</v>
      </c>
      <c r="E206" s="265" t="s">
        <v>1228</v>
      </c>
      <c r="F206" s="265" t="s">
        <v>22</v>
      </c>
      <c r="G206" s="265" t="s">
        <v>79</v>
      </c>
      <c r="H206" s="307">
        <v>45194.463101064815</v>
      </c>
      <c r="I206" s="308"/>
      <c r="J206" s="309">
        <v>1.0</v>
      </c>
      <c r="K206" s="318"/>
      <c r="L206" s="311"/>
      <c r="M206" s="312">
        <v>45194.455</v>
      </c>
      <c r="N206" s="313">
        <v>45194.463482141204</v>
      </c>
      <c r="O206" s="314"/>
      <c r="P206" s="314"/>
      <c r="Q206" s="315"/>
      <c r="R206" s="316">
        <v>0.008333333335031057</v>
      </c>
      <c r="S206" s="316"/>
      <c r="T206" s="316"/>
      <c r="U206" s="316"/>
    </row>
    <row r="207" ht="20.25" hidden="1" customHeight="1" outlineLevel="1">
      <c r="A207" s="216" t="str">
        <f>IFERROR(__xludf.DUMMYFUNCTION("ARRAYFORMULA(IFERROR(VLOOKUP(REGEXEXTRACT(B207, ""-(\w+)-""), {Data_Validation!$F$16:$F$29, Data_Validation!$E$16:$E$29}, 2, FALSE), """"))
"),"TheMVP")</f>
        <v>TheMVP</v>
      </c>
      <c r="B207" s="265" t="s">
        <v>1741</v>
      </c>
      <c r="D207" s="265" t="s">
        <v>1416</v>
      </c>
      <c r="E207" s="265" t="s">
        <v>26</v>
      </c>
      <c r="F207" s="265" t="s">
        <v>22</v>
      </c>
      <c r="H207" s="307">
        <v>45194.463101064815</v>
      </c>
      <c r="I207" s="309">
        <v>1.0</v>
      </c>
      <c r="K207" s="318"/>
      <c r="L207" s="311"/>
      <c r="M207" s="312">
        <v>45194.455</v>
      </c>
      <c r="N207" s="313">
        <v>45194.463482141204</v>
      </c>
      <c r="O207" s="314"/>
      <c r="P207" s="314"/>
      <c r="Q207" s="319" t="s">
        <v>31</v>
      </c>
      <c r="R207" s="316">
        <v>0.008333333335031057</v>
      </c>
      <c r="S207" s="317">
        <f>T207*24*R207</f>
        <v>25.00000001</v>
      </c>
      <c r="T207" s="317">
        <f>VLOOKUP(F207, Data_Validation!$D$2:$G$15, 4, FALSE)</f>
        <v>125</v>
      </c>
      <c r="U207" s="317"/>
    </row>
    <row r="208" ht="20.25" customHeight="1" collapsed="1">
      <c r="A208" s="216" t="str">
        <f>IFERROR(__xludf.DUMMYFUNCTION("ARRAYFORMULA(IFERROR(VLOOKUP(REGEXEXTRACT(B208, ""-(\w+)-""), {Data_Validation!$F$16:$F$29, Data_Validation!$E$16:$E$29}, 2, FALSE), """"))
"),"TheMVP")</f>
        <v>TheMVP</v>
      </c>
      <c r="B208" s="265" t="s">
        <v>1747</v>
      </c>
      <c r="C208" s="265" t="s">
        <v>1748</v>
      </c>
      <c r="E208" s="265" t="s">
        <v>1051</v>
      </c>
      <c r="F208" s="265" t="s">
        <v>41</v>
      </c>
      <c r="G208" s="265" t="s">
        <v>23</v>
      </c>
      <c r="H208" s="307">
        <v>45194.0</v>
      </c>
      <c r="I208" s="308"/>
      <c r="J208" s="309">
        <v>3.0</v>
      </c>
      <c r="K208" s="318"/>
      <c r="L208" s="311"/>
      <c r="M208" s="312">
        <v>45188.632979675924</v>
      </c>
      <c r="N208" s="313">
        <v>45189.80036732639</v>
      </c>
      <c r="O208" s="314"/>
      <c r="P208" s="314"/>
      <c r="Q208" s="315"/>
      <c r="R208" s="316">
        <v>0.16458333333333333</v>
      </c>
      <c r="S208" s="317">
        <f>SUM(S209:S211)</f>
        <v>454.25</v>
      </c>
      <c r="T208" s="317">
        <f>AVERAGE(T209:T211)</f>
        <v>115</v>
      </c>
      <c r="U208" s="317"/>
    </row>
    <row r="209" ht="20.25" hidden="1" customHeight="1" outlineLevel="1">
      <c r="A209" s="216" t="str">
        <f>IFERROR(__xludf.DUMMYFUNCTION("ARRAYFORMULA(IFERROR(VLOOKUP(REGEXEXTRACT(B209, ""-(\w+)-""), {Data_Validation!$F$16:$F$29, Data_Validation!$E$16:$E$29}, 2, FALSE), """"))
"),"TheMVP")</f>
        <v>TheMVP</v>
      </c>
      <c r="B209" s="265" t="s">
        <v>1749</v>
      </c>
      <c r="D209" s="265" t="s">
        <v>1715</v>
      </c>
      <c r="E209" s="265" t="s">
        <v>26</v>
      </c>
      <c r="F209" s="265" t="s">
        <v>41</v>
      </c>
      <c r="H209" s="307">
        <v>45188.632491516204</v>
      </c>
      <c r="I209" s="309">
        <v>1.0</v>
      </c>
      <c r="K209" s="318"/>
      <c r="L209" s="311"/>
      <c r="M209" s="312"/>
      <c r="N209" s="313"/>
      <c r="O209" s="314"/>
      <c r="P209" s="314"/>
      <c r="Q209" s="315"/>
      <c r="R209" s="316"/>
      <c r="S209" s="317">
        <f t="shared" ref="S209:S211" si="47">T209*24*R209</f>
        <v>0</v>
      </c>
      <c r="T209" s="317">
        <f>VLOOKUP(F209, Data_Validation!$D$2:$G$15, 4, FALSE)</f>
        <v>115</v>
      </c>
      <c r="U209" s="317"/>
    </row>
    <row r="210" ht="20.25" hidden="1" customHeight="1" outlineLevel="1">
      <c r="A210" s="216" t="str">
        <f>IFERROR(__xludf.DUMMYFUNCTION("ARRAYFORMULA(IFERROR(VLOOKUP(REGEXEXTRACT(B210, ""-(\w+)-""), {Data_Validation!$F$16:$F$29, Data_Validation!$E$16:$E$29}, 2, FALSE), """"))
"),"TheMVP")</f>
        <v>TheMVP</v>
      </c>
      <c r="B210" s="265" t="s">
        <v>1750</v>
      </c>
      <c r="D210" s="265" t="s">
        <v>540</v>
      </c>
      <c r="E210" s="265" t="s">
        <v>26</v>
      </c>
      <c r="F210" s="265" t="s">
        <v>41</v>
      </c>
      <c r="H210" s="307">
        <v>45188.0</v>
      </c>
      <c r="I210" s="309">
        <v>1.0</v>
      </c>
      <c r="K210" s="318"/>
      <c r="L210" s="311"/>
      <c r="M210" s="312">
        <v>45188.632979675924</v>
      </c>
      <c r="N210" s="313">
        <v>45189.44339356481</v>
      </c>
      <c r="O210" s="314" t="s">
        <v>1751</v>
      </c>
      <c r="P210" s="314" t="s">
        <v>1752</v>
      </c>
      <c r="Q210" s="319" t="s">
        <v>31</v>
      </c>
      <c r="R210" s="316">
        <v>0.14027777777777778</v>
      </c>
      <c r="S210" s="317">
        <f t="shared" si="47"/>
        <v>387.1666667</v>
      </c>
      <c r="T210" s="317">
        <f>VLOOKUP(F210, Data_Validation!$D$2:$G$15, 4, FALSE)</f>
        <v>115</v>
      </c>
      <c r="U210" s="317"/>
    </row>
    <row r="211" ht="20.25" hidden="1" customHeight="1" outlineLevel="1">
      <c r="A211" s="216" t="str">
        <f>IFERROR(__xludf.DUMMYFUNCTION("ARRAYFORMULA(IFERROR(VLOOKUP(REGEXEXTRACT(B211, ""-(\w+)-""), {Data_Validation!$F$16:$F$29, Data_Validation!$E$16:$E$29}, 2, FALSE), """"))
"),"TheMVP")</f>
        <v>TheMVP</v>
      </c>
      <c r="B211" s="265" t="s">
        <v>1753</v>
      </c>
      <c r="D211" s="265" t="s">
        <v>1754</v>
      </c>
      <c r="E211" s="265" t="s">
        <v>26</v>
      </c>
      <c r="F211" s="265" t="s">
        <v>41</v>
      </c>
      <c r="H211" s="307">
        <v>45189.0</v>
      </c>
      <c r="K211" s="318"/>
      <c r="L211" s="311"/>
      <c r="M211" s="312">
        <v>45189.77551019676</v>
      </c>
      <c r="N211" s="313">
        <v>45189.80036732639</v>
      </c>
      <c r="O211" s="314"/>
      <c r="P211" s="314"/>
      <c r="Q211" s="319" t="s">
        <v>31</v>
      </c>
      <c r="R211" s="316">
        <v>0.024305555554747116</v>
      </c>
      <c r="S211" s="317">
        <f t="shared" si="47"/>
        <v>67.08333333</v>
      </c>
      <c r="T211" s="317">
        <f>VLOOKUP(F211, Data_Validation!$D$2:$G$15, 4, FALSE)</f>
        <v>115</v>
      </c>
      <c r="U211" s="317"/>
    </row>
    <row r="212" ht="20.25" customHeight="1" collapsed="1">
      <c r="A212" s="216" t="str">
        <f>IFERROR(__xludf.DUMMYFUNCTION("ARRAYFORMULA(IFERROR(VLOOKUP(REGEXEXTRACT(B212, ""-(\w+)-""), {Data_Validation!$F$16:$F$29, Data_Validation!$E$16:$E$29}, 2, FALSE), """"))
"),"TheMVP")</f>
        <v>TheMVP</v>
      </c>
      <c r="B212" s="265" t="s">
        <v>1755</v>
      </c>
      <c r="C212" s="265" t="s">
        <v>1756</v>
      </c>
      <c r="E212" s="265" t="s">
        <v>51</v>
      </c>
      <c r="F212" s="265" t="s">
        <v>27</v>
      </c>
      <c r="G212" s="265" t="s">
        <v>79</v>
      </c>
      <c r="H212" s="320">
        <v>45194.0</v>
      </c>
      <c r="I212" s="308"/>
      <c r="J212" s="309">
        <v>7.0</v>
      </c>
      <c r="K212" s="318"/>
      <c r="L212" s="311"/>
      <c r="M212" s="312">
        <f>MIN(M213:M219)</f>
        <v>45170.66284</v>
      </c>
      <c r="N212" s="313">
        <f>MAX(N213:N219)</f>
        <v>45194.83892</v>
      </c>
      <c r="O212" s="314"/>
      <c r="P212" s="314"/>
      <c r="Q212" s="315"/>
      <c r="R212" s="316">
        <f t="shared" ref="R212:S212" si="48">SUM(R213:R219)</f>
        <v>0.7618055556</v>
      </c>
      <c r="S212" s="317">
        <f t="shared" si="48"/>
        <v>1840.666667</v>
      </c>
      <c r="T212" s="317">
        <f>AVERAGE(T213:T219)</f>
        <v>114.6428571</v>
      </c>
      <c r="U212" s="317"/>
    </row>
    <row r="213" ht="20.25" hidden="1" customHeight="1" outlineLevel="1">
      <c r="A213" s="216" t="str">
        <f>IFERROR(__xludf.DUMMYFUNCTION("ARRAYFORMULA(IFERROR(VLOOKUP(REGEXEXTRACT(B213, ""-(\w+)-""), {Data_Validation!$F$16:$F$29, Data_Validation!$E$16:$E$29}, 2, FALSE), """"))
"),"TheMVP")</f>
        <v>TheMVP</v>
      </c>
      <c r="B213" s="265" t="s">
        <v>1757</v>
      </c>
      <c r="D213" s="265" t="s">
        <v>25</v>
      </c>
      <c r="E213" s="265" t="s">
        <v>26</v>
      </c>
      <c r="F213" s="265" t="s">
        <v>22</v>
      </c>
      <c r="G213" s="265" t="s">
        <v>1758</v>
      </c>
      <c r="H213" s="320">
        <v>45161.45546064815</v>
      </c>
      <c r="I213" s="309">
        <v>1.0</v>
      </c>
      <c r="K213" s="318"/>
      <c r="L213" s="311"/>
      <c r="M213" s="312"/>
      <c r="N213" s="313"/>
      <c r="O213" s="314"/>
      <c r="P213" s="314"/>
      <c r="Q213" s="315"/>
      <c r="R213" s="316">
        <v>0.16666666666666666</v>
      </c>
      <c r="S213" s="317">
        <f t="shared" ref="S213:S219" si="49">T213*24*R213</f>
        <v>500</v>
      </c>
      <c r="T213" s="317">
        <f>VLOOKUP(F213, Data_Validation!$D$2:$G$15, 4, FALSE)</f>
        <v>125</v>
      </c>
      <c r="U213" s="317"/>
    </row>
    <row r="214" ht="20.25" hidden="1" customHeight="1" outlineLevel="1">
      <c r="A214" s="216" t="str">
        <f>IFERROR(__xludf.DUMMYFUNCTION("ARRAYFORMULA(IFERROR(VLOOKUP(REGEXEXTRACT(B214, ""-(\w+)-""), {Data_Validation!$F$16:$F$29, Data_Validation!$E$16:$E$29}, 2, FALSE), """"))
"),"TheMVP")</f>
        <v>TheMVP</v>
      </c>
      <c r="B214" s="265" t="s">
        <v>1759</v>
      </c>
      <c r="D214" s="265" t="s">
        <v>33</v>
      </c>
      <c r="E214" s="265" t="s">
        <v>26</v>
      </c>
      <c r="F214" s="265" t="s">
        <v>747</v>
      </c>
      <c r="H214" s="320">
        <v>45170.0</v>
      </c>
      <c r="I214" s="309">
        <v>1.0</v>
      </c>
      <c r="K214" s="318"/>
      <c r="L214" s="311"/>
      <c r="M214" s="312">
        <v>45170.66283564815</v>
      </c>
      <c r="N214" s="313">
        <v>45170.734920937495</v>
      </c>
      <c r="O214" s="314" t="s">
        <v>1760</v>
      </c>
      <c r="P214" s="314" t="s">
        <v>1761</v>
      </c>
      <c r="Q214" s="319" t="s">
        <v>31</v>
      </c>
      <c r="R214" s="316">
        <v>0.06388888888977817</v>
      </c>
      <c r="S214" s="317">
        <f t="shared" si="49"/>
        <v>253</v>
      </c>
      <c r="T214" s="317">
        <f>VLOOKUP(F214, Data_Validation!$D$2:$G$15, 4, FALSE)*2</f>
        <v>165</v>
      </c>
      <c r="U214" s="317"/>
    </row>
    <row r="215" ht="20.25" hidden="1" customHeight="1" outlineLevel="1">
      <c r="A215" s="216" t="str">
        <f>IFERROR(__xludf.DUMMYFUNCTION("ARRAYFORMULA(IFERROR(VLOOKUP(REGEXEXTRACT(B215, ""-(\w+)-""), {Data_Validation!$F$16:$F$29, Data_Validation!$E$16:$E$29}, 2, FALSE), """"))
"),"TheMVP")</f>
        <v>TheMVP</v>
      </c>
      <c r="B215" s="265" t="s">
        <v>1762</v>
      </c>
      <c r="D215" s="265" t="s">
        <v>121</v>
      </c>
      <c r="E215" s="265" t="s">
        <v>26</v>
      </c>
      <c r="F215" s="265" t="s">
        <v>22</v>
      </c>
      <c r="H215" s="320">
        <v>45177.0</v>
      </c>
      <c r="I215" s="309">
        <v>1.0</v>
      </c>
      <c r="K215" s="318"/>
      <c r="L215" s="311"/>
      <c r="M215" s="312">
        <v>45170.734749930554</v>
      </c>
      <c r="N215" s="313">
        <v>45192.51328275463</v>
      </c>
      <c r="O215" s="314" t="s">
        <v>1763</v>
      </c>
      <c r="P215" s="314" t="s">
        <v>1764</v>
      </c>
      <c r="Q215" s="319" t="s">
        <v>31</v>
      </c>
      <c r="R215" s="316">
        <v>0.06944444444444445</v>
      </c>
      <c r="S215" s="317">
        <f t="shared" si="49"/>
        <v>208.3333333</v>
      </c>
      <c r="T215" s="317">
        <f>VLOOKUP(F215, Data_Validation!$D$2:$G$15, 4, FALSE)</f>
        <v>125</v>
      </c>
      <c r="U215" s="317"/>
    </row>
    <row r="216" ht="20.25" hidden="1" customHeight="1" outlineLevel="1">
      <c r="A216" s="216" t="str">
        <f>IFERROR(__xludf.DUMMYFUNCTION("ARRAYFORMULA(IFERROR(VLOOKUP(REGEXEXTRACT(B216, ""-(\w+)-""), {Data_Validation!$F$16:$F$29, Data_Validation!$E$16:$E$29}, 2, FALSE), """"))
"),"TheMVP")</f>
        <v>TheMVP</v>
      </c>
      <c r="B216" s="265" t="s">
        <v>1765</v>
      </c>
      <c r="D216" s="265" t="s">
        <v>112</v>
      </c>
      <c r="E216" s="265" t="s">
        <v>26</v>
      </c>
      <c r="F216" s="265" t="s">
        <v>131</v>
      </c>
      <c r="H216" s="320">
        <v>45189.0</v>
      </c>
      <c r="I216" s="309">
        <v>1.0</v>
      </c>
      <c r="K216" s="318"/>
      <c r="L216" s="311"/>
      <c r="M216" s="312"/>
      <c r="N216" s="313"/>
      <c r="O216" s="314"/>
      <c r="P216" s="314"/>
      <c r="Q216" s="315"/>
      <c r="R216" s="316"/>
      <c r="S216" s="317">
        <f t="shared" si="49"/>
        <v>0</v>
      </c>
      <c r="T216" s="317">
        <f>VLOOKUP(F216, Data_Validation!$D$2:$G$15, 4, FALSE)</f>
        <v>115</v>
      </c>
      <c r="U216" s="317"/>
    </row>
    <row r="217" ht="20.25" hidden="1" customHeight="1" outlineLevel="1">
      <c r="A217" s="216" t="str">
        <f>IFERROR(__xludf.DUMMYFUNCTION("ARRAYFORMULA(IFERROR(VLOOKUP(REGEXEXTRACT(B217, ""-(\w+)-""), {Data_Validation!$F$16:$F$29, Data_Validation!$E$16:$E$29}, 2, FALSE), """"))
"),"TheMVP")</f>
        <v>TheMVP</v>
      </c>
      <c r="B217" s="265" t="s">
        <v>1766</v>
      </c>
      <c r="D217" s="265" t="s">
        <v>1767</v>
      </c>
      <c r="E217" s="265" t="s">
        <v>26</v>
      </c>
      <c r="F217" s="265" t="s">
        <v>1768</v>
      </c>
      <c r="H217" s="320">
        <v>45189.0</v>
      </c>
      <c r="I217" s="309">
        <v>1.0</v>
      </c>
      <c r="K217" s="318"/>
      <c r="L217" s="311"/>
      <c r="M217" s="312">
        <v>45189.47624148148</v>
      </c>
      <c r="N217" s="313">
        <v>45189.55068827546</v>
      </c>
      <c r="O217" s="314"/>
      <c r="P217" s="314"/>
      <c r="Q217" s="319" t="s">
        <v>31</v>
      </c>
      <c r="R217" s="316">
        <v>0.07430555555401952</v>
      </c>
      <c r="S217" s="317">
        <f t="shared" si="49"/>
        <v>205.0833333</v>
      </c>
      <c r="T217" s="317">
        <v>115.0</v>
      </c>
      <c r="U217" s="317"/>
    </row>
    <row r="218" ht="20.25" hidden="1" customHeight="1" outlineLevel="1">
      <c r="A218" s="216" t="str">
        <f>IFERROR(__xludf.DUMMYFUNCTION("ARRAYFORMULA(IFERROR(VLOOKUP(REGEXEXTRACT(B218, ""-(\w+)-""), {Data_Validation!$F$16:$F$29, Data_Validation!$E$16:$E$29}, 2, FALSE), """"))
"),"TheMVP")</f>
        <v>TheMVP</v>
      </c>
      <c r="B218" s="265" t="s">
        <v>1769</v>
      </c>
      <c r="D218" s="265" t="s">
        <v>274</v>
      </c>
      <c r="E218" s="265" t="s">
        <v>26</v>
      </c>
      <c r="F218" s="265" t="s">
        <v>27</v>
      </c>
      <c r="H218" s="320">
        <v>45189.0</v>
      </c>
      <c r="I218" s="309">
        <v>1.0</v>
      </c>
      <c r="K218" s="318"/>
      <c r="L218" s="311"/>
      <c r="M218" s="312">
        <v>45192.51335311343</v>
      </c>
      <c r="N218" s="313">
        <v>45194.83891575232</v>
      </c>
      <c r="O218" s="314" t="s">
        <v>1770</v>
      </c>
      <c r="P218" s="314" t="s">
        <v>1771</v>
      </c>
      <c r="Q218" s="319" t="s">
        <v>31</v>
      </c>
      <c r="R218" s="316">
        <v>0.3875000000007276</v>
      </c>
      <c r="S218" s="317">
        <f t="shared" si="49"/>
        <v>674.25</v>
      </c>
      <c r="T218" s="317">
        <f>VLOOKUP(F218, Data_Validation!$D$2:$G$15, 4, FALSE)</f>
        <v>72.5</v>
      </c>
      <c r="U218" s="317"/>
    </row>
    <row r="219" ht="20.25" hidden="1" customHeight="1" outlineLevel="1">
      <c r="A219" s="216" t="str">
        <f>IFERROR(__xludf.DUMMYFUNCTION("ARRAYFORMULA(IFERROR(VLOOKUP(REGEXEXTRACT(B219, ""-(\w+)-""), {Data_Validation!$F$16:$F$29, Data_Validation!$E$16:$E$29}, 2, FALSE), """"))
"),"TheMVP")</f>
        <v>TheMVP</v>
      </c>
      <c r="B219" s="265" t="s">
        <v>1772</v>
      </c>
      <c r="D219" s="265" t="s">
        <v>47</v>
      </c>
      <c r="E219" s="265" t="s">
        <v>26</v>
      </c>
      <c r="F219" s="265" t="s">
        <v>48</v>
      </c>
      <c r="H219" s="320">
        <v>45194.0</v>
      </c>
      <c r="I219" s="309">
        <v>1.0</v>
      </c>
      <c r="K219" s="318"/>
      <c r="L219" s="311"/>
      <c r="M219" s="312"/>
      <c r="N219" s="313"/>
      <c r="O219" s="314"/>
      <c r="P219" s="314"/>
      <c r="Q219" s="315"/>
      <c r="R219" s="316"/>
      <c r="S219" s="317">
        <f t="shared" si="49"/>
        <v>0</v>
      </c>
      <c r="T219" s="317">
        <f>VLOOKUP(F219, Data_Validation!$D$2:$G$15, 4, FALSE)</f>
        <v>85</v>
      </c>
      <c r="U219" s="317"/>
    </row>
    <row r="220" ht="20.25" customHeight="1" collapsed="1">
      <c r="A220" s="216" t="str">
        <f>IFERROR(__xludf.DUMMYFUNCTION("ARRAYFORMULA(IFERROR(VLOOKUP(REGEXEXTRACT(B220, ""-(\w+)-""), {Data_Validation!$F$16:$F$29, Data_Validation!$E$16:$E$29}, 2, FALSE), """"))
"),"TheMVP")</f>
        <v>TheMVP</v>
      </c>
      <c r="B220" s="265" t="s">
        <v>1773</v>
      </c>
      <c r="C220" s="265" t="s">
        <v>505</v>
      </c>
      <c r="E220" s="265" t="s">
        <v>21</v>
      </c>
      <c r="F220" s="265" t="s">
        <v>41</v>
      </c>
      <c r="G220" s="265" t="s">
        <v>79</v>
      </c>
      <c r="H220" s="320">
        <v>45195.0</v>
      </c>
      <c r="I220" s="308"/>
      <c r="J220" s="309">
        <v>6.0</v>
      </c>
      <c r="K220" s="318"/>
      <c r="L220" s="311"/>
      <c r="M220" s="312">
        <f>MIN(M221:M226)</f>
        <v>45195.3254</v>
      </c>
      <c r="N220" s="313">
        <f>MAX(N221:N226)</f>
        <v>45195.83018</v>
      </c>
      <c r="O220" s="314"/>
      <c r="P220" s="314"/>
      <c r="Q220" s="315"/>
      <c r="R220" s="316">
        <f t="shared" ref="R220:S220" si="50">SUM(R221:R226)</f>
        <v>0.1013888889</v>
      </c>
      <c r="S220" s="317">
        <f t="shared" si="50"/>
        <v>249</v>
      </c>
      <c r="T220" s="317">
        <f>AVERAGE(T221:T226)</f>
        <v>105.8333333</v>
      </c>
      <c r="U220" s="317"/>
    </row>
    <row r="221" ht="20.25" hidden="1" customHeight="1" outlineLevel="1">
      <c r="A221" s="216" t="str">
        <f>IFERROR(__xludf.DUMMYFUNCTION("ARRAYFORMULA(IFERROR(VLOOKUP(REGEXEXTRACT(B221, ""-(\w+)-""), {Data_Validation!$F$16:$F$29, Data_Validation!$E$16:$E$29}, 2, FALSE), """"))
"),"TheMVP")</f>
        <v>TheMVP</v>
      </c>
      <c r="B221" s="265" t="s">
        <v>1774</v>
      </c>
      <c r="D221" s="265" t="s">
        <v>25</v>
      </c>
      <c r="E221" s="265" t="s">
        <v>26</v>
      </c>
      <c r="F221" s="265" t="s">
        <v>22</v>
      </c>
      <c r="G221" s="265" t="s">
        <v>507</v>
      </c>
      <c r="H221" s="320">
        <v>45194.73787158565</v>
      </c>
      <c r="I221" s="309">
        <v>1.0</v>
      </c>
      <c r="K221" s="318"/>
      <c r="L221" s="311"/>
      <c r="M221" s="312">
        <v>45195.32539993056</v>
      </c>
      <c r="N221" s="313">
        <v>45195.35708061342</v>
      </c>
      <c r="O221" s="314" t="s">
        <v>508</v>
      </c>
      <c r="P221" s="314" t="s">
        <v>509</v>
      </c>
      <c r="Q221" s="319" t="s">
        <v>31</v>
      </c>
      <c r="R221" s="316">
        <v>0.029861111110221827</v>
      </c>
      <c r="S221" s="317">
        <f t="shared" ref="S221:S226" si="51">T221*24*R221</f>
        <v>89.58333333</v>
      </c>
      <c r="T221" s="317">
        <f>VLOOKUP(F221, Data_Validation!$D$2:$G$15, 4, FALSE)</f>
        <v>125</v>
      </c>
      <c r="U221" s="317"/>
    </row>
    <row r="222" ht="20.25" hidden="1" customHeight="1" outlineLevel="1">
      <c r="A222" s="216" t="str">
        <f>IFERROR(__xludf.DUMMYFUNCTION("ARRAYFORMULA(IFERROR(VLOOKUP(REGEXEXTRACT(B222, ""-(\w+)-""), {Data_Validation!$F$16:$F$29, Data_Validation!$E$16:$E$29}, 2, FALSE), """"))
"),"TheMVP")</f>
        <v>TheMVP</v>
      </c>
      <c r="B222" s="265" t="s">
        <v>1775</v>
      </c>
      <c r="D222" s="265" t="s">
        <v>112</v>
      </c>
      <c r="E222" s="265" t="s">
        <v>26</v>
      </c>
      <c r="F222" s="265" t="s">
        <v>22</v>
      </c>
      <c r="H222" s="320">
        <v>45194.0</v>
      </c>
      <c r="I222" s="309">
        <v>1.0</v>
      </c>
      <c r="K222" s="318"/>
      <c r="L222" s="311"/>
      <c r="M222" s="312"/>
      <c r="N222" s="313"/>
      <c r="O222" s="314"/>
      <c r="P222" s="314"/>
      <c r="Q222" s="315"/>
      <c r="R222" s="316"/>
      <c r="S222" s="317">
        <f t="shared" si="51"/>
        <v>0</v>
      </c>
      <c r="T222" s="317">
        <f>VLOOKUP(F222, Data_Validation!$D$2:$G$15, 4, FALSE)</f>
        <v>125</v>
      </c>
      <c r="U222" s="317"/>
    </row>
    <row r="223" ht="20.25" hidden="1" customHeight="1" outlineLevel="1">
      <c r="A223" s="216" t="str">
        <f>IFERROR(__xludf.DUMMYFUNCTION("ARRAYFORMULA(IFERROR(VLOOKUP(REGEXEXTRACT(B223, ""-(\w+)-""), {Data_Validation!$F$16:$F$29, Data_Validation!$E$16:$E$29}, 2, FALSE), """"))
"),"TheMVP")</f>
        <v>TheMVP</v>
      </c>
      <c r="B223" s="265" t="s">
        <v>1776</v>
      </c>
      <c r="D223" s="265" t="s">
        <v>38</v>
      </c>
      <c r="E223" s="265" t="s">
        <v>26</v>
      </c>
      <c r="F223" s="265" t="s">
        <v>22</v>
      </c>
      <c r="H223" s="320">
        <v>45194.73787158565</v>
      </c>
      <c r="I223" s="309">
        <v>1.0</v>
      </c>
      <c r="K223" s="318"/>
      <c r="L223" s="311"/>
      <c r="M223" s="312">
        <v>45195.402719907404</v>
      </c>
      <c r="N223" s="313">
        <v>45195.40975673611</v>
      </c>
      <c r="O223" s="314"/>
      <c r="P223" s="314"/>
      <c r="Q223" s="319" t="s">
        <v>31</v>
      </c>
      <c r="R223" s="316">
        <v>0.006944444445252884</v>
      </c>
      <c r="S223" s="317">
        <f t="shared" si="51"/>
        <v>20.83333334</v>
      </c>
      <c r="T223" s="317">
        <f>VLOOKUP(F223, Data_Validation!$D$2:$G$15, 4, FALSE)</f>
        <v>125</v>
      </c>
      <c r="U223" s="317"/>
    </row>
    <row r="224" ht="20.25" hidden="1" customHeight="1" outlineLevel="1">
      <c r="A224" s="216" t="str">
        <f>IFERROR(__xludf.DUMMYFUNCTION("ARRAYFORMULA(IFERROR(VLOOKUP(REGEXEXTRACT(B224, ""-(\w+)-""), {Data_Validation!$F$16:$F$29, Data_Validation!$E$16:$E$29}, 2, FALSE), """"))
"),"TheMVP")</f>
        <v>TheMVP</v>
      </c>
      <c r="B224" s="265" t="s">
        <v>1777</v>
      </c>
      <c r="D224" s="265" t="s">
        <v>40</v>
      </c>
      <c r="E224" s="265" t="s">
        <v>26</v>
      </c>
      <c r="F224" s="265" t="s">
        <v>27</v>
      </c>
      <c r="H224" s="320">
        <v>45194.0</v>
      </c>
      <c r="I224" s="309">
        <v>1.0</v>
      </c>
      <c r="K224" s="318"/>
      <c r="L224" s="311"/>
      <c r="M224" s="312">
        <v>45195.47182283565</v>
      </c>
      <c r="N224" s="313">
        <v>45195.830181006946</v>
      </c>
      <c r="O224" s="314" t="s">
        <v>513</v>
      </c>
      <c r="P224" s="314" t="s">
        <v>514</v>
      </c>
      <c r="Q224" s="319" t="s">
        <v>31</v>
      </c>
      <c r="R224" s="316">
        <v>0.03888888888832298</v>
      </c>
      <c r="S224" s="317">
        <f t="shared" si="51"/>
        <v>67.66666667</v>
      </c>
      <c r="T224" s="317">
        <f>VLOOKUP(F224, Data_Validation!$D$2:$G$15, 4, FALSE)</f>
        <v>72.5</v>
      </c>
      <c r="U224" s="317"/>
    </row>
    <row r="225" ht="20.25" hidden="1" customHeight="1" outlineLevel="1">
      <c r="A225" s="216" t="str">
        <f>IFERROR(__xludf.DUMMYFUNCTION("ARRAYFORMULA(IFERROR(VLOOKUP(REGEXEXTRACT(B225, ""-(\w+)-""), {Data_Validation!$F$16:$F$29, Data_Validation!$E$16:$E$29}, 2, FALSE), """"))
"),"TheMVP")</f>
        <v>TheMVP</v>
      </c>
      <c r="B225" s="265" t="s">
        <v>1778</v>
      </c>
      <c r="D225" s="265" t="s">
        <v>45</v>
      </c>
      <c r="E225" s="265" t="s">
        <v>26</v>
      </c>
      <c r="F225" s="265" t="s">
        <v>41</v>
      </c>
      <c r="H225" s="320">
        <v>45195.0</v>
      </c>
      <c r="I225" s="309">
        <v>1.0</v>
      </c>
      <c r="K225" s="318"/>
      <c r="L225" s="311"/>
      <c r="M225" s="312">
        <v>45195.60477979167</v>
      </c>
      <c r="N225" s="313">
        <v>45195.630935532405</v>
      </c>
      <c r="O225" s="314"/>
      <c r="P225" s="314"/>
      <c r="Q225" s="319" t="s">
        <v>31</v>
      </c>
      <c r="R225" s="316">
        <v>0.02569444444452529</v>
      </c>
      <c r="S225" s="317">
        <f t="shared" si="51"/>
        <v>70.91666667</v>
      </c>
      <c r="T225" s="317">
        <f>VLOOKUP(F225, Data_Validation!$D$2:$G$15, 4, FALSE)</f>
        <v>115</v>
      </c>
      <c r="U225" s="317"/>
    </row>
    <row r="226" ht="20.25" hidden="1" customHeight="1" outlineLevel="1">
      <c r="A226" s="216" t="str">
        <f>IFERROR(__xludf.DUMMYFUNCTION("ARRAYFORMULA(IFERROR(VLOOKUP(REGEXEXTRACT(B226, ""-(\w+)-""), {Data_Validation!$F$16:$F$29, Data_Validation!$E$16:$E$29}, 2, FALSE), """"))
"),"TheMVP")</f>
        <v>TheMVP</v>
      </c>
      <c r="B226" s="265" t="s">
        <v>1779</v>
      </c>
      <c r="D226" s="265" t="s">
        <v>47</v>
      </c>
      <c r="E226" s="265" t="s">
        <v>26</v>
      </c>
      <c r="F226" s="265" t="s">
        <v>27</v>
      </c>
      <c r="H226" s="320">
        <v>45195.0</v>
      </c>
      <c r="I226" s="309">
        <v>1.0</v>
      </c>
      <c r="K226" s="318"/>
      <c r="L226" s="311"/>
      <c r="M226" s="312"/>
      <c r="N226" s="313"/>
      <c r="O226" s="314"/>
      <c r="P226" s="314"/>
      <c r="Q226" s="315"/>
      <c r="R226" s="316"/>
      <c r="S226" s="317">
        <f t="shared" si="51"/>
        <v>0</v>
      </c>
      <c r="T226" s="317">
        <f>VLOOKUP(F226, Data_Validation!$D$2:$G$15, 4, FALSE)</f>
        <v>72.5</v>
      </c>
      <c r="U226" s="317"/>
    </row>
    <row r="227" ht="20.25" customHeight="1" collapsed="1">
      <c r="A227" s="216" t="str">
        <f>IFERROR(__xludf.DUMMYFUNCTION("ARRAYFORMULA(IFERROR(VLOOKUP(REGEXEXTRACT(B227, ""-(\w+)-""), {Data_Validation!$F$16:$F$29, Data_Validation!$E$16:$E$29}, 2, FALSE), """"))
"),"TheMVP")</f>
        <v>TheMVP</v>
      </c>
      <c r="B227" s="265" t="s">
        <v>1773</v>
      </c>
      <c r="C227" s="265" t="s">
        <v>505</v>
      </c>
      <c r="E227" s="265" t="s">
        <v>21</v>
      </c>
      <c r="F227" s="265" t="s">
        <v>41</v>
      </c>
      <c r="G227" s="265" t="s">
        <v>79</v>
      </c>
      <c r="H227" s="320">
        <v>45195.0</v>
      </c>
      <c r="I227" s="308"/>
      <c r="J227" s="309">
        <v>6.0</v>
      </c>
      <c r="K227" s="318"/>
      <c r="L227" s="311"/>
      <c r="M227" s="312">
        <f>MIN(M228:M233)</f>
        <v>45195.3254</v>
      </c>
      <c r="N227" s="313">
        <f>MAX(N228:N233)</f>
        <v>45195.83018</v>
      </c>
      <c r="O227" s="314"/>
      <c r="P227" s="314"/>
      <c r="Q227" s="315"/>
      <c r="R227" s="316">
        <f t="shared" ref="R227:S227" si="52">SUM(R228:R233)</f>
        <v>0.1013888889</v>
      </c>
      <c r="S227" s="317">
        <f t="shared" si="52"/>
        <v>249</v>
      </c>
      <c r="T227" s="317">
        <f>AVERAGE(T228:T233)</f>
        <v>105.8333333</v>
      </c>
      <c r="U227" s="317"/>
    </row>
    <row r="228" ht="20.25" hidden="1" customHeight="1" outlineLevel="1">
      <c r="A228" s="216" t="str">
        <f>IFERROR(__xludf.DUMMYFUNCTION("ARRAYFORMULA(IFERROR(VLOOKUP(REGEXEXTRACT(B228, ""-(\w+)-""), {Data_Validation!$F$16:$F$29, Data_Validation!$E$16:$E$29}, 2, FALSE), """"))
"),"TheMVP")</f>
        <v>TheMVP</v>
      </c>
      <c r="B228" s="265" t="s">
        <v>1774</v>
      </c>
      <c r="D228" s="265" t="s">
        <v>25</v>
      </c>
      <c r="E228" s="265" t="s">
        <v>26</v>
      </c>
      <c r="F228" s="265" t="s">
        <v>22</v>
      </c>
      <c r="G228" s="265" t="s">
        <v>507</v>
      </c>
      <c r="H228" s="320">
        <v>45194.73787158565</v>
      </c>
      <c r="I228" s="309">
        <v>1.0</v>
      </c>
      <c r="K228" s="318"/>
      <c r="L228" s="311"/>
      <c r="M228" s="312">
        <v>45195.32539993056</v>
      </c>
      <c r="N228" s="313">
        <v>45195.35708061342</v>
      </c>
      <c r="O228" s="314" t="s">
        <v>508</v>
      </c>
      <c r="P228" s="314" t="s">
        <v>509</v>
      </c>
      <c r="Q228" s="319" t="s">
        <v>31</v>
      </c>
      <c r="R228" s="316">
        <v>0.029861111110221827</v>
      </c>
      <c r="S228" s="317">
        <f t="shared" ref="S228:S233" si="53">T228*24*R228</f>
        <v>89.58333333</v>
      </c>
      <c r="T228" s="317">
        <f>VLOOKUP(F228, Data_Validation!$D$2:$G$15, 4, FALSE)</f>
        <v>125</v>
      </c>
      <c r="U228" s="317"/>
    </row>
    <row r="229" ht="20.25" hidden="1" customHeight="1" outlineLevel="1">
      <c r="A229" s="216" t="str">
        <f>IFERROR(__xludf.DUMMYFUNCTION("ARRAYFORMULA(IFERROR(VLOOKUP(REGEXEXTRACT(B229, ""-(\w+)-""), {Data_Validation!$F$16:$F$29, Data_Validation!$E$16:$E$29}, 2, FALSE), """"))
"),"TheMVP")</f>
        <v>TheMVP</v>
      </c>
      <c r="B229" s="265" t="s">
        <v>1775</v>
      </c>
      <c r="D229" s="265" t="s">
        <v>112</v>
      </c>
      <c r="E229" s="265" t="s">
        <v>26</v>
      </c>
      <c r="F229" s="265" t="s">
        <v>22</v>
      </c>
      <c r="H229" s="320">
        <v>45194.0</v>
      </c>
      <c r="I229" s="309">
        <v>1.0</v>
      </c>
      <c r="K229" s="318"/>
      <c r="L229" s="311"/>
      <c r="M229" s="312"/>
      <c r="N229" s="313"/>
      <c r="O229" s="314"/>
      <c r="P229" s="314"/>
      <c r="Q229" s="315"/>
      <c r="R229" s="316"/>
      <c r="S229" s="317">
        <f t="shared" si="53"/>
        <v>0</v>
      </c>
      <c r="T229" s="317">
        <f>VLOOKUP(F229, Data_Validation!$D$2:$G$15, 4, FALSE)</f>
        <v>125</v>
      </c>
      <c r="U229" s="317"/>
    </row>
    <row r="230" ht="20.25" hidden="1" customHeight="1" outlineLevel="1">
      <c r="A230" s="216" t="str">
        <f>IFERROR(__xludf.DUMMYFUNCTION("ARRAYFORMULA(IFERROR(VLOOKUP(REGEXEXTRACT(B230, ""-(\w+)-""), {Data_Validation!$F$16:$F$29, Data_Validation!$E$16:$E$29}, 2, FALSE), """"))
"),"TheMVP")</f>
        <v>TheMVP</v>
      </c>
      <c r="B230" s="265" t="s">
        <v>1776</v>
      </c>
      <c r="D230" s="265" t="s">
        <v>38</v>
      </c>
      <c r="E230" s="265" t="s">
        <v>26</v>
      </c>
      <c r="F230" s="265" t="s">
        <v>22</v>
      </c>
      <c r="H230" s="320">
        <v>45194.73787158565</v>
      </c>
      <c r="I230" s="309">
        <v>1.0</v>
      </c>
      <c r="K230" s="318"/>
      <c r="L230" s="311"/>
      <c r="M230" s="312">
        <v>45195.402719907404</v>
      </c>
      <c r="N230" s="313">
        <v>45195.40975673611</v>
      </c>
      <c r="O230" s="314"/>
      <c r="P230" s="314"/>
      <c r="Q230" s="319" t="s">
        <v>31</v>
      </c>
      <c r="R230" s="316">
        <v>0.006944444445252884</v>
      </c>
      <c r="S230" s="317">
        <f t="shared" si="53"/>
        <v>20.83333334</v>
      </c>
      <c r="T230" s="317">
        <f>VLOOKUP(F230, Data_Validation!$D$2:$G$15, 4, FALSE)</f>
        <v>125</v>
      </c>
      <c r="U230" s="317"/>
    </row>
    <row r="231" ht="20.25" hidden="1" customHeight="1" outlineLevel="1">
      <c r="A231" s="216" t="str">
        <f>IFERROR(__xludf.DUMMYFUNCTION("ARRAYFORMULA(IFERROR(VLOOKUP(REGEXEXTRACT(B231, ""-(\w+)-""), {Data_Validation!$F$16:$F$29, Data_Validation!$E$16:$E$29}, 2, FALSE), """"))
"),"TheMVP")</f>
        <v>TheMVP</v>
      </c>
      <c r="B231" s="265" t="s">
        <v>1777</v>
      </c>
      <c r="D231" s="265" t="s">
        <v>40</v>
      </c>
      <c r="E231" s="265" t="s">
        <v>26</v>
      </c>
      <c r="F231" s="265" t="s">
        <v>27</v>
      </c>
      <c r="H231" s="320">
        <v>45194.0</v>
      </c>
      <c r="I231" s="309">
        <v>1.0</v>
      </c>
      <c r="K231" s="318"/>
      <c r="L231" s="311"/>
      <c r="M231" s="312">
        <v>45195.47182283565</v>
      </c>
      <c r="N231" s="313">
        <v>45195.830181006946</v>
      </c>
      <c r="O231" s="314" t="s">
        <v>513</v>
      </c>
      <c r="P231" s="314" t="s">
        <v>514</v>
      </c>
      <c r="Q231" s="319" t="s">
        <v>31</v>
      </c>
      <c r="R231" s="316">
        <v>0.03888888888832298</v>
      </c>
      <c r="S231" s="317">
        <f t="shared" si="53"/>
        <v>67.66666667</v>
      </c>
      <c r="T231" s="317">
        <f>VLOOKUP(F231, Data_Validation!$D$2:$G$15, 4, FALSE)</f>
        <v>72.5</v>
      </c>
      <c r="U231" s="317"/>
    </row>
    <row r="232" ht="20.25" hidden="1" customHeight="1" outlineLevel="1">
      <c r="A232" s="216" t="str">
        <f>IFERROR(__xludf.DUMMYFUNCTION("ARRAYFORMULA(IFERROR(VLOOKUP(REGEXEXTRACT(B232, ""-(\w+)-""), {Data_Validation!$F$16:$F$29, Data_Validation!$E$16:$E$29}, 2, FALSE), """"))
"),"TheMVP")</f>
        <v>TheMVP</v>
      </c>
      <c r="B232" s="265" t="s">
        <v>1778</v>
      </c>
      <c r="D232" s="265" t="s">
        <v>45</v>
      </c>
      <c r="E232" s="265" t="s">
        <v>26</v>
      </c>
      <c r="F232" s="265" t="s">
        <v>41</v>
      </c>
      <c r="H232" s="320">
        <v>45195.0</v>
      </c>
      <c r="I232" s="309">
        <v>1.0</v>
      </c>
      <c r="K232" s="318"/>
      <c r="L232" s="311"/>
      <c r="M232" s="312">
        <v>45195.60477979167</v>
      </c>
      <c r="N232" s="313">
        <v>45195.630935532405</v>
      </c>
      <c r="O232" s="314"/>
      <c r="P232" s="314"/>
      <c r="Q232" s="319" t="s">
        <v>31</v>
      </c>
      <c r="R232" s="316">
        <v>0.02569444444452529</v>
      </c>
      <c r="S232" s="317">
        <f t="shared" si="53"/>
        <v>70.91666667</v>
      </c>
      <c r="T232" s="317">
        <f>VLOOKUP(F232, Data_Validation!$D$2:$G$15, 4, FALSE)</f>
        <v>115</v>
      </c>
      <c r="U232" s="317"/>
    </row>
    <row r="233" ht="20.25" hidden="1" customHeight="1" outlineLevel="1">
      <c r="A233" s="216" t="str">
        <f>IFERROR(__xludf.DUMMYFUNCTION("ARRAYFORMULA(IFERROR(VLOOKUP(REGEXEXTRACT(B233, ""-(\w+)-""), {Data_Validation!$F$16:$F$29, Data_Validation!$E$16:$E$29}, 2, FALSE), """"))
"),"TheMVP")</f>
        <v>TheMVP</v>
      </c>
      <c r="B233" s="265" t="s">
        <v>1779</v>
      </c>
      <c r="D233" s="265" t="s">
        <v>47</v>
      </c>
      <c r="E233" s="265" t="s">
        <v>26</v>
      </c>
      <c r="F233" s="265" t="s">
        <v>27</v>
      </c>
      <c r="H233" s="320">
        <v>45195.0</v>
      </c>
      <c r="I233" s="309">
        <v>1.0</v>
      </c>
      <c r="K233" s="318"/>
      <c r="L233" s="311"/>
      <c r="M233" s="312"/>
      <c r="N233" s="313"/>
      <c r="O233" s="314"/>
      <c r="P233" s="314"/>
      <c r="Q233" s="315"/>
      <c r="R233" s="316"/>
      <c r="S233" s="317">
        <f t="shared" si="53"/>
        <v>0</v>
      </c>
      <c r="T233" s="317">
        <f>VLOOKUP(F233, Data_Validation!$D$2:$G$15, 4, FALSE)</f>
        <v>72.5</v>
      </c>
      <c r="U233" s="317"/>
    </row>
    <row r="234" ht="20.25" customHeight="1" collapsed="1">
      <c r="A234" s="216" t="str">
        <f>IFERROR(__xludf.DUMMYFUNCTION("ARRAYFORMULA(IFERROR(VLOOKUP(REGEXEXTRACT(B234, ""-(\w+)-""), {Data_Validation!$F$16:$F$29, Data_Validation!$E$16:$E$29}, 2, FALSE), """"))
"),"Emerson")</f>
        <v>Emerson</v>
      </c>
      <c r="B234" s="265" t="s">
        <v>1780</v>
      </c>
      <c r="C234" s="265" t="s">
        <v>1781</v>
      </c>
      <c r="E234" s="265" t="s">
        <v>963</v>
      </c>
      <c r="F234" s="265" t="s">
        <v>22</v>
      </c>
      <c r="G234" s="265" t="s">
        <v>23</v>
      </c>
      <c r="H234" s="307">
        <v>45196.0</v>
      </c>
      <c r="I234" s="308"/>
      <c r="J234" s="309">
        <v>7.0</v>
      </c>
      <c r="K234" s="318"/>
      <c r="L234" s="311"/>
      <c r="M234" s="312">
        <v>0.0</v>
      </c>
      <c r="N234" s="313">
        <v>0.0</v>
      </c>
      <c r="O234" s="314"/>
      <c r="P234" s="314"/>
      <c r="Q234" s="315"/>
      <c r="R234" s="316">
        <v>0.0</v>
      </c>
      <c r="S234" s="317">
        <f>SUM(S235:S241)</f>
        <v>0</v>
      </c>
      <c r="T234" s="317">
        <f>AVERAGE(T235:T241)</f>
        <v>125</v>
      </c>
      <c r="U234" s="317"/>
    </row>
    <row r="235" ht="20.25" hidden="1" customHeight="1" outlineLevel="1">
      <c r="A235" s="216" t="str">
        <f>IFERROR(__xludf.DUMMYFUNCTION("ARRAYFORMULA(IFERROR(VLOOKUP(REGEXEXTRACT(B235, ""-(\w+)-""), {Data_Validation!$F$16:$F$29, Data_Validation!$E$16:$E$29}, 2, FALSE), """"))
"),"Emerson")</f>
        <v>Emerson</v>
      </c>
      <c r="B235" s="265" t="s">
        <v>1782</v>
      </c>
      <c r="D235" s="265" t="s">
        <v>1783</v>
      </c>
      <c r="E235" s="265" t="s">
        <v>26</v>
      </c>
      <c r="F235" s="265" t="s">
        <v>22</v>
      </c>
      <c r="H235" s="307">
        <v>45195.0</v>
      </c>
      <c r="I235" s="309">
        <v>1.0</v>
      </c>
      <c r="K235" s="318"/>
      <c r="L235" s="311"/>
      <c r="M235" s="312"/>
      <c r="N235" s="313"/>
      <c r="O235" s="314"/>
      <c r="P235" s="314"/>
      <c r="Q235" s="315"/>
      <c r="R235" s="316"/>
      <c r="S235" s="317">
        <f t="shared" ref="S235:S241" si="54">T235*24*R235</f>
        <v>0</v>
      </c>
      <c r="T235" s="317">
        <f>VLOOKUP(F235, Data_Validation!$D$2:$G$15, 4, FALSE)</f>
        <v>125</v>
      </c>
      <c r="U235" s="317"/>
    </row>
    <row r="236" ht="20.25" hidden="1" customHeight="1" outlineLevel="1">
      <c r="A236" s="216" t="str">
        <f>IFERROR(__xludf.DUMMYFUNCTION("ARRAYFORMULA(IFERROR(VLOOKUP(REGEXEXTRACT(B236, ""-(\w+)-""), {Data_Validation!$F$16:$F$29, Data_Validation!$E$16:$E$29}, 2, FALSE), """"))
"),"Emerson")</f>
        <v>Emerson</v>
      </c>
      <c r="B236" s="265" t="s">
        <v>1784</v>
      </c>
      <c r="D236" s="265" t="s">
        <v>1785</v>
      </c>
      <c r="E236" s="265" t="s">
        <v>26</v>
      </c>
      <c r="F236" s="265" t="s">
        <v>22</v>
      </c>
      <c r="H236" s="307">
        <v>45195.0</v>
      </c>
      <c r="I236" s="309">
        <v>1.0</v>
      </c>
      <c r="K236" s="318"/>
      <c r="L236" s="311"/>
      <c r="M236" s="312"/>
      <c r="N236" s="313"/>
      <c r="O236" s="314"/>
      <c r="P236" s="314"/>
      <c r="Q236" s="315"/>
      <c r="R236" s="316"/>
      <c r="S236" s="317">
        <f t="shared" si="54"/>
        <v>0</v>
      </c>
      <c r="T236" s="317">
        <f>VLOOKUP(F236, Data_Validation!$D$2:$G$15, 4, FALSE)</f>
        <v>125</v>
      </c>
      <c r="U236" s="317"/>
    </row>
    <row r="237" ht="20.25" hidden="1" customHeight="1" outlineLevel="1">
      <c r="A237" s="216" t="str">
        <f>IFERROR(__xludf.DUMMYFUNCTION("ARRAYFORMULA(IFERROR(VLOOKUP(REGEXEXTRACT(B237, ""-(\w+)-""), {Data_Validation!$F$16:$F$29, Data_Validation!$E$16:$E$29}, 2, FALSE), """"))
"),"Emerson")</f>
        <v>Emerson</v>
      </c>
      <c r="B237" s="265" t="s">
        <v>1786</v>
      </c>
      <c r="D237" s="265" t="s">
        <v>1787</v>
      </c>
      <c r="E237" s="265" t="s">
        <v>26</v>
      </c>
      <c r="F237" s="265" t="s">
        <v>22</v>
      </c>
      <c r="H237" s="307">
        <v>45195.0</v>
      </c>
      <c r="I237" s="309">
        <v>1.0</v>
      </c>
      <c r="K237" s="318"/>
      <c r="L237" s="311"/>
      <c r="M237" s="312"/>
      <c r="N237" s="313"/>
      <c r="O237" s="314"/>
      <c r="P237" s="314"/>
      <c r="Q237" s="315"/>
      <c r="R237" s="316"/>
      <c r="S237" s="317">
        <f t="shared" si="54"/>
        <v>0</v>
      </c>
      <c r="T237" s="317">
        <f>VLOOKUP(F237, Data_Validation!$D$2:$G$15, 4, FALSE)</f>
        <v>125</v>
      </c>
      <c r="U237" s="317"/>
    </row>
    <row r="238" ht="20.25" hidden="1" customHeight="1" outlineLevel="1">
      <c r="A238" s="216" t="str">
        <f>IFERROR(__xludf.DUMMYFUNCTION("ARRAYFORMULA(IFERROR(VLOOKUP(REGEXEXTRACT(B238, ""-(\w+)-""), {Data_Validation!$F$16:$F$29, Data_Validation!$E$16:$E$29}, 2, FALSE), """"))
"),"Emerson")</f>
        <v>Emerson</v>
      </c>
      <c r="B238" s="265" t="s">
        <v>1788</v>
      </c>
      <c r="D238" s="265" t="s">
        <v>1789</v>
      </c>
      <c r="E238" s="265" t="s">
        <v>26</v>
      </c>
      <c r="F238" s="265" t="s">
        <v>22</v>
      </c>
      <c r="H238" s="307">
        <v>45195.0</v>
      </c>
      <c r="I238" s="309">
        <v>1.0</v>
      </c>
      <c r="K238" s="318"/>
      <c r="L238" s="311"/>
      <c r="M238" s="312"/>
      <c r="N238" s="313"/>
      <c r="O238" s="314"/>
      <c r="P238" s="314"/>
      <c r="Q238" s="315"/>
      <c r="R238" s="316"/>
      <c r="S238" s="317">
        <f t="shared" si="54"/>
        <v>0</v>
      </c>
      <c r="T238" s="317">
        <f>VLOOKUP(F238, Data_Validation!$D$2:$G$15, 4, FALSE)</f>
        <v>125</v>
      </c>
      <c r="U238" s="317"/>
    </row>
    <row r="239" ht="20.25" hidden="1" customHeight="1" outlineLevel="1">
      <c r="A239" s="216" t="str">
        <f>IFERROR(__xludf.DUMMYFUNCTION("ARRAYFORMULA(IFERROR(VLOOKUP(REGEXEXTRACT(B239, ""-(\w+)-""), {Data_Validation!$F$16:$F$29, Data_Validation!$E$16:$E$29}, 2, FALSE), """"))
"),"Emerson")</f>
        <v>Emerson</v>
      </c>
      <c r="B239" s="265" t="s">
        <v>1790</v>
      </c>
      <c r="D239" s="265" t="s">
        <v>1791</v>
      </c>
      <c r="E239" s="265" t="s">
        <v>26</v>
      </c>
      <c r="F239" s="265" t="s">
        <v>22</v>
      </c>
      <c r="H239" s="307">
        <v>45195.0</v>
      </c>
      <c r="I239" s="309">
        <v>1.0</v>
      </c>
      <c r="K239" s="318"/>
      <c r="L239" s="311"/>
      <c r="M239" s="312"/>
      <c r="N239" s="313"/>
      <c r="O239" s="314"/>
      <c r="P239" s="314"/>
      <c r="Q239" s="315"/>
      <c r="R239" s="316"/>
      <c r="S239" s="317">
        <f t="shared" si="54"/>
        <v>0</v>
      </c>
      <c r="T239" s="317">
        <f>VLOOKUP(F239, Data_Validation!$D$2:$G$15, 4, FALSE)</f>
        <v>125</v>
      </c>
      <c r="U239" s="317"/>
    </row>
    <row r="240" ht="20.25" hidden="1" customHeight="1" outlineLevel="1">
      <c r="A240" s="216" t="str">
        <f>IFERROR(__xludf.DUMMYFUNCTION("ARRAYFORMULA(IFERROR(VLOOKUP(REGEXEXTRACT(B240, ""-(\w+)-""), {Data_Validation!$F$16:$F$29, Data_Validation!$E$16:$E$29}, 2, FALSE), """"))
"),"Emerson")</f>
        <v>Emerson</v>
      </c>
      <c r="B240" s="265" t="s">
        <v>1792</v>
      </c>
      <c r="D240" s="265" t="s">
        <v>1793</v>
      </c>
      <c r="E240" s="265" t="s">
        <v>26</v>
      </c>
      <c r="F240" s="265" t="s">
        <v>22</v>
      </c>
      <c r="H240" s="307">
        <v>45195.0</v>
      </c>
      <c r="I240" s="309">
        <v>1.0</v>
      </c>
      <c r="K240" s="318"/>
      <c r="L240" s="311"/>
      <c r="M240" s="312"/>
      <c r="N240" s="313"/>
      <c r="O240" s="314"/>
      <c r="P240" s="314"/>
      <c r="Q240" s="315"/>
      <c r="R240" s="316"/>
      <c r="S240" s="317">
        <f t="shared" si="54"/>
        <v>0</v>
      </c>
      <c r="T240" s="317">
        <f>VLOOKUP(F240, Data_Validation!$D$2:$G$15, 4, FALSE)</f>
        <v>125</v>
      </c>
      <c r="U240" s="317"/>
    </row>
    <row r="241" ht="20.25" hidden="1" customHeight="1" outlineLevel="1">
      <c r="A241" s="216" t="str">
        <f>IFERROR(__xludf.DUMMYFUNCTION("ARRAYFORMULA(IFERROR(VLOOKUP(REGEXEXTRACT(B241, ""-(\w+)-""), {Data_Validation!$F$16:$F$29, Data_Validation!$E$16:$E$29}, 2, FALSE), """"))
"),"Emerson")</f>
        <v>Emerson</v>
      </c>
      <c r="B241" s="265" t="s">
        <v>1794</v>
      </c>
      <c r="D241" s="265" t="s">
        <v>1795</v>
      </c>
      <c r="E241" s="265" t="s">
        <v>220</v>
      </c>
      <c r="F241" s="265" t="s">
        <v>22</v>
      </c>
      <c r="H241" s="307">
        <v>45196.0</v>
      </c>
      <c r="I241" s="309">
        <v>0.5</v>
      </c>
      <c r="K241" s="318"/>
      <c r="L241" s="311"/>
      <c r="M241" s="312"/>
      <c r="N241" s="313"/>
      <c r="O241" s="314"/>
      <c r="P241" s="314"/>
      <c r="Q241" s="315"/>
      <c r="R241" s="316"/>
      <c r="S241" s="317">
        <f t="shared" si="54"/>
        <v>0</v>
      </c>
      <c r="T241" s="317">
        <f>VLOOKUP(F241, Data_Validation!$D$2:$G$15, 4, FALSE)</f>
        <v>125</v>
      </c>
      <c r="U241" s="317"/>
    </row>
    <row r="242" ht="20.25" customHeight="1" collapsed="1">
      <c r="A242" s="216" t="str">
        <f>IFERROR(__xludf.DUMMYFUNCTION("ARRAYFORMULA(IFERROR(VLOOKUP(REGEXEXTRACT(B242, ""-(\w+)-""), {Data_Validation!$F$16:$F$29, Data_Validation!$E$16:$E$29}, 2, FALSE), """"))
"),"Nvidia")</f>
        <v>Nvidia</v>
      </c>
      <c r="B242" s="265" t="s">
        <v>491</v>
      </c>
      <c r="C242" s="265" t="s">
        <v>492</v>
      </c>
      <c r="E242" s="265" t="s">
        <v>21</v>
      </c>
      <c r="F242" s="265" t="s">
        <v>41</v>
      </c>
      <c r="G242" s="265" t="s">
        <v>23</v>
      </c>
      <c r="H242" s="307">
        <v>45178.0</v>
      </c>
      <c r="I242" s="308"/>
      <c r="J242" s="309">
        <v>1.0</v>
      </c>
      <c r="K242" s="318"/>
      <c r="L242" s="311"/>
      <c r="M242" s="312"/>
      <c r="N242" s="313"/>
      <c r="O242" s="314"/>
      <c r="P242" s="314"/>
      <c r="Q242" s="315"/>
      <c r="R242" s="316"/>
      <c r="S242" s="316"/>
      <c r="T242" s="316"/>
      <c r="U242" s="316"/>
    </row>
    <row r="243" ht="20.25" hidden="1" customHeight="1" outlineLevel="1">
      <c r="A243" s="216" t="str">
        <f>IFERROR(__xludf.DUMMYFUNCTION("ARRAYFORMULA(IFERROR(VLOOKUP(REGEXEXTRACT(B243, ""-(\w+)-""), {Data_Validation!$F$16:$F$29, Data_Validation!$E$16:$E$29}, 2, FALSE), """"))
"),"Nvidia")</f>
        <v>Nvidia</v>
      </c>
      <c r="B243" s="265" t="s">
        <v>493</v>
      </c>
      <c r="D243" s="265" t="s">
        <v>25</v>
      </c>
      <c r="E243" s="265" t="s">
        <v>26</v>
      </c>
      <c r="F243" s="265" t="s">
        <v>22</v>
      </c>
      <c r="G243" s="265" t="s">
        <v>494</v>
      </c>
      <c r="H243" s="307">
        <v>45188.0</v>
      </c>
      <c r="I243" s="309">
        <v>1.0</v>
      </c>
      <c r="K243" s="318"/>
      <c r="L243" s="311"/>
      <c r="M243" s="312"/>
      <c r="N243" s="313"/>
      <c r="O243" s="314"/>
      <c r="P243" s="314"/>
      <c r="Q243" s="315"/>
      <c r="R243" s="316"/>
      <c r="S243" s="317">
        <f>T243*24*R243</f>
        <v>0</v>
      </c>
      <c r="T243" s="317">
        <f>VLOOKUP(F243, Data_Validation!$D$2:$G$15, 4, FALSE)</f>
        <v>125</v>
      </c>
      <c r="U243" s="317"/>
    </row>
    <row r="244" ht="20.25" customHeight="1" collapsed="1">
      <c r="A244" s="216" t="str">
        <f>IFERROR(__xludf.DUMMYFUNCTION("ARRAYFORMULA(IFERROR(VLOOKUP(REGEXEXTRACT(B244, ""-(\w+)-""), {Data_Validation!$F$16:$F$29, Data_Validation!$E$16:$E$29}, 2, FALSE), """"))
"),"Nvidia")</f>
        <v>Nvidia</v>
      </c>
      <c r="B244" s="265" t="s">
        <v>527</v>
      </c>
      <c r="C244" s="265" t="s">
        <v>505</v>
      </c>
      <c r="E244" s="265" t="s">
        <v>21</v>
      </c>
      <c r="F244" s="265" t="s">
        <v>41</v>
      </c>
      <c r="G244" s="265" t="s">
        <v>79</v>
      </c>
      <c r="H244" s="307">
        <v>45195.0</v>
      </c>
      <c r="I244" s="308"/>
      <c r="J244" s="309">
        <v>6.0</v>
      </c>
      <c r="K244" s="318"/>
      <c r="L244" s="311"/>
      <c r="M244" s="312">
        <v>45195.32539993056</v>
      </c>
      <c r="N244" s="313">
        <v>45195.830181006946</v>
      </c>
      <c r="O244" s="314"/>
      <c r="P244" s="314"/>
      <c r="Q244" s="315"/>
      <c r="R244" s="316">
        <v>0.42085817129554925</v>
      </c>
      <c r="S244" s="317">
        <f>SUM(S245:S250)</f>
        <v>804.8765514</v>
      </c>
      <c r="T244" s="317">
        <f>AVERAGE(T245:T250)</f>
        <v>105.8333333</v>
      </c>
      <c r="U244" s="317"/>
    </row>
    <row r="245" ht="20.25" hidden="1" customHeight="1" outlineLevel="1">
      <c r="A245" s="216" t="str">
        <f>IFERROR(__xludf.DUMMYFUNCTION("ARRAYFORMULA(IFERROR(VLOOKUP(REGEXEXTRACT(B245, ""-(\w+)-""), {Data_Validation!$F$16:$F$29, Data_Validation!$E$16:$E$29}, 2, FALSE), """"))
"),"Nvidia")</f>
        <v>Nvidia</v>
      </c>
      <c r="B245" s="265" t="s">
        <v>529</v>
      </c>
      <c r="D245" s="265" t="s">
        <v>25</v>
      </c>
      <c r="E245" s="265" t="s">
        <v>26</v>
      </c>
      <c r="F245" s="265" t="s">
        <v>22</v>
      </c>
      <c r="G245" s="265" t="s">
        <v>507</v>
      </c>
      <c r="H245" s="307">
        <v>45194.73787158565</v>
      </c>
      <c r="I245" s="309">
        <v>1.0</v>
      </c>
      <c r="K245" s="318"/>
      <c r="L245" s="311"/>
      <c r="M245" s="312">
        <v>45195.32539993056</v>
      </c>
      <c r="N245" s="313">
        <v>45195.35708061342</v>
      </c>
      <c r="O245" s="314" t="s">
        <v>508</v>
      </c>
      <c r="P245" s="314" t="s">
        <v>509</v>
      </c>
      <c r="Q245" s="319" t="s">
        <v>31</v>
      </c>
      <c r="R245" s="316">
        <v>0.029861111110221827</v>
      </c>
      <c r="S245" s="317">
        <f t="shared" ref="S245:S250" si="55">T245*24*R245</f>
        <v>89.58333333</v>
      </c>
      <c r="T245" s="317">
        <f>VLOOKUP(F245, Data_Validation!$D$2:$G$15, 4, FALSE)</f>
        <v>125</v>
      </c>
      <c r="U245" s="317"/>
    </row>
    <row r="246" ht="20.25" hidden="1" customHeight="1" outlineLevel="1">
      <c r="A246" s="216" t="str">
        <f>IFERROR(__xludf.DUMMYFUNCTION("ARRAYFORMULA(IFERROR(VLOOKUP(REGEXEXTRACT(B246, ""-(\w+)-""), {Data_Validation!$F$16:$F$29, Data_Validation!$E$16:$E$29}, 2, FALSE), """"))
"),"Nvidia")</f>
        <v>Nvidia</v>
      </c>
      <c r="B246" s="265" t="s">
        <v>531</v>
      </c>
      <c r="D246" s="265" t="s">
        <v>112</v>
      </c>
      <c r="E246" s="265" t="s">
        <v>26</v>
      </c>
      <c r="F246" s="265" t="s">
        <v>22</v>
      </c>
      <c r="H246" s="307">
        <v>45194.0</v>
      </c>
      <c r="I246" s="309">
        <v>1.0</v>
      </c>
      <c r="K246" s="318"/>
      <c r="L246" s="311"/>
      <c r="M246" s="312"/>
      <c r="N246" s="313"/>
      <c r="O246" s="314"/>
      <c r="P246" s="314"/>
      <c r="Q246" s="315"/>
      <c r="R246" s="316"/>
      <c r="S246" s="317">
        <f t="shared" si="55"/>
        <v>0</v>
      </c>
      <c r="T246" s="317">
        <f>VLOOKUP(F246, Data_Validation!$D$2:$G$15, 4, FALSE)</f>
        <v>125</v>
      </c>
      <c r="U246" s="317"/>
    </row>
    <row r="247" ht="20.25" hidden="1" customHeight="1" outlineLevel="1">
      <c r="A247" s="216" t="str">
        <f>IFERROR(__xludf.DUMMYFUNCTION("ARRAYFORMULA(IFERROR(VLOOKUP(REGEXEXTRACT(B247, ""-(\w+)-""), {Data_Validation!$F$16:$F$29, Data_Validation!$E$16:$E$29}, 2, FALSE), """"))
"),"Nvidia")</f>
        <v>Nvidia</v>
      </c>
      <c r="B247" s="265" t="s">
        <v>1796</v>
      </c>
      <c r="D247" s="265" t="s">
        <v>38</v>
      </c>
      <c r="E247" s="265" t="s">
        <v>26</v>
      </c>
      <c r="F247" s="265" t="s">
        <v>22</v>
      </c>
      <c r="H247" s="307">
        <v>45194.73787158565</v>
      </c>
      <c r="I247" s="309">
        <v>1.0</v>
      </c>
      <c r="K247" s="318"/>
      <c r="L247" s="311"/>
      <c r="M247" s="312">
        <v>45195.402719907404</v>
      </c>
      <c r="N247" s="313">
        <v>45195.40975673611</v>
      </c>
      <c r="O247" s="314"/>
      <c r="P247" s="314"/>
      <c r="Q247" s="319" t="s">
        <v>31</v>
      </c>
      <c r="R247" s="316">
        <v>0.006944444445252884</v>
      </c>
      <c r="S247" s="317">
        <f t="shared" si="55"/>
        <v>20.83333334</v>
      </c>
      <c r="T247" s="317">
        <f>VLOOKUP(F247, Data_Validation!$D$2:$G$15, 4, FALSE)</f>
        <v>125</v>
      </c>
      <c r="U247" s="317"/>
    </row>
    <row r="248" ht="20.25" hidden="1" customHeight="1" outlineLevel="1">
      <c r="A248" s="216" t="str">
        <f>IFERROR(__xludf.DUMMYFUNCTION("ARRAYFORMULA(IFERROR(VLOOKUP(REGEXEXTRACT(B248, ""-(\w+)-""), {Data_Validation!$F$16:$F$29, Data_Validation!$E$16:$E$29}, 2, FALSE), """"))
"),"Nvidia")</f>
        <v>Nvidia</v>
      </c>
      <c r="B248" s="265" t="s">
        <v>532</v>
      </c>
      <c r="D248" s="265" t="s">
        <v>40</v>
      </c>
      <c r="E248" s="265" t="s">
        <v>26</v>
      </c>
      <c r="F248" s="265" t="s">
        <v>27</v>
      </c>
      <c r="H248" s="307">
        <v>45194.0</v>
      </c>
      <c r="I248" s="309">
        <v>1.0</v>
      </c>
      <c r="K248" s="318"/>
      <c r="L248" s="311"/>
      <c r="M248" s="312">
        <v>45195.47182283565</v>
      </c>
      <c r="N248" s="313">
        <v>45195.830181006946</v>
      </c>
      <c r="O248" s="314" t="s">
        <v>513</v>
      </c>
      <c r="P248" s="314" t="s">
        <v>514</v>
      </c>
      <c r="Q248" s="319" t="s">
        <v>31</v>
      </c>
      <c r="R248" s="316">
        <v>0.35835817129554925</v>
      </c>
      <c r="S248" s="317">
        <f t="shared" si="55"/>
        <v>623.5432181</v>
      </c>
      <c r="T248" s="317">
        <f>VLOOKUP(F248, Data_Validation!$D$2:$G$15, 4, FALSE)</f>
        <v>72.5</v>
      </c>
      <c r="U248" s="317"/>
    </row>
    <row r="249" ht="20.25" hidden="1" customHeight="1" outlineLevel="1">
      <c r="A249" s="216" t="str">
        <f>IFERROR(__xludf.DUMMYFUNCTION("ARRAYFORMULA(IFERROR(VLOOKUP(REGEXEXTRACT(B249, ""-(\w+)-""), {Data_Validation!$F$16:$F$29, Data_Validation!$E$16:$E$29}, 2, FALSE), """"))
"),"Nvidia")</f>
        <v>Nvidia</v>
      </c>
      <c r="B249" s="265" t="s">
        <v>534</v>
      </c>
      <c r="D249" s="265" t="s">
        <v>45</v>
      </c>
      <c r="E249" s="265" t="s">
        <v>26</v>
      </c>
      <c r="F249" s="265" t="s">
        <v>41</v>
      </c>
      <c r="H249" s="307">
        <v>45195.0</v>
      </c>
      <c r="I249" s="309">
        <v>1.0</v>
      </c>
      <c r="K249" s="318"/>
      <c r="L249" s="311"/>
      <c r="M249" s="312">
        <v>45195.60477979167</v>
      </c>
      <c r="N249" s="313">
        <v>45195.630935532405</v>
      </c>
      <c r="O249" s="314"/>
      <c r="P249" s="314"/>
      <c r="Q249" s="319" t="s">
        <v>31</v>
      </c>
      <c r="R249" s="316">
        <v>0.02569444444452529</v>
      </c>
      <c r="S249" s="317">
        <f t="shared" si="55"/>
        <v>70.91666667</v>
      </c>
      <c r="T249" s="317">
        <f>VLOOKUP(F249, Data_Validation!$D$2:$G$15, 4, FALSE)</f>
        <v>115</v>
      </c>
      <c r="U249" s="317"/>
    </row>
    <row r="250" ht="20.25" hidden="1" customHeight="1" outlineLevel="1">
      <c r="A250" s="216" t="str">
        <f>IFERROR(__xludf.DUMMYFUNCTION("ARRAYFORMULA(IFERROR(VLOOKUP(REGEXEXTRACT(B250, ""-(\w+)-""), {Data_Validation!$F$16:$F$29, Data_Validation!$E$16:$E$29}, 2, FALSE), """"))
"),"Nvidia")</f>
        <v>Nvidia</v>
      </c>
      <c r="B250" s="265" t="s">
        <v>538</v>
      </c>
      <c r="D250" s="265" t="s">
        <v>47</v>
      </c>
      <c r="E250" s="265" t="s">
        <v>26</v>
      </c>
      <c r="F250" s="265" t="s">
        <v>27</v>
      </c>
      <c r="H250" s="307">
        <v>45195.0</v>
      </c>
      <c r="I250" s="309">
        <v>1.0</v>
      </c>
      <c r="K250" s="318"/>
      <c r="L250" s="311"/>
      <c r="M250" s="312"/>
      <c r="N250" s="313"/>
      <c r="O250" s="314"/>
      <c r="P250" s="314"/>
      <c r="Q250" s="315"/>
      <c r="R250" s="316"/>
      <c r="S250" s="317">
        <f t="shared" si="55"/>
        <v>0</v>
      </c>
      <c r="T250" s="317">
        <f>VLOOKUP(F250, Data_Validation!$D$2:$G$15, 4, FALSE)</f>
        <v>72.5</v>
      </c>
      <c r="U250" s="317"/>
    </row>
    <row r="251" ht="20.25" customHeight="1" collapsed="1">
      <c r="A251" s="216" t="str">
        <f>IFERROR(__xludf.DUMMYFUNCTION("ARRAYFORMULA(IFERROR(VLOOKUP(REGEXEXTRACT(B251, ""-(\w+)-""), {Data_Validation!$F$16:$F$29, Data_Validation!$E$16:$E$29}, 2, FALSE), """"))
"),"TheMVP")</f>
        <v>TheMVP</v>
      </c>
      <c r="B251" s="265" t="s">
        <v>1797</v>
      </c>
      <c r="C251" s="265" t="s">
        <v>1798</v>
      </c>
      <c r="E251" s="265" t="s">
        <v>51</v>
      </c>
      <c r="F251" s="265" t="s">
        <v>48</v>
      </c>
      <c r="G251" s="265" t="s">
        <v>89</v>
      </c>
      <c r="H251" s="320">
        <v>45196.0</v>
      </c>
      <c r="I251" s="308"/>
      <c r="J251" s="309">
        <v>4.0</v>
      </c>
      <c r="K251" s="318"/>
      <c r="L251" s="311"/>
      <c r="M251" s="312">
        <f>MIN(M252:M255)</f>
        <v>45162.66509</v>
      </c>
      <c r="N251" s="313">
        <f>MAX(N252:N255)</f>
        <v>45178.73944</v>
      </c>
      <c r="O251" s="314"/>
      <c r="P251" s="314"/>
      <c r="Q251" s="315"/>
      <c r="R251" s="316">
        <f t="shared" ref="R251:S251" si="56">SUM(R252:R255)</f>
        <v>0.1694444444</v>
      </c>
      <c r="S251" s="317">
        <f t="shared" si="56"/>
        <v>353.9166667</v>
      </c>
      <c r="T251" s="317">
        <f>AVERAGE(T252:T255)</f>
        <v>101.875</v>
      </c>
      <c r="U251" s="317"/>
    </row>
    <row r="252" ht="20.25" hidden="1" customHeight="1" outlineLevel="1">
      <c r="A252" s="216" t="str">
        <f>IFERROR(__xludf.DUMMYFUNCTION("ARRAYFORMULA(IFERROR(VLOOKUP(REGEXEXTRACT(B252, ""-(\w+)-""), {Data_Validation!$F$16:$F$29, Data_Validation!$E$16:$E$29}, 2, FALSE), """"))
"),"TheMVP")</f>
        <v>TheMVP</v>
      </c>
      <c r="B252" s="265" t="s">
        <v>1799</v>
      </c>
      <c r="D252" s="265" t="s">
        <v>25</v>
      </c>
      <c r="E252" s="265" t="s">
        <v>26</v>
      </c>
      <c r="F252" s="265" t="s">
        <v>22</v>
      </c>
      <c r="H252" s="320">
        <v>45196.0</v>
      </c>
      <c r="I252" s="309">
        <v>1.0</v>
      </c>
      <c r="K252" s="318"/>
      <c r="L252" s="311"/>
      <c r="M252" s="312"/>
      <c r="N252" s="313"/>
      <c r="O252" s="314"/>
      <c r="P252" s="314"/>
      <c r="Q252" s="315"/>
      <c r="R252" s="316"/>
      <c r="S252" s="317">
        <f t="shared" ref="S252:S255" si="57">T252*24*R252</f>
        <v>0</v>
      </c>
      <c r="T252" s="317">
        <f>VLOOKUP(F252, Data_Validation!$D$2:$G$15, 4, FALSE)</f>
        <v>125</v>
      </c>
      <c r="U252" s="317"/>
    </row>
    <row r="253" ht="20.25" hidden="1" customHeight="1" outlineLevel="1">
      <c r="A253" s="216" t="str">
        <f>IFERROR(__xludf.DUMMYFUNCTION("ARRAYFORMULA(IFERROR(VLOOKUP(REGEXEXTRACT(B253, ""-(\w+)-""), {Data_Validation!$F$16:$F$29, Data_Validation!$E$16:$E$29}, 2, FALSE), """"))
"),"TheMVP")</f>
        <v>TheMVP</v>
      </c>
      <c r="B253" s="265" t="s">
        <v>1800</v>
      </c>
      <c r="D253" s="265" t="s">
        <v>33</v>
      </c>
      <c r="E253" s="265" t="s">
        <v>26</v>
      </c>
      <c r="F253" s="265" t="s">
        <v>747</v>
      </c>
      <c r="H253" s="320">
        <v>45162.0</v>
      </c>
      <c r="I253" s="309">
        <v>1.0</v>
      </c>
      <c r="K253" s="318"/>
      <c r="L253" s="311"/>
      <c r="M253" s="312">
        <v>45162.66509422453</v>
      </c>
      <c r="N253" s="313">
        <v>45162.81123850694</v>
      </c>
      <c r="O253" s="314"/>
      <c r="P253" s="314"/>
      <c r="Q253" s="319" t="s">
        <v>31</v>
      </c>
      <c r="R253" s="316">
        <v>0.14583333333212067</v>
      </c>
      <c r="S253" s="317">
        <f t="shared" si="57"/>
        <v>288.75</v>
      </c>
      <c r="T253" s="317">
        <f>VLOOKUP(F253, Data_Validation!$D$2:$G$15, 4, FALSE)</f>
        <v>82.5</v>
      </c>
      <c r="U253" s="317"/>
    </row>
    <row r="254" ht="20.25" hidden="1" customHeight="1" outlineLevel="1">
      <c r="A254" s="216" t="str">
        <f>IFERROR(__xludf.DUMMYFUNCTION("ARRAYFORMULA(IFERROR(VLOOKUP(REGEXEXTRACT(B254, ""-(\w+)-""), {Data_Validation!$F$16:$F$29, Data_Validation!$E$16:$E$29}, 2, FALSE), """"))
"),"TheMVP")</f>
        <v>TheMVP</v>
      </c>
      <c r="B254" s="265" t="s">
        <v>1801</v>
      </c>
      <c r="D254" s="265" t="s">
        <v>40</v>
      </c>
      <c r="E254" s="265" t="s">
        <v>26</v>
      </c>
      <c r="F254" s="265" t="s">
        <v>41</v>
      </c>
      <c r="H254" s="320">
        <v>45177.0</v>
      </c>
      <c r="I254" s="309">
        <v>1.0</v>
      </c>
      <c r="K254" s="318"/>
      <c r="L254" s="311"/>
      <c r="M254" s="312">
        <v>45178.71533334491</v>
      </c>
      <c r="N254" s="313">
        <v>45178.73944045139</v>
      </c>
      <c r="O254" s="314"/>
      <c r="P254" s="314"/>
      <c r="Q254" s="319" t="s">
        <v>31</v>
      </c>
      <c r="R254" s="316">
        <v>0.02361111111167702</v>
      </c>
      <c r="S254" s="317">
        <f t="shared" si="57"/>
        <v>65.16666667</v>
      </c>
      <c r="T254" s="317">
        <f>VLOOKUP(F254, Data_Validation!$D$2:$G$15, 4, FALSE)</f>
        <v>115</v>
      </c>
      <c r="U254" s="317"/>
    </row>
    <row r="255" ht="20.25" hidden="1" customHeight="1" outlineLevel="1">
      <c r="A255" s="216" t="str">
        <f>IFERROR(__xludf.DUMMYFUNCTION("ARRAYFORMULA(IFERROR(VLOOKUP(REGEXEXTRACT(B255, ""-(\w+)-""), {Data_Validation!$F$16:$F$29, Data_Validation!$E$16:$E$29}, 2, FALSE), """"))
"),"TheMVP")</f>
        <v>TheMVP</v>
      </c>
      <c r="B255" s="265" t="s">
        <v>1802</v>
      </c>
      <c r="D255" s="265" t="s">
        <v>47</v>
      </c>
      <c r="E255" s="265" t="s">
        <v>26</v>
      </c>
      <c r="F255" s="265" t="s">
        <v>48</v>
      </c>
      <c r="H255" s="320">
        <v>45196.0</v>
      </c>
      <c r="I255" s="309">
        <v>1.0</v>
      </c>
      <c r="K255" s="318"/>
      <c r="L255" s="311"/>
      <c r="M255" s="312"/>
      <c r="N255" s="313"/>
      <c r="O255" s="314"/>
      <c r="P255" s="314"/>
      <c r="Q255" s="315"/>
      <c r="R255" s="316"/>
      <c r="S255" s="317">
        <f t="shared" si="57"/>
        <v>0</v>
      </c>
      <c r="T255" s="317">
        <f>VLOOKUP(F255, Data_Validation!$D$2:$G$15, 4, FALSE)</f>
        <v>85</v>
      </c>
      <c r="U255" s="317"/>
    </row>
    <row r="256" ht="20.25" customHeight="1" collapsed="1">
      <c r="A256" s="216" t="str">
        <f>IFERROR(__xludf.DUMMYFUNCTION("ARRAYFORMULA(IFERROR(VLOOKUP(REGEXEXTRACT(B256, ""-(\w+)-""), {Data_Validation!$F$16:$F$29, Data_Validation!$E$16:$E$29}, 2, FALSE), """"))
"),"TheMVP")</f>
        <v>TheMVP</v>
      </c>
      <c r="B256" s="265" t="s">
        <v>1803</v>
      </c>
      <c r="C256" s="265" t="s">
        <v>1804</v>
      </c>
      <c r="E256" s="265" t="s">
        <v>21</v>
      </c>
      <c r="F256" s="265" t="s">
        <v>27</v>
      </c>
      <c r="G256" s="265" t="s">
        <v>63</v>
      </c>
      <c r="H256" s="320">
        <v>45197.0</v>
      </c>
      <c r="I256" s="308"/>
      <c r="J256" s="309">
        <v>7.0</v>
      </c>
      <c r="K256" s="318"/>
      <c r="L256" s="311"/>
      <c r="M256" s="312">
        <v>45190.47865740741</v>
      </c>
      <c r="N256" s="313">
        <v>45197.90172012732</v>
      </c>
      <c r="O256" s="314"/>
      <c r="P256" s="314"/>
      <c r="Q256" s="315"/>
      <c r="R256" s="316">
        <v>0.35208333333503106</v>
      </c>
      <c r="S256" s="317">
        <f>SUM(S257:S263)</f>
        <v>831.4166667</v>
      </c>
      <c r="T256" s="317">
        <f>AVERAGE(T257:T263)</f>
        <v>105</v>
      </c>
      <c r="U256" s="317"/>
    </row>
    <row r="257" ht="20.25" hidden="1" customHeight="1" outlineLevel="1">
      <c r="A257" s="216" t="str">
        <f>IFERROR(__xludf.DUMMYFUNCTION("ARRAYFORMULA(IFERROR(VLOOKUP(REGEXEXTRACT(B257, ""-(\w+)-""), {Data_Validation!$F$16:$F$29, Data_Validation!$E$16:$E$29}, 2, FALSE), """"))
"),"TheMVP")</f>
        <v>TheMVP</v>
      </c>
      <c r="B257" s="265" t="s">
        <v>1805</v>
      </c>
      <c r="D257" s="265" t="s">
        <v>25</v>
      </c>
      <c r="E257" s="265" t="s">
        <v>26</v>
      </c>
      <c r="F257" s="265" t="s">
        <v>22</v>
      </c>
      <c r="G257" s="265" t="s">
        <v>1806</v>
      </c>
      <c r="H257" s="320">
        <v>45194.0</v>
      </c>
      <c r="I257" s="309">
        <v>1.0</v>
      </c>
      <c r="K257" s="318"/>
      <c r="L257" s="311"/>
      <c r="M257" s="312">
        <v>45190.47865740741</v>
      </c>
      <c r="N257" s="313">
        <v>45194.74673783565</v>
      </c>
      <c r="O257" s="314" t="s">
        <v>1807</v>
      </c>
      <c r="P257" s="314" t="s">
        <v>1808</v>
      </c>
      <c r="Q257" s="319" t="s">
        <v>31</v>
      </c>
      <c r="R257" s="316">
        <v>0.0618055555569299</v>
      </c>
      <c r="S257" s="317">
        <f t="shared" ref="S257:S263" si="58">T257*24*R257</f>
        <v>185.4166667</v>
      </c>
      <c r="T257" s="317">
        <f>VLOOKUP(F257, Data_Validation!$D$2:$G$15, 4, FALSE)</f>
        <v>125</v>
      </c>
      <c r="U257" s="317"/>
    </row>
    <row r="258" ht="20.25" hidden="1" customHeight="1" outlineLevel="1">
      <c r="A258" s="216" t="str">
        <f>IFERROR(__xludf.DUMMYFUNCTION("ARRAYFORMULA(IFERROR(VLOOKUP(REGEXEXTRACT(B258, ""-(\w+)-""), {Data_Validation!$F$16:$F$29, Data_Validation!$E$16:$E$29}, 2, FALSE), """"))
"),"TheMVP")</f>
        <v>TheMVP</v>
      </c>
      <c r="B258" s="265" t="s">
        <v>1809</v>
      </c>
      <c r="D258" s="265" t="s">
        <v>33</v>
      </c>
      <c r="E258" s="265" t="s">
        <v>26</v>
      </c>
      <c r="F258" s="265" t="s">
        <v>41</v>
      </c>
      <c r="H258" s="320">
        <v>45194.0</v>
      </c>
      <c r="I258" s="309">
        <v>1.0</v>
      </c>
      <c r="K258" s="318"/>
      <c r="L258" s="311"/>
      <c r="M258" s="312">
        <v>45194.75606233796</v>
      </c>
      <c r="N258" s="313"/>
      <c r="O258" s="314" t="s">
        <v>1810</v>
      </c>
      <c r="P258" s="314"/>
      <c r="Q258" s="319" t="s">
        <v>31</v>
      </c>
      <c r="R258" s="316">
        <v>0.05625000000145519</v>
      </c>
      <c r="S258" s="317">
        <f t="shared" si="58"/>
        <v>155.25</v>
      </c>
      <c r="T258" s="317">
        <f>VLOOKUP(F258, Data_Validation!$D$2:$G$15, 4, FALSE)</f>
        <v>115</v>
      </c>
      <c r="U258" s="317"/>
    </row>
    <row r="259" ht="20.25" hidden="1" customHeight="1" outlineLevel="1">
      <c r="A259" s="216" t="str">
        <f>IFERROR(__xludf.DUMMYFUNCTION("ARRAYFORMULA(IFERROR(VLOOKUP(REGEXEXTRACT(B259, ""-(\w+)-""), {Data_Validation!$F$16:$F$29, Data_Validation!$E$16:$E$29}, 2, FALSE), """"))
"),"TheMVP")</f>
        <v>TheMVP</v>
      </c>
      <c r="B259" s="265" t="s">
        <v>1811</v>
      </c>
      <c r="D259" s="265" t="s">
        <v>112</v>
      </c>
      <c r="E259" s="265" t="s">
        <v>26</v>
      </c>
      <c r="F259" s="265" t="s">
        <v>48</v>
      </c>
      <c r="H259" s="320">
        <v>45195.0</v>
      </c>
      <c r="I259" s="309">
        <v>1.0</v>
      </c>
      <c r="K259" s="318"/>
      <c r="L259" s="311"/>
      <c r="M259" s="312">
        <v>45196.66331280093</v>
      </c>
      <c r="N259" s="313">
        <v>45196.67111899305</v>
      </c>
      <c r="O259" s="314"/>
      <c r="P259" s="314"/>
      <c r="Q259" s="319" t="s">
        <v>31</v>
      </c>
      <c r="R259" s="316">
        <v>0.007638888888322981</v>
      </c>
      <c r="S259" s="317">
        <f t="shared" si="58"/>
        <v>15.58333333</v>
      </c>
      <c r="T259" s="317">
        <f>VLOOKUP(F259, Data_Validation!$D$2:$G$15, 4, FALSE)</f>
        <v>85</v>
      </c>
      <c r="U259" s="317"/>
    </row>
    <row r="260" ht="20.25" hidden="1" customHeight="1" outlineLevel="1">
      <c r="A260" s="216" t="str">
        <f>IFERROR(__xludf.DUMMYFUNCTION("ARRAYFORMULA(IFERROR(VLOOKUP(REGEXEXTRACT(B260, ""-(\w+)-""), {Data_Validation!$F$16:$F$29, Data_Validation!$E$16:$E$29}, 2, FALSE), """"))
"),"TheMVP")</f>
        <v>TheMVP</v>
      </c>
      <c r="B260" s="265" t="s">
        <v>1812</v>
      </c>
      <c r="D260" s="265" t="s">
        <v>38</v>
      </c>
      <c r="E260" s="265" t="s">
        <v>26</v>
      </c>
      <c r="F260" s="265" t="s">
        <v>22</v>
      </c>
      <c r="H260" s="320">
        <v>45195.0</v>
      </c>
      <c r="I260" s="309">
        <v>1.0</v>
      </c>
      <c r="K260" s="318"/>
      <c r="L260" s="311"/>
      <c r="M260" s="312">
        <v>45195.310578703706</v>
      </c>
      <c r="N260" s="313">
        <v>45195.32457355324</v>
      </c>
      <c r="O260" s="314"/>
      <c r="P260" s="314"/>
      <c r="Q260" s="319" t="s">
        <v>31</v>
      </c>
      <c r="R260" s="316">
        <v>0.013888888890505768</v>
      </c>
      <c r="S260" s="317">
        <f t="shared" si="58"/>
        <v>41.66666667</v>
      </c>
      <c r="T260" s="317">
        <f>VLOOKUP(F260, Data_Validation!$D$2:$G$15, 4, FALSE)</f>
        <v>125</v>
      </c>
      <c r="U260" s="317"/>
    </row>
    <row r="261" ht="20.25" hidden="1" customHeight="1" outlineLevel="1">
      <c r="A261" s="216" t="str">
        <f>IFERROR(__xludf.DUMMYFUNCTION("ARRAYFORMULA(IFERROR(VLOOKUP(REGEXEXTRACT(B261, ""-(\w+)-""), {Data_Validation!$F$16:$F$29, Data_Validation!$E$16:$E$29}, 2, FALSE), """"))
"),"TheMVP")</f>
        <v>TheMVP</v>
      </c>
      <c r="B261" s="265" t="s">
        <v>1813</v>
      </c>
      <c r="D261" s="265" t="s">
        <v>40</v>
      </c>
      <c r="E261" s="265" t="s">
        <v>26</v>
      </c>
      <c r="F261" s="265" t="s">
        <v>48</v>
      </c>
      <c r="H261" s="320">
        <v>45195.0</v>
      </c>
      <c r="I261" s="309">
        <v>1.0</v>
      </c>
      <c r="K261" s="318"/>
      <c r="L261" s="311"/>
      <c r="M261" s="312">
        <v>45195.53901083334</v>
      </c>
      <c r="N261" s="313">
        <v>45197.90172012732</v>
      </c>
      <c r="O261" s="314" t="s">
        <v>1814</v>
      </c>
      <c r="P261" s="314" t="s">
        <v>1815</v>
      </c>
      <c r="Q261" s="319" t="s">
        <v>31</v>
      </c>
      <c r="R261" s="316">
        <v>0.2125000000014552</v>
      </c>
      <c r="S261" s="317">
        <f t="shared" si="58"/>
        <v>433.5</v>
      </c>
      <c r="T261" s="317">
        <f>VLOOKUP(F261, Data_Validation!$D$2:$G$15, 4, FALSE)</f>
        <v>85</v>
      </c>
      <c r="U261" s="317"/>
    </row>
    <row r="262" ht="20.25" hidden="1" customHeight="1" outlineLevel="1">
      <c r="A262" s="216" t="str">
        <f>IFERROR(__xludf.DUMMYFUNCTION("ARRAYFORMULA(IFERROR(VLOOKUP(REGEXEXTRACT(B262, ""-(\w+)-""), {Data_Validation!$F$16:$F$29, Data_Validation!$E$16:$E$29}, 2, FALSE), """"))
"),"TheMVP")</f>
        <v>TheMVP</v>
      </c>
      <c r="B262" s="265" t="s">
        <v>1816</v>
      </c>
      <c r="D262" s="265" t="s">
        <v>45</v>
      </c>
      <c r="E262" s="265" t="s">
        <v>26</v>
      </c>
      <c r="F262" s="265" t="s">
        <v>41</v>
      </c>
      <c r="H262" s="320">
        <v>45196.0</v>
      </c>
      <c r="I262" s="309">
        <v>1.0</v>
      </c>
      <c r="K262" s="318"/>
      <c r="L262" s="311"/>
      <c r="M262" s="312">
        <v>45197.632602129626</v>
      </c>
      <c r="N262" s="313"/>
      <c r="O262" s="314" t="s">
        <v>1817</v>
      </c>
      <c r="P262" s="314"/>
      <c r="Q262" s="319" t="s">
        <v>309</v>
      </c>
      <c r="R262" s="316"/>
      <c r="S262" s="317">
        <f t="shared" si="58"/>
        <v>0</v>
      </c>
      <c r="T262" s="317">
        <f>VLOOKUP(F262, Data_Validation!$D$2:$G$15, 4, FALSE)</f>
        <v>115</v>
      </c>
      <c r="U262" s="317"/>
    </row>
    <row r="263" ht="20.25" hidden="1" customHeight="1" outlineLevel="1">
      <c r="A263" s="216" t="str">
        <f>IFERROR(__xludf.DUMMYFUNCTION("ARRAYFORMULA(IFERROR(VLOOKUP(REGEXEXTRACT(B263, ""-(\w+)-""), {Data_Validation!$F$16:$F$29, Data_Validation!$E$16:$E$29}, 2, FALSE), """"))
"),"TheMVP")</f>
        <v>TheMVP</v>
      </c>
      <c r="B263" s="265" t="s">
        <v>1818</v>
      </c>
      <c r="D263" s="265" t="s">
        <v>47</v>
      </c>
      <c r="E263" s="265" t="s">
        <v>26</v>
      </c>
      <c r="F263" s="265" t="s">
        <v>48</v>
      </c>
      <c r="H263" s="320">
        <v>45197.0</v>
      </c>
      <c r="I263" s="309">
        <v>1.0</v>
      </c>
      <c r="K263" s="318"/>
      <c r="L263" s="311"/>
      <c r="M263" s="312"/>
      <c r="N263" s="313"/>
      <c r="O263" s="314"/>
      <c r="P263" s="314"/>
      <c r="Q263" s="315"/>
      <c r="R263" s="316"/>
      <c r="S263" s="317">
        <f t="shared" si="58"/>
        <v>0</v>
      </c>
      <c r="T263" s="317">
        <f>VLOOKUP(F263, Data_Validation!$D$2:$G$15, 4, FALSE)</f>
        <v>85</v>
      </c>
      <c r="U263" s="317"/>
    </row>
    <row r="264" ht="20.25" customHeight="1" collapsed="1">
      <c r="A264" s="216" t="str">
        <f>IFERROR(__xludf.DUMMYFUNCTION("ARRAYFORMULA(IFERROR(VLOOKUP(REGEXEXTRACT(B264, ""-(\w+)-""), {Data_Validation!$F$16:$F$29, Data_Validation!$E$16:$E$29}, 2, FALSE), """"))
"),"TheMVP")</f>
        <v>TheMVP</v>
      </c>
      <c r="B264" s="265" t="s">
        <v>1819</v>
      </c>
      <c r="C264" s="265" t="s">
        <v>1820</v>
      </c>
      <c r="E264" s="265" t="s">
        <v>78</v>
      </c>
      <c r="F264" s="265" t="s">
        <v>22</v>
      </c>
      <c r="G264" s="265" t="s">
        <v>23</v>
      </c>
      <c r="H264" s="320">
        <v>45197.0</v>
      </c>
      <c r="I264" s="308"/>
      <c r="J264" s="309">
        <v>3.0</v>
      </c>
      <c r="K264" s="318"/>
      <c r="L264" s="311"/>
      <c r="M264" s="312">
        <v>0.0</v>
      </c>
      <c r="N264" s="313">
        <v>0.0</v>
      </c>
      <c r="O264" s="314"/>
      <c r="P264" s="314"/>
      <c r="Q264" s="315"/>
      <c r="R264" s="316">
        <v>0.0</v>
      </c>
      <c r="S264" s="317">
        <f>SUM(S265:S267)</f>
        <v>0</v>
      </c>
      <c r="T264" s="317">
        <f>AVERAGE(T265:T267)</f>
        <v>125</v>
      </c>
      <c r="U264" s="317"/>
    </row>
    <row r="265" ht="20.25" hidden="1" customHeight="1" outlineLevel="1">
      <c r="A265" s="216" t="str">
        <f>IFERROR(__xludf.DUMMYFUNCTION("ARRAYFORMULA(IFERROR(VLOOKUP(REGEXEXTRACT(B265, ""-(\w+)-""), {Data_Validation!$F$16:$F$29, Data_Validation!$E$16:$E$29}, 2, FALSE), """"))
"),"TheMVP")</f>
        <v>TheMVP</v>
      </c>
      <c r="B265" s="265" t="s">
        <v>1821</v>
      </c>
      <c r="D265" s="265" t="s">
        <v>25</v>
      </c>
      <c r="E265" s="265" t="s">
        <v>26</v>
      </c>
      <c r="F265" s="265" t="s">
        <v>22</v>
      </c>
      <c r="G265" s="265" t="s">
        <v>1822</v>
      </c>
      <c r="H265" s="320">
        <v>45196.838828657405</v>
      </c>
      <c r="I265" s="309">
        <v>1.0</v>
      </c>
      <c r="K265" s="318"/>
      <c r="L265" s="311"/>
      <c r="M265" s="312"/>
      <c r="N265" s="313"/>
      <c r="O265" s="314"/>
      <c r="P265" s="314"/>
      <c r="Q265" s="315"/>
      <c r="R265" s="316"/>
      <c r="S265" s="317">
        <f t="shared" ref="S265:S267" si="59">T265*24*R265</f>
        <v>0</v>
      </c>
      <c r="T265" s="317">
        <f>VLOOKUP(F265, Data_Validation!$D$2:$G$15, 4, FALSE)</f>
        <v>125</v>
      </c>
      <c r="U265" s="317"/>
    </row>
    <row r="266" ht="20.25" hidden="1" customHeight="1" outlineLevel="1">
      <c r="A266" s="216" t="str">
        <f>IFERROR(__xludf.DUMMYFUNCTION("ARRAYFORMULA(IFERROR(VLOOKUP(REGEXEXTRACT(B266, ""-(\w+)-""), {Data_Validation!$F$16:$F$29, Data_Validation!$E$16:$E$29}, 2, FALSE), """"))
"),"TheMVP")</f>
        <v>TheMVP</v>
      </c>
      <c r="B266" s="265" t="s">
        <v>1823</v>
      </c>
      <c r="D266" s="265" t="s">
        <v>476</v>
      </c>
      <c r="E266" s="265" t="s">
        <v>26</v>
      </c>
      <c r="F266" s="265" t="s">
        <v>22</v>
      </c>
      <c r="H266" s="320">
        <v>45197.0</v>
      </c>
      <c r="I266" s="309">
        <v>1.0</v>
      </c>
      <c r="K266" s="318"/>
      <c r="L266" s="311"/>
      <c r="M266" s="312"/>
      <c r="N266" s="313"/>
      <c r="O266" s="314"/>
      <c r="P266" s="314"/>
      <c r="Q266" s="315"/>
      <c r="R266" s="316"/>
      <c r="S266" s="317">
        <f t="shared" si="59"/>
        <v>0</v>
      </c>
      <c r="T266" s="317">
        <f>VLOOKUP(F266, Data_Validation!$D$2:$G$15, 4, FALSE)</f>
        <v>125</v>
      </c>
      <c r="U266" s="317"/>
    </row>
    <row r="267" ht="20.25" hidden="1" customHeight="1" outlineLevel="1">
      <c r="A267" s="216" t="str">
        <f>IFERROR(__xludf.DUMMYFUNCTION("ARRAYFORMULA(IFERROR(VLOOKUP(REGEXEXTRACT(B267, ""-(\w+)-""), {Data_Validation!$F$16:$F$29, Data_Validation!$E$16:$E$29}, 2, FALSE), """"))
"),"TheMVP")</f>
        <v>TheMVP</v>
      </c>
      <c r="B267" s="265" t="s">
        <v>1824</v>
      </c>
      <c r="D267" s="265" t="s">
        <v>47</v>
      </c>
      <c r="E267" s="265" t="s">
        <v>26</v>
      </c>
      <c r="F267" s="265" t="s">
        <v>22</v>
      </c>
      <c r="H267" s="320">
        <v>45197.0</v>
      </c>
      <c r="I267" s="309">
        <v>1.0</v>
      </c>
      <c r="K267" s="318"/>
      <c r="L267" s="311"/>
      <c r="M267" s="312"/>
      <c r="N267" s="313"/>
      <c r="O267" s="314"/>
      <c r="P267" s="314"/>
      <c r="Q267" s="315"/>
      <c r="R267" s="316"/>
      <c r="S267" s="317">
        <f t="shared" si="59"/>
        <v>0</v>
      </c>
      <c r="T267" s="317">
        <f>VLOOKUP(F267, Data_Validation!$D$2:$G$15, 4, FALSE)</f>
        <v>125</v>
      </c>
      <c r="U267" s="317"/>
    </row>
    <row r="268" ht="20.25" customHeight="1" collapsed="1">
      <c r="A268" s="216" t="str">
        <f>IFERROR(__xludf.DUMMYFUNCTION("ARRAYFORMULA(IFERROR(VLOOKUP(REGEXEXTRACT(B268, ""-(\w+)-""), {Data_Validation!$F$16:$F$29, Data_Validation!$E$16:$E$29}, 2, FALSE), """"))
"),"Nvidia")</f>
        <v>Nvidia</v>
      </c>
      <c r="B268" s="265" t="s">
        <v>1825</v>
      </c>
      <c r="C268" s="265" t="s">
        <v>1826</v>
      </c>
      <c r="E268" s="265" t="s">
        <v>963</v>
      </c>
      <c r="F268" s="265" t="s">
        <v>48</v>
      </c>
      <c r="G268" s="265" t="s">
        <v>79</v>
      </c>
      <c r="H268" s="307">
        <v>45196.0</v>
      </c>
      <c r="I268" s="308"/>
      <c r="J268" s="309">
        <v>2.0</v>
      </c>
      <c r="K268" s="318"/>
      <c r="L268" s="311"/>
      <c r="M268" s="312">
        <v>45195.52803023148</v>
      </c>
      <c r="N268" s="313">
        <v>45195.60348806713</v>
      </c>
      <c r="O268" s="314"/>
      <c r="P268" s="314"/>
      <c r="Q268" s="315"/>
      <c r="R268" s="316">
        <v>0.07430555555401952</v>
      </c>
      <c r="S268" s="316"/>
      <c r="T268" s="316"/>
      <c r="U268" s="316"/>
    </row>
    <row r="269" ht="20.25" hidden="1" customHeight="1" outlineLevel="1">
      <c r="A269" s="216" t="str">
        <f>IFERROR(__xludf.DUMMYFUNCTION("ARRAYFORMULA(IFERROR(VLOOKUP(REGEXEXTRACT(B269, ""-(\w+)-""), {Data_Validation!$F$16:$F$29, Data_Validation!$E$16:$E$29}, 2, FALSE), """"))
"),"Nvidia")</f>
        <v>Nvidia</v>
      </c>
      <c r="B269" s="265" t="s">
        <v>1827</v>
      </c>
      <c r="D269" s="265" t="s">
        <v>1828</v>
      </c>
      <c r="E269" s="265" t="s">
        <v>26</v>
      </c>
      <c r="F269" s="265" t="s">
        <v>22</v>
      </c>
      <c r="G269" s="265" t="s">
        <v>1829</v>
      </c>
      <c r="H269" s="307">
        <v>45195.46238556713</v>
      </c>
      <c r="I269" s="309">
        <v>1.0</v>
      </c>
      <c r="K269" s="318"/>
      <c r="L269" s="311"/>
      <c r="M269" s="312">
        <v>45195.52803023148</v>
      </c>
      <c r="N269" s="313">
        <v>45195.60348806713</v>
      </c>
      <c r="O269" s="314" t="s">
        <v>1830</v>
      </c>
      <c r="P269" s="314" t="s">
        <v>1831</v>
      </c>
      <c r="Q269" s="319" t="s">
        <v>31</v>
      </c>
      <c r="R269" s="316">
        <v>0.07430555555401952</v>
      </c>
      <c r="S269" s="317">
        <f t="shared" ref="S269:S270" si="60">T269*24*R269</f>
        <v>222.9166667</v>
      </c>
      <c r="T269" s="317">
        <f>VLOOKUP(F269, Data_Validation!$D$2:$G$15, 4, FALSE)</f>
        <v>125</v>
      </c>
      <c r="U269" s="317"/>
    </row>
    <row r="270" ht="20.25" hidden="1" customHeight="1" outlineLevel="1">
      <c r="A270" s="216" t="str">
        <f>IFERROR(__xludf.DUMMYFUNCTION("ARRAYFORMULA(IFERROR(VLOOKUP(REGEXEXTRACT(B270, ""-(\w+)-""), {Data_Validation!$F$16:$F$29, Data_Validation!$E$16:$E$29}, 2, FALSE), """"))
"),"Nvidia")</f>
        <v>Nvidia</v>
      </c>
      <c r="B270" s="265" t="s">
        <v>1832</v>
      </c>
      <c r="D270" s="265" t="s">
        <v>1328</v>
      </c>
      <c r="E270" s="265" t="s">
        <v>26</v>
      </c>
      <c r="F270" s="265" t="s">
        <v>22</v>
      </c>
      <c r="H270" s="307">
        <v>45196.0</v>
      </c>
      <c r="I270" s="309">
        <v>1.0</v>
      </c>
      <c r="K270" s="318"/>
      <c r="L270" s="311"/>
      <c r="M270" s="312"/>
      <c r="N270" s="313"/>
      <c r="O270" s="314"/>
      <c r="P270" s="314"/>
      <c r="Q270" s="315"/>
      <c r="R270" s="316"/>
      <c r="S270" s="317">
        <f t="shared" si="60"/>
        <v>0</v>
      </c>
      <c r="T270" s="317">
        <f>VLOOKUP(F270, Data_Validation!$D$2:$G$15, 4, FALSE)</f>
        <v>125</v>
      </c>
      <c r="U270" s="317"/>
    </row>
    <row r="271" ht="20.25" customHeight="1" collapsed="1">
      <c r="A271" s="216" t="str">
        <f>IFERROR(__xludf.DUMMYFUNCTION("ARRAYFORMULA(IFERROR(VLOOKUP(REGEXEXTRACT(B271, ""-(\w+)-""), {Data_Validation!$F$16:$F$29, Data_Validation!$E$16:$E$29}, 2, FALSE), """"))
"),"TheMVP")</f>
        <v>TheMVP</v>
      </c>
      <c r="B271" s="265" t="s">
        <v>1833</v>
      </c>
      <c r="C271" s="265" t="s">
        <v>1834</v>
      </c>
      <c r="E271" s="265" t="s">
        <v>51</v>
      </c>
      <c r="F271" s="265" t="s">
        <v>48</v>
      </c>
      <c r="G271" s="265" t="s">
        <v>89</v>
      </c>
      <c r="H271" s="320">
        <v>45198.0</v>
      </c>
      <c r="I271" s="308"/>
      <c r="J271" s="309">
        <v>4.0</v>
      </c>
      <c r="K271" s="318"/>
      <c r="L271" s="311"/>
      <c r="M271" s="312">
        <v>45178.73947803241</v>
      </c>
      <c r="N271" s="313">
        <v>45192.40630482639</v>
      </c>
      <c r="O271" s="314"/>
      <c r="P271" s="314"/>
      <c r="Q271" s="315"/>
      <c r="R271" s="316">
        <v>1.25</v>
      </c>
      <c r="S271" s="317">
        <f>SUM(S272:S275)</f>
        <v>345</v>
      </c>
      <c r="T271" s="317">
        <f>AVERAGE(T272:T275)</f>
        <v>99.375</v>
      </c>
      <c r="U271" s="317"/>
    </row>
    <row r="272" ht="20.25" hidden="1" customHeight="1" outlineLevel="1">
      <c r="A272" s="216" t="str">
        <f>IFERROR(__xludf.DUMMYFUNCTION("ARRAYFORMULA(IFERROR(VLOOKUP(REGEXEXTRACT(B272, ""-(\w+)-""), {Data_Validation!$F$16:$F$29, Data_Validation!$E$16:$E$29}, 2, FALSE), """"))
"),"TheMVP")</f>
        <v>TheMVP</v>
      </c>
      <c r="B272" s="265" t="s">
        <v>1835</v>
      </c>
      <c r="D272" s="265" t="s">
        <v>1551</v>
      </c>
      <c r="E272" s="265" t="s">
        <v>26</v>
      </c>
      <c r="F272" s="265" t="s">
        <v>41</v>
      </c>
      <c r="H272" s="320">
        <v>45197.0</v>
      </c>
      <c r="I272" s="309">
        <v>1.0</v>
      </c>
      <c r="K272" s="318"/>
      <c r="L272" s="311"/>
      <c r="M272" s="312"/>
      <c r="N272" s="313"/>
      <c r="O272" s="314"/>
      <c r="P272" s="314"/>
      <c r="Q272" s="315"/>
      <c r="R272" s="316"/>
      <c r="S272" s="317">
        <f t="shared" ref="S272:S275" si="61">T272*24*R272</f>
        <v>0</v>
      </c>
      <c r="T272" s="317">
        <f>VLOOKUP(F272, Data_Validation!$D$2:$G$15, 4, FALSE)</f>
        <v>115</v>
      </c>
      <c r="U272" s="317"/>
    </row>
    <row r="273" ht="20.25" hidden="1" customHeight="1" outlineLevel="1">
      <c r="A273" s="216" t="str">
        <f>IFERROR(__xludf.DUMMYFUNCTION("ARRAYFORMULA(IFERROR(VLOOKUP(REGEXEXTRACT(B273, ""-(\w+)-""), {Data_Validation!$F$16:$F$29, Data_Validation!$E$16:$E$29}, 2, FALSE), """"))
"),"TheMVP")</f>
        <v>TheMVP</v>
      </c>
      <c r="B273" s="265" t="s">
        <v>1836</v>
      </c>
      <c r="D273" s="265" t="s">
        <v>33</v>
      </c>
      <c r="E273" s="265" t="s">
        <v>26</v>
      </c>
      <c r="F273" s="265" t="s">
        <v>747</v>
      </c>
      <c r="H273" s="320">
        <v>45175.4893489699</v>
      </c>
      <c r="I273" s="309">
        <v>1.0</v>
      </c>
      <c r="K273" s="318"/>
      <c r="L273" s="311"/>
      <c r="M273" s="312"/>
      <c r="N273" s="313"/>
      <c r="O273" s="314"/>
      <c r="P273" s="314"/>
      <c r="Q273" s="315"/>
      <c r="R273" s="316"/>
      <c r="S273" s="317">
        <f t="shared" si="61"/>
        <v>0</v>
      </c>
      <c r="T273" s="317">
        <f>VLOOKUP(F273, Data_Validation!$D$2:$G$15, 4, FALSE)</f>
        <v>82.5</v>
      </c>
      <c r="U273" s="317"/>
    </row>
    <row r="274" ht="20.25" hidden="1" customHeight="1" outlineLevel="1">
      <c r="A274" s="216" t="str">
        <f>IFERROR(__xludf.DUMMYFUNCTION("ARRAYFORMULA(IFERROR(VLOOKUP(REGEXEXTRACT(B274, ""-(\w+)-""), {Data_Validation!$F$16:$F$29, Data_Validation!$E$16:$E$29}, 2, FALSE), """"))
"),"TheMVP")</f>
        <v>TheMVP</v>
      </c>
      <c r="B274" s="265" t="s">
        <v>1837</v>
      </c>
      <c r="D274" s="265" t="s">
        <v>40</v>
      </c>
      <c r="E274" s="265" t="s">
        <v>26</v>
      </c>
      <c r="F274" s="265" t="s">
        <v>41</v>
      </c>
      <c r="H274" s="320">
        <v>45191.0</v>
      </c>
      <c r="I274" s="309">
        <v>1.0</v>
      </c>
      <c r="K274" s="318"/>
      <c r="L274" s="311"/>
      <c r="M274" s="312">
        <v>45178.73947803241</v>
      </c>
      <c r="N274" s="313">
        <v>45192.40630482639</v>
      </c>
      <c r="O274" s="314"/>
      <c r="P274" s="314"/>
      <c r="Q274" s="319" t="s">
        <v>31</v>
      </c>
      <c r="R274" s="316">
        <v>0.125</v>
      </c>
      <c r="S274" s="317">
        <f t="shared" si="61"/>
        <v>345</v>
      </c>
      <c r="T274" s="317">
        <f>VLOOKUP(F274, Data_Validation!$D$2:$G$15, 4, FALSE)</f>
        <v>115</v>
      </c>
      <c r="U274" s="317"/>
    </row>
    <row r="275" ht="20.25" hidden="1" customHeight="1" outlineLevel="1">
      <c r="A275" s="216" t="str">
        <f>IFERROR(__xludf.DUMMYFUNCTION("ARRAYFORMULA(IFERROR(VLOOKUP(REGEXEXTRACT(B275, ""-(\w+)-""), {Data_Validation!$F$16:$F$29, Data_Validation!$E$16:$E$29}, 2, FALSE), """"))
"),"TheMVP")</f>
        <v>TheMVP</v>
      </c>
      <c r="B275" s="265" t="s">
        <v>1838</v>
      </c>
      <c r="D275" s="265" t="s">
        <v>47</v>
      </c>
      <c r="E275" s="265" t="s">
        <v>26</v>
      </c>
      <c r="F275" s="265" t="s">
        <v>48</v>
      </c>
      <c r="H275" s="320">
        <v>45198.0</v>
      </c>
      <c r="I275" s="309">
        <v>1.0</v>
      </c>
      <c r="K275" s="318"/>
      <c r="L275" s="311"/>
      <c r="M275" s="312"/>
      <c r="N275" s="313"/>
      <c r="O275" s="314"/>
      <c r="P275" s="314"/>
      <c r="Q275" s="315"/>
      <c r="R275" s="316"/>
      <c r="S275" s="317">
        <f t="shared" si="61"/>
        <v>0</v>
      </c>
      <c r="T275" s="317">
        <f>VLOOKUP(F275, Data_Validation!$D$2:$G$15, 4, FALSE)</f>
        <v>85</v>
      </c>
      <c r="U275" s="317"/>
    </row>
    <row r="276" ht="20.25" customHeight="1" collapsed="1">
      <c r="A276" s="216" t="str">
        <f>IFERROR(__xludf.DUMMYFUNCTION("ARRAYFORMULA(IFERROR(VLOOKUP(REGEXEXTRACT(B276, ""-(\w+)-""), {Data_Validation!$F$16:$F$29, Data_Validation!$E$16:$E$29}, 2, FALSE), """"))
"),"TheMVP")</f>
        <v>TheMVP</v>
      </c>
      <c r="B276" s="265" t="s">
        <v>1739</v>
      </c>
      <c r="C276" s="265" t="s">
        <v>1839</v>
      </c>
      <c r="E276" s="265" t="s">
        <v>984</v>
      </c>
      <c r="F276" s="265" t="s">
        <v>41</v>
      </c>
      <c r="G276" s="265" t="s">
        <v>79</v>
      </c>
      <c r="H276" s="307">
        <v>45195.42582377315</v>
      </c>
      <c r="I276" s="308"/>
      <c r="J276" s="309">
        <v>4.0</v>
      </c>
      <c r="K276" s="318"/>
      <c r="L276" s="311"/>
      <c r="M276" s="312">
        <v>45196.43807820602</v>
      </c>
      <c r="N276" s="313">
        <v>45198.81918856481</v>
      </c>
      <c r="O276" s="314"/>
      <c r="P276" s="314"/>
      <c r="Q276" s="315"/>
      <c r="R276" s="316">
        <v>0.07916666666642413</v>
      </c>
      <c r="S276" s="317">
        <f>SUM(S277:S280)</f>
        <v>173.25</v>
      </c>
      <c r="T276" s="317">
        <f>AVERAGE(T277:T280)</f>
        <v>99.375</v>
      </c>
      <c r="U276" s="317"/>
    </row>
    <row r="277" ht="20.25" hidden="1" customHeight="1" outlineLevel="1">
      <c r="A277" s="216" t="str">
        <f>IFERROR(__xludf.DUMMYFUNCTION("ARRAYFORMULA(IFERROR(VLOOKUP(REGEXEXTRACT(B277, ""-(\w+)-""), {Data_Validation!$F$16:$F$29, Data_Validation!$E$16:$E$29}, 2, FALSE), """"))
"),"TheMVP")</f>
        <v>TheMVP</v>
      </c>
      <c r="B277" s="265" t="s">
        <v>1741</v>
      </c>
      <c r="D277" s="265" t="s">
        <v>1840</v>
      </c>
      <c r="E277" s="265" t="s">
        <v>26</v>
      </c>
      <c r="F277" s="265" t="s">
        <v>22</v>
      </c>
      <c r="H277" s="307">
        <v>45195.42582377315</v>
      </c>
      <c r="I277" s="309">
        <v>1.0</v>
      </c>
      <c r="K277" s="318"/>
      <c r="L277" s="311"/>
      <c r="M277" s="312"/>
      <c r="N277" s="313"/>
      <c r="O277" s="314"/>
      <c r="P277" s="314"/>
      <c r="Q277" s="315"/>
      <c r="R277" s="316"/>
      <c r="S277" s="317">
        <f t="shared" ref="S277:S280" si="62">T277*24*R277</f>
        <v>0</v>
      </c>
      <c r="T277" s="317">
        <f>VLOOKUP(F277, Data_Validation!$D$2:$G$15, 4, FALSE)</f>
        <v>125</v>
      </c>
      <c r="U277" s="317"/>
    </row>
    <row r="278" ht="20.25" hidden="1" customHeight="1" outlineLevel="1">
      <c r="A278" s="216" t="str">
        <f>IFERROR(__xludf.DUMMYFUNCTION("ARRAYFORMULA(IFERROR(VLOOKUP(REGEXEXTRACT(B278, ""-(\w+)-""), {Data_Validation!$F$16:$F$29, Data_Validation!$E$16:$E$29}, 2, FALSE), """"))
"),"TheMVP")</f>
        <v>TheMVP</v>
      </c>
      <c r="B278" s="265" t="s">
        <v>1841</v>
      </c>
      <c r="D278" s="265" t="s">
        <v>1842</v>
      </c>
      <c r="E278" s="265" t="s">
        <v>26</v>
      </c>
      <c r="F278" s="265" t="s">
        <v>48</v>
      </c>
      <c r="H278" s="307">
        <v>45195.42582377315</v>
      </c>
      <c r="I278" s="309">
        <v>1.0</v>
      </c>
      <c r="K278" s="318"/>
      <c r="L278" s="311"/>
      <c r="M278" s="312">
        <v>45196.43807820602</v>
      </c>
      <c r="N278" s="313">
        <v>45196.52044571759</v>
      </c>
      <c r="O278" s="314" t="s">
        <v>1843</v>
      </c>
      <c r="P278" s="314" t="s">
        <v>1844</v>
      </c>
      <c r="Q278" s="319" t="s">
        <v>31</v>
      </c>
      <c r="R278" s="316">
        <v>0.02152777777882875</v>
      </c>
      <c r="S278" s="317">
        <f t="shared" si="62"/>
        <v>43.91666667</v>
      </c>
      <c r="T278" s="317">
        <f>VLOOKUP(F278, Data_Validation!$D$2:$G$15, 4, FALSE)</f>
        <v>85</v>
      </c>
      <c r="U278" s="317"/>
    </row>
    <row r="279" ht="20.25" hidden="1" customHeight="1" outlineLevel="1">
      <c r="A279" s="216" t="str">
        <f>IFERROR(__xludf.DUMMYFUNCTION("ARRAYFORMULA(IFERROR(VLOOKUP(REGEXEXTRACT(B279, ""-(\w+)-""), {Data_Validation!$F$16:$F$29, Data_Validation!$E$16:$E$29}, 2, FALSE), """"))
"),"TheMVP")</f>
        <v>TheMVP</v>
      </c>
      <c r="B279" s="265" t="s">
        <v>1845</v>
      </c>
      <c r="D279" s="265" t="s">
        <v>1846</v>
      </c>
      <c r="E279" s="265" t="s">
        <v>26</v>
      </c>
      <c r="F279" s="265" t="s">
        <v>41</v>
      </c>
      <c r="H279" s="307">
        <v>45195.42582377315</v>
      </c>
      <c r="I279" s="309">
        <v>1.0</v>
      </c>
      <c r="K279" s="318"/>
      <c r="L279" s="311"/>
      <c r="M279" s="312">
        <v>45197.51817592593</v>
      </c>
      <c r="N279" s="313">
        <v>45197.54674140047</v>
      </c>
      <c r="O279" s="314"/>
      <c r="P279" s="314"/>
      <c r="Q279" s="319" t="s">
        <v>31</v>
      </c>
      <c r="R279" s="316">
        <v>0.028472222220443655</v>
      </c>
      <c r="S279" s="317">
        <f t="shared" si="62"/>
        <v>78.58333333</v>
      </c>
      <c r="T279" s="317">
        <f>VLOOKUP(F279, Data_Validation!$D$2:$G$15, 4, FALSE)</f>
        <v>115</v>
      </c>
      <c r="U279" s="317"/>
    </row>
    <row r="280" ht="20.25" hidden="1" customHeight="1" outlineLevel="1">
      <c r="A280" s="216" t="str">
        <f>IFERROR(__xludf.DUMMYFUNCTION("ARRAYFORMULA(IFERROR(VLOOKUP(REGEXEXTRACT(B280, ""-(\w+)-""), {Data_Validation!$F$16:$F$29, Data_Validation!$E$16:$E$29}, 2, FALSE), """"))
"),"TheMVP")</f>
        <v>TheMVP</v>
      </c>
      <c r="B280" s="265" t="s">
        <v>1847</v>
      </c>
      <c r="D280" s="265" t="s">
        <v>1848</v>
      </c>
      <c r="E280" s="265" t="s">
        <v>26</v>
      </c>
      <c r="F280" s="265" t="s">
        <v>27</v>
      </c>
      <c r="H280" s="307">
        <v>45195.42582377315</v>
      </c>
      <c r="I280" s="309">
        <v>1.0</v>
      </c>
      <c r="K280" s="318"/>
      <c r="L280" s="311"/>
      <c r="M280" s="312">
        <v>45198.78973989583</v>
      </c>
      <c r="N280" s="313">
        <v>45198.81918856481</v>
      </c>
      <c r="O280" s="314"/>
      <c r="P280" s="314"/>
      <c r="Q280" s="319" t="s">
        <v>31</v>
      </c>
      <c r="R280" s="316">
        <v>0.02916666666715173</v>
      </c>
      <c r="S280" s="317">
        <f t="shared" si="62"/>
        <v>50.75</v>
      </c>
      <c r="T280" s="317">
        <f>VLOOKUP(F280, Data_Validation!$D$2:$G$15, 4, FALSE)</f>
        <v>72.5</v>
      </c>
      <c r="U280" s="317"/>
    </row>
    <row r="281" ht="20.25" customHeight="1" collapsed="1">
      <c r="A281" s="216" t="str">
        <f>IFERROR(__xludf.DUMMYFUNCTION("ARRAYFORMULA(IFERROR(VLOOKUP(REGEXEXTRACT(B281, ""-(\w+)-""), {Data_Validation!$F$16:$F$29, Data_Validation!$E$16:$E$29}, 2, FALSE), """"))
"),"TheMVP")</f>
        <v>TheMVP</v>
      </c>
      <c r="B281" s="265" t="s">
        <v>1849</v>
      </c>
      <c r="C281" s="265" t="s">
        <v>1850</v>
      </c>
      <c r="E281" s="265" t="s">
        <v>51</v>
      </c>
      <c r="F281" s="265" t="s">
        <v>48</v>
      </c>
      <c r="G281" s="265" t="s">
        <v>89</v>
      </c>
      <c r="H281" s="320">
        <v>45198.0</v>
      </c>
      <c r="I281" s="308"/>
      <c r="J281" s="309">
        <v>4.0</v>
      </c>
      <c r="K281" s="318"/>
      <c r="L281" s="311"/>
      <c r="M281" s="312">
        <v>45198.83777774306</v>
      </c>
      <c r="N281" s="313">
        <v>45198.84274771991</v>
      </c>
      <c r="O281" s="314"/>
      <c r="P281" s="314"/>
      <c r="Q281" s="315"/>
      <c r="R281" s="316">
        <v>0.004166666665696539</v>
      </c>
      <c r="S281" s="317">
        <f>SUM(S282:S285)</f>
        <v>8.499999998</v>
      </c>
      <c r="T281" s="317">
        <f>AVERAGE(T282:T285)</f>
        <v>91.875</v>
      </c>
      <c r="U281" s="317"/>
    </row>
    <row r="282" ht="20.25" hidden="1" customHeight="1" outlineLevel="1">
      <c r="A282" s="216" t="str">
        <f>IFERROR(__xludf.DUMMYFUNCTION("ARRAYFORMULA(IFERROR(VLOOKUP(REGEXEXTRACT(B282, ""-(\w+)-""), {Data_Validation!$F$16:$F$29, Data_Validation!$E$16:$E$29}, 2, FALSE), """"))
"),"TheMVP")</f>
        <v>TheMVP</v>
      </c>
      <c r="B282" s="265" t="s">
        <v>1851</v>
      </c>
      <c r="D282" s="265" t="s">
        <v>25</v>
      </c>
      <c r="E282" s="265" t="s">
        <v>26</v>
      </c>
      <c r="F282" s="265" t="s">
        <v>48</v>
      </c>
      <c r="H282" s="320">
        <v>45198.0</v>
      </c>
      <c r="I282" s="309">
        <v>1.0</v>
      </c>
      <c r="K282" s="318"/>
      <c r="L282" s="311"/>
      <c r="M282" s="312">
        <v>45198.838349375</v>
      </c>
      <c r="N282" s="313">
        <v>45198.84206887732</v>
      </c>
      <c r="O282" s="314"/>
      <c r="P282" s="314"/>
      <c r="Q282" s="319" t="s">
        <v>31</v>
      </c>
      <c r="R282" s="316">
        <v>0.003472222222626442</v>
      </c>
      <c r="S282" s="317">
        <f t="shared" ref="S282:S285" si="63">T282*24*R282</f>
        <v>7.083333334</v>
      </c>
      <c r="T282" s="317">
        <f>VLOOKUP(F282, Data_Validation!$D$2:$G$15, 4, FALSE)</f>
        <v>85</v>
      </c>
      <c r="U282" s="317"/>
    </row>
    <row r="283" ht="20.25" hidden="1" customHeight="1" outlineLevel="1">
      <c r="A283" s="216" t="str">
        <f>IFERROR(__xludf.DUMMYFUNCTION("ARRAYFORMULA(IFERROR(VLOOKUP(REGEXEXTRACT(B283, ""-(\w+)-""), {Data_Validation!$F$16:$F$29, Data_Validation!$E$16:$E$29}, 2, FALSE), """"))
"),"TheMVP")</f>
        <v>TheMVP</v>
      </c>
      <c r="B283" s="265" t="s">
        <v>1852</v>
      </c>
      <c r="D283" s="265" t="s">
        <v>33</v>
      </c>
      <c r="E283" s="265" t="s">
        <v>26</v>
      </c>
      <c r="F283" s="265" t="s">
        <v>747</v>
      </c>
      <c r="H283" s="320">
        <v>45175.491549178245</v>
      </c>
      <c r="I283" s="309">
        <v>1.0</v>
      </c>
      <c r="K283" s="318"/>
      <c r="L283" s="311"/>
      <c r="M283" s="312"/>
      <c r="N283" s="313"/>
      <c r="O283" s="314"/>
      <c r="P283" s="314"/>
      <c r="Q283" s="315"/>
      <c r="R283" s="316"/>
      <c r="S283" s="317">
        <f t="shared" si="63"/>
        <v>0</v>
      </c>
      <c r="T283" s="317">
        <f>VLOOKUP(F283, Data_Validation!$D$2:$G$15, 4, FALSE)</f>
        <v>82.5</v>
      </c>
      <c r="U283" s="317"/>
    </row>
    <row r="284" ht="20.25" hidden="1" customHeight="1" outlineLevel="1">
      <c r="A284" s="216" t="str">
        <f>IFERROR(__xludf.DUMMYFUNCTION("ARRAYFORMULA(IFERROR(VLOOKUP(REGEXEXTRACT(B284, ""-(\w+)-""), {Data_Validation!$F$16:$F$29, Data_Validation!$E$16:$E$29}, 2, FALSE), """"))
"),"TheMVP")</f>
        <v>TheMVP</v>
      </c>
      <c r="B284" s="265" t="s">
        <v>1853</v>
      </c>
      <c r="D284" s="265" t="s">
        <v>40</v>
      </c>
      <c r="E284" s="265" t="s">
        <v>26</v>
      </c>
      <c r="F284" s="265" t="s">
        <v>41</v>
      </c>
      <c r="H284" s="320">
        <v>45195.0</v>
      </c>
      <c r="I284" s="309">
        <v>1.0</v>
      </c>
      <c r="K284" s="318"/>
      <c r="L284" s="311"/>
      <c r="M284" s="312"/>
      <c r="N284" s="313"/>
      <c r="O284" s="314"/>
      <c r="P284" s="314"/>
      <c r="Q284" s="315"/>
      <c r="R284" s="316"/>
      <c r="S284" s="317">
        <f t="shared" si="63"/>
        <v>0</v>
      </c>
      <c r="T284" s="317">
        <f>VLOOKUP(F284, Data_Validation!$D$2:$G$15, 4, FALSE)</f>
        <v>115</v>
      </c>
      <c r="U284" s="317"/>
    </row>
    <row r="285" ht="20.25" hidden="1" customHeight="1" outlineLevel="1">
      <c r="A285" s="216" t="str">
        <f>IFERROR(__xludf.DUMMYFUNCTION("ARRAYFORMULA(IFERROR(VLOOKUP(REGEXEXTRACT(B285, ""-(\w+)-""), {Data_Validation!$F$16:$F$29, Data_Validation!$E$16:$E$29}, 2, FALSE), """"))
"),"TheMVP")</f>
        <v>TheMVP</v>
      </c>
      <c r="B285" s="265" t="s">
        <v>1854</v>
      </c>
      <c r="D285" s="265" t="s">
        <v>47</v>
      </c>
      <c r="E285" s="265" t="s">
        <v>26</v>
      </c>
      <c r="F285" s="265" t="s">
        <v>48</v>
      </c>
      <c r="H285" s="320">
        <v>45198.0</v>
      </c>
      <c r="I285" s="309">
        <v>1.0</v>
      </c>
      <c r="K285" s="318"/>
      <c r="L285" s="311"/>
      <c r="M285" s="312">
        <v>45198.83777774306</v>
      </c>
      <c r="N285" s="313">
        <v>45198.84274771991</v>
      </c>
      <c r="O285" s="314" t="s">
        <v>1855</v>
      </c>
      <c r="P285" s="314" t="s">
        <v>1856</v>
      </c>
      <c r="Q285" s="319" t="s">
        <v>31</v>
      </c>
      <c r="R285" s="316">
        <v>6.944444430700969E-4</v>
      </c>
      <c r="S285" s="317">
        <f t="shared" si="63"/>
        <v>1.416666664</v>
      </c>
      <c r="T285" s="317">
        <f>VLOOKUP(F285, Data_Validation!$D$2:$G$15, 4, FALSE)</f>
        <v>85</v>
      </c>
      <c r="U285" s="317"/>
    </row>
    <row r="286" ht="20.25" customHeight="1" collapsed="1">
      <c r="A286" s="216" t="str">
        <f>IFERROR(__xludf.DUMMYFUNCTION("ARRAYFORMULA(IFERROR(VLOOKUP(REGEXEXTRACT(B286, ""-(\w+)-""), {Data_Validation!$F$16:$F$29, Data_Validation!$E$16:$E$29}, 2, FALSE), """"))
"),"TheMVP")</f>
        <v>TheMVP</v>
      </c>
      <c r="B286" s="265" t="s">
        <v>1857</v>
      </c>
      <c r="C286" s="265" t="s">
        <v>1858</v>
      </c>
      <c r="E286" s="265" t="s">
        <v>62</v>
      </c>
      <c r="F286" s="265" t="s">
        <v>27</v>
      </c>
      <c r="G286" s="265" t="s">
        <v>63</v>
      </c>
      <c r="H286" s="320">
        <v>45198.0</v>
      </c>
      <c r="I286" s="308"/>
      <c r="J286" s="309">
        <v>7.0</v>
      </c>
      <c r="K286" s="318"/>
      <c r="L286" s="311"/>
      <c r="M286" s="312">
        <v>45196.68760416667</v>
      </c>
      <c r="N286" s="313">
        <v>45199.41656909722</v>
      </c>
      <c r="O286" s="314"/>
      <c r="P286" s="314"/>
      <c r="Q286" s="315"/>
      <c r="R286" s="316">
        <v>1.0170486111128412</v>
      </c>
      <c r="S286" s="317">
        <f>SUM(S287:S293)</f>
        <v>1955.645833</v>
      </c>
      <c r="T286" s="317">
        <f>AVERAGE(T287:T293)</f>
        <v>101.0714286</v>
      </c>
      <c r="U286" s="317"/>
    </row>
    <row r="287" ht="20.25" hidden="1" customHeight="1" outlineLevel="1">
      <c r="A287" s="216" t="str">
        <f>IFERROR(__xludf.DUMMYFUNCTION("ARRAYFORMULA(IFERROR(VLOOKUP(REGEXEXTRACT(B287, ""-(\w+)-""), {Data_Validation!$F$16:$F$29, Data_Validation!$E$16:$E$29}, 2, FALSE), """"))
"),"TheMVP")</f>
        <v>TheMVP</v>
      </c>
      <c r="B287" s="265" t="s">
        <v>1859</v>
      </c>
      <c r="D287" s="265" t="s">
        <v>25</v>
      </c>
      <c r="E287" s="265" t="s">
        <v>26</v>
      </c>
      <c r="F287" s="265" t="s">
        <v>22</v>
      </c>
      <c r="G287" s="265" t="s">
        <v>1860</v>
      </c>
      <c r="H287" s="320">
        <v>45194.0</v>
      </c>
      <c r="I287" s="309">
        <v>1.0</v>
      </c>
      <c r="K287" s="318"/>
      <c r="L287" s="311"/>
      <c r="M287" s="312">
        <v>45196.68760416667</v>
      </c>
      <c r="N287" s="313">
        <v>45196.75202546296</v>
      </c>
      <c r="O287" s="314"/>
      <c r="P287" s="314"/>
      <c r="Q287" s="319" t="s">
        <v>31</v>
      </c>
      <c r="R287" s="316">
        <v>0.0644212962979509</v>
      </c>
      <c r="S287" s="317">
        <f t="shared" ref="S287:S293" si="64">T287*24*R287</f>
        <v>193.2638889</v>
      </c>
      <c r="T287" s="317">
        <f>VLOOKUP(F287, Data_Validation!$D$2:$G$15, 4, FALSE)</f>
        <v>125</v>
      </c>
      <c r="U287" s="317"/>
    </row>
    <row r="288" ht="20.25" hidden="1" customHeight="1" outlineLevel="1">
      <c r="A288" s="216" t="str">
        <f>IFERROR(__xludf.DUMMYFUNCTION("ARRAYFORMULA(IFERROR(VLOOKUP(REGEXEXTRACT(B288, ""-(\w+)-""), {Data_Validation!$F$16:$F$29, Data_Validation!$E$16:$E$29}, 2, FALSE), """"))
"),"TheMVP")</f>
        <v>TheMVP</v>
      </c>
      <c r="B288" s="265" t="s">
        <v>1861</v>
      </c>
      <c r="D288" s="265" t="s">
        <v>33</v>
      </c>
      <c r="E288" s="265" t="s">
        <v>26</v>
      </c>
      <c r="F288" s="265" t="s">
        <v>22</v>
      </c>
      <c r="G288" s="265" t="s">
        <v>1862</v>
      </c>
      <c r="H288" s="320">
        <v>45196.0</v>
      </c>
      <c r="I288" s="309">
        <v>1.0</v>
      </c>
      <c r="K288" s="318"/>
      <c r="L288" s="311"/>
      <c r="M288" s="312">
        <v>45196.75202546296</v>
      </c>
      <c r="N288" s="313">
        <v>45196.808124999996</v>
      </c>
      <c r="O288" s="314"/>
      <c r="P288" s="314"/>
      <c r="Q288" s="319" t="s">
        <v>31</v>
      </c>
      <c r="R288" s="316">
        <v>0.05609953703606152</v>
      </c>
      <c r="S288" s="317">
        <f t="shared" si="64"/>
        <v>168.2986111</v>
      </c>
      <c r="T288" s="317">
        <f>VLOOKUP(F288, Data_Validation!$D$2:$G$15, 4, FALSE)</f>
        <v>125</v>
      </c>
      <c r="U288" s="317"/>
    </row>
    <row r="289" ht="20.25" hidden="1" customHeight="1" outlineLevel="1">
      <c r="A289" s="216" t="str">
        <f>IFERROR(__xludf.DUMMYFUNCTION("ARRAYFORMULA(IFERROR(VLOOKUP(REGEXEXTRACT(B289, ""-(\w+)-""), {Data_Validation!$F$16:$F$29, Data_Validation!$E$16:$E$29}, 2, FALSE), """"))
"),"TheMVP")</f>
        <v>TheMVP</v>
      </c>
      <c r="B289" s="265" t="s">
        <v>1863</v>
      </c>
      <c r="D289" s="265" t="s">
        <v>121</v>
      </c>
      <c r="E289" s="265" t="s">
        <v>26</v>
      </c>
      <c r="F289" s="265" t="s">
        <v>27</v>
      </c>
      <c r="H289" s="320">
        <v>45195.0</v>
      </c>
      <c r="I289" s="309">
        <v>1.0</v>
      </c>
      <c r="K289" s="318"/>
      <c r="L289" s="311"/>
      <c r="M289" s="312">
        <v>45197.60980895833</v>
      </c>
      <c r="N289" s="313">
        <v>45198.44051966435</v>
      </c>
      <c r="O289" s="314" t="s">
        <v>1864</v>
      </c>
      <c r="P289" s="314" t="s">
        <v>1865</v>
      </c>
      <c r="Q289" s="319" t="s">
        <v>31</v>
      </c>
      <c r="R289" s="316">
        <v>0.040277777778101154</v>
      </c>
      <c r="S289" s="317">
        <f t="shared" si="64"/>
        <v>70.08333333</v>
      </c>
      <c r="T289" s="317">
        <f>VLOOKUP(F289, Data_Validation!$D$2:$G$15, 4, FALSE)</f>
        <v>72.5</v>
      </c>
      <c r="U289" s="317"/>
    </row>
    <row r="290" ht="20.25" hidden="1" customHeight="1" outlineLevel="1">
      <c r="A290" s="216" t="str">
        <f>IFERROR(__xludf.DUMMYFUNCTION("ARRAYFORMULA(IFERROR(VLOOKUP(REGEXEXTRACT(B290, ""-(\w+)-""), {Data_Validation!$F$16:$F$29, Data_Validation!$E$16:$E$29}, 2, FALSE), """"))
"),"TheMVP")</f>
        <v>TheMVP</v>
      </c>
      <c r="B290" s="265" t="s">
        <v>1866</v>
      </c>
      <c r="D290" s="265" t="s">
        <v>38</v>
      </c>
      <c r="E290" s="265" t="s">
        <v>26</v>
      </c>
      <c r="F290" s="265" t="s">
        <v>22</v>
      </c>
      <c r="H290" s="320">
        <v>45197.0</v>
      </c>
      <c r="I290" s="309">
        <v>1.0</v>
      </c>
      <c r="K290" s="318"/>
      <c r="L290" s="311"/>
      <c r="M290" s="312">
        <v>45198.34118055555</v>
      </c>
      <c r="N290" s="313">
        <v>45198.442142430555</v>
      </c>
      <c r="O290" s="314" t="s">
        <v>1867</v>
      </c>
      <c r="P290" s="314" t="s">
        <v>1868</v>
      </c>
      <c r="Q290" s="319" t="s">
        <v>31</v>
      </c>
      <c r="R290" s="316">
        <v>0.02708333333430346</v>
      </c>
      <c r="S290" s="317">
        <f t="shared" si="64"/>
        <v>81.25</v>
      </c>
      <c r="T290" s="317">
        <f>VLOOKUP(F290, Data_Validation!$D$2:$G$15, 4, FALSE)</f>
        <v>125</v>
      </c>
      <c r="U290" s="317"/>
    </row>
    <row r="291" ht="20.25" hidden="1" customHeight="1" outlineLevel="1">
      <c r="A291" s="216" t="str">
        <f>IFERROR(__xludf.DUMMYFUNCTION("ARRAYFORMULA(IFERROR(VLOOKUP(REGEXEXTRACT(B291, ""-(\w+)-""), {Data_Validation!$F$16:$F$29, Data_Validation!$E$16:$E$29}, 2, FALSE), """"))
"),"TheMVP")</f>
        <v>TheMVP</v>
      </c>
      <c r="B291" s="265" t="s">
        <v>1869</v>
      </c>
      <c r="D291" s="265" t="s">
        <v>40</v>
      </c>
      <c r="E291" s="265" t="s">
        <v>26</v>
      </c>
      <c r="F291" s="265" t="s">
        <v>27</v>
      </c>
      <c r="H291" s="320">
        <v>45198.0</v>
      </c>
      <c r="I291" s="309">
        <v>1.0</v>
      </c>
      <c r="K291" s="318"/>
      <c r="L291" s="311"/>
      <c r="M291" s="312">
        <v>45198.46376143518</v>
      </c>
      <c r="N291" s="313">
        <v>45198.75492157407</v>
      </c>
      <c r="O291" s="314" t="s">
        <v>1870</v>
      </c>
      <c r="P291" s="314" t="s">
        <v>1871</v>
      </c>
      <c r="Q291" s="319" t="s">
        <v>31</v>
      </c>
      <c r="R291" s="316">
        <v>0.2625000000007276</v>
      </c>
      <c r="S291" s="317">
        <f t="shared" si="64"/>
        <v>456.75</v>
      </c>
      <c r="T291" s="317">
        <f>VLOOKUP(F291, Data_Validation!$D$2:$G$15, 4, FALSE)</f>
        <v>72.5</v>
      </c>
      <c r="U291" s="317"/>
    </row>
    <row r="292" ht="20.25" hidden="1" customHeight="1" outlineLevel="1">
      <c r="A292" s="216" t="str">
        <f>IFERROR(__xludf.DUMMYFUNCTION("ARRAYFORMULA(IFERROR(VLOOKUP(REGEXEXTRACT(B292, ""-(\w+)-""), {Data_Validation!$F$16:$F$29, Data_Validation!$E$16:$E$29}, 2, FALSE), """"))
"),"TheMVP")</f>
        <v>TheMVP</v>
      </c>
      <c r="B292" s="265" t="s">
        <v>1869</v>
      </c>
      <c r="D292" s="265" t="s">
        <v>45</v>
      </c>
      <c r="E292" s="265" t="s">
        <v>26</v>
      </c>
      <c r="F292" s="265" t="s">
        <v>41</v>
      </c>
      <c r="H292" s="320">
        <v>45198.0</v>
      </c>
      <c r="K292" s="318"/>
      <c r="L292" s="311"/>
      <c r="M292" s="312"/>
      <c r="N292" s="313"/>
      <c r="O292" s="314"/>
      <c r="P292" s="314"/>
      <c r="Q292" s="315"/>
      <c r="R292" s="316"/>
      <c r="S292" s="317">
        <f t="shared" si="64"/>
        <v>0</v>
      </c>
      <c r="T292" s="317">
        <f>VLOOKUP(F292, Data_Validation!$D$2:$G$15, 4, FALSE)</f>
        <v>115</v>
      </c>
      <c r="U292" s="317"/>
    </row>
    <row r="293" ht="20.25" hidden="1" customHeight="1" outlineLevel="1">
      <c r="A293" s="216" t="str">
        <f>IFERROR(__xludf.DUMMYFUNCTION("ARRAYFORMULA(IFERROR(VLOOKUP(REGEXEXTRACT(B293, ""-(\w+)-""), {Data_Validation!$F$16:$F$29, Data_Validation!$E$16:$E$29}, 2, FALSE), """"))
"),"TheMVP")</f>
        <v>TheMVP</v>
      </c>
      <c r="B293" s="265" t="s">
        <v>1872</v>
      </c>
      <c r="D293" s="265" t="s">
        <v>274</v>
      </c>
      <c r="E293" s="265" t="s">
        <v>26</v>
      </c>
      <c r="F293" s="265" t="s">
        <v>27</v>
      </c>
      <c r="H293" s="320">
        <v>45198.0</v>
      </c>
      <c r="I293" s="309">
        <v>1.0</v>
      </c>
      <c r="K293" s="318"/>
      <c r="L293" s="311"/>
      <c r="M293" s="312">
        <v>45198.845772002314</v>
      </c>
      <c r="N293" s="313">
        <v>45199.416424016206</v>
      </c>
      <c r="O293" s="314" t="s">
        <v>1873</v>
      </c>
      <c r="P293" s="314" t="s">
        <v>1874</v>
      </c>
      <c r="Q293" s="319" t="s">
        <v>31</v>
      </c>
      <c r="R293" s="316">
        <v>0.5666666666656965</v>
      </c>
      <c r="S293" s="317">
        <f t="shared" si="64"/>
        <v>986</v>
      </c>
      <c r="T293" s="317">
        <f>VLOOKUP(F293, Data_Validation!$D$2:$G$15, 4, FALSE)</f>
        <v>72.5</v>
      </c>
      <c r="U293" s="317"/>
    </row>
    <row r="294" ht="20.25" customHeight="1" collapsed="1">
      <c r="A294" s="216" t="str">
        <f>IFERROR(__xludf.DUMMYFUNCTION("ARRAYFORMULA(IFERROR(VLOOKUP(REGEXEXTRACT(B294, ""-(\w+)-""), {Data_Validation!$F$16:$F$29, Data_Validation!$E$16:$E$29}, 2, FALSE), """"))
"),"TheMVP")</f>
        <v>TheMVP</v>
      </c>
      <c r="B294" s="265" t="s">
        <v>1875</v>
      </c>
      <c r="C294" s="265" t="s">
        <v>1876</v>
      </c>
      <c r="E294" s="265" t="s">
        <v>21</v>
      </c>
      <c r="F294" s="265" t="s">
        <v>27</v>
      </c>
      <c r="G294" s="265" t="s">
        <v>79</v>
      </c>
      <c r="H294" s="320">
        <v>45199.0</v>
      </c>
      <c r="I294" s="308"/>
      <c r="J294" s="309">
        <v>7.0</v>
      </c>
      <c r="K294" s="318"/>
      <c r="L294" s="311"/>
      <c r="M294" s="312">
        <v>45199.51236111111</v>
      </c>
      <c r="N294" s="313">
        <v>45199.81579810185</v>
      </c>
      <c r="O294" s="314"/>
      <c r="P294" s="314"/>
      <c r="Q294" s="315"/>
      <c r="R294" s="316">
        <v>0.24097222222189885</v>
      </c>
      <c r="S294" s="317">
        <f>SUM(S295:S301)</f>
        <v>572.0416667</v>
      </c>
      <c r="T294" s="317">
        <f>AVERAGE(T295:T301)</f>
        <v>101.0714286</v>
      </c>
      <c r="U294" s="317"/>
    </row>
    <row r="295" ht="20.25" hidden="1" customHeight="1" outlineLevel="1">
      <c r="A295" s="216" t="str">
        <f>IFERROR(__xludf.DUMMYFUNCTION("ARRAYFORMULA(IFERROR(VLOOKUP(REGEXEXTRACT(B295, ""-(\w+)-""), {Data_Validation!$F$16:$F$29, Data_Validation!$E$16:$E$29}, 2, FALSE), """"))
"),"TheMVP")</f>
        <v>TheMVP</v>
      </c>
      <c r="B295" s="265" t="s">
        <v>1877</v>
      </c>
      <c r="D295" s="265" t="s">
        <v>25</v>
      </c>
      <c r="E295" s="265" t="s">
        <v>26</v>
      </c>
      <c r="F295" s="265" t="s">
        <v>22</v>
      </c>
      <c r="G295" s="265" t="s">
        <v>1878</v>
      </c>
      <c r="H295" s="320">
        <v>45197.0</v>
      </c>
      <c r="I295" s="309">
        <v>1.0</v>
      </c>
      <c r="K295" s="318"/>
      <c r="L295" s="311"/>
      <c r="M295" s="312"/>
      <c r="N295" s="313"/>
      <c r="O295" s="314"/>
      <c r="P295" s="314"/>
      <c r="Q295" s="315"/>
      <c r="R295" s="316"/>
      <c r="S295" s="317">
        <f t="shared" ref="S295:S301" si="65">T295*24*R295</f>
        <v>0</v>
      </c>
      <c r="T295" s="317">
        <f>VLOOKUP(F295, Data_Validation!$D$2:$G$15, 4, FALSE)</f>
        <v>125</v>
      </c>
      <c r="U295" s="317"/>
    </row>
    <row r="296" ht="20.25" hidden="1" customHeight="1" outlineLevel="1">
      <c r="A296" s="216" t="str">
        <f>IFERROR(__xludf.DUMMYFUNCTION("ARRAYFORMULA(IFERROR(VLOOKUP(REGEXEXTRACT(B296, ""-(\w+)-""), {Data_Validation!$F$16:$F$29, Data_Validation!$E$16:$E$29}, 2, FALSE), """"))
"),"TheMVP")</f>
        <v>TheMVP</v>
      </c>
      <c r="B296" s="265" t="s">
        <v>1879</v>
      </c>
      <c r="D296" s="265" t="s">
        <v>33</v>
      </c>
      <c r="E296" s="265" t="s">
        <v>26</v>
      </c>
      <c r="F296" s="265" t="s">
        <v>22</v>
      </c>
      <c r="H296" s="320">
        <v>45196.0</v>
      </c>
      <c r="I296" s="309">
        <v>1.0</v>
      </c>
      <c r="K296" s="318"/>
      <c r="L296" s="311"/>
      <c r="M296" s="312">
        <v>45199.51236111111</v>
      </c>
      <c r="N296" s="313">
        <v>45199.55412020833</v>
      </c>
      <c r="O296" s="314"/>
      <c r="P296" s="314"/>
      <c r="Q296" s="319" t="s">
        <v>31</v>
      </c>
      <c r="R296" s="316">
        <v>0.041666666667879326</v>
      </c>
      <c r="S296" s="317">
        <f t="shared" si="65"/>
        <v>125</v>
      </c>
      <c r="T296" s="317">
        <f>VLOOKUP(F296, Data_Validation!$D$2:$G$15, 4, FALSE)</f>
        <v>125</v>
      </c>
      <c r="U296" s="317"/>
    </row>
    <row r="297" ht="20.25" hidden="1" customHeight="1" outlineLevel="1">
      <c r="A297" s="216" t="str">
        <f>IFERROR(__xludf.DUMMYFUNCTION("ARRAYFORMULA(IFERROR(VLOOKUP(REGEXEXTRACT(B297, ""-(\w+)-""), {Data_Validation!$F$16:$F$29, Data_Validation!$E$16:$E$29}, 2, FALSE), """"))
"),"TheMVP")</f>
        <v>TheMVP</v>
      </c>
      <c r="B297" s="265" t="s">
        <v>1880</v>
      </c>
      <c r="D297" s="265" t="s">
        <v>121</v>
      </c>
      <c r="E297" s="265" t="s">
        <v>26</v>
      </c>
      <c r="F297" s="265" t="s">
        <v>27</v>
      </c>
      <c r="H297" s="320">
        <v>45196.0</v>
      </c>
      <c r="I297" s="309">
        <v>1.0</v>
      </c>
      <c r="K297" s="318"/>
      <c r="L297" s="311"/>
      <c r="M297" s="312">
        <v>45199.57588106481</v>
      </c>
      <c r="N297" s="313">
        <v>45199.58690918981</v>
      </c>
      <c r="O297" s="314"/>
      <c r="P297" s="314"/>
      <c r="Q297" s="319" t="s">
        <v>31</v>
      </c>
      <c r="R297" s="316">
        <v>0.010416666667879326</v>
      </c>
      <c r="S297" s="317">
        <f t="shared" si="65"/>
        <v>18.125</v>
      </c>
      <c r="T297" s="317">
        <f>VLOOKUP(F297, Data_Validation!$D$2:$G$15, 4, FALSE)</f>
        <v>72.5</v>
      </c>
      <c r="U297" s="317"/>
    </row>
    <row r="298" ht="20.25" hidden="1" customHeight="1" outlineLevel="1">
      <c r="A298" s="216" t="str">
        <f>IFERROR(__xludf.DUMMYFUNCTION("ARRAYFORMULA(IFERROR(VLOOKUP(REGEXEXTRACT(B298, ""-(\w+)-""), {Data_Validation!$F$16:$F$29, Data_Validation!$E$16:$E$29}, 2, FALSE), """"))
"),"TheMVP")</f>
        <v>TheMVP</v>
      </c>
      <c r="B298" s="265" t="s">
        <v>1881</v>
      </c>
      <c r="D298" s="265" t="s">
        <v>38</v>
      </c>
      <c r="E298" s="265" t="s">
        <v>26</v>
      </c>
      <c r="F298" s="265" t="s">
        <v>22</v>
      </c>
      <c r="H298" s="320">
        <v>45197.0</v>
      </c>
      <c r="I298" s="309">
        <v>1.0</v>
      </c>
      <c r="K298" s="318"/>
      <c r="L298" s="311"/>
      <c r="M298" s="312">
        <v>45199.58792824074</v>
      </c>
      <c r="N298" s="313">
        <v>45199.6224603125</v>
      </c>
      <c r="O298" s="314"/>
      <c r="P298" s="314"/>
      <c r="Q298" s="319" t="s">
        <v>31</v>
      </c>
      <c r="R298" s="316">
        <v>0.034027777779556345</v>
      </c>
      <c r="S298" s="317">
        <f t="shared" si="65"/>
        <v>102.0833333</v>
      </c>
      <c r="T298" s="317">
        <f>VLOOKUP(F298, Data_Validation!$D$2:$G$15, 4, FALSE)</f>
        <v>125</v>
      </c>
      <c r="U298" s="317"/>
    </row>
    <row r="299" ht="20.25" hidden="1" customHeight="1" outlineLevel="1">
      <c r="A299" s="216" t="str">
        <f>IFERROR(__xludf.DUMMYFUNCTION("ARRAYFORMULA(IFERROR(VLOOKUP(REGEXEXTRACT(B299, ""-(\w+)-""), {Data_Validation!$F$16:$F$29, Data_Validation!$E$16:$E$29}, 2, FALSE), """"))
"),"TheMVP")</f>
        <v>TheMVP</v>
      </c>
      <c r="B299" s="265" t="s">
        <v>1882</v>
      </c>
      <c r="D299" s="265" t="s">
        <v>40</v>
      </c>
      <c r="E299" s="265" t="s">
        <v>26</v>
      </c>
      <c r="F299" s="265" t="s">
        <v>27</v>
      </c>
      <c r="H299" s="320">
        <v>45197.0</v>
      </c>
      <c r="I299" s="309">
        <v>1.0</v>
      </c>
      <c r="K299" s="318"/>
      <c r="L299" s="311"/>
      <c r="M299" s="312">
        <v>45199.62280081019</v>
      </c>
      <c r="N299" s="313">
        <v>45199.81501961805</v>
      </c>
      <c r="O299" s="314" t="s">
        <v>1883</v>
      </c>
      <c r="P299" s="314" t="s">
        <v>1884</v>
      </c>
      <c r="Q299" s="319" t="s">
        <v>31</v>
      </c>
      <c r="R299" s="316">
        <v>0.09791666666569654</v>
      </c>
      <c r="S299" s="317">
        <f t="shared" si="65"/>
        <v>170.375</v>
      </c>
      <c r="T299" s="317">
        <f>VLOOKUP(F299, Data_Validation!$D$2:$G$15, 4, FALSE)</f>
        <v>72.5</v>
      </c>
      <c r="U299" s="317"/>
    </row>
    <row r="300" ht="20.25" hidden="1" customHeight="1" outlineLevel="1">
      <c r="A300" s="216" t="str">
        <f>IFERROR(__xludf.DUMMYFUNCTION("ARRAYFORMULA(IFERROR(VLOOKUP(REGEXEXTRACT(B300, ""-(\w+)-""), {Data_Validation!$F$16:$F$29, Data_Validation!$E$16:$E$29}, 2, FALSE), """"))
"),"TheMVP")</f>
        <v>TheMVP</v>
      </c>
      <c r="B300" s="265" t="s">
        <v>1885</v>
      </c>
      <c r="D300" s="265" t="s">
        <v>45</v>
      </c>
      <c r="E300" s="265" t="s">
        <v>26</v>
      </c>
      <c r="F300" s="265" t="s">
        <v>41</v>
      </c>
      <c r="H300" s="320">
        <v>45197.0</v>
      </c>
      <c r="I300" s="309">
        <v>1.0</v>
      </c>
      <c r="K300" s="318"/>
      <c r="L300" s="311"/>
      <c r="M300" s="312">
        <v>45199.724851018516</v>
      </c>
      <c r="N300" s="313">
        <v>45199.81489228009</v>
      </c>
      <c r="O300" s="314" t="s">
        <v>1886</v>
      </c>
      <c r="P300" s="314" t="s">
        <v>1887</v>
      </c>
      <c r="Q300" s="319" t="s">
        <v>31</v>
      </c>
      <c r="R300" s="316">
        <v>0.05625000000145519</v>
      </c>
      <c r="S300" s="317">
        <f t="shared" si="65"/>
        <v>155.25</v>
      </c>
      <c r="T300" s="317">
        <f>VLOOKUP(F300, Data_Validation!$D$2:$G$15, 4, FALSE)</f>
        <v>115</v>
      </c>
      <c r="U300" s="317"/>
    </row>
    <row r="301" ht="20.25" hidden="1" customHeight="1" outlineLevel="1">
      <c r="A301" s="216" t="str">
        <f>IFERROR(__xludf.DUMMYFUNCTION("ARRAYFORMULA(IFERROR(VLOOKUP(REGEXEXTRACT(B301, ""-(\w+)-""), {Data_Validation!$F$16:$F$29, Data_Validation!$E$16:$E$29}, 2, FALSE), """"))
"),"TheMVP")</f>
        <v>TheMVP</v>
      </c>
      <c r="B301" s="265" t="s">
        <v>1888</v>
      </c>
      <c r="D301" s="265" t="s">
        <v>47</v>
      </c>
      <c r="E301" s="265" t="s">
        <v>26</v>
      </c>
      <c r="F301" s="265" t="s">
        <v>27</v>
      </c>
      <c r="H301" s="320">
        <v>45199.0</v>
      </c>
      <c r="I301" s="309">
        <v>1.0</v>
      </c>
      <c r="K301" s="318"/>
      <c r="L301" s="311"/>
      <c r="M301" s="312">
        <v>45199.815086574075</v>
      </c>
      <c r="N301" s="313">
        <v>45199.81579810185</v>
      </c>
      <c r="O301" s="314"/>
      <c r="P301" s="314"/>
      <c r="Q301" s="319" t="s">
        <v>31</v>
      </c>
      <c r="R301" s="316">
        <v>6.944444430700969E-4</v>
      </c>
      <c r="S301" s="317">
        <f t="shared" si="65"/>
        <v>1.208333331</v>
      </c>
      <c r="T301" s="317">
        <f>VLOOKUP(F301, Data_Validation!$D$2:$G$15, 4, FALSE)</f>
        <v>72.5</v>
      </c>
      <c r="U301" s="317"/>
    </row>
    <row r="302" ht="20.25" customHeight="1" collapsed="1">
      <c r="A302" s="216" t="str">
        <f>IFERROR(__xludf.DUMMYFUNCTION("ARRAYFORMULA(IFERROR(VLOOKUP(REGEXEXTRACT(B302, ""-(\w+)-""), {Data_Validation!$F$16:$F$29, Data_Validation!$E$16:$E$29}, 2, FALSE), """"))
"),"TheMVP")</f>
        <v>TheMVP</v>
      </c>
      <c r="B302" s="265" t="s">
        <v>1889</v>
      </c>
      <c r="C302" s="265" t="s">
        <v>1890</v>
      </c>
      <c r="E302" s="265" t="s">
        <v>78</v>
      </c>
      <c r="F302" s="265" t="s">
        <v>22</v>
      </c>
      <c r="G302" s="265" t="s">
        <v>89</v>
      </c>
      <c r="H302" s="320">
        <v>45200.84951410879</v>
      </c>
      <c r="I302" s="308"/>
      <c r="J302" s="309">
        <v>3.0</v>
      </c>
      <c r="K302" s="318"/>
      <c r="L302" s="311"/>
      <c r="M302" s="312">
        <f>MIN(M303:M305)</f>
        <v>0</v>
      </c>
      <c r="N302" s="313">
        <f>MAX(N303:N305)</f>
        <v>0</v>
      </c>
      <c r="O302" s="314"/>
      <c r="P302" s="314"/>
      <c r="Q302" s="315"/>
      <c r="R302" s="316">
        <f t="shared" ref="R302:S302" si="66">SUM(R303:R305)</f>
        <v>0</v>
      </c>
      <c r="S302" s="317">
        <f t="shared" si="66"/>
        <v>0</v>
      </c>
      <c r="T302" s="317">
        <f>AVERAGE(T303:T305)</f>
        <v>121.6666667</v>
      </c>
      <c r="U302" s="317"/>
    </row>
    <row r="303" ht="20.25" hidden="1" customHeight="1" outlineLevel="1">
      <c r="A303" s="216" t="str">
        <f>IFERROR(__xludf.DUMMYFUNCTION("ARRAYFORMULA(IFERROR(VLOOKUP(REGEXEXTRACT(B303, ""-(\w+)-""), {Data_Validation!$F$16:$F$29, Data_Validation!$E$16:$E$29}, 2, FALSE), """"))
"),"TheMVP")</f>
        <v>TheMVP</v>
      </c>
      <c r="B303" s="265" t="s">
        <v>1891</v>
      </c>
      <c r="D303" s="265" t="s">
        <v>25</v>
      </c>
      <c r="E303" s="265" t="s">
        <v>26</v>
      </c>
      <c r="F303" s="265" t="s">
        <v>131</v>
      </c>
      <c r="H303" s="320">
        <v>45199.0</v>
      </c>
      <c r="I303" s="309">
        <v>1.0</v>
      </c>
      <c r="K303" s="318"/>
      <c r="L303" s="311"/>
      <c r="M303" s="312"/>
      <c r="N303" s="313"/>
      <c r="O303" s="314"/>
      <c r="P303" s="314"/>
      <c r="Q303" s="315"/>
      <c r="R303" s="316"/>
      <c r="S303" s="317">
        <f t="shared" ref="S303:S305" si="67">T303*24*R303</f>
        <v>0</v>
      </c>
      <c r="T303" s="317">
        <f>VLOOKUP(F303, Data_Validation!$D$2:$G$15, 4, FALSE)</f>
        <v>115</v>
      </c>
      <c r="U303" s="317"/>
    </row>
    <row r="304" ht="20.25" hidden="1" customHeight="1" outlineLevel="1">
      <c r="A304" s="216" t="str">
        <f>IFERROR(__xludf.DUMMYFUNCTION("ARRAYFORMULA(IFERROR(VLOOKUP(REGEXEXTRACT(B304, ""-(\w+)-""), {Data_Validation!$F$16:$F$29, Data_Validation!$E$16:$E$29}, 2, FALSE), """"))
"),"TheMVP")</f>
        <v>TheMVP</v>
      </c>
      <c r="B304" s="265" t="s">
        <v>1892</v>
      </c>
      <c r="D304" s="265" t="s">
        <v>40</v>
      </c>
      <c r="E304" s="265" t="s">
        <v>26</v>
      </c>
      <c r="F304" s="265" t="s">
        <v>22</v>
      </c>
      <c r="H304" s="320">
        <v>45199.0</v>
      </c>
      <c r="I304" s="309">
        <v>1.0</v>
      </c>
      <c r="K304" s="318"/>
      <c r="L304" s="311"/>
      <c r="M304" s="312"/>
      <c r="N304" s="313"/>
      <c r="O304" s="314"/>
      <c r="P304" s="314"/>
      <c r="Q304" s="315"/>
      <c r="R304" s="316"/>
      <c r="S304" s="317">
        <f t="shared" si="67"/>
        <v>0</v>
      </c>
      <c r="T304" s="317">
        <f>VLOOKUP(F304, Data_Validation!$D$2:$G$15, 4, FALSE)</f>
        <v>125</v>
      </c>
      <c r="U304" s="317"/>
    </row>
    <row r="305" ht="20.25" hidden="1" customHeight="1" outlineLevel="1">
      <c r="A305" s="216" t="str">
        <f>IFERROR(__xludf.DUMMYFUNCTION("ARRAYFORMULA(IFERROR(VLOOKUP(REGEXEXTRACT(B305, ""-(\w+)-""), {Data_Validation!$F$16:$F$29, Data_Validation!$E$16:$E$29}, 2, FALSE), """"))
"),"TheMVP")</f>
        <v>TheMVP</v>
      </c>
      <c r="B305" s="265" t="s">
        <v>1893</v>
      </c>
      <c r="D305" s="265" t="s">
        <v>47</v>
      </c>
      <c r="E305" s="265" t="s">
        <v>26</v>
      </c>
      <c r="F305" s="265" t="s">
        <v>22</v>
      </c>
      <c r="H305" s="320">
        <v>45200.84951410879</v>
      </c>
      <c r="I305" s="309">
        <v>1.0</v>
      </c>
      <c r="K305" s="318"/>
      <c r="L305" s="311"/>
      <c r="M305" s="312"/>
      <c r="N305" s="313"/>
      <c r="O305" s="314"/>
      <c r="P305" s="314"/>
      <c r="Q305" s="315"/>
      <c r="R305" s="316"/>
      <c r="S305" s="317">
        <f t="shared" si="67"/>
        <v>0</v>
      </c>
      <c r="T305" s="317">
        <f>VLOOKUP(F305, Data_Validation!$D$2:$G$15, 4, FALSE)</f>
        <v>125</v>
      </c>
      <c r="U305" s="317"/>
    </row>
    <row r="306" ht="20.25" customHeight="1" collapsed="1">
      <c r="A306" s="216" t="str">
        <f>IFERROR(__xludf.DUMMYFUNCTION("ARRAYFORMULA(IFERROR(VLOOKUP(REGEXEXTRACT(B306, ""-(\w+)-""), {Data_Validation!$F$16:$F$29, Data_Validation!$E$16:$E$29}, 2, FALSE), """"))
"),"Barkery")</f>
        <v>Barkery</v>
      </c>
      <c r="B306" s="265" t="s">
        <v>1894</v>
      </c>
      <c r="C306" s="265" t="s">
        <v>1895</v>
      </c>
      <c r="E306" s="265" t="s">
        <v>984</v>
      </c>
      <c r="F306" s="265" t="s">
        <v>48</v>
      </c>
      <c r="G306" s="265" t="s">
        <v>63</v>
      </c>
      <c r="H306" s="307">
        <v>45178.0</v>
      </c>
      <c r="I306" s="308"/>
      <c r="J306" s="309">
        <v>7.0</v>
      </c>
      <c r="K306" s="318"/>
      <c r="L306" s="311"/>
      <c r="M306" s="312">
        <v>45177.801488564815</v>
      </c>
      <c r="N306" s="313">
        <v>45185.50535568287</v>
      </c>
      <c r="O306" s="314"/>
      <c r="P306" s="314"/>
      <c r="Q306" s="315"/>
      <c r="R306" s="316">
        <v>0.3631944444459805</v>
      </c>
      <c r="S306" s="317">
        <f>SUM(S307:S313)</f>
        <v>1026.916667</v>
      </c>
      <c r="T306" s="317">
        <f>AVERAGE(T307:T313)</f>
        <v>119.2857143</v>
      </c>
      <c r="U306" s="317"/>
    </row>
    <row r="307" ht="20.25" hidden="1" customHeight="1" outlineLevel="1">
      <c r="A307" s="216" t="str">
        <f>IFERROR(__xludf.DUMMYFUNCTION("ARRAYFORMULA(IFERROR(VLOOKUP(REGEXEXTRACT(B307, ""-(\w+)-""), {Data_Validation!$F$16:$F$29, Data_Validation!$E$16:$E$29}, 2, FALSE), """"))
"),"Barkery")</f>
        <v>Barkery</v>
      </c>
      <c r="B307" s="265" t="s">
        <v>1896</v>
      </c>
      <c r="D307" s="265" t="s">
        <v>1897</v>
      </c>
      <c r="E307" s="265" t="s">
        <v>26</v>
      </c>
      <c r="F307" s="265" t="s">
        <v>48</v>
      </c>
      <c r="G307" s="265" t="s">
        <v>1898</v>
      </c>
      <c r="H307" s="307">
        <v>45177.792851875</v>
      </c>
      <c r="I307" s="309">
        <v>1.0</v>
      </c>
      <c r="K307" s="318"/>
      <c r="L307" s="311"/>
      <c r="M307" s="312">
        <v>45177.801488564815</v>
      </c>
      <c r="N307" s="313">
        <v>45183.447281574074</v>
      </c>
      <c r="O307" s="314" t="s">
        <v>1899</v>
      </c>
      <c r="P307" s="314" t="s">
        <v>1900</v>
      </c>
      <c r="Q307" s="319" t="s">
        <v>31</v>
      </c>
      <c r="R307" s="316">
        <v>0.06527777777955635</v>
      </c>
      <c r="S307" s="317">
        <f t="shared" ref="S307:S313" si="68">T307*24*R307</f>
        <v>133.1666667</v>
      </c>
      <c r="T307" s="317">
        <f>VLOOKUP(F307, Data_Validation!$D$2:$G$15, 4, FALSE)</f>
        <v>85</v>
      </c>
      <c r="U307" s="317"/>
    </row>
    <row r="308" ht="20.25" hidden="1" customHeight="1" outlineLevel="1">
      <c r="A308" s="216" t="str">
        <f>IFERROR(__xludf.DUMMYFUNCTION("ARRAYFORMULA(IFERROR(VLOOKUP(REGEXEXTRACT(B308, ""-(\w+)-""), {Data_Validation!$F$16:$F$29, Data_Validation!$E$16:$E$29}, 2, FALSE), """"))
"),"Barkery")</f>
        <v>Barkery</v>
      </c>
      <c r="B308" s="265" t="s">
        <v>1901</v>
      </c>
      <c r="D308" s="265" t="s">
        <v>25</v>
      </c>
      <c r="E308" s="265" t="s">
        <v>26</v>
      </c>
      <c r="F308" s="265" t="s">
        <v>22</v>
      </c>
      <c r="H308" s="307">
        <v>45178.0</v>
      </c>
      <c r="I308" s="309">
        <v>1.0</v>
      </c>
      <c r="K308" s="318"/>
      <c r="L308" s="311"/>
      <c r="M308" s="312">
        <v>45183.652619375</v>
      </c>
      <c r="N308" s="313">
        <v>45185.50535568287</v>
      </c>
      <c r="O308" s="314" t="s">
        <v>1902</v>
      </c>
      <c r="P308" s="314" t="s">
        <v>1903</v>
      </c>
      <c r="Q308" s="319" t="s">
        <v>31</v>
      </c>
      <c r="R308" s="316">
        <v>0.06388888888977817</v>
      </c>
      <c r="S308" s="317">
        <f t="shared" si="68"/>
        <v>191.6666667</v>
      </c>
      <c r="T308" s="317">
        <f>VLOOKUP(F308, Data_Validation!$D$2:$G$15, 4, FALSE)</f>
        <v>125</v>
      </c>
      <c r="U308" s="317"/>
    </row>
    <row r="309" ht="20.25" hidden="1" customHeight="1" outlineLevel="1">
      <c r="A309" s="216" t="str">
        <f>IFERROR(__xludf.DUMMYFUNCTION("ARRAYFORMULA(IFERROR(VLOOKUP(REGEXEXTRACT(B309, ""-(\w+)-""), {Data_Validation!$F$16:$F$29, Data_Validation!$E$16:$E$29}, 2, FALSE), """"))
"),"Barkery")</f>
        <v>Barkery</v>
      </c>
      <c r="B309" s="265" t="s">
        <v>1904</v>
      </c>
      <c r="D309" s="265" t="s">
        <v>33</v>
      </c>
      <c r="E309" s="265" t="s">
        <v>26</v>
      </c>
      <c r="F309" s="265" t="s">
        <v>22</v>
      </c>
      <c r="H309" s="307">
        <v>45178.0</v>
      </c>
      <c r="I309" s="309">
        <v>1.0</v>
      </c>
      <c r="K309" s="318"/>
      <c r="L309" s="311"/>
      <c r="M309" s="312">
        <v>45188.586805555555</v>
      </c>
      <c r="N309" s="313">
        <v>45188.82083333333</v>
      </c>
      <c r="O309" s="314"/>
      <c r="P309" s="314"/>
      <c r="Q309" s="319" t="s">
        <v>31</v>
      </c>
      <c r="R309" s="316">
        <v>0.23402777777664596</v>
      </c>
      <c r="S309" s="317">
        <f t="shared" si="68"/>
        <v>702.0833333</v>
      </c>
      <c r="T309" s="317">
        <f>VLOOKUP(F309, Data_Validation!$D$2:$G$15, 4, FALSE)</f>
        <v>125</v>
      </c>
      <c r="U309" s="317"/>
    </row>
    <row r="310" ht="20.25" hidden="1" customHeight="1" outlineLevel="1">
      <c r="A310" s="216" t="str">
        <f>IFERROR(__xludf.DUMMYFUNCTION("ARRAYFORMULA(IFERROR(VLOOKUP(REGEXEXTRACT(B310, ""-(\w+)-""), {Data_Validation!$F$16:$F$29, Data_Validation!$E$16:$E$29}, 2, FALSE), """"))
"),"Barkery")</f>
        <v>Barkery</v>
      </c>
      <c r="B310" s="265" t="s">
        <v>1905</v>
      </c>
      <c r="D310" s="265" t="s">
        <v>1906</v>
      </c>
      <c r="E310" s="265" t="s">
        <v>26</v>
      </c>
      <c r="F310" s="265" t="s">
        <v>22</v>
      </c>
      <c r="H310" s="307">
        <v>45188.0</v>
      </c>
      <c r="I310" s="309">
        <v>1.0</v>
      </c>
      <c r="K310" s="318"/>
      <c r="L310" s="311"/>
      <c r="M310" s="312"/>
      <c r="N310" s="313"/>
      <c r="O310" s="314"/>
      <c r="P310" s="314"/>
      <c r="Q310" s="315"/>
      <c r="R310" s="316"/>
      <c r="S310" s="317">
        <f t="shared" si="68"/>
        <v>0</v>
      </c>
      <c r="T310" s="317">
        <f>VLOOKUP(F310, Data_Validation!$D$2:$G$15, 4, FALSE)</f>
        <v>125</v>
      </c>
      <c r="U310" s="317"/>
    </row>
    <row r="311" ht="20.25" hidden="1" customHeight="1" outlineLevel="1">
      <c r="A311" s="216" t="str">
        <f>IFERROR(__xludf.DUMMYFUNCTION("ARRAYFORMULA(IFERROR(VLOOKUP(REGEXEXTRACT(B311, ""-(\w+)-""), {Data_Validation!$F$16:$F$29, Data_Validation!$E$16:$E$29}, 2, FALSE), """"))
"),"Barkery")</f>
        <v>Barkery</v>
      </c>
      <c r="B311" s="265" t="s">
        <v>1907</v>
      </c>
      <c r="D311" s="265" t="s">
        <v>1908</v>
      </c>
      <c r="E311" s="265" t="s">
        <v>26</v>
      </c>
      <c r="F311" s="265" t="s">
        <v>22</v>
      </c>
      <c r="H311" s="307">
        <v>45189.0</v>
      </c>
      <c r="I311" s="309">
        <v>1.0</v>
      </c>
      <c r="K311" s="318"/>
      <c r="L311" s="311"/>
      <c r="M311" s="312"/>
      <c r="N311" s="313"/>
      <c r="O311" s="314"/>
      <c r="P311" s="314"/>
      <c r="Q311" s="315"/>
      <c r="R311" s="316"/>
      <c r="S311" s="317">
        <f t="shared" si="68"/>
        <v>0</v>
      </c>
      <c r="T311" s="317">
        <f>VLOOKUP(F311, Data_Validation!$D$2:$G$15, 4, FALSE)</f>
        <v>125</v>
      </c>
      <c r="U311" s="317"/>
    </row>
    <row r="312" ht="20.25" hidden="1" customHeight="1" outlineLevel="1">
      <c r="A312" s="216" t="str">
        <f>IFERROR(__xludf.DUMMYFUNCTION("ARRAYFORMULA(IFERROR(VLOOKUP(REGEXEXTRACT(B312, ""-(\w+)-""), {Data_Validation!$F$16:$F$29, Data_Validation!$E$16:$E$29}, 2, FALSE), """"))
"),"Barkery")</f>
        <v>Barkery</v>
      </c>
      <c r="B312" s="265" t="s">
        <v>1909</v>
      </c>
      <c r="D312" s="265" t="s">
        <v>1910</v>
      </c>
      <c r="E312" s="265" t="s">
        <v>26</v>
      </c>
      <c r="F312" s="265" t="s">
        <v>22</v>
      </c>
      <c r="G312" s="265" t="s">
        <v>237</v>
      </c>
      <c r="H312" s="307">
        <v>45190.0</v>
      </c>
      <c r="I312" s="309">
        <v>1.0</v>
      </c>
      <c r="K312" s="318"/>
      <c r="L312" s="311"/>
      <c r="M312" s="312"/>
      <c r="N312" s="313"/>
      <c r="O312" s="314"/>
      <c r="P312" s="314"/>
      <c r="Q312" s="315"/>
      <c r="R312" s="316"/>
      <c r="S312" s="317">
        <f t="shared" si="68"/>
        <v>0</v>
      </c>
      <c r="T312" s="317">
        <f>VLOOKUP(F312, Data_Validation!$D$2:$G$15, 4, FALSE)</f>
        <v>125</v>
      </c>
      <c r="U312" s="317"/>
    </row>
    <row r="313" ht="20.25" hidden="1" customHeight="1" outlineLevel="1">
      <c r="A313" s="216" t="str">
        <f>IFERROR(__xludf.DUMMYFUNCTION("ARRAYFORMULA(IFERROR(VLOOKUP(REGEXEXTRACT(B313, ""-(\w+)-""), {Data_Validation!$F$16:$F$29, Data_Validation!$E$16:$E$29}, 2, FALSE), """"))
"),"Barkery")</f>
        <v>Barkery</v>
      </c>
      <c r="B313" s="265" t="s">
        <v>1911</v>
      </c>
      <c r="D313" s="265" t="s">
        <v>274</v>
      </c>
      <c r="E313" s="265" t="s">
        <v>26</v>
      </c>
      <c r="F313" s="265" t="s">
        <v>22</v>
      </c>
      <c r="H313" s="307">
        <v>45198.0</v>
      </c>
      <c r="I313" s="309">
        <v>1.0</v>
      </c>
      <c r="K313" s="318"/>
      <c r="L313" s="311"/>
      <c r="M313" s="312"/>
      <c r="N313" s="313"/>
      <c r="O313" s="314"/>
      <c r="P313" s="314"/>
      <c r="Q313" s="315"/>
      <c r="R313" s="316"/>
      <c r="S313" s="317">
        <f t="shared" si="68"/>
        <v>0</v>
      </c>
      <c r="T313" s="317">
        <f>VLOOKUP(F313, Data_Validation!$D$2:$G$15, 4, FALSE)</f>
        <v>125</v>
      </c>
      <c r="U313" s="317"/>
    </row>
    <row r="314" ht="20.25" customHeight="1" collapsed="1">
      <c r="A314" s="216" t="str">
        <f>IFERROR(__xludf.DUMMYFUNCTION("ARRAYFORMULA(IFERROR(VLOOKUP(REGEXEXTRACT(B314, ""-(\w+)-""), {Data_Validation!$F$16:$F$29, Data_Validation!$E$16:$E$29}, 2, FALSE), """"))
"),"Emerson")</f>
        <v>Emerson</v>
      </c>
      <c r="B314" s="265" t="s">
        <v>1912</v>
      </c>
      <c r="C314" s="265" t="s">
        <v>1913</v>
      </c>
      <c r="E314" s="265" t="s">
        <v>963</v>
      </c>
      <c r="F314" s="265" t="s">
        <v>48</v>
      </c>
      <c r="G314" s="265" t="s">
        <v>63</v>
      </c>
      <c r="H314" s="307">
        <v>45197.0</v>
      </c>
      <c r="I314" s="308"/>
      <c r="J314" s="309">
        <v>3.0</v>
      </c>
      <c r="K314" s="318"/>
      <c r="L314" s="311"/>
      <c r="M314" s="312">
        <f>MIN(M315:M317)</f>
        <v>45191.60286</v>
      </c>
      <c r="N314" s="313">
        <f>MAX(N315:N317)</f>
        <v>45191.60367</v>
      </c>
      <c r="O314" s="314"/>
      <c r="P314" s="314"/>
      <c r="Q314" s="315"/>
      <c r="R314" s="316">
        <f t="shared" ref="R314:S314" si="69">SUM(R315:R317)</f>
        <v>0.0006944444431</v>
      </c>
      <c r="S314" s="317">
        <f t="shared" si="69"/>
        <v>2.083333329</v>
      </c>
      <c r="T314" s="317">
        <f>AVERAGE(T315:T317)</f>
        <v>107.5</v>
      </c>
      <c r="U314" s="317"/>
    </row>
    <row r="315" ht="20.25" hidden="1" customHeight="1" outlineLevel="1">
      <c r="A315" s="216" t="str">
        <f>IFERROR(__xludf.DUMMYFUNCTION("ARRAYFORMULA(IFERROR(VLOOKUP(REGEXEXTRACT(B315, ""-(\w+)-""), {Data_Validation!$F$16:$F$29, Data_Validation!$E$16:$E$29}, 2, FALSE), """"))
"),"Emerson")</f>
        <v>Emerson</v>
      </c>
      <c r="B315" s="265" t="s">
        <v>1914</v>
      </c>
      <c r="D315" s="265" t="s">
        <v>40</v>
      </c>
      <c r="E315" s="265" t="s">
        <v>26</v>
      </c>
      <c r="F315" s="265" t="s">
        <v>22</v>
      </c>
      <c r="H315" s="307">
        <v>45188.0</v>
      </c>
      <c r="I315" s="309">
        <v>1.0</v>
      </c>
      <c r="K315" s="318"/>
      <c r="L315" s="311"/>
      <c r="M315" s="312">
        <v>45191.6028634838</v>
      </c>
      <c r="N315" s="313">
        <v>45191.60366729167</v>
      </c>
      <c r="O315" s="314"/>
      <c r="P315" s="314"/>
      <c r="Q315" s="319" t="s">
        <v>31</v>
      </c>
      <c r="R315" s="316">
        <v>6.944444430700969E-4</v>
      </c>
      <c r="S315" s="317">
        <f t="shared" ref="S315:S317" si="70">T315*24*R315</f>
        <v>2.083333329</v>
      </c>
      <c r="T315" s="317">
        <f>VLOOKUP(F315, Data_Validation!$D$2:$G$15, 4, FALSE)</f>
        <v>125</v>
      </c>
      <c r="U315" s="317"/>
    </row>
    <row r="316" ht="20.25" hidden="1" customHeight="1" outlineLevel="1">
      <c r="A316" s="216" t="str">
        <f>IFERROR(__xludf.DUMMYFUNCTION("ARRAYFORMULA(IFERROR(VLOOKUP(REGEXEXTRACT(B316, ""-(\w+)-""), {Data_Validation!$F$16:$F$29, Data_Validation!$E$16:$E$29}, 2, FALSE), """"))
"),"Emerson")</f>
        <v>Emerson</v>
      </c>
      <c r="B316" s="265" t="s">
        <v>1915</v>
      </c>
      <c r="D316" s="265" t="s">
        <v>274</v>
      </c>
      <c r="E316" s="265" t="s">
        <v>26</v>
      </c>
      <c r="F316" s="265" t="s">
        <v>27</v>
      </c>
      <c r="H316" s="307">
        <v>45194.0</v>
      </c>
      <c r="I316" s="309">
        <v>1.0</v>
      </c>
      <c r="K316" s="318"/>
      <c r="L316" s="311"/>
      <c r="M316" s="312"/>
      <c r="N316" s="313"/>
      <c r="O316" s="314"/>
      <c r="P316" s="314"/>
      <c r="Q316" s="315"/>
      <c r="R316" s="316"/>
      <c r="S316" s="317">
        <f t="shared" si="70"/>
        <v>0</v>
      </c>
      <c r="T316" s="317">
        <f>VLOOKUP(F316, Data_Validation!$D$2:$G$15, 4, FALSE)</f>
        <v>72.5</v>
      </c>
      <c r="U316" s="317"/>
    </row>
    <row r="317" ht="20.25" hidden="1" customHeight="1" outlineLevel="1">
      <c r="A317" s="216" t="str">
        <f>IFERROR(__xludf.DUMMYFUNCTION("ARRAYFORMULA(IFERROR(VLOOKUP(REGEXEXTRACT(B317, ""-(\w+)-""), {Data_Validation!$F$16:$F$29, Data_Validation!$E$16:$E$29}, 2, FALSE), """"))
"),"Emerson")</f>
        <v>Emerson</v>
      </c>
      <c r="B317" s="265" t="s">
        <v>1916</v>
      </c>
      <c r="D317" s="265" t="s">
        <v>1135</v>
      </c>
      <c r="E317" s="265" t="s">
        <v>26</v>
      </c>
      <c r="F317" s="265" t="s">
        <v>22</v>
      </c>
      <c r="H317" s="307">
        <v>45197.0</v>
      </c>
      <c r="I317" s="309">
        <v>1.0</v>
      </c>
      <c r="K317" s="318"/>
      <c r="L317" s="311"/>
      <c r="M317" s="312"/>
      <c r="N317" s="313"/>
      <c r="O317" s="314"/>
      <c r="P317" s="314"/>
      <c r="Q317" s="315"/>
      <c r="R317" s="316"/>
      <c r="S317" s="317">
        <f t="shared" si="70"/>
        <v>0</v>
      </c>
      <c r="T317" s="317">
        <f>VLOOKUP(F317, Data_Validation!$D$2:$G$15, 4, FALSE)</f>
        <v>125</v>
      </c>
      <c r="U317" s="317"/>
    </row>
    <row r="318" ht="20.25" customHeight="1" collapsed="1">
      <c r="A318" s="216" t="str">
        <f>IFERROR(__xludf.DUMMYFUNCTION("ARRAYFORMULA(IFERROR(VLOOKUP(REGEXEXTRACT(B318, ""-(\w+)-""), {Data_Validation!$F$16:$F$29, Data_Validation!$E$16:$E$29}, 2, FALSE), """"))
"),"Emerson")</f>
        <v>Emerson</v>
      </c>
      <c r="B318" s="265" t="s">
        <v>1780</v>
      </c>
      <c r="C318" s="265" t="s">
        <v>1781</v>
      </c>
      <c r="E318" s="265" t="s">
        <v>963</v>
      </c>
      <c r="F318" s="265" t="s">
        <v>22</v>
      </c>
      <c r="G318" s="265" t="s">
        <v>23</v>
      </c>
      <c r="H318" s="307">
        <v>45196.0</v>
      </c>
      <c r="I318" s="308"/>
      <c r="J318" s="309">
        <v>7.0</v>
      </c>
      <c r="K318" s="318"/>
      <c r="L318" s="311"/>
      <c r="M318" s="312">
        <v>45196.62555358796</v>
      </c>
      <c r="N318" s="313">
        <v>45202.44895561342</v>
      </c>
      <c r="O318" s="314"/>
      <c r="P318" s="314"/>
      <c r="Q318" s="315"/>
      <c r="R318" s="316">
        <v>2.0979166666656965</v>
      </c>
      <c r="S318" s="317">
        <f>SUM(S319:S325)</f>
        <v>6293.75</v>
      </c>
      <c r="T318" s="317">
        <f>AVERAGE(T319:T325)</f>
        <v>125</v>
      </c>
      <c r="U318" s="317"/>
    </row>
    <row r="319" ht="20.25" hidden="1" customHeight="1" outlineLevel="1">
      <c r="A319" s="216" t="str">
        <f>IFERROR(__xludf.DUMMYFUNCTION("ARRAYFORMULA(IFERROR(VLOOKUP(REGEXEXTRACT(B319, ""-(\w+)-""), {Data_Validation!$F$16:$F$29, Data_Validation!$E$16:$E$29}, 2, FALSE), """"))
"),"Emerson")</f>
        <v>Emerson</v>
      </c>
      <c r="B319" s="265" t="s">
        <v>1782</v>
      </c>
      <c r="D319" s="265" t="s">
        <v>1783</v>
      </c>
      <c r="E319" s="265" t="s">
        <v>26</v>
      </c>
      <c r="F319" s="265" t="s">
        <v>22</v>
      </c>
      <c r="H319" s="307">
        <v>45195.0</v>
      </c>
      <c r="I319" s="309">
        <v>1.0</v>
      </c>
      <c r="K319" s="318"/>
      <c r="L319" s="311"/>
      <c r="M319" s="312"/>
      <c r="N319" s="313"/>
      <c r="O319" s="314"/>
      <c r="P319" s="314"/>
      <c r="Q319" s="315"/>
      <c r="R319" s="316"/>
      <c r="S319" s="317">
        <f t="shared" ref="S319:S325" si="71">T319*24*R319</f>
        <v>0</v>
      </c>
      <c r="T319" s="317">
        <f>VLOOKUP(F319, Data_Validation!$D$2:$G$15, 4, FALSE)</f>
        <v>125</v>
      </c>
      <c r="U319" s="317"/>
    </row>
    <row r="320" ht="20.25" hidden="1" customHeight="1" outlineLevel="1">
      <c r="A320" s="216" t="str">
        <f>IFERROR(__xludf.DUMMYFUNCTION("ARRAYFORMULA(IFERROR(VLOOKUP(REGEXEXTRACT(B320, ""-(\w+)-""), {Data_Validation!$F$16:$F$29, Data_Validation!$E$16:$E$29}, 2, FALSE), """"))
"),"Emerson")</f>
        <v>Emerson</v>
      </c>
      <c r="B320" s="265" t="s">
        <v>1784</v>
      </c>
      <c r="D320" s="265" t="s">
        <v>1785</v>
      </c>
      <c r="E320" s="265" t="s">
        <v>26</v>
      </c>
      <c r="F320" s="265" t="s">
        <v>22</v>
      </c>
      <c r="H320" s="307">
        <v>45195.0</v>
      </c>
      <c r="I320" s="309">
        <v>1.0</v>
      </c>
      <c r="K320" s="318"/>
      <c r="L320" s="311"/>
      <c r="M320" s="312"/>
      <c r="N320" s="313"/>
      <c r="O320" s="314"/>
      <c r="P320" s="314"/>
      <c r="Q320" s="315"/>
      <c r="R320" s="316"/>
      <c r="S320" s="317">
        <f t="shared" si="71"/>
        <v>0</v>
      </c>
      <c r="T320" s="317">
        <f>VLOOKUP(F320, Data_Validation!$D$2:$G$15, 4, FALSE)</f>
        <v>125</v>
      </c>
      <c r="U320" s="317"/>
    </row>
    <row r="321" ht="20.25" hidden="1" customHeight="1" outlineLevel="1">
      <c r="A321" s="216" t="str">
        <f>IFERROR(__xludf.DUMMYFUNCTION("ARRAYFORMULA(IFERROR(VLOOKUP(REGEXEXTRACT(B321, ""-(\w+)-""), {Data_Validation!$F$16:$F$29, Data_Validation!$E$16:$E$29}, 2, FALSE), """"))
"),"Emerson")</f>
        <v>Emerson</v>
      </c>
      <c r="B321" s="265" t="s">
        <v>1786</v>
      </c>
      <c r="D321" s="265" t="s">
        <v>1787</v>
      </c>
      <c r="E321" s="265" t="s">
        <v>26</v>
      </c>
      <c r="F321" s="265" t="s">
        <v>22</v>
      </c>
      <c r="H321" s="307">
        <v>45195.0</v>
      </c>
      <c r="I321" s="309">
        <v>1.0</v>
      </c>
      <c r="K321" s="318"/>
      <c r="L321" s="311"/>
      <c r="M321" s="312"/>
      <c r="N321" s="313"/>
      <c r="O321" s="314"/>
      <c r="P321" s="314"/>
      <c r="Q321" s="315"/>
      <c r="R321" s="316"/>
      <c r="S321" s="317">
        <f t="shared" si="71"/>
        <v>0</v>
      </c>
      <c r="T321" s="317">
        <f>VLOOKUP(F321, Data_Validation!$D$2:$G$15, 4, FALSE)</f>
        <v>125</v>
      </c>
      <c r="U321" s="317"/>
    </row>
    <row r="322" ht="20.25" hidden="1" customHeight="1" outlineLevel="1">
      <c r="A322" s="216" t="str">
        <f>IFERROR(__xludf.DUMMYFUNCTION("ARRAYFORMULA(IFERROR(VLOOKUP(REGEXEXTRACT(B322, ""-(\w+)-""), {Data_Validation!$F$16:$F$29, Data_Validation!$E$16:$E$29}, 2, FALSE), """"))
"),"Emerson")</f>
        <v>Emerson</v>
      </c>
      <c r="B322" s="265" t="s">
        <v>1788</v>
      </c>
      <c r="D322" s="265" t="s">
        <v>1789</v>
      </c>
      <c r="E322" s="265" t="s">
        <v>26</v>
      </c>
      <c r="F322" s="265" t="s">
        <v>22</v>
      </c>
      <c r="H322" s="307">
        <v>45195.0</v>
      </c>
      <c r="I322" s="309">
        <v>1.0</v>
      </c>
      <c r="K322" s="318"/>
      <c r="L322" s="311"/>
      <c r="M322" s="312"/>
      <c r="N322" s="313"/>
      <c r="O322" s="314"/>
      <c r="P322" s="314"/>
      <c r="Q322" s="315"/>
      <c r="R322" s="316"/>
      <c r="S322" s="317">
        <f t="shared" si="71"/>
        <v>0</v>
      </c>
      <c r="T322" s="317">
        <f>VLOOKUP(F322, Data_Validation!$D$2:$G$15, 4, FALSE)</f>
        <v>125</v>
      </c>
      <c r="U322" s="317"/>
    </row>
    <row r="323" ht="20.25" hidden="1" customHeight="1" outlineLevel="1">
      <c r="A323" s="216" t="str">
        <f>IFERROR(__xludf.DUMMYFUNCTION("ARRAYFORMULA(IFERROR(VLOOKUP(REGEXEXTRACT(B323, ""-(\w+)-""), {Data_Validation!$F$16:$F$29, Data_Validation!$E$16:$E$29}, 2, FALSE), """"))
"),"Emerson")</f>
        <v>Emerson</v>
      </c>
      <c r="B323" s="265" t="s">
        <v>1790</v>
      </c>
      <c r="D323" s="265" t="s">
        <v>1791</v>
      </c>
      <c r="E323" s="265" t="s">
        <v>26</v>
      </c>
      <c r="F323" s="265" t="s">
        <v>22</v>
      </c>
      <c r="H323" s="307">
        <v>45195.0</v>
      </c>
      <c r="I323" s="309">
        <v>1.0</v>
      </c>
      <c r="K323" s="318"/>
      <c r="L323" s="311"/>
      <c r="M323" s="312"/>
      <c r="N323" s="313"/>
      <c r="O323" s="314"/>
      <c r="P323" s="314"/>
      <c r="Q323" s="315"/>
      <c r="R323" s="316"/>
      <c r="S323" s="317">
        <f t="shared" si="71"/>
        <v>0</v>
      </c>
      <c r="T323" s="317">
        <f>VLOOKUP(F323, Data_Validation!$D$2:$G$15, 4, FALSE)</f>
        <v>125</v>
      </c>
      <c r="U323" s="317"/>
    </row>
    <row r="324" ht="20.25" hidden="1" customHeight="1" outlineLevel="1">
      <c r="A324" s="216" t="str">
        <f>IFERROR(__xludf.DUMMYFUNCTION("ARRAYFORMULA(IFERROR(VLOOKUP(REGEXEXTRACT(B324, ""-(\w+)-""), {Data_Validation!$F$16:$F$29, Data_Validation!$E$16:$E$29}, 2, FALSE), """"))
"),"Emerson")</f>
        <v>Emerson</v>
      </c>
      <c r="B324" s="265" t="s">
        <v>1792</v>
      </c>
      <c r="D324" s="265" t="s">
        <v>1793</v>
      </c>
      <c r="E324" s="265" t="s">
        <v>26</v>
      </c>
      <c r="F324" s="265" t="s">
        <v>22</v>
      </c>
      <c r="H324" s="307">
        <v>45195.0</v>
      </c>
      <c r="I324" s="309">
        <v>1.0</v>
      </c>
      <c r="K324" s="318"/>
      <c r="L324" s="311"/>
      <c r="M324" s="312"/>
      <c r="N324" s="313"/>
      <c r="O324" s="314"/>
      <c r="P324" s="314"/>
      <c r="Q324" s="315"/>
      <c r="R324" s="316"/>
      <c r="S324" s="317">
        <f t="shared" si="71"/>
        <v>0</v>
      </c>
      <c r="T324" s="317">
        <f>VLOOKUP(F324, Data_Validation!$D$2:$G$15, 4, FALSE)</f>
        <v>125</v>
      </c>
      <c r="U324" s="317"/>
    </row>
    <row r="325" ht="20.25" hidden="1" customHeight="1" outlineLevel="1">
      <c r="A325" s="216" t="str">
        <f>IFERROR(__xludf.DUMMYFUNCTION("ARRAYFORMULA(IFERROR(VLOOKUP(REGEXEXTRACT(B325, ""-(\w+)-""), {Data_Validation!$F$16:$F$29, Data_Validation!$E$16:$E$29}, 2, FALSE), """"))
"),"Emerson")</f>
        <v>Emerson</v>
      </c>
      <c r="B325" s="265" t="s">
        <v>1794</v>
      </c>
      <c r="D325" s="265" t="s">
        <v>1795</v>
      </c>
      <c r="E325" s="265" t="s">
        <v>26</v>
      </c>
      <c r="F325" s="265" t="s">
        <v>22</v>
      </c>
      <c r="H325" s="307">
        <v>45196.0</v>
      </c>
      <c r="I325" s="309">
        <v>1.0</v>
      </c>
      <c r="K325" s="318"/>
      <c r="L325" s="311"/>
      <c r="M325" s="312">
        <v>45196.62555358796</v>
      </c>
      <c r="N325" s="313">
        <v>45202.44895561342</v>
      </c>
      <c r="O325" s="314" t="s">
        <v>1917</v>
      </c>
      <c r="P325" s="314" t="s">
        <v>1918</v>
      </c>
      <c r="Q325" s="319" t="s">
        <v>31</v>
      </c>
      <c r="R325" s="316">
        <v>2.0979166666656965</v>
      </c>
      <c r="S325" s="317">
        <f t="shared" si="71"/>
        <v>6293.75</v>
      </c>
      <c r="T325" s="317">
        <f>VLOOKUP(F325, Data_Validation!$D$2:$G$15, 4, FALSE)</f>
        <v>125</v>
      </c>
      <c r="U325" s="317"/>
    </row>
    <row r="326" ht="20.25" customHeight="1" collapsed="1">
      <c r="A326" s="216" t="str">
        <f>IFERROR(__xludf.DUMMYFUNCTION("ARRAYFORMULA(IFERROR(VLOOKUP(REGEXEXTRACT(B326, ""-(\w+)-""), {Data_Validation!$F$16:$F$29, Data_Validation!$E$16:$E$29}, 2, FALSE), """"))
"),"Emerson")</f>
        <v>Emerson</v>
      </c>
      <c r="B326" s="265" t="s">
        <v>1919</v>
      </c>
      <c r="C326" s="265" t="s">
        <v>1920</v>
      </c>
      <c r="E326" s="265" t="s">
        <v>1051</v>
      </c>
      <c r="F326" s="265" t="s">
        <v>22</v>
      </c>
      <c r="G326" s="265" t="s">
        <v>79</v>
      </c>
      <c r="H326" s="307">
        <v>45202.83505388889</v>
      </c>
      <c r="I326" s="308"/>
      <c r="J326" s="309">
        <v>5.0</v>
      </c>
      <c r="K326" s="318"/>
      <c r="L326" s="311"/>
      <c r="M326" s="312">
        <v>45197.49922883102</v>
      </c>
      <c r="N326" s="313">
        <v>45199.80843344907</v>
      </c>
      <c r="O326" s="314"/>
      <c r="P326" s="314"/>
      <c r="Q326" s="315"/>
      <c r="R326" s="316">
        <v>0.11666666666496894</v>
      </c>
      <c r="S326" s="317">
        <f>SUM(S327:S331)</f>
        <v>348.5</v>
      </c>
      <c r="T326" s="317">
        <f>AVERAGE(T327:T331)</f>
        <v>117</v>
      </c>
      <c r="U326" s="317"/>
    </row>
    <row r="327" ht="20.25" hidden="1" customHeight="1" outlineLevel="1">
      <c r="A327" s="216" t="str">
        <f>IFERROR(__xludf.DUMMYFUNCTION("ARRAYFORMULA(IFERROR(VLOOKUP(REGEXEXTRACT(B327, ""-(\w+)-""), {Data_Validation!$F$16:$F$29, Data_Validation!$E$16:$E$29}, 2, FALSE), """"))
"),"Emerson")</f>
        <v>Emerson</v>
      </c>
      <c r="B327" s="265" t="s">
        <v>1921</v>
      </c>
      <c r="D327" s="265" t="s">
        <v>1922</v>
      </c>
      <c r="E327" s="265" t="s">
        <v>26</v>
      </c>
      <c r="F327" s="265" t="s">
        <v>41</v>
      </c>
      <c r="H327" s="307">
        <v>45194.0</v>
      </c>
      <c r="I327" s="309">
        <v>1.0</v>
      </c>
      <c r="K327" s="318"/>
      <c r="L327" s="311"/>
      <c r="M327" s="312"/>
      <c r="N327" s="313"/>
      <c r="O327" s="314"/>
      <c r="P327" s="314"/>
      <c r="Q327" s="315"/>
      <c r="R327" s="316"/>
      <c r="S327" s="317">
        <f t="shared" ref="S327:S331" si="72">T327*24*R327</f>
        <v>0</v>
      </c>
      <c r="T327" s="317">
        <f>VLOOKUP(F327, Data_Validation!$D$2:$G$15, 4, FALSE)</f>
        <v>115</v>
      </c>
      <c r="U327" s="317"/>
    </row>
    <row r="328" ht="20.25" hidden="1" customHeight="1" outlineLevel="1">
      <c r="A328" s="216" t="str">
        <f>IFERROR(__xludf.DUMMYFUNCTION("ARRAYFORMULA(IFERROR(VLOOKUP(REGEXEXTRACT(B328, ""-(\w+)-""), {Data_Validation!$F$16:$F$29, Data_Validation!$E$16:$E$29}, 2, FALSE), """"))
"),"Emerson")</f>
        <v>Emerson</v>
      </c>
      <c r="B328" s="265" t="s">
        <v>1923</v>
      </c>
      <c r="D328" s="265" t="s">
        <v>1924</v>
      </c>
      <c r="E328" s="265" t="s">
        <v>26</v>
      </c>
      <c r="F328" s="265" t="s">
        <v>41</v>
      </c>
      <c r="H328" s="307">
        <v>45194.0</v>
      </c>
      <c r="K328" s="318"/>
      <c r="L328" s="311"/>
      <c r="M328" s="312">
        <v>45197.49922883102</v>
      </c>
      <c r="N328" s="313">
        <v>45197.50569104167</v>
      </c>
      <c r="O328" s="314" t="s">
        <v>1925</v>
      </c>
      <c r="P328" s="314" t="s">
        <v>1926</v>
      </c>
      <c r="Q328" s="319" t="s">
        <v>31</v>
      </c>
      <c r="R328" s="316">
        <v>0.0062499999985448085</v>
      </c>
      <c r="S328" s="317">
        <f t="shared" si="72"/>
        <v>17.25</v>
      </c>
      <c r="T328" s="317">
        <f>VLOOKUP(F328, Data_Validation!$D$2:$G$15, 4, FALSE)</f>
        <v>115</v>
      </c>
      <c r="U328" s="317"/>
    </row>
    <row r="329" ht="20.25" hidden="1" customHeight="1" outlineLevel="1">
      <c r="A329" s="216" t="str">
        <f>IFERROR(__xludf.DUMMYFUNCTION("ARRAYFORMULA(IFERROR(VLOOKUP(REGEXEXTRACT(B329, ""-(\w+)-""), {Data_Validation!$F$16:$F$29, Data_Validation!$E$16:$E$29}, 2, FALSE), """"))
"),"Emerson")</f>
        <v>Emerson</v>
      </c>
      <c r="B329" s="265" t="s">
        <v>1927</v>
      </c>
      <c r="D329" s="265" t="s">
        <v>1928</v>
      </c>
      <c r="E329" s="265" t="s">
        <v>26</v>
      </c>
      <c r="F329" s="265" t="s">
        <v>22</v>
      </c>
      <c r="H329" s="307">
        <v>45196.0</v>
      </c>
      <c r="I329" s="309">
        <v>1.0</v>
      </c>
      <c r="K329" s="318"/>
      <c r="L329" s="311"/>
      <c r="M329" s="312">
        <v>45199.45579525463</v>
      </c>
      <c r="N329" s="313">
        <v>45199.80843344907</v>
      </c>
      <c r="O329" s="314" t="s">
        <v>1929</v>
      </c>
      <c r="P329" s="314" t="s">
        <v>1930</v>
      </c>
      <c r="Q329" s="319" t="s">
        <v>31</v>
      </c>
      <c r="R329" s="316">
        <v>0.11041666666642413</v>
      </c>
      <c r="S329" s="317">
        <f t="shared" si="72"/>
        <v>331.25</v>
      </c>
      <c r="T329" s="317">
        <f>VLOOKUP(F329, Data_Validation!$D$2:$G$15, 4, FALSE)</f>
        <v>125</v>
      </c>
      <c r="U329" s="317"/>
    </row>
    <row r="330" ht="20.25" hidden="1" customHeight="1" outlineLevel="1">
      <c r="A330" s="216" t="str">
        <f>IFERROR(__xludf.DUMMYFUNCTION("ARRAYFORMULA(IFERROR(VLOOKUP(REGEXEXTRACT(B330, ""-(\w+)-""), {Data_Validation!$F$16:$F$29, Data_Validation!$E$16:$E$29}, 2, FALSE), """"))
"),"Emerson")</f>
        <v>Emerson</v>
      </c>
      <c r="B330" s="265" t="s">
        <v>1931</v>
      </c>
      <c r="D330" s="265" t="s">
        <v>1724</v>
      </c>
      <c r="E330" s="265" t="s">
        <v>26</v>
      </c>
      <c r="F330" s="265" t="s">
        <v>41</v>
      </c>
      <c r="H330" s="307">
        <v>45197.0</v>
      </c>
      <c r="I330" s="309">
        <v>1.0</v>
      </c>
      <c r="K330" s="318"/>
      <c r="L330" s="311"/>
      <c r="M330" s="312"/>
      <c r="N330" s="313"/>
      <c r="O330" s="314"/>
      <c r="P330" s="314"/>
      <c r="Q330" s="315"/>
      <c r="R330" s="316"/>
      <c r="S330" s="317">
        <f t="shared" si="72"/>
        <v>0</v>
      </c>
      <c r="T330" s="317">
        <f>VLOOKUP(F330, Data_Validation!$D$2:$G$15, 4, FALSE)</f>
        <v>115</v>
      </c>
      <c r="U330" s="317"/>
    </row>
    <row r="331" ht="20.25" hidden="1" customHeight="1" outlineLevel="1">
      <c r="A331" s="216" t="str">
        <f>IFERROR(__xludf.DUMMYFUNCTION("ARRAYFORMULA(IFERROR(VLOOKUP(REGEXEXTRACT(B331, ""-(\w+)-""), {Data_Validation!$F$16:$F$29, Data_Validation!$E$16:$E$29}, 2, FALSE), """"))
"),"Emerson")</f>
        <v>Emerson</v>
      </c>
      <c r="B331" s="265" t="s">
        <v>1932</v>
      </c>
      <c r="D331" s="265" t="s">
        <v>40</v>
      </c>
      <c r="E331" s="265" t="s">
        <v>26</v>
      </c>
      <c r="F331" s="265" t="s">
        <v>41</v>
      </c>
      <c r="H331" s="307">
        <v>45200.83505388889</v>
      </c>
      <c r="I331" s="309">
        <v>1.0</v>
      </c>
      <c r="K331" s="318"/>
      <c r="L331" s="311"/>
      <c r="M331" s="312"/>
      <c r="N331" s="313"/>
      <c r="O331" s="314"/>
      <c r="P331" s="314"/>
      <c r="Q331" s="315"/>
      <c r="R331" s="316"/>
      <c r="S331" s="317">
        <f t="shared" si="72"/>
        <v>0</v>
      </c>
      <c r="T331" s="317">
        <f>VLOOKUP(F331, Data_Validation!$D$2:$G$15, 4, FALSE)</f>
        <v>115</v>
      </c>
      <c r="U331" s="317"/>
    </row>
    <row r="332" ht="20.25" customHeight="1" collapsed="1">
      <c r="A332" s="216" t="str">
        <f>IFERROR(__xludf.DUMMYFUNCTION("ARRAYFORMULA(IFERROR(VLOOKUP(REGEXEXTRACT(B332, ""-(\w+)-""), {Data_Validation!$F$16:$F$29, Data_Validation!$E$16:$E$29}, 2, FALSE), """"))
"),"Emerson")</f>
        <v>Emerson</v>
      </c>
      <c r="B332" s="265" t="s">
        <v>1919</v>
      </c>
      <c r="C332" s="265" t="s">
        <v>1920</v>
      </c>
      <c r="E332" s="265" t="s">
        <v>1051</v>
      </c>
      <c r="F332" s="265" t="s">
        <v>22</v>
      </c>
      <c r="G332" s="265" t="s">
        <v>79</v>
      </c>
      <c r="H332" s="307">
        <v>45202.83505388889</v>
      </c>
      <c r="I332" s="308"/>
      <c r="J332" s="309">
        <v>5.0</v>
      </c>
      <c r="K332" s="318"/>
      <c r="L332" s="311"/>
      <c r="M332" s="312">
        <v>45197.49922883102</v>
      </c>
      <c r="N332" s="313">
        <v>45199.80843344907</v>
      </c>
      <c r="O332" s="314"/>
      <c r="P332" s="314"/>
      <c r="Q332" s="315"/>
      <c r="R332" s="316">
        <v>0.11666666666496894</v>
      </c>
      <c r="S332" s="317">
        <f>SUM(S333:S337)</f>
        <v>348.5</v>
      </c>
      <c r="T332" s="317">
        <f>AVERAGE(T333:T337)</f>
        <v>117</v>
      </c>
      <c r="U332" s="317"/>
    </row>
    <row r="333" ht="20.25" hidden="1" customHeight="1" outlineLevel="1">
      <c r="A333" s="216" t="str">
        <f>IFERROR(__xludf.DUMMYFUNCTION("ARRAYFORMULA(IFERROR(VLOOKUP(REGEXEXTRACT(B333, ""-(\w+)-""), {Data_Validation!$F$16:$F$29, Data_Validation!$E$16:$E$29}, 2, FALSE), """"))
"),"Emerson")</f>
        <v>Emerson</v>
      </c>
      <c r="B333" s="265" t="s">
        <v>1921</v>
      </c>
      <c r="D333" s="265" t="s">
        <v>1922</v>
      </c>
      <c r="E333" s="265" t="s">
        <v>26</v>
      </c>
      <c r="F333" s="265" t="s">
        <v>41</v>
      </c>
      <c r="H333" s="307">
        <v>45194.0</v>
      </c>
      <c r="I333" s="309">
        <v>1.0</v>
      </c>
      <c r="K333" s="318"/>
      <c r="L333" s="311"/>
      <c r="M333" s="312"/>
      <c r="N333" s="313"/>
      <c r="O333" s="314"/>
      <c r="P333" s="314"/>
      <c r="Q333" s="315"/>
      <c r="R333" s="316"/>
      <c r="S333" s="317">
        <f t="shared" ref="S333:S337" si="73">T333*24*R333</f>
        <v>0</v>
      </c>
      <c r="T333" s="317">
        <f>VLOOKUP(F333, Data_Validation!$D$2:$G$15, 4, FALSE)</f>
        <v>115</v>
      </c>
      <c r="U333" s="317"/>
    </row>
    <row r="334" ht="20.25" hidden="1" customHeight="1" outlineLevel="1">
      <c r="A334" s="216" t="str">
        <f>IFERROR(__xludf.DUMMYFUNCTION("ARRAYFORMULA(IFERROR(VLOOKUP(REGEXEXTRACT(B334, ""-(\w+)-""), {Data_Validation!$F$16:$F$29, Data_Validation!$E$16:$E$29}, 2, FALSE), """"))
"),"Emerson")</f>
        <v>Emerson</v>
      </c>
      <c r="B334" s="265" t="s">
        <v>1923</v>
      </c>
      <c r="D334" s="265" t="s">
        <v>1924</v>
      </c>
      <c r="E334" s="265" t="s">
        <v>26</v>
      </c>
      <c r="F334" s="265" t="s">
        <v>41</v>
      </c>
      <c r="H334" s="307">
        <v>45194.0</v>
      </c>
      <c r="K334" s="318"/>
      <c r="L334" s="311"/>
      <c r="M334" s="312">
        <v>45197.49922883102</v>
      </c>
      <c r="N334" s="313">
        <v>45197.50569104167</v>
      </c>
      <c r="O334" s="314" t="s">
        <v>1925</v>
      </c>
      <c r="P334" s="314" t="s">
        <v>1926</v>
      </c>
      <c r="Q334" s="319" t="s">
        <v>31</v>
      </c>
      <c r="R334" s="316">
        <v>0.0062499999985448085</v>
      </c>
      <c r="S334" s="317">
        <f t="shared" si="73"/>
        <v>17.25</v>
      </c>
      <c r="T334" s="317">
        <f>VLOOKUP(F334, Data_Validation!$D$2:$G$15, 4, FALSE)</f>
        <v>115</v>
      </c>
      <c r="U334" s="317"/>
    </row>
    <row r="335" ht="20.25" hidden="1" customHeight="1" outlineLevel="1">
      <c r="A335" s="216" t="str">
        <f>IFERROR(__xludf.DUMMYFUNCTION("ARRAYFORMULA(IFERROR(VLOOKUP(REGEXEXTRACT(B335, ""-(\w+)-""), {Data_Validation!$F$16:$F$29, Data_Validation!$E$16:$E$29}, 2, FALSE), """"))
"),"Emerson")</f>
        <v>Emerson</v>
      </c>
      <c r="B335" s="265" t="s">
        <v>1927</v>
      </c>
      <c r="D335" s="265" t="s">
        <v>1928</v>
      </c>
      <c r="E335" s="265" t="s">
        <v>26</v>
      </c>
      <c r="F335" s="265" t="s">
        <v>22</v>
      </c>
      <c r="H335" s="307">
        <v>45196.0</v>
      </c>
      <c r="I335" s="309">
        <v>1.0</v>
      </c>
      <c r="K335" s="318"/>
      <c r="L335" s="311"/>
      <c r="M335" s="312">
        <v>45199.45579525463</v>
      </c>
      <c r="N335" s="313">
        <v>45199.80843344907</v>
      </c>
      <c r="O335" s="314" t="s">
        <v>1929</v>
      </c>
      <c r="P335" s="314" t="s">
        <v>1930</v>
      </c>
      <c r="Q335" s="319" t="s">
        <v>31</v>
      </c>
      <c r="R335" s="316">
        <v>0.11041666666642413</v>
      </c>
      <c r="S335" s="317">
        <f t="shared" si="73"/>
        <v>331.25</v>
      </c>
      <c r="T335" s="317">
        <f>VLOOKUP(F335, Data_Validation!$D$2:$G$15, 4, FALSE)</f>
        <v>125</v>
      </c>
      <c r="U335" s="317"/>
    </row>
    <row r="336" ht="20.25" hidden="1" customHeight="1" outlineLevel="1">
      <c r="A336" s="216" t="str">
        <f>IFERROR(__xludf.DUMMYFUNCTION("ARRAYFORMULA(IFERROR(VLOOKUP(REGEXEXTRACT(B336, ""-(\w+)-""), {Data_Validation!$F$16:$F$29, Data_Validation!$E$16:$E$29}, 2, FALSE), """"))
"),"Emerson")</f>
        <v>Emerson</v>
      </c>
      <c r="B336" s="265" t="s">
        <v>1931</v>
      </c>
      <c r="D336" s="265" t="s">
        <v>1724</v>
      </c>
      <c r="E336" s="265" t="s">
        <v>26</v>
      </c>
      <c r="F336" s="265" t="s">
        <v>41</v>
      </c>
      <c r="H336" s="307">
        <v>45197.0</v>
      </c>
      <c r="I336" s="309">
        <v>1.0</v>
      </c>
      <c r="K336" s="318"/>
      <c r="L336" s="311"/>
      <c r="M336" s="312"/>
      <c r="N336" s="313"/>
      <c r="O336" s="314"/>
      <c r="P336" s="314"/>
      <c r="Q336" s="315"/>
      <c r="R336" s="316"/>
      <c r="S336" s="317">
        <f t="shared" si="73"/>
        <v>0</v>
      </c>
      <c r="T336" s="317">
        <f>VLOOKUP(F336, Data_Validation!$D$2:$G$15, 4, FALSE)</f>
        <v>115</v>
      </c>
      <c r="U336" s="317"/>
    </row>
    <row r="337" ht="20.25" hidden="1" customHeight="1" outlineLevel="1">
      <c r="A337" s="216" t="str">
        <f>IFERROR(__xludf.DUMMYFUNCTION("ARRAYFORMULA(IFERROR(VLOOKUP(REGEXEXTRACT(B337, ""-(\w+)-""), {Data_Validation!$F$16:$F$29, Data_Validation!$E$16:$E$29}, 2, FALSE), """"))
"),"Emerson")</f>
        <v>Emerson</v>
      </c>
      <c r="B337" s="265" t="s">
        <v>1932</v>
      </c>
      <c r="D337" s="265" t="s">
        <v>40</v>
      </c>
      <c r="E337" s="265" t="s">
        <v>26</v>
      </c>
      <c r="F337" s="265" t="s">
        <v>41</v>
      </c>
      <c r="H337" s="307">
        <v>45200.83505388889</v>
      </c>
      <c r="I337" s="309">
        <v>1.0</v>
      </c>
      <c r="K337" s="318"/>
      <c r="L337" s="311"/>
      <c r="M337" s="312"/>
      <c r="N337" s="313"/>
      <c r="O337" s="314"/>
      <c r="P337" s="314"/>
      <c r="Q337" s="315"/>
      <c r="R337" s="316"/>
      <c r="S337" s="317">
        <f t="shared" si="73"/>
        <v>0</v>
      </c>
      <c r="T337" s="317">
        <f>VLOOKUP(F337, Data_Validation!$D$2:$G$15, 4, FALSE)</f>
        <v>115</v>
      </c>
      <c r="U337" s="317"/>
    </row>
    <row r="338" ht="20.25" customHeight="1" collapsed="1">
      <c r="A338" s="216" t="str">
        <f>IFERROR(__xludf.DUMMYFUNCTION("ARRAYFORMULA(IFERROR(VLOOKUP(REGEXEXTRACT(B338, ""-(\w+)-""), {Data_Validation!$F$16:$F$29, Data_Validation!$E$16:$E$29}, 2, FALSE), """"))
"),"Emerson")</f>
        <v>Emerson</v>
      </c>
      <c r="B338" s="265" t="s">
        <v>1710</v>
      </c>
      <c r="C338" s="265" t="s">
        <v>1711</v>
      </c>
      <c r="E338" s="265" t="s">
        <v>1051</v>
      </c>
      <c r="F338" s="265" t="s">
        <v>41</v>
      </c>
      <c r="G338" s="265" t="s">
        <v>23</v>
      </c>
      <c r="H338" s="307">
        <v>45194.0</v>
      </c>
      <c r="I338" s="308"/>
      <c r="J338" s="309">
        <v>4.0</v>
      </c>
      <c r="K338" s="318"/>
      <c r="L338" s="311"/>
      <c r="M338" s="312">
        <v>45189.74791958333</v>
      </c>
      <c r="N338" s="313">
        <v>45202.44927024306</v>
      </c>
      <c r="O338" s="314"/>
      <c r="P338" s="314"/>
      <c r="Q338" s="315"/>
      <c r="R338" s="316">
        <v>0.1381944444437977</v>
      </c>
      <c r="S338" s="317">
        <f>SUM(S339:S342)</f>
        <v>89.58333333</v>
      </c>
      <c r="T338" s="317">
        <f>AVERAGE(T339:T342)</f>
        <v>120</v>
      </c>
      <c r="U338" s="317"/>
    </row>
    <row r="339" ht="20.25" hidden="1" customHeight="1" outlineLevel="1">
      <c r="A339" s="216" t="str">
        <f>IFERROR(__xludf.DUMMYFUNCTION("ARRAYFORMULA(IFERROR(VLOOKUP(REGEXEXTRACT(B339, ""-(\w+)-""), {Data_Validation!$F$16:$F$29, Data_Validation!$E$16:$E$29}, 2, FALSE), """"))
"),"Emerson")</f>
        <v>Emerson</v>
      </c>
      <c r="B339" s="265" t="s">
        <v>1712</v>
      </c>
      <c r="D339" s="265" t="s">
        <v>1713</v>
      </c>
      <c r="E339" s="265" t="s">
        <v>26</v>
      </c>
      <c r="F339" s="265" t="s">
        <v>22</v>
      </c>
      <c r="H339" s="307">
        <v>45170.406150497685</v>
      </c>
      <c r="I339" s="309">
        <v>1.0</v>
      </c>
      <c r="K339" s="318"/>
      <c r="L339" s="311"/>
      <c r="M339" s="312"/>
      <c r="N339" s="313"/>
      <c r="O339" s="314"/>
      <c r="P339" s="314"/>
      <c r="Q339" s="315"/>
      <c r="R339" s="316"/>
      <c r="S339" s="317">
        <f t="shared" ref="S339:S342" si="74">T339*24*R339</f>
        <v>0</v>
      </c>
      <c r="T339" s="317">
        <f>VLOOKUP(F339, Data_Validation!$D$2:$G$15, 4, FALSE)</f>
        <v>125</v>
      </c>
      <c r="U339" s="317"/>
    </row>
    <row r="340" ht="20.25" hidden="1" customHeight="1" outlineLevel="1">
      <c r="A340" s="216" t="str">
        <f>IFERROR(__xludf.DUMMYFUNCTION("ARRAYFORMULA(IFERROR(VLOOKUP(REGEXEXTRACT(B340, ""-(\w+)-""), {Data_Validation!$F$16:$F$29, Data_Validation!$E$16:$E$29}, 2, FALSE), """"))
"),"Emerson")</f>
        <v>Emerson</v>
      </c>
      <c r="B340" s="265" t="s">
        <v>1714</v>
      </c>
      <c r="D340" s="265" t="s">
        <v>1715</v>
      </c>
      <c r="E340" s="265" t="s">
        <v>26</v>
      </c>
      <c r="F340" s="265" t="s">
        <v>41</v>
      </c>
      <c r="H340" s="307">
        <v>45180.0</v>
      </c>
      <c r="I340" s="309">
        <v>1.0</v>
      </c>
      <c r="K340" s="318"/>
      <c r="L340" s="311"/>
      <c r="M340" s="312"/>
      <c r="N340" s="313"/>
      <c r="O340" s="314"/>
      <c r="P340" s="314"/>
      <c r="Q340" s="315"/>
      <c r="R340" s="316"/>
      <c r="S340" s="317">
        <f t="shared" si="74"/>
        <v>0</v>
      </c>
      <c r="T340" s="317">
        <f>VLOOKUP(F340, Data_Validation!$D$2:$G$15, 4, FALSE)</f>
        <v>115</v>
      </c>
      <c r="U340" s="317"/>
    </row>
    <row r="341" ht="20.25" hidden="1" customHeight="1" outlineLevel="1">
      <c r="A341" s="216" t="str">
        <f>IFERROR(__xludf.DUMMYFUNCTION("ARRAYFORMULA(IFERROR(VLOOKUP(REGEXEXTRACT(B341, ""-(\w+)-""), {Data_Validation!$F$16:$F$29, Data_Validation!$E$16:$E$29}, 2, FALSE), """"))
"),"Emerson")</f>
        <v>Emerson</v>
      </c>
      <c r="B341" s="265" t="s">
        <v>1716</v>
      </c>
      <c r="D341" s="265" t="s">
        <v>540</v>
      </c>
      <c r="E341" s="265" t="s">
        <v>26</v>
      </c>
      <c r="F341" s="265" t="s">
        <v>41</v>
      </c>
      <c r="H341" s="307">
        <v>45182.0</v>
      </c>
      <c r="I341" s="309">
        <v>1.0</v>
      </c>
      <c r="K341" s="318"/>
      <c r="L341" s="311"/>
      <c r="M341" s="312"/>
      <c r="N341" s="313"/>
      <c r="O341" s="314"/>
      <c r="P341" s="314"/>
      <c r="Q341" s="315"/>
      <c r="R341" s="316"/>
      <c r="S341" s="317">
        <f t="shared" si="74"/>
        <v>0</v>
      </c>
      <c r="T341" s="317">
        <f>VLOOKUP(F341, Data_Validation!$D$2:$G$15, 4, FALSE)</f>
        <v>115</v>
      </c>
      <c r="U341" s="317"/>
    </row>
    <row r="342" ht="20.25" hidden="1" customHeight="1" outlineLevel="1">
      <c r="A342" s="216" t="str">
        <f>IFERROR(__xludf.DUMMYFUNCTION("ARRAYFORMULA(IFERROR(VLOOKUP(REGEXEXTRACT(B342, ""-(\w+)-""), {Data_Validation!$F$16:$F$29, Data_Validation!$E$16:$E$29}, 2, FALSE), """"))
"),"Emerson")</f>
        <v>Emerson</v>
      </c>
      <c r="B342" s="265" t="s">
        <v>1717</v>
      </c>
      <c r="D342" s="265" t="s">
        <v>1718</v>
      </c>
      <c r="E342" s="265" t="s">
        <v>26</v>
      </c>
      <c r="F342" s="265" t="s">
        <v>22</v>
      </c>
      <c r="H342" s="307">
        <v>45191.0</v>
      </c>
      <c r="I342" s="309">
        <v>1.0</v>
      </c>
      <c r="K342" s="318"/>
      <c r="L342" s="311"/>
      <c r="M342" s="312">
        <v>45189.74791958333</v>
      </c>
      <c r="N342" s="313">
        <v>45192.416902060184</v>
      </c>
      <c r="O342" s="314" t="s">
        <v>1719</v>
      </c>
      <c r="P342" s="314" t="s">
        <v>1720</v>
      </c>
      <c r="Q342" s="319" t="s">
        <v>31</v>
      </c>
      <c r="R342" s="316">
        <v>0.029861111110221827</v>
      </c>
      <c r="S342" s="317">
        <f t="shared" si="74"/>
        <v>89.58333333</v>
      </c>
      <c r="T342" s="317">
        <f>VLOOKUP(F342, Data_Validation!$D$2:$G$15, 4, FALSE)</f>
        <v>125</v>
      </c>
      <c r="U342" s="317"/>
    </row>
    <row r="343" ht="20.25" customHeight="1" collapsed="1">
      <c r="A343" s="216" t="str">
        <f>IFERROR(__xludf.DUMMYFUNCTION("ARRAYFORMULA(IFERROR(VLOOKUP(REGEXEXTRACT(B343, ""-(\w+)-""), {Data_Validation!$F$16:$F$29, Data_Validation!$E$16:$E$29}, 2, FALSE), """"))
"),"Nvidia")</f>
        <v>Nvidia</v>
      </c>
      <c r="B343" s="265" t="s">
        <v>527</v>
      </c>
      <c r="C343" s="265" t="s">
        <v>505</v>
      </c>
      <c r="E343" s="265" t="s">
        <v>21</v>
      </c>
      <c r="F343" s="265" t="s">
        <v>41</v>
      </c>
      <c r="G343" s="265" t="s">
        <v>79</v>
      </c>
      <c r="H343" s="307">
        <v>45195.0</v>
      </c>
      <c r="I343" s="308"/>
      <c r="J343" s="309">
        <v>6.0</v>
      </c>
      <c r="K343" s="318"/>
      <c r="L343" s="311"/>
      <c r="M343" s="312">
        <v>45195.32539993056</v>
      </c>
      <c r="N343" s="313">
        <v>45195.830181006946</v>
      </c>
      <c r="O343" s="314"/>
      <c r="P343" s="314"/>
      <c r="Q343" s="315"/>
      <c r="R343" s="316">
        <v>0.42085817129554925</v>
      </c>
      <c r="S343" s="317">
        <f>SUM(S344:S349)</f>
        <v>804.8765514</v>
      </c>
      <c r="T343" s="317">
        <f>AVERAGE(T344:T349)</f>
        <v>105.8333333</v>
      </c>
      <c r="U343" s="317"/>
    </row>
    <row r="344" ht="20.25" hidden="1" customHeight="1" outlineLevel="1">
      <c r="A344" s="216" t="str">
        <f>IFERROR(__xludf.DUMMYFUNCTION("ARRAYFORMULA(IFERROR(VLOOKUP(REGEXEXTRACT(B344, ""-(\w+)-""), {Data_Validation!$F$16:$F$29, Data_Validation!$E$16:$E$29}, 2, FALSE), """"))
"),"Nvidia")</f>
        <v>Nvidia</v>
      </c>
      <c r="B344" s="265" t="s">
        <v>529</v>
      </c>
      <c r="D344" s="265" t="s">
        <v>25</v>
      </c>
      <c r="E344" s="265" t="s">
        <v>26</v>
      </c>
      <c r="F344" s="265" t="s">
        <v>22</v>
      </c>
      <c r="G344" s="265" t="s">
        <v>507</v>
      </c>
      <c r="H344" s="307">
        <v>45194.73787158565</v>
      </c>
      <c r="I344" s="309">
        <v>1.0</v>
      </c>
      <c r="K344" s="318"/>
      <c r="L344" s="311"/>
      <c r="M344" s="312">
        <v>45195.32539993056</v>
      </c>
      <c r="N344" s="313">
        <v>45195.35708061342</v>
      </c>
      <c r="O344" s="314" t="s">
        <v>508</v>
      </c>
      <c r="P344" s="314" t="s">
        <v>509</v>
      </c>
      <c r="Q344" s="319" t="s">
        <v>31</v>
      </c>
      <c r="R344" s="316">
        <v>0.029861111110221827</v>
      </c>
      <c r="S344" s="317">
        <f t="shared" ref="S344:S349" si="75">T344*24*R344</f>
        <v>89.58333333</v>
      </c>
      <c r="T344" s="317">
        <f>VLOOKUP(F344, Data_Validation!$D$2:$G$15, 4, FALSE)</f>
        <v>125</v>
      </c>
      <c r="U344" s="317"/>
    </row>
    <row r="345" ht="20.25" hidden="1" customHeight="1" outlineLevel="1">
      <c r="A345" s="216" t="str">
        <f>IFERROR(__xludf.DUMMYFUNCTION("ARRAYFORMULA(IFERROR(VLOOKUP(REGEXEXTRACT(B345, ""-(\w+)-""), {Data_Validation!$F$16:$F$29, Data_Validation!$E$16:$E$29}, 2, FALSE), """"))
"),"Nvidia")</f>
        <v>Nvidia</v>
      </c>
      <c r="B345" s="265" t="s">
        <v>531</v>
      </c>
      <c r="D345" s="265" t="s">
        <v>112</v>
      </c>
      <c r="E345" s="265" t="s">
        <v>26</v>
      </c>
      <c r="F345" s="265" t="s">
        <v>22</v>
      </c>
      <c r="H345" s="307">
        <v>45194.0</v>
      </c>
      <c r="I345" s="309">
        <v>1.0</v>
      </c>
      <c r="K345" s="318"/>
      <c r="L345" s="311"/>
      <c r="M345" s="312"/>
      <c r="N345" s="313"/>
      <c r="O345" s="314"/>
      <c r="P345" s="314"/>
      <c r="Q345" s="315"/>
      <c r="R345" s="316"/>
      <c r="S345" s="317">
        <f t="shared" si="75"/>
        <v>0</v>
      </c>
      <c r="T345" s="317">
        <f>VLOOKUP(F345, Data_Validation!$D$2:$G$15, 4, FALSE)</f>
        <v>125</v>
      </c>
      <c r="U345" s="317"/>
    </row>
    <row r="346" ht="20.25" hidden="1" customHeight="1" outlineLevel="1">
      <c r="A346" s="216" t="str">
        <f>IFERROR(__xludf.DUMMYFUNCTION("ARRAYFORMULA(IFERROR(VLOOKUP(REGEXEXTRACT(B346, ""-(\w+)-""), {Data_Validation!$F$16:$F$29, Data_Validation!$E$16:$E$29}, 2, FALSE), """"))
"),"Nvidia")</f>
        <v>Nvidia</v>
      </c>
      <c r="B346" s="265" t="s">
        <v>1796</v>
      </c>
      <c r="D346" s="265" t="s">
        <v>38</v>
      </c>
      <c r="E346" s="265" t="s">
        <v>26</v>
      </c>
      <c r="F346" s="265" t="s">
        <v>22</v>
      </c>
      <c r="H346" s="307">
        <v>45194.73787158565</v>
      </c>
      <c r="I346" s="309">
        <v>1.0</v>
      </c>
      <c r="K346" s="318"/>
      <c r="L346" s="311"/>
      <c r="M346" s="312">
        <v>45195.402719907404</v>
      </c>
      <c r="N346" s="313">
        <v>45195.40975673611</v>
      </c>
      <c r="O346" s="314"/>
      <c r="P346" s="314"/>
      <c r="Q346" s="319" t="s">
        <v>31</v>
      </c>
      <c r="R346" s="316">
        <v>0.006944444445252884</v>
      </c>
      <c r="S346" s="317">
        <f t="shared" si="75"/>
        <v>20.83333334</v>
      </c>
      <c r="T346" s="317">
        <f>VLOOKUP(F346, Data_Validation!$D$2:$G$15, 4, FALSE)</f>
        <v>125</v>
      </c>
      <c r="U346" s="317"/>
    </row>
    <row r="347" ht="20.25" hidden="1" customHeight="1" outlineLevel="1">
      <c r="A347" s="216" t="str">
        <f>IFERROR(__xludf.DUMMYFUNCTION("ARRAYFORMULA(IFERROR(VLOOKUP(REGEXEXTRACT(B347, ""-(\w+)-""), {Data_Validation!$F$16:$F$29, Data_Validation!$E$16:$E$29}, 2, FALSE), """"))
"),"Nvidia")</f>
        <v>Nvidia</v>
      </c>
      <c r="B347" s="265" t="s">
        <v>532</v>
      </c>
      <c r="D347" s="265" t="s">
        <v>40</v>
      </c>
      <c r="E347" s="265" t="s">
        <v>26</v>
      </c>
      <c r="F347" s="265" t="s">
        <v>27</v>
      </c>
      <c r="H347" s="307">
        <v>45194.0</v>
      </c>
      <c r="I347" s="309">
        <v>1.0</v>
      </c>
      <c r="K347" s="318"/>
      <c r="L347" s="311"/>
      <c r="M347" s="312">
        <v>45195.47182283565</v>
      </c>
      <c r="N347" s="313">
        <v>45195.830181006946</v>
      </c>
      <c r="O347" s="314" t="s">
        <v>513</v>
      </c>
      <c r="P347" s="314" t="s">
        <v>514</v>
      </c>
      <c r="Q347" s="319" t="s">
        <v>31</v>
      </c>
      <c r="R347" s="316">
        <v>0.35835817129554925</v>
      </c>
      <c r="S347" s="317">
        <f t="shared" si="75"/>
        <v>623.5432181</v>
      </c>
      <c r="T347" s="317">
        <f>VLOOKUP(F347, Data_Validation!$D$2:$G$15, 4, FALSE)</f>
        <v>72.5</v>
      </c>
      <c r="U347" s="317"/>
    </row>
    <row r="348" ht="20.25" hidden="1" customHeight="1" outlineLevel="1">
      <c r="A348" s="216" t="str">
        <f>IFERROR(__xludf.DUMMYFUNCTION("ARRAYFORMULA(IFERROR(VLOOKUP(REGEXEXTRACT(B348, ""-(\w+)-""), {Data_Validation!$F$16:$F$29, Data_Validation!$E$16:$E$29}, 2, FALSE), """"))
"),"Nvidia")</f>
        <v>Nvidia</v>
      </c>
      <c r="B348" s="265" t="s">
        <v>534</v>
      </c>
      <c r="D348" s="265" t="s">
        <v>45</v>
      </c>
      <c r="E348" s="265" t="s">
        <v>26</v>
      </c>
      <c r="F348" s="265" t="s">
        <v>41</v>
      </c>
      <c r="H348" s="307">
        <v>45195.0</v>
      </c>
      <c r="I348" s="309">
        <v>1.0</v>
      </c>
      <c r="K348" s="318"/>
      <c r="L348" s="311"/>
      <c r="M348" s="312">
        <v>45195.60477979167</v>
      </c>
      <c r="N348" s="313">
        <v>45195.630935532405</v>
      </c>
      <c r="O348" s="314"/>
      <c r="P348" s="314"/>
      <c r="Q348" s="319" t="s">
        <v>31</v>
      </c>
      <c r="R348" s="316">
        <v>0.02569444444452529</v>
      </c>
      <c r="S348" s="317">
        <f t="shared" si="75"/>
        <v>70.91666667</v>
      </c>
      <c r="T348" s="317">
        <f>VLOOKUP(F348, Data_Validation!$D$2:$G$15, 4, FALSE)</f>
        <v>115</v>
      </c>
      <c r="U348" s="317"/>
    </row>
    <row r="349" ht="20.25" hidden="1" customHeight="1" outlineLevel="1">
      <c r="A349" s="216" t="str">
        <f>IFERROR(__xludf.DUMMYFUNCTION("ARRAYFORMULA(IFERROR(VLOOKUP(REGEXEXTRACT(B349, ""-(\w+)-""), {Data_Validation!$F$16:$F$29, Data_Validation!$E$16:$E$29}, 2, FALSE), """"))
"),"Nvidia")</f>
        <v>Nvidia</v>
      </c>
      <c r="B349" s="265" t="s">
        <v>538</v>
      </c>
      <c r="D349" s="265" t="s">
        <v>47</v>
      </c>
      <c r="E349" s="265" t="s">
        <v>26</v>
      </c>
      <c r="F349" s="265" t="s">
        <v>27</v>
      </c>
      <c r="H349" s="307">
        <v>45195.0</v>
      </c>
      <c r="I349" s="309">
        <v>1.0</v>
      </c>
      <c r="K349" s="318"/>
      <c r="L349" s="311"/>
      <c r="M349" s="312"/>
      <c r="N349" s="313"/>
      <c r="O349" s="314"/>
      <c r="P349" s="314"/>
      <c r="Q349" s="315"/>
      <c r="R349" s="316"/>
      <c r="S349" s="317">
        <f t="shared" si="75"/>
        <v>0</v>
      </c>
      <c r="T349" s="317">
        <f>VLOOKUP(F349, Data_Validation!$D$2:$G$15, 4, FALSE)</f>
        <v>72.5</v>
      </c>
      <c r="U349" s="317"/>
    </row>
    <row r="350" ht="20.25" customHeight="1" collapsed="1">
      <c r="A350" s="216" t="str">
        <f>IFERROR(__xludf.DUMMYFUNCTION("ARRAYFORMULA(IFERROR(VLOOKUP(REGEXEXTRACT(B350, ""-(\w+)-""), {Data_Validation!$F$16:$F$29, Data_Validation!$E$16:$E$29}, 2, FALSE), """"))
"),"TheMVP")</f>
        <v>TheMVP</v>
      </c>
      <c r="B350" s="265" t="s">
        <v>1857</v>
      </c>
      <c r="C350" s="265" t="s">
        <v>1858</v>
      </c>
      <c r="E350" s="265" t="s">
        <v>62</v>
      </c>
      <c r="F350" s="265" t="s">
        <v>27</v>
      </c>
      <c r="G350" s="265" t="s">
        <v>63</v>
      </c>
      <c r="H350" s="320">
        <v>45198.0</v>
      </c>
      <c r="I350" s="308"/>
      <c r="J350" s="309">
        <v>7.0</v>
      </c>
      <c r="K350" s="318"/>
      <c r="L350" s="311"/>
      <c r="M350" s="312">
        <v>45196.68760416667</v>
      </c>
      <c r="N350" s="313">
        <v>45199.41656909722</v>
      </c>
      <c r="O350" s="314"/>
      <c r="P350" s="314"/>
      <c r="Q350" s="315"/>
      <c r="R350" s="316">
        <v>1.0170486111128412</v>
      </c>
      <c r="S350" s="317">
        <f>SUM(S351:S357)</f>
        <v>1955.645833</v>
      </c>
      <c r="T350" s="317">
        <f>AVERAGE(T351:T357)</f>
        <v>101.0714286</v>
      </c>
      <c r="U350" s="317"/>
    </row>
    <row r="351" ht="20.25" hidden="1" customHeight="1" outlineLevel="1">
      <c r="A351" s="216" t="str">
        <f>IFERROR(__xludf.DUMMYFUNCTION("ARRAYFORMULA(IFERROR(VLOOKUP(REGEXEXTRACT(B351, ""-(\w+)-""), {Data_Validation!$F$16:$F$29, Data_Validation!$E$16:$E$29}, 2, FALSE), """"))
"),"TheMVP")</f>
        <v>TheMVP</v>
      </c>
      <c r="B351" s="265" t="s">
        <v>1859</v>
      </c>
      <c r="D351" s="265" t="s">
        <v>25</v>
      </c>
      <c r="E351" s="265" t="s">
        <v>26</v>
      </c>
      <c r="F351" s="265" t="s">
        <v>22</v>
      </c>
      <c r="G351" s="265" t="s">
        <v>1860</v>
      </c>
      <c r="H351" s="320">
        <v>45194.0</v>
      </c>
      <c r="I351" s="309">
        <v>1.0</v>
      </c>
      <c r="K351" s="318"/>
      <c r="L351" s="311"/>
      <c r="M351" s="312">
        <v>45196.68760416667</v>
      </c>
      <c r="N351" s="313">
        <v>45196.75202546296</v>
      </c>
      <c r="O351" s="314"/>
      <c r="P351" s="314"/>
      <c r="Q351" s="319" t="s">
        <v>31</v>
      </c>
      <c r="R351" s="316">
        <v>0.0644212962979509</v>
      </c>
      <c r="S351" s="317">
        <f t="shared" ref="S351:S357" si="76">T351*24*R351</f>
        <v>193.2638889</v>
      </c>
      <c r="T351" s="317">
        <f>VLOOKUP(F351, Data_Validation!$D$2:$G$15, 4, FALSE)</f>
        <v>125</v>
      </c>
      <c r="U351" s="317"/>
    </row>
    <row r="352" ht="20.25" hidden="1" customHeight="1" outlineLevel="1">
      <c r="A352" s="216" t="str">
        <f>IFERROR(__xludf.DUMMYFUNCTION("ARRAYFORMULA(IFERROR(VLOOKUP(REGEXEXTRACT(B352, ""-(\w+)-""), {Data_Validation!$F$16:$F$29, Data_Validation!$E$16:$E$29}, 2, FALSE), """"))
"),"TheMVP")</f>
        <v>TheMVP</v>
      </c>
      <c r="B352" s="265" t="s">
        <v>1861</v>
      </c>
      <c r="D352" s="265" t="s">
        <v>33</v>
      </c>
      <c r="E352" s="265" t="s">
        <v>26</v>
      </c>
      <c r="F352" s="265" t="s">
        <v>22</v>
      </c>
      <c r="G352" s="265" t="s">
        <v>1862</v>
      </c>
      <c r="H352" s="320">
        <v>45196.0</v>
      </c>
      <c r="I352" s="309">
        <v>1.0</v>
      </c>
      <c r="K352" s="318"/>
      <c r="L352" s="311"/>
      <c r="M352" s="312">
        <v>45196.75202546296</v>
      </c>
      <c r="N352" s="313">
        <v>45196.808124999996</v>
      </c>
      <c r="O352" s="314"/>
      <c r="P352" s="314"/>
      <c r="Q352" s="319" t="s">
        <v>31</v>
      </c>
      <c r="R352" s="316">
        <v>0.05609953703606152</v>
      </c>
      <c r="S352" s="317">
        <f t="shared" si="76"/>
        <v>168.2986111</v>
      </c>
      <c r="T352" s="317">
        <f>VLOOKUP(F352, Data_Validation!$D$2:$G$15, 4, FALSE)</f>
        <v>125</v>
      </c>
      <c r="U352" s="317"/>
    </row>
    <row r="353" ht="20.25" hidden="1" customHeight="1" outlineLevel="1">
      <c r="A353" s="216" t="str">
        <f>IFERROR(__xludf.DUMMYFUNCTION("ARRAYFORMULA(IFERROR(VLOOKUP(REGEXEXTRACT(B353, ""-(\w+)-""), {Data_Validation!$F$16:$F$29, Data_Validation!$E$16:$E$29}, 2, FALSE), """"))
"),"TheMVP")</f>
        <v>TheMVP</v>
      </c>
      <c r="B353" s="265" t="s">
        <v>1863</v>
      </c>
      <c r="D353" s="265" t="s">
        <v>121</v>
      </c>
      <c r="E353" s="265" t="s">
        <v>26</v>
      </c>
      <c r="F353" s="265" t="s">
        <v>27</v>
      </c>
      <c r="H353" s="320">
        <v>45195.0</v>
      </c>
      <c r="I353" s="309">
        <v>1.0</v>
      </c>
      <c r="K353" s="318"/>
      <c r="L353" s="311"/>
      <c r="M353" s="312">
        <v>45197.60980895833</v>
      </c>
      <c r="N353" s="313">
        <v>45198.44051966435</v>
      </c>
      <c r="O353" s="314" t="s">
        <v>1864</v>
      </c>
      <c r="P353" s="314" t="s">
        <v>1865</v>
      </c>
      <c r="Q353" s="319" t="s">
        <v>31</v>
      </c>
      <c r="R353" s="316">
        <v>0.040277777778101154</v>
      </c>
      <c r="S353" s="317">
        <f t="shared" si="76"/>
        <v>70.08333333</v>
      </c>
      <c r="T353" s="317">
        <f>VLOOKUP(F353, Data_Validation!$D$2:$G$15, 4, FALSE)</f>
        <v>72.5</v>
      </c>
      <c r="U353" s="317"/>
    </row>
    <row r="354" ht="20.25" hidden="1" customHeight="1" outlineLevel="1">
      <c r="A354" s="216" t="str">
        <f>IFERROR(__xludf.DUMMYFUNCTION("ARRAYFORMULA(IFERROR(VLOOKUP(REGEXEXTRACT(B354, ""-(\w+)-""), {Data_Validation!$F$16:$F$29, Data_Validation!$E$16:$E$29}, 2, FALSE), """"))
"),"TheMVP")</f>
        <v>TheMVP</v>
      </c>
      <c r="B354" s="265" t="s">
        <v>1866</v>
      </c>
      <c r="D354" s="265" t="s">
        <v>38</v>
      </c>
      <c r="E354" s="265" t="s">
        <v>26</v>
      </c>
      <c r="F354" s="265" t="s">
        <v>22</v>
      </c>
      <c r="H354" s="320">
        <v>45197.0</v>
      </c>
      <c r="I354" s="309">
        <v>1.0</v>
      </c>
      <c r="K354" s="318"/>
      <c r="L354" s="311"/>
      <c r="M354" s="312">
        <v>45198.34118055555</v>
      </c>
      <c r="N354" s="313">
        <v>45198.442142430555</v>
      </c>
      <c r="O354" s="314" t="s">
        <v>1867</v>
      </c>
      <c r="P354" s="314" t="s">
        <v>1868</v>
      </c>
      <c r="Q354" s="319" t="s">
        <v>31</v>
      </c>
      <c r="R354" s="316">
        <v>0.02708333333430346</v>
      </c>
      <c r="S354" s="317">
        <f t="shared" si="76"/>
        <v>81.25</v>
      </c>
      <c r="T354" s="317">
        <f>VLOOKUP(F354, Data_Validation!$D$2:$G$15, 4, FALSE)</f>
        <v>125</v>
      </c>
      <c r="U354" s="317"/>
    </row>
    <row r="355" ht="20.25" hidden="1" customHeight="1" outlineLevel="1">
      <c r="A355" s="216" t="str">
        <f>IFERROR(__xludf.DUMMYFUNCTION("ARRAYFORMULA(IFERROR(VLOOKUP(REGEXEXTRACT(B355, ""-(\w+)-""), {Data_Validation!$F$16:$F$29, Data_Validation!$E$16:$E$29}, 2, FALSE), """"))
"),"TheMVP")</f>
        <v>TheMVP</v>
      </c>
      <c r="B355" s="265" t="s">
        <v>1869</v>
      </c>
      <c r="D355" s="265" t="s">
        <v>40</v>
      </c>
      <c r="E355" s="265" t="s">
        <v>26</v>
      </c>
      <c r="F355" s="265" t="s">
        <v>27</v>
      </c>
      <c r="H355" s="320">
        <v>45198.0</v>
      </c>
      <c r="I355" s="309">
        <v>1.0</v>
      </c>
      <c r="K355" s="318"/>
      <c r="L355" s="311"/>
      <c r="M355" s="312">
        <v>45198.46376143518</v>
      </c>
      <c r="N355" s="313">
        <v>45198.75492157407</v>
      </c>
      <c r="O355" s="314" t="s">
        <v>1870</v>
      </c>
      <c r="P355" s="314" t="s">
        <v>1871</v>
      </c>
      <c r="Q355" s="319" t="s">
        <v>31</v>
      </c>
      <c r="R355" s="316">
        <v>0.2625000000007276</v>
      </c>
      <c r="S355" s="317">
        <f t="shared" si="76"/>
        <v>456.75</v>
      </c>
      <c r="T355" s="317">
        <f>VLOOKUP(F355, Data_Validation!$D$2:$G$15, 4, FALSE)</f>
        <v>72.5</v>
      </c>
      <c r="U355" s="317"/>
    </row>
    <row r="356" ht="20.25" hidden="1" customHeight="1" outlineLevel="1">
      <c r="A356" s="216" t="str">
        <f>IFERROR(__xludf.DUMMYFUNCTION("ARRAYFORMULA(IFERROR(VLOOKUP(REGEXEXTRACT(B356, ""-(\w+)-""), {Data_Validation!$F$16:$F$29, Data_Validation!$E$16:$E$29}, 2, FALSE), """"))
"),"TheMVP")</f>
        <v>TheMVP</v>
      </c>
      <c r="B356" s="265" t="s">
        <v>1869</v>
      </c>
      <c r="D356" s="265" t="s">
        <v>45</v>
      </c>
      <c r="E356" s="265" t="s">
        <v>26</v>
      </c>
      <c r="F356" s="265" t="s">
        <v>41</v>
      </c>
      <c r="H356" s="320">
        <v>45198.0</v>
      </c>
      <c r="K356" s="318"/>
      <c r="L356" s="311"/>
      <c r="M356" s="312"/>
      <c r="N356" s="313"/>
      <c r="O356" s="314"/>
      <c r="P356" s="314"/>
      <c r="Q356" s="315"/>
      <c r="R356" s="316"/>
      <c r="S356" s="317">
        <f t="shared" si="76"/>
        <v>0</v>
      </c>
      <c r="T356" s="317">
        <f>VLOOKUP(F356, Data_Validation!$D$2:$G$15, 4, FALSE)</f>
        <v>115</v>
      </c>
      <c r="U356" s="317"/>
    </row>
    <row r="357" ht="20.25" hidden="1" customHeight="1" outlineLevel="1">
      <c r="A357" s="216" t="str">
        <f>IFERROR(__xludf.DUMMYFUNCTION("ARRAYFORMULA(IFERROR(VLOOKUP(REGEXEXTRACT(B357, ""-(\w+)-""), {Data_Validation!$F$16:$F$29, Data_Validation!$E$16:$E$29}, 2, FALSE), """"))
"),"TheMVP")</f>
        <v>TheMVP</v>
      </c>
      <c r="B357" s="265" t="s">
        <v>1872</v>
      </c>
      <c r="D357" s="265" t="s">
        <v>274</v>
      </c>
      <c r="E357" s="265" t="s">
        <v>26</v>
      </c>
      <c r="F357" s="265" t="s">
        <v>27</v>
      </c>
      <c r="H357" s="320">
        <v>45198.0</v>
      </c>
      <c r="I357" s="309">
        <v>1.0</v>
      </c>
      <c r="K357" s="318"/>
      <c r="L357" s="311"/>
      <c r="M357" s="312">
        <v>45198.845772002314</v>
      </c>
      <c r="N357" s="313">
        <v>45199.416424016206</v>
      </c>
      <c r="O357" s="314" t="s">
        <v>1873</v>
      </c>
      <c r="P357" s="314" t="s">
        <v>1874</v>
      </c>
      <c r="Q357" s="319" t="s">
        <v>31</v>
      </c>
      <c r="R357" s="316">
        <v>0.5666666666656965</v>
      </c>
      <c r="S357" s="317">
        <f t="shared" si="76"/>
        <v>986</v>
      </c>
      <c r="T357" s="317">
        <f>VLOOKUP(F357, Data_Validation!$D$2:$G$15, 4, FALSE)</f>
        <v>72.5</v>
      </c>
      <c r="U357" s="317"/>
    </row>
    <row r="358" ht="20.25" customHeight="1" collapsed="1">
      <c r="A358" s="216" t="str">
        <f>IFERROR(__xludf.DUMMYFUNCTION("ARRAYFORMULA(IFERROR(VLOOKUP(REGEXEXTRACT(B358, ""-(\w+)-""), {Data_Validation!$F$16:$F$29, Data_Validation!$E$16:$E$29}, 2, FALSE), """"))
"),"TheMVP")</f>
        <v>TheMVP</v>
      </c>
      <c r="B358" s="265" t="s">
        <v>1933</v>
      </c>
      <c r="C358" s="265" t="s">
        <v>1934</v>
      </c>
      <c r="E358" s="265" t="s">
        <v>51</v>
      </c>
      <c r="F358" s="265" t="s">
        <v>41</v>
      </c>
      <c r="G358" s="265" t="s">
        <v>79</v>
      </c>
      <c r="H358" s="320">
        <v>45211.0</v>
      </c>
      <c r="I358" s="308"/>
      <c r="J358" s="309">
        <v>4.0</v>
      </c>
      <c r="K358" s="318"/>
      <c r="L358" s="311"/>
      <c r="M358" s="312">
        <f>MIN(M359:M362)</f>
        <v>45203.48017</v>
      </c>
      <c r="N358" s="313">
        <f>MAX(N359:N362)</f>
        <v>45204.4154</v>
      </c>
      <c r="O358" s="314"/>
      <c r="P358" s="314"/>
      <c r="Q358" s="315"/>
      <c r="R358" s="316">
        <f t="shared" ref="R358:S358" si="77">SUM(R359:R362)</f>
        <v>0.7916666667</v>
      </c>
      <c r="S358" s="317">
        <f t="shared" si="77"/>
        <v>2221.666667</v>
      </c>
      <c r="T358" s="317">
        <f>AVERAGE(T359:T362)</f>
        <v>109.375</v>
      </c>
      <c r="U358" s="317"/>
    </row>
    <row r="359" ht="20.25" hidden="1" customHeight="1" outlineLevel="1">
      <c r="A359" s="216" t="str">
        <f>IFERROR(__xludf.DUMMYFUNCTION("ARRAYFORMULA(IFERROR(VLOOKUP(REGEXEXTRACT(B359, ""-(\w+)-""), {Data_Validation!$F$16:$F$29, Data_Validation!$E$16:$E$29}, 2, FALSE), """"))
"),"TheMVP")</f>
        <v>TheMVP</v>
      </c>
      <c r="B359" s="265" t="s">
        <v>1935</v>
      </c>
      <c r="D359" s="265" t="s">
        <v>1936</v>
      </c>
      <c r="E359" s="265" t="s">
        <v>26</v>
      </c>
      <c r="F359" s="265" t="s">
        <v>22</v>
      </c>
      <c r="H359" s="320">
        <v>45208.0</v>
      </c>
      <c r="I359" s="309">
        <v>1.0</v>
      </c>
      <c r="K359" s="318"/>
      <c r="L359" s="311"/>
      <c r="M359" s="312">
        <v>45203.69210648148</v>
      </c>
      <c r="N359" s="313">
        <v>45203.775742337966</v>
      </c>
      <c r="O359" s="314"/>
      <c r="P359" s="314"/>
      <c r="Q359" s="319" t="s">
        <v>31</v>
      </c>
      <c r="R359" s="316">
        <v>0.08333333333212067</v>
      </c>
      <c r="S359" s="317">
        <f t="shared" ref="S359:S362" si="78">T359*24*R359</f>
        <v>250</v>
      </c>
      <c r="T359" s="317">
        <f>VLOOKUP(F359, Data_Validation!$D$2:$G$15, 4, FALSE)</f>
        <v>125</v>
      </c>
      <c r="U359" s="317"/>
    </row>
    <row r="360" ht="20.25" hidden="1" customHeight="1" outlineLevel="1">
      <c r="A360" s="216" t="str">
        <f>IFERROR(__xludf.DUMMYFUNCTION("ARRAYFORMULA(IFERROR(VLOOKUP(REGEXEXTRACT(B360, ""-(\w+)-""), {Data_Validation!$F$16:$F$29, Data_Validation!$E$16:$E$29}, 2, FALSE), """"))
"),"TheMVP")</f>
        <v>TheMVP</v>
      </c>
      <c r="B360" s="265" t="s">
        <v>1937</v>
      </c>
      <c r="D360" s="265" t="s">
        <v>33</v>
      </c>
      <c r="E360" s="265" t="s">
        <v>26</v>
      </c>
      <c r="F360" s="265" t="s">
        <v>22</v>
      </c>
      <c r="H360" s="320">
        <v>45203.0</v>
      </c>
      <c r="I360" s="309">
        <v>1.0</v>
      </c>
      <c r="K360" s="318"/>
      <c r="L360" s="311"/>
      <c r="M360" s="312">
        <v>45203.48017361111</v>
      </c>
      <c r="N360" s="313">
        <v>45203.54961805556</v>
      </c>
      <c r="O360" s="314"/>
      <c r="P360" s="314"/>
      <c r="Q360" s="319" t="s">
        <v>31</v>
      </c>
      <c r="R360" s="316">
        <v>0.06944444444525288</v>
      </c>
      <c r="S360" s="317">
        <f t="shared" si="78"/>
        <v>208.3333333</v>
      </c>
      <c r="T360" s="317">
        <f>VLOOKUP(F360, Data_Validation!$D$2:$G$15, 4, FALSE)</f>
        <v>125</v>
      </c>
      <c r="U360" s="317"/>
    </row>
    <row r="361" ht="20.25" hidden="1" customHeight="1" outlineLevel="1">
      <c r="A361" s="216" t="str">
        <f>IFERROR(__xludf.DUMMYFUNCTION("ARRAYFORMULA(IFERROR(VLOOKUP(REGEXEXTRACT(B361, ""-(\w+)-""), {Data_Validation!$F$16:$F$29, Data_Validation!$E$16:$E$29}, 2, FALSE), """"))
"),"TheMVP")</f>
        <v>TheMVP</v>
      </c>
      <c r="B361" s="265" t="s">
        <v>1938</v>
      </c>
      <c r="D361" s="265" t="s">
        <v>303</v>
      </c>
      <c r="E361" s="265" t="s">
        <v>26</v>
      </c>
      <c r="F361" s="265" t="s">
        <v>41</v>
      </c>
      <c r="H361" s="320">
        <v>45209.0</v>
      </c>
      <c r="I361" s="309">
        <v>1.0</v>
      </c>
      <c r="K361" s="318"/>
      <c r="L361" s="311"/>
      <c r="M361" s="312">
        <v>45203.77563376157</v>
      </c>
      <c r="N361" s="313">
        <v>45204.41540450232</v>
      </c>
      <c r="O361" s="314" t="s">
        <v>1939</v>
      </c>
      <c r="P361" s="314" t="s">
        <v>1940</v>
      </c>
      <c r="Q361" s="319" t="s">
        <v>31</v>
      </c>
      <c r="R361" s="316">
        <v>0.6388888888905058</v>
      </c>
      <c r="S361" s="317">
        <f t="shared" si="78"/>
        <v>1763.333333</v>
      </c>
      <c r="T361" s="317">
        <f>VLOOKUP(F361, Data_Validation!$D$2:$G$15, 4, FALSE)</f>
        <v>115</v>
      </c>
      <c r="U361" s="317"/>
    </row>
    <row r="362" ht="20.25" hidden="1" customHeight="1" outlineLevel="1">
      <c r="A362" s="216" t="str">
        <f>IFERROR(__xludf.DUMMYFUNCTION("ARRAYFORMULA(IFERROR(VLOOKUP(REGEXEXTRACT(B362, ""-(\w+)-""), {Data_Validation!$F$16:$F$29, Data_Validation!$E$16:$E$29}, 2, FALSE), """"))
"),"TheMVP")</f>
        <v>TheMVP</v>
      </c>
      <c r="B362" s="265" t="s">
        <v>1941</v>
      </c>
      <c r="D362" s="265" t="s">
        <v>47</v>
      </c>
      <c r="E362" s="265" t="s">
        <v>26</v>
      </c>
      <c r="F362" s="265" t="s">
        <v>27</v>
      </c>
      <c r="H362" s="320">
        <v>45211.0</v>
      </c>
      <c r="I362" s="309">
        <v>1.0</v>
      </c>
      <c r="K362" s="318"/>
      <c r="L362" s="311"/>
      <c r="M362" s="312"/>
      <c r="N362" s="313"/>
      <c r="O362" s="314"/>
      <c r="P362" s="314"/>
      <c r="Q362" s="315"/>
      <c r="R362" s="316"/>
      <c r="S362" s="317">
        <f t="shared" si="78"/>
        <v>0</v>
      </c>
      <c r="T362" s="317">
        <f>VLOOKUP(F362, Data_Validation!$D$2:$G$15, 4, FALSE)</f>
        <v>72.5</v>
      </c>
      <c r="U362" s="317"/>
    </row>
    <row r="363" ht="20.25" customHeight="1" collapsed="1">
      <c r="A363" s="216" t="str">
        <f>IFERROR(__xludf.DUMMYFUNCTION("ARRAYFORMULA(IFERROR(VLOOKUP(REGEXEXTRACT(B363, ""-(\w+)-""), {Data_Validation!$F$16:$F$29, Data_Validation!$E$16:$E$29}, 2, FALSE), """"))
"),"Emerson")</f>
        <v>Emerson</v>
      </c>
      <c r="B363" s="265" t="s">
        <v>1942</v>
      </c>
      <c r="C363" s="265" t="s">
        <v>1943</v>
      </c>
      <c r="E363" s="265" t="s">
        <v>963</v>
      </c>
      <c r="F363" s="265" t="s">
        <v>48</v>
      </c>
      <c r="G363" s="265" t="s">
        <v>23</v>
      </c>
      <c r="H363" s="307">
        <v>45202.451367256945</v>
      </c>
      <c r="I363" s="308"/>
      <c r="J363" s="309">
        <v>3.0</v>
      </c>
      <c r="K363" s="318"/>
      <c r="L363" s="311"/>
      <c r="M363" s="312">
        <v>45199.423186307875</v>
      </c>
      <c r="N363" s="313">
        <v>45205.44597267361</v>
      </c>
      <c r="O363" s="314"/>
      <c r="P363" s="314"/>
      <c r="Q363" s="315"/>
      <c r="R363" s="316">
        <v>0.14583333333212067</v>
      </c>
      <c r="S363" s="317">
        <f>SUM(S364:S366)</f>
        <v>271.0416667</v>
      </c>
      <c r="T363" s="317">
        <f>AVERAGE(T364:T366)</f>
        <v>76.66666667</v>
      </c>
      <c r="U363" s="317"/>
    </row>
    <row r="364" ht="20.25" hidden="1" customHeight="1" outlineLevel="1">
      <c r="A364" s="216" t="str">
        <f>IFERROR(__xludf.DUMMYFUNCTION("ARRAYFORMULA(IFERROR(VLOOKUP(REGEXEXTRACT(B364, ""-(\w+)-""), {Data_Validation!$F$16:$F$29, Data_Validation!$E$16:$E$29}, 2, FALSE), """"))
"),"Emerson")</f>
        <v>Emerson</v>
      </c>
      <c r="B364" s="265" t="s">
        <v>1944</v>
      </c>
      <c r="D364" s="265" t="s">
        <v>1945</v>
      </c>
      <c r="E364" s="265" t="s">
        <v>26</v>
      </c>
      <c r="F364" s="265" t="s">
        <v>27</v>
      </c>
      <c r="H364" s="307">
        <v>45198.0</v>
      </c>
      <c r="I364" s="309">
        <v>1.0</v>
      </c>
      <c r="K364" s="318"/>
      <c r="L364" s="311"/>
      <c r="M364" s="312">
        <v>45199.423186307875</v>
      </c>
      <c r="N364" s="313">
        <v>45199.502551956015</v>
      </c>
      <c r="O364" s="314"/>
      <c r="P364" s="314"/>
      <c r="Q364" s="319" t="s">
        <v>31</v>
      </c>
      <c r="R364" s="316">
        <v>0.07916666666642413</v>
      </c>
      <c r="S364" s="317">
        <f t="shared" ref="S364:S366" si="79">T364*24*R364</f>
        <v>137.75</v>
      </c>
      <c r="T364" s="317">
        <f>VLOOKUP(F364, Data_Validation!$D$2:$G$15, 4, FALSE)</f>
        <v>72.5</v>
      </c>
      <c r="U364" s="317"/>
    </row>
    <row r="365" ht="20.25" hidden="1" customHeight="1" outlineLevel="1">
      <c r="A365" s="216" t="str">
        <f>IFERROR(__xludf.DUMMYFUNCTION("ARRAYFORMULA(IFERROR(VLOOKUP(REGEXEXTRACT(B365, ""-(\w+)-""), {Data_Validation!$F$16:$F$29, Data_Validation!$E$16:$E$29}, 2, FALSE), """"))
"),"Emerson")</f>
        <v>Emerson</v>
      </c>
      <c r="B365" s="265" t="s">
        <v>1946</v>
      </c>
      <c r="D365" s="265" t="s">
        <v>40</v>
      </c>
      <c r="E365" s="265" t="s">
        <v>26</v>
      </c>
      <c r="F365" s="265" t="s">
        <v>27</v>
      </c>
      <c r="H365" s="307">
        <v>45200.451367256945</v>
      </c>
      <c r="I365" s="309">
        <v>1.0</v>
      </c>
      <c r="K365" s="318"/>
      <c r="L365" s="311"/>
      <c r="M365" s="312">
        <v>45199.50274791667</v>
      </c>
      <c r="N365" s="313">
        <v>45199.81493496528</v>
      </c>
      <c r="O365" s="314" t="s">
        <v>1947</v>
      </c>
      <c r="P365" s="314" t="s">
        <v>1948</v>
      </c>
      <c r="Q365" s="319" t="s">
        <v>31</v>
      </c>
      <c r="R365" s="316">
        <v>0.009027777778101154</v>
      </c>
      <c r="S365" s="317">
        <f t="shared" si="79"/>
        <v>15.70833333</v>
      </c>
      <c r="T365" s="317">
        <f>VLOOKUP(F365, Data_Validation!$D$2:$G$15, 4, FALSE)</f>
        <v>72.5</v>
      </c>
      <c r="U365" s="317"/>
    </row>
    <row r="366" ht="20.25" hidden="1" customHeight="1" outlineLevel="1">
      <c r="A366" s="216" t="str">
        <f>IFERROR(__xludf.DUMMYFUNCTION("ARRAYFORMULA(IFERROR(VLOOKUP(REGEXEXTRACT(B366, ""-(\w+)-""), {Data_Validation!$F$16:$F$29, Data_Validation!$E$16:$E$29}, 2, FALSE), """"))
"),"Emerson")</f>
        <v>Emerson</v>
      </c>
      <c r="B366" s="265" t="s">
        <v>1949</v>
      </c>
      <c r="D366" s="265" t="s">
        <v>274</v>
      </c>
      <c r="E366" s="265" t="s">
        <v>26</v>
      </c>
      <c r="F366" s="265" t="s">
        <v>48</v>
      </c>
      <c r="H366" s="307">
        <v>45202.451367256945</v>
      </c>
      <c r="I366" s="309">
        <v>1.0</v>
      </c>
      <c r="K366" s="318"/>
      <c r="L366" s="311"/>
      <c r="M366" s="312">
        <v>45199.81496</v>
      </c>
      <c r="N366" s="313">
        <v>45205.44597267361</v>
      </c>
      <c r="O366" s="314" t="s">
        <v>1950</v>
      </c>
      <c r="P366" s="314" t="s">
        <v>1951</v>
      </c>
      <c r="Q366" s="319" t="s">
        <v>31</v>
      </c>
      <c r="R366" s="316">
        <v>0.057638888887595385</v>
      </c>
      <c r="S366" s="317">
        <f t="shared" si="79"/>
        <v>117.5833333</v>
      </c>
      <c r="T366" s="317">
        <f>VLOOKUP(F366, Data_Validation!$D$2:$G$15, 4, FALSE)</f>
        <v>85</v>
      </c>
      <c r="U366" s="317"/>
    </row>
    <row r="367" ht="20.25" customHeight="1" collapsed="1">
      <c r="A367" s="216" t="str">
        <f>IFERROR(__xludf.DUMMYFUNCTION("ARRAYFORMULA(IFERROR(VLOOKUP(REGEXEXTRACT(B367, ""-(\w+)-""), {Data_Validation!$F$16:$F$29, Data_Validation!$E$16:$E$29}, 2, FALSE), """"))
"),"TheMVP")</f>
        <v>TheMVP</v>
      </c>
      <c r="B367" s="265" t="s">
        <v>1952</v>
      </c>
      <c r="C367" s="265" t="s">
        <v>1953</v>
      </c>
      <c r="E367" s="265" t="s">
        <v>21</v>
      </c>
      <c r="F367" s="265" t="s">
        <v>41</v>
      </c>
      <c r="G367" s="265" t="s">
        <v>23</v>
      </c>
      <c r="H367" s="320">
        <v>45204.0</v>
      </c>
      <c r="I367" s="308"/>
      <c r="J367" s="309">
        <v>7.0</v>
      </c>
      <c r="K367" s="318"/>
      <c r="L367" s="311"/>
      <c r="M367" s="312">
        <v>45199.55073833333</v>
      </c>
      <c r="N367" s="313">
        <v>45205.5449442824</v>
      </c>
      <c r="O367" s="314"/>
      <c r="P367" s="314"/>
      <c r="Q367" s="315"/>
      <c r="R367" s="241">
        <v>0.4166666666666667</v>
      </c>
      <c r="S367" s="317">
        <f>SUM(S368:S374)</f>
        <v>1903.458333</v>
      </c>
      <c r="T367" s="317">
        <f>AVERAGE(T368:T374)</f>
        <v>250</v>
      </c>
      <c r="U367" s="317"/>
    </row>
    <row r="368" ht="20.25" hidden="1" customHeight="1" outlineLevel="1">
      <c r="A368" s="216" t="str">
        <f>IFERROR(__xludf.DUMMYFUNCTION("ARRAYFORMULA(IFERROR(VLOOKUP(REGEXEXTRACT(B368, ""-(\w+)-""), {Data_Validation!$F$16:$F$29, Data_Validation!$E$16:$E$29}, 2, FALSE), """"))
"),"TheMVP")</f>
        <v>TheMVP</v>
      </c>
      <c r="B368" s="265" t="s">
        <v>1954</v>
      </c>
      <c r="D368" s="265" t="s">
        <v>25</v>
      </c>
      <c r="E368" s="265" t="s">
        <v>26</v>
      </c>
      <c r="F368" s="265" t="s">
        <v>22</v>
      </c>
      <c r="G368" s="265" t="s">
        <v>1955</v>
      </c>
      <c r="H368" s="320">
        <v>45194.73102746528</v>
      </c>
      <c r="I368" s="309">
        <v>1.0</v>
      </c>
      <c r="K368" s="318"/>
      <c r="L368" s="311"/>
      <c r="M368" s="312"/>
      <c r="N368" s="313"/>
      <c r="O368" s="314"/>
      <c r="P368" s="314"/>
      <c r="Q368" s="315"/>
      <c r="R368" s="316"/>
      <c r="S368" s="317">
        <f t="shared" ref="S368:S374" si="80">T368*24*R368</f>
        <v>0</v>
      </c>
      <c r="T368" s="317">
        <f>VLOOKUP(F368, Data_Validation!$D$2:$G$15, 4, FALSE)</f>
        <v>125</v>
      </c>
      <c r="U368" s="317"/>
    </row>
    <row r="369" ht="20.25" hidden="1" customHeight="1" outlineLevel="1">
      <c r="A369" s="216" t="str">
        <f>IFERROR(__xludf.DUMMYFUNCTION("ARRAYFORMULA(IFERROR(VLOOKUP(REGEXEXTRACT(B369, ""-(\w+)-""), {Data_Validation!$F$16:$F$29, Data_Validation!$E$16:$E$29}, 2, FALSE), """"))
"),"TheMVP")</f>
        <v>TheMVP</v>
      </c>
      <c r="B369" s="265" t="s">
        <v>1956</v>
      </c>
      <c r="D369" s="265" t="s">
        <v>112</v>
      </c>
      <c r="E369" s="265" t="s">
        <v>26</v>
      </c>
      <c r="F369" s="265" t="s">
        <v>131</v>
      </c>
      <c r="H369" s="320">
        <v>45194.0</v>
      </c>
      <c r="I369" s="309">
        <v>1.0</v>
      </c>
      <c r="K369" s="318"/>
      <c r="L369" s="311"/>
      <c r="M369" s="312">
        <v>45199.55073833333</v>
      </c>
      <c r="N369" s="313">
        <v>45199.55089619213</v>
      </c>
      <c r="O369" s="314"/>
      <c r="P369" s="314"/>
      <c r="Q369" s="319" t="s">
        <v>31</v>
      </c>
      <c r="R369" s="316">
        <v>0.0</v>
      </c>
      <c r="S369" s="317">
        <f t="shared" si="80"/>
        <v>0</v>
      </c>
      <c r="T369" s="317">
        <f>VLOOKUP(F369, Data_Validation!$D$2:$G$15, 4, FALSE)</f>
        <v>115</v>
      </c>
      <c r="U369" s="317"/>
    </row>
    <row r="370" ht="20.25" hidden="1" customHeight="1" outlineLevel="1">
      <c r="A370" s="216" t="str">
        <f>IFERROR(__xludf.DUMMYFUNCTION("ARRAYFORMULA(IFERROR(VLOOKUP(REGEXEXTRACT(B370, ""-(\w+)-""), {Data_Validation!$F$16:$F$29, Data_Validation!$E$16:$E$29}, 2, FALSE), """"))
"),"TheMVP")</f>
        <v>TheMVP</v>
      </c>
      <c r="B370" s="265" t="s">
        <v>1957</v>
      </c>
      <c r="D370" s="265" t="s">
        <v>121</v>
      </c>
      <c r="E370" s="265" t="s">
        <v>26</v>
      </c>
      <c r="F370" s="265" t="s">
        <v>27</v>
      </c>
      <c r="H370" s="320">
        <v>45195.0</v>
      </c>
      <c r="I370" s="309">
        <v>1.0</v>
      </c>
      <c r="K370" s="318"/>
      <c r="L370" s="311"/>
      <c r="M370" s="312">
        <v>45202.41785493055</v>
      </c>
      <c r="N370" s="313">
        <v>45202.42397289352</v>
      </c>
      <c r="O370" s="314"/>
      <c r="P370" s="314"/>
      <c r="Q370" s="319" t="s">
        <v>31</v>
      </c>
      <c r="R370" s="316">
        <v>0.005555555555474712</v>
      </c>
      <c r="S370" s="317">
        <f t="shared" si="80"/>
        <v>9.666666667</v>
      </c>
      <c r="T370" s="317">
        <f>VLOOKUP(F370, Data_Validation!$D$2:$G$15, 4, FALSE)</f>
        <v>72.5</v>
      </c>
      <c r="U370" s="317"/>
    </row>
    <row r="371" ht="20.25" hidden="1" customHeight="1" outlineLevel="1">
      <c r="A371" s="216" t="str">
        <f>IFERROR(__xludf.DUMMYFUNCTION("ARRAYFORMULA(IFERROR(VLOOKUP(REGEXEXTRACT(B371, ""-(\w+)-""), {Data_Validation!$F$16:$F$29, Data_Validation!$E$16:$E$29}, 2, FALSE), """"))
"),"TheMVP")</f>
        <v>TheMVP</v>
      </c>
      <c r="B371" s="265" t="s">
        <v>1958</v>
      </c>
      <c r="D371" s="265" t="s">
        <v>38</v>
      </c>
      <c r="E371" s="265" t="s">
        <v>26</v>
      </c>
      <c r="F371" s="265" t="s">
        <v>22</v>
      </c>
      <c r="H371" s="320">
        <v>45196.0</v>
      </c>
      <c r="I371" s="309">
        <v>1.0</v>
      </c>
      <c r="K371" s="318"/>
      <c r="L371" s="311"/>
      <c r="M371" s="312">
        <v>45199.806180555555</v>
      </c>
      <c r="N371" s="313"/>
      <c r="O371" s="314" t="s">
        <v>1959</v>
      </c>
      <c r="P371" s="314"/>
      <c r="Q371" s="319" t="s">
        <v>31</v>
      </c>
      <c r="R371" s="316">
        <v>0.0625</v>
      </c>
      <c r="S371" s="317">
        <f t="shared" si="80"/>
        <v>187.5</v>
      </c>
      <c r="T371" s="317">
        <f>VLOOKUP(F371, Data_Validation!$D$2:$G$15, 4, FALSE)</f>
        <v>125</v>
      </c>
      <c r="U371" s="317"/>
    </row>
    <row r="372" ht="20.25" hidden="1" customHeight="1" outlineLevel="1">
      <c r="A372" s="216" t="str">
        <f>IFERROR(__xludf.DUMMYFUNCTION("ARRAYFORMULA(IFERROR(VLOOKUP(REGEXEXTRACT(B372, ""-(\w+)-""), {Data_Validation!$F$16:$F$29, Data_Validation!$E$16:$E$29}, 2, FALSE), """"))
"),"TheMVP")</f>
        <v>TheMVP</v>
      </c>
      <c r="B372" s="265" t="s">
        <v>1960</v>
      </c>
      <c r="D372" s="265" t="s">
        <v>40</v>
      </c>
      <c r="E372" s="265" t="s">
        <v>26</v>
      </c>
      <c r="F372" s="265" t="s">
        <v>22</v>
      </c>
      <c r="G372" s="338" t="s">
        <v>1961</v>
      </c>
      <c r="H372" s="320">
        <v>45202.0</v>
      </c>
      <c r="I372" s="309">
        <v>1.0</v>
      </c>
      <c r="K372" s="318"/>
      <c r="L372" s="311"/>
      <c r="M372" s="312">
        <v>45202.42403340278</v>
      </c>
      <c r="N372" s="313">
        <v>45205.53114759259</v>
      </c>
      <c r="O372" s="314" t="s">
        <v>1962</v>
      </c>
      <c r="P372" s="314" t="s">
        <v>1963</v>
      </c>
      <c r="Q372" s="319" t="s">
        <v>31</v>
      </c>
      <c r="R372" s="316">
        <v>0.06041666666715173</v>
      </c>
      <c r="S372" s="317">
        <f t="shared" si="80"/>
        <v>1631.25</v>
      </c>
      <c r="T372" s="317">
        <f>VLOOKUP(F372, Data_Validation!$D$2:$G$15, 4, FALSE)+1000</f>
        <v>1125</v>
      </c>
      <c r="U372" s="317"/>
    </row>
    <row r="373" ht="20.25" hidden="1" customHeight="1" outlineLevel="1">
      <c r="A373" s="216" t="str">
        <f>IFERROR(__xludf.DUMMYFUNCTION("ARRAYFORMULA(IFERROR(VLOOKUP(REGEXEXTRACT(B373, ""-(\w+)-""), {Data_Validation!$F$16:$F$29, Data_Validation!$E$16:$E$29}, 2, FALSE), """"))
"),"TheMVP")</f>
        <v>TheMVP</v>
      </c>
      <c r="B373" s="265" t="s">
        <v>1964</v>
      </c>
      <c r="D373" s="265" t="s">
        <v>45</v>
      </c>
      <c r="E373" s="265" t="s">
        <v>26</v>
      </c>
      <c r="F373" s="265" t="s">
        <v>41</v>
      </c>
      <c r="H373" s="320">
        <v>45203.0</v>
      </c>
      <c r="I373" s="309">
        <v>1.0</v>
      </c>
      <c r="K373" s="318"/>
      <c r="L373" s="311"/>
      <c r="M373" s="312">
        <v>45204.47858733796</v>
      </c>
      <c r="N373" s="313">
        <v>45205.5449442824</v>
      </c>
      <c r="O373" s="314" t="s">
        <v>1965</v>
      </c>
      <c r="P373" s="314" t="s">
        <v>1966</v>
      </c>
      <c r="Q373" s="319" t="s">
        <v>31</v>
      </c>
      <c r="R373" s="316">
        <v>0.02500000000145519</v>
      </c>
      <c r="S373" s="317">
        <f t="shared" si="80"/>
        <v>69</v>
      </c>
      <c r="T373" s="317">
        <f>VLOOKUP(F373, Data_Validation!$D$2:$G$15, 4, FALSE)</f>
        <v>115</v>
      </c>
      <c r="U373" s="317"/>
    </row>
    <row r="374" ht="20.25" hidden="1" customHeight="1" outlineLevel="1">
      <c r="A374" s="216" t="str">
        <f>IFERROR(__xludf.DUMMYFUNCTION("ARRAYFORMULA(IFERROR(VLOOKUP(REGEXEXTRACT(B374, ""-(\w+)-""), {Data_Validation!$F$16:$F$29, Data_Validation!$E$16:$E$29}, 2, FALSE), """"))
"),"TheMVP")</f>
        <v>TheMVP</v>
      </c>
      <c r="B374" s="265" t="s">
        <v>1967</v>
      </c>
      <c r="D374" s="265" t="s">
        <v>47</v>
      </c>
      <c r="E374" s="265" t="s">
        <v>26</v>
      </c>
      <c r="F374" s="265" t="s">
        <v>27</v>
      </c>
      <c r="H374" s="320">
        <v>45204.0</v>
      </c>
      <c r="I374" s="309">
        <v>1.0</v>
      </c>
      <c r="K374" s="318"/>
      <c r="L374" s="311"/>
      <c r="M374" s="312">
        <v>45205.531316747685</v>
      </c>
      <c r="N374" s="313">
        <v>45205.53517989583</v>
      </c>
      <c r="O374" s="314"/>
      <c r="P374" s="314"/>
      <c r="Q374" s="319" t="s">
        <v>31</v>
      </c>
      <c r="R374" s="316">
        <v>0.003472222222626442</v>
      </c>
      <c r="S374" s="317">
        <f t="shared" si="80"/>
        <v>6.041666667</v>
      </c>
      <c r="T374" s="317">
        <f>VLOOKUP(F374, Data_Validation!$D$2:$G$15, 4, FALSE)</f>
        <v>72.5</v>
      </c>
      <c r="U374" s="317"/>
    </row>
    <row r="375" ht="20.25" customHeight="1" collapsed="1">
      <c r="A375" s="216" t="str">
        <f>IFERROR(__xludf.DUMMYFUNCTION("ARRAYFORMULA(IFERROR(VLOOKUP(REGEXEXTRACT(B375, ""-(\w+)-""), {Data_Validation!$F$16:$F$29, Data_Validation!$E$16:$E$29}, 2, FALSE), """"))
"),"TheMVP")</f>
        <v>TheMVP</v>
      </c>
      <c r="B375" s="265" t="s">
        <v>1968</v>
      </c>
      <c r="C375" s="265" t="s">
        <v>1969</v>
      </c>
      <c r="E375" s="265" t="s">
        <v>21</v>
      </c>
      <c r="F375" s="265" t="s">
        <v>22</v>
      </c>
      <c r="G375" s="265" t="s">
        <v>79</v>
      </c>
      <c r="H375" s="320">
        <v>45204.0</v>
      </c>
      <c r="I375" s="308"/>
      <c r="J375" s="309">
        <v>7.0</v>
      </c>
      <c r="K375" s="318"/>
      <c r="L375" s="311"/>
      <c r="M375" s="312">
        <v>45204.41773148148</v>
      </c>
      <c r="N375" s="313">
        <v>45205.54514997685</v>
      </c>
      <c r="O375" s="314"/>
      <c r="P375" s="314"/>
      <c r="Q375" s="315"/>
      <c r="R375" s="316">
        <v>0.22708333333503106</v>
      </c>
      <c r="S375" s="317">
        <f>SUM(S376:S382)</f>
        <v>633.5833333</v>
      </c>
      <c r="T375" s="317">
        <f>AVERAGE(T376:T382)</f>
        <v>113.5714286</v>
      </c>
      <c r="U375" s="317"/>
    </row>
    <row r="376" ht="20.25" hidden="1" customHeight="1" outlineLevel="1">
      <c r="A376" s="216" t="str">
        <f>IFERROR(__xludf.DUMMYFUNCTION("ARRAYFORMULA(IFERROR(VLOOKUP(REGEXEXTRACT(B376, ""-(\w+)-""), {Data_Validation!$F$16:$F$29, Data_Validation!$E$16:$E$29}, 2, FALSE), """"))
"),"TheMVP")</f>
        <v>TheMVP</v>
      </c>
      <c r="B376" s="265" t="s">
        <v>1970</v>
      </c>
      <c r="D376" s="265" t="s">
        <v>25</v>
      </c>
      <c r="E376" s="265" t="s">
        <v>26</v>
      </c>
      <c r="F376" s="265" t="s">
        <v>22</v>
      </c>
      <c r="G376" s="265" t="s">
        <v>1971</v>
      </c>
      <c r="H376" s="320">
        <v>45203.686702743056</v>
      </c>
      <c r="I376" s="309">
        <v>1.0</v>
      </c>
      <c r="K376" s="318"/>
      <c r="L376" s="311"/>
      <c r="M376" s="312">
        <v>45204.41773148148</v>
      </c>
      <c r="N376" s="313">
        <v>45204.452573194445</v>
      </c>
      <c r="O376" s="314"/>
      <c r="P376" s="314"/>
      <c r="Q376" s="319" t="s">
        <v>31</v>
      </c>
      <c r="R376" s="316">
        <v>0.03472222222262644</v>
      </c>
      <c r="S376" s="317">
        <f t="shared" ref="S376:S382" si="81">T376*24*R376</f>
        <v>104.1666667</v>
      </c>
      <c r="T376" s="317">
        <f>VLOOKUP(F376, Data_Validation!$D$2:$G$15, 4, FALSE)</f>
        <v>125</v>
      </c>
      <c r="U376" s="317"/>
    </row>
    <row r="377" ht="20.25" hidden="1" customHeight="1" outlineLevel="1">
      <c r="A377" s="216" t="str">
        <f>IFERROR(__xludf.DUMMYFUNCTION("ARRAYFORMULA(IFERROR(VLOOKUP(REGEXEXTRACT(B377, ""-(\w+)-""), {Data_Validation!$F$16:$F$29, Data_Validation!$E$16:$E$29}, 2, FALSE), """"))
"),"TheMVP")</f>
        <v>TheMVP</v>
      </c>
      <c r="B377" s="265" t="s">
        <v>1972</v>
      </c>
      <c r="D377" s="265" t="s">
        <v>33</v>
      </c>
      <c r="E377" s="265" t="s">
        <v>26</v>
      </c>
      <c r="F377" s="265" t="s">
        <v>41</v>
      </c>
      <c r="H377" s="320">
        <v>45204.0</v>
      </c>
      <c r="I377" s="309">
        <v>1.0</v>
      </c>
      <c r="K377" s="318"/>
      <c r="L377" s="311"/>
      <c r="M377" s="312">
        <v>45204.557204537035</v>
      </c>
      <c r="N377" s="313">
        <v>45204.55919587963</v>
      </c>
      <c r="O377" s="314"/>
      <c r="P377" s="314"/>
      <c r="Q377" s="319" t="s">
        <v>31</v>
      </c>
      <c r="R377" s="316">
        <v>0.0013888888897781726</v>
      </c>
      <c r="S377" s="317">
        <f t="shared" si="81"/>
        <v>3.833333336</v>
      </c>
      <c r="T377" s="317">
        <f>VLOOKUP(F377, Data_Validation!$D$2:$G$15, 4, FALSE)</f>
        <v>115</v>
      </c>
      <c r="U377" s="317"/>
    </row>
    <row r="378" ht="20.25" hidden="1" customHeight="1" outlineLevel="1">
      <c r="A378" s="216" t="str">
        <f>IFERROR(__xludf.DUMMYFUNCTION("ARRAYFORMULA(IFERROR(VLOOKUP(REGEXEXTRACT(B378, ""-(\w+)-""), {Data_Validation!$F$16:$F$29, Data_Validation!$E$16:$E$29}, 2, FALSE), """"))
"),"TheMVP")</f>
        <v>TheMVP</v>
      </c>
      <c r="B378" s="265" t="s">
        <v>1973</v>
      </c>
      <c r="D378" s="265" t="s">
        <v>121</v>
      </c>
      <c r="E378" s="265" t="s">
        <v>26</v>
      </c>
      <c r="F378" s="265" t="s">
        <v>41</v>
      </c>
      <c r="H378" s="320">
        <v>45204.0</v>
      </c>
      <c r="I378" s="309">
        <v>1.0</v>
      </c>
      <c r="K378" s="318"/>
      <c r="L378" s="311"/>
      <c r="M378" s="312">
        <v>45204.5592314699</v>
      </c>
      <c r="N378" s="313">
        <v>45204.56866390046</v>
      </c>
      <c r="O378" s="314"/>
      <c r="P378" s="314"/>
      <c r="Q378" s="319" t="s">
        <v>31</v>
      </c>
      <c r="R378" s="316">
        <v>0.009027777778101154</v>
      </c>
      <c r="S378" s="317">
        <f t="shared" si="81"/>
        <v>24.91666667</v>
      </c>
      <c r="T378" s="317">
        <f>VLOOKUP(F378, Data_Validation!$D$2:$G$15, 4, FALSE)</f>
        <v>115</v>
      </c>
      <c r="U378" s="317"/>
    </row>
    <row r="379" ht="20.25" hidden="1" customHeight="1" outlineLevel="1">
      <c r="A379" s="216" t="str">
        <f>IFERROR(__xludf.DUMMYFUNCTION("ARRAYFORMULA(IFERROR(VLOOKUP(REGEXEXTRACT(B379, ""-(\w+)-""), {Data_Validation!$F$16:$F$29, Data_Validation!$E$16:$E$29}, 2, FALSE), """"))
"),"TheMVP")</f>
        <v>TheMVP</v>
      </c>
      <c r="B379" s="265" t="s">
        <v>1974</v>
      </c>
      <c r="D379" s="265" t="s">
        <v>38</v>
      </c>
      <c r="E379" s="265" t="s">
        <v>26</v>
      </c>
      <c r="F379" s="265" t="s">
        <v>22</v>
      </c>
      <c r="H379" s="320">
        <v>45204.0</v>
      </c>
      <c r="I379" s="309">
        <v>1.0</v>
      </c>
      <c r="K379" s="318"/>
      <c r="L379" s="311"/>
      <c r="M379" s="312"/>
      <c r="N379" s="313"/>
      <c r="O379" s="314"/>
      <c r="P379" s="314"/>
      <c r="Q379" s="315"/>
      <c r="R379" s="316"/>
      <c r="S379" s="317">
        <f t="shared" si="81"/>
        <v>0</v>
      </c>
      <c r="T379" s="317">
        <f>VLOOKUP(F379, Data_Validation!$D$2:$G$15, 4, FALSE)</f>
        <v>125</v>
      </c>
      <c r="U379" s="317"/>
    </row>
    <row r="380" ht="20.25" hidden="1" customHeight="1" outlineLevel="1">
      <c r="A380" s="216" t="str">
        <f>IFERROR(__xludf.DUMMYFUNCTION("ARRAYFORMULA(IFERROR(VLOOKUP(REGEXEXTRACT(B380, ""-(\w+)-""), {Data_Validation!$F$16:$F$29, Data_Validation!$E$16:$E$29}, 2, FALSE), """"))
"),"TheMVP")</f>
        <v>TheMVP</v>
      </c>
      <c r="B380" s="265" t="s">
        <v>1975</v>
      </c>
      <c r="D380" s="265" t="s">
        <v>40</v>
      </c>
      <c r="E380" s="265" t="s">
        <v>26</v>
      </c>
      <c r="F380" s="265" t="s">
        <v>41</v>
      </c>
      <c r="H380" s="320">
        <v>45204.0</v>
      </c>
      <c r="I380" s="309">
        <v>1.0</v>
      </c>
      <c r="K380" s="318"/>
      <c r="L380" s="311"/>
      <c r="M380" s="312">
        <v>45204.56868866898</v>
      </c>
      <c r="N380" s="313">
        <v>45204.81852800926</v>
      </c>
      <c r="O380" s="314" t="s">
        <v>1976</v>
      </c>
      <c r="P380" s="314" t="s">
        <v>1977</v>
      </c>
      <c r="Q380" s="319" t="s">
        <v>31</v>
      </c>
      <c r="R380" s="316">
        <v>0.1569444444430701</v>
      </c>
      <c r="S380" s="317">
        <f t="shared" si="81"/>
        <v>433.1666667</v>
      </c>
      <c r="T380" s="317">
        <f>VLOOKUP(F380, Data_Validation!$D$2:$G$15, 4, FALSE)</f>
        <v>115</v>
      </c>
      <c r="U380" s="317"/>
    </row>
    <row r="381" ht="20.25" hidden="1" customHeight="1" outlineLevel="1">
      <c r="A381" s="216" t="str">
        <f>IFERROR(__xludf.DUMMYFUNCTION("ARRAYFORMULA(IFERROR(VLOOKUP(REGEXEXTRACT(B381, ""-(\w+)-""), {Data_Validation!$F$16:$F$29, Data_Validation!$E$16:$E$29}, 2, FALSE), """"))
"),"TheMVP")</f>
        <v>TheMVP</v>
      </c>
      <c r="B381" s="265" t="s">
        <v>1978</v>
      </c>
      <c r="D381" s="265" t="s">
        <v>45</v>
      </c>
      <c r="E381" s="265" t="s">
        <v>26</v>
      </c>
      <c r="F381" s="265" t="s">
        <v>41</v>
      </c>
      <c r="H381" s="320">
        <v>45204.0</v>
      </c>
      <c r="I381" s="309">
        <v>1.0</v>
      </c>
      <c r="K381" s="318"/>
      <c r="L381" s="311"/>
      <c r="M381" s="312">
        <v>45205.46406815972</v>
      </c>
      <c r="N381" s="313">
        <v>45205.54514997685</v>
      </c>
      <c r="O381" s="314" t="s">
        <v>1979</v>
      </c>
      <c r="P381" s="314" t="s">
        <v>1980</v>
      </c>
      <c r="Q381" s="319" t="s">
        <v>31</v>
      </c>
      <c r="R381" s="316">
        <v>0.022916666664968943</v>
      </c>
      <c r="S381" s="317">
        <f t="shared" si="81"/>
        <v>63.25</v>
      </c>
      <c r="T381" s="317">
        <f>VLOOKUP(F381, Data_Validation!$D$2:$G$15, 4, FALSE)</f>
        <v>115</v>
      </c>
      <c r="U381" s="317"/>
    </row>
    <row r="382" ht="20.25" hidden="1" customHeight="1" outlineLevel="1">
      <c r="A382" s="216" t="str">
        <f>IFERROR(__xludf.DUMMYFUNCTION("ARRAYFORMULA(IFERROR(VLOOKUP(REGEXEXTRACT(B382, ""-(\w+)-""), {Data_Validation!$F$16:$F$29, Data_Validation!$E$16:$E$29}, 2, FALSE), """"))
"),"TheMVP")</f>
        <v>TheMVP</v>
      </c>
      <c r="B382" s="265" t="s">
        <v>1981</v>
      </c>
      <c r="D382" s="265" t="s">
        <v>47</v>
      </c>
      <c r="E382" s="265" t="s">
        <v>26</v>
      </c>
      <c r="F382" s="265" t="s">
        <v>48</v>
      </c>
      <c r="H382" s="320">
        <v>45204.0</v>
      </c>
      <c r="I382" s="309">
        <v>1.0</v>
      </c>
      <c r="K382" s="318"/>
      <c r="L382" s="311"/>
      <c r="M382" s="312">
        <v>45204.901291180555</v>
      </c>
      <c r="N382" s="313">
        <v>45204.90376832176</v>
      </c>
      <c r="O382" s="314"/>
      <c r="P382" s="314"/>
      <c r="Q382" s="319" t="s">
        <v>31</v>
      </c>
      <c r="R382" s="316">
        <v>0.0020833333328482695</v>
      </c>
      <c r="S382" s="317">
        <f t="shared" si="81"/>
        <v>4.249999999</v>
      </c>
      <c r="T382" s="317">
        <f>VLOOKUP(F382, Data_Validation!$D$2:$G$15, 4, FALSE)</f>
        <v>85</v>
      </c>
      <c r="U382" s="317"/>
    </row>
    <row r="383" ht="20.25" customHeight="1" collapsed="1">
      <c r="A383" s="216" t="str">
        <f>IFERROR(__xludf.DUMMYFUNCTION("ARRAYFORMULA(IFERROR(VLOOKUP(REGEXEXTRACT(B383, ""-(\w+)-""), {Data_Validation!$F$16:$F$29, Data_Validation!$E$16:$E$29}, 2, FALSE), """"))
"),"TheMVP")</f>
        <v>TheMVP</v>
      </c>
      <c r="B383" s="265" t="s">
        <v>1739</v>
      </c>
      <c r="C383" s="265" t="s">
        <v>1740</v>
      </c>
      <c r="E383" s="265" t="s">
        <v>984</v>
      </c>
      <c r="F383" s="265" t="s">
        <v>48</v>
      </c>
      <c r="G383" s="265" t="s">
        <v>79</v>
      </c>
      <c r="H383" s="307">
        <v>45202.4866893287</v>
      </c>
      <c r="I383" s="308"/>
      <c r="J383" s="309">
        <v>1.0</v>
      </c>
      <c r="K383" s="318"/>
      <c r="L383" s="311"/>
      <c r="M383" s="312">
        <v>45203.467741851855</v>
      </c>
      <c r="N383" s="313">
        <v>45205.53935883102</v>
      </c>
      <c r="O383" s="314"/>
      <c r="P383" s="314"/>
      <c r="Q383" s="315"/>
      <c r="R383" s="316">
        <v>0.0640009027774795</v>
      </c>
      <c r="S383" s="339">
        <v>192.0027083324385</v>
      </c>
      <c r="T383" s="339">
        <v>125.0</v>
      </c>
      <c r="U383" s="339"/>
    </row>
    <row r="384" ht="20.25" hidden="1" customHeight="1" outlineLevel="1">
      <c r="A384" s="216" t="str">
        <f>IFERROR(__xludf.DUMMYFUNCTION("ARRAYFORMULA(IFERROR(VLOOKUP(REGEXEXTRACT(B384, ""-(\w+)-""), {Data_Validation!$F$16:$F$29, Data_Validation!$E$16:$E$29}, 2, FALSE), """"))
"),"TheMVP")</f>
        <v>TheMVP</v>
      </c>
      <c r="B384" s="265" t="s">
        <v>1741</v>
      </c>
      <c r="D384" s="265" t="s">
        <v>1982</v>
      </c>
      <c r="E384" s="265" t="s">
        <v>26</v>
      </c>
      <c r="F384" s="265" t="s">
        <v>22</v>
      </c>
      <c r="H384" s="307">
        <v>45202.0</v>
      </c>
      <c r="K384" s="318"/>
      <c r="L384" s="311"/>
      <c r="M384" s="312">
        <v>45202.50673983796</v>
      </c>
      <c r="N384" s="313">
        <v>45202.57074074074</v>
      </c>
      <c r="O384" s="314"/>
      <c r="P384" s="314"/>
      <c r="Q384" s="319" t="s">
        <v>31</v>
      </c>
      <c r="R384" s="316">
        <f>N384-M384</f>
        <v>0.06400090278</v>
      </c>
      <c r="S384" s="317">
        <f>T384*24*R384</f>
        <v>192.0027083</v>
      </c>
      <c r="T384" s="317">
        <f>VLOOKUP(F384, Data_Validation!$D$2:$G$15, 4, FALSE)</f>
        <v>125</v>
      </c>
      <c r="U384" s="317"/>
    </row>
    <row r="385" ht="20.25" customHeight="1" collapsed="1">
      <c r="A385" s="216" t="str">
        <f>IFERROR(__xludf.DUMMYFUNCTION("ARRAYFORMULA(IFERROR(VLOOKUP(REGEXEXTRACT(B385, ""-(\w+)-""), {Data_Validation!$F$16:$F$29, Data_Validation!$E$16:$E$29}, 2, FALSE), """"))
"),"Aretius Advisory")</f>
        <v>Aretius Advisory</v>
      </c>
      <c r="B385" s="265" t="s">
        <v>1983</v>
      </c>
      <c r="C385" s="265" t="s">
        <v>1050</v>
      </c>
      <c r="E385" s="265" t="s">
        <v>1051</v>
      </c>
      <c r="F385" s="265" t="s">
        <v>22</v>
      </c>
      <c r="G385" s="265" t="s">
        <v>79</v>
      </c>
      <c r="H385" s="307">
        <v>45206.0</v>
      </c>
      <c r="I385" s="308"/>
      <c r="J385" s="309">
        <v>6.0</v>
      </c>
      <c r="K385" s="318"/>
      <c r="L385" s="311"/>
      <c r="M385" s="312">
        <v>45175.43802083333</v>
      </c>
      <c r="N385" s="313">
        <v>45206.503874201386</v>
      </c>
      <c r="O385" s="314"/>
      <c r="P385" s="314"/>
      <c r="Q385" s="315"/>
      <c r="R385" s="316">
        <f>sum(R386:R390)</f>
        <v>0.6862384259</v>
      </c>
      <c r="S385" s="317">
        <f>SUM(S386:S391)</f>
        <v>1910.048611</v>
      </c>
      <c r="T385" s="317">
        <f>AVERAGE(T386:T391)</f>
        <v>116.6666667</v>
      </c>
      <c r="U385" s="317"/>
    </row>
    <row r="386" ht="20.25" hidden="1" customHeight="1" outlineLevel="1">
      <c r="A386" s="216" t="str">
        <f>IFERROR(__xludf.DUMMYFUNCTION("ARRAYFORMULA(IFERROR(VLOOKUP(REGEXEXTRACT(B386, ""-(\w+)-""), {Data_Validation!$F$16:$F$29, Data_Validation!$E$16:$E$29}, 2, FALSE), """"))
"),"Aretius Advisory")</f>
        <v>Aretius Advisory</v>
      </c>
      <c r="B386" s="265" t="s">
        <v>1984</v>
      </c>
      <c r="D386" s="265" t="s">
        <v>1008</v>
      </c>
      <c r="E386" s="265" t="s">
        <v>26</v>
      </c>
      <c r="F386" s="265" t="s">
        <v>22</v>
      </c>
      <c r="H386" s="307">
        <v>45175.0</v>
      </c>
      <c r="K386" s="318"/>
      <c r="L386" s="311"/>
      <c r="M386" s="312">
        <v>45175.43802083333</v>
      </c>
      <c r="N386" s="313">
        <v>45175.50481481482</v>
      </c>
      <c r="O386" s="314"/>
      <c r="P386" s="314"/>
      <c r="Q386" s="319" t="s">
        <v>31</v>
      </c>
      <c r="R386" s="316">
        <v>0.06679398148116888</v>
      </c>
      <c r="S386" s="317">
        <f t="shared" ref="S386:S391" si="82">T386*24*R386</f>
        <v>200.3819444</v>
      </c>
      <c r="T386" s="317">
        <f>VLOOKUP(F386, Data_Validation!$D$2:$G$15, 4, FALSE)</f>
        <v>125</v>
      </c>
      <c r="U386" s="317"/>
    </row>
    <row r="387" ht="20.25" hidden="1" customHeight="1" outlineLevel="1">
      <c r="A387" s="216" t="str">
        <f>IFERROR(__xludf.DUMMYFUNCTION("ARRAYFORMULA(IFERROR(VLOOKUP(REGEXEXTRACT(B387, ""-(\w+)-""), {Data_Validation!$F$16:$F$29, Data_Validation!$E$16:$E$29}, 2, FALSE), """"))
"),"Aretius Advisory")</f>
        <v>Aretius Advisory</v>
      </c>
      <c r="B387" s="265" t="s">
        <v>1985</v>
      </c>
      <c r="D387" s="265" t="s">
        <v>1053</v>
      </c>
      <c r="E387" s="265" t="s">
        <v>26</v>
      </c>
      <c r="F387" s="265" t="s">
        <v>41</v>
      </c>
      <c r="H387" s="307">
        <v>45176.0</v>
      </c>
      <c r="I387" s="309">
        <v>1.0</v>
      </c>
      <c r="K387" s="318"/>
      <c r="L387" s="311"/>
      <c r="M387" s="312">
        <v>45177.49875622685</v>
      </c>
      <c r="N387" s="313">
        <v>45183.44424386574</v>
      </c>
      <c r="O387" s="314" t="s">
        <v>1986</v>
      </c>
      <c r="P387" s="314" t="s">
        <v>1987</v>
      </c>
      <c r="Q387" s="319" t="s">
        <v>31</v>
      </c>
      <c r="R387" s="316">
        <v>0.5</v>
      </c>
      <c r="S387" s="317">
        <f t="shared" si="82"/>
        <v>1380</v>
      </c>
      <c r="T387" s="317">
        <f>VLOOKUP(F387, Data_Validation!$D$2:$G$15, 4, FALSE)</f>
        <v>115</v>
      </c>
      <c r="U387" s="317"/>
    </row>
    <row r="388" ht="20.25" hidden="1" customHeight="1" outlineLevel="1">
      <c r="A388" s="216" t="str">
        <f>IFERROR(__xludf.DUMMYFUNCTION("ARRAYFORMULA(IFERROR(VLOOKUP(REGEXEXTRACT(B388, ""-(\w+)-""), {Data_Validation!$F$16:$F$29, Data_Validation!$E$16:$E$29}, 2, FALSE), """"))
"),"Aretius Advisory")</f>
        <v>Aretius Advisory</v>
      </c>
      <c r="B388" s="265" t="s">
        <v>1988</v>
      </c>
      <c r="D388" s="265" t="s">
        <v>1989</v>
      </c>
      <c r="E388" s="265" t="s">
        <v>26</v>
      </c>
      <c r="F388" s="265" t="s">
        <v>41</v>
      </c>
      <c r="H388" s="307">
        <v>45177.0</v>
      </c>
      <c r="I388" s="309">
        <v>1.0</v>
      </c>
      <c r="K388" s="318"/>
      <c r="L388" s="311"/>
      <c r="M388" s="312">
        <v>45183.467125243056</v>
      </c>
      <c r="N388" s="313">
        <v>45184.47353059028</v>
      </c>
      <c r="O388" s="314" t="s">
        <v>1990</v>
      </c>
      <c r="P388" s="314" t="s">
        <v>1991</v>
      </c>
      <c r="Q388" s="319" t="s">
        <v>31</v>
      </c>
      <c r="R388" s="316">
        <v>0.07222222222117125</v>
      </c>
      <c r="S388" s="317">
        <f t="shared" si="82"/>
        <v>199.3333333</v>
      </c>
      <c r="T388" s="317">
        <f>VLOOKUP(F388, Data_Validation!$D$2:$G$15, 4, FALSE)</f>
        <v>115</v>
      </c>
      <c r="U388" s="317"/>
    </row>
    <row r="389" ht="20.25" hidden="1" customHeight="1" outlineLevel="1">
      <c r="A389" s="216" t="str">
        <f>IFERROR(__xludf.DUMMYFUNCTION("ARRAYFORMULA(IFERROR(VLOOKUP(REGEXEXTRACT(B389, ""-(\w+)-""), {Data_Validation!$F$16:$F$29, Data_Validation!$E$16:$E$29}, 2, FALSE), """"))
"),"Aretius Advisory")</f>
        <v>Aretius Advisory</v>
      </c>
      <c r="B389" s="265" t="s">
        <v>1992</v>
      </c>
      <c r="D389" s="265" t="s">
        <v>1993</v>
      </c>
      <c r="E389" s="265" t="s">
        <v>26</v>
      </c>
      <c r="F389" s="265" t="s">
        <v>41</v>
      </c>
      <c r="H389" s="307">
        <v>45177.0</v>
      </c>
      <c r="I389" s="309">
        <v>1.0</v>
      </c>
      <c r="K389" s="318"/>
      <c r="L389" s="311"/>
      <c r="M389" s="312">
        <v>45183.51564597222</v>
      </c>
      <c r="N389" s="313">
        <v>45184.473552511576</v>
      </c>
      <c r="O389" s="314" t="s">
        <v>1994</v>
      </c>
      <c r="P389" s="314" t="s">
        <v>1995</v>
      </c>
      <c r="Q389" s="319" t="s">
        <v>31</v>
      </c>
      <c r="R389" s="316">
        <v>0.02361111111167702</v>
      </c>
      <c r="S389" s="317">
        <f t="shared" si="82"/>
        <v>65.16666667</v>
      </c>
      <c r="T389" s="317">
        <f>VLOOKUP(F389, Data_Validation!$D$2:$G$15, 4, FALSE)</f>
        <v>115</v>
      </c>
      <c r="U389" s="317"/>
    </row>
    <row r="390" ht="20.25" hidden="1" customHeight="1" outlineLevel="1">
      <c r="A390" s="216" t="str">
        <f>IFERROR(__xludf.DUMMYFUNCTION("ARRAYFORMULA(IFERROR(VLOOKUP(REGEXEXTRACT(B390, ""-(\w+)-""), {Data_Validation!$F$16:$F$29, Data_Validation!$E$16:$E$29}, 2, FALSE), """"))
"),"Aretius Advisory")</f>
        <v>Aretius Advisory</v>
      </c>
      <c r="B390" s="265" t="s">
        <v>1996</v>
      </c>
      <c r="D390" s="265" t="s">
        <v>1997</v>
      </c>
      <c r="E390" s="265" t="s">
        <v>26</v>
      </c>
      <c r="F390" s="265" t="s">
        <v>41</v>
      </c>
      <c r="H390" s="307">
        <v>45177.523499166666</v>
      </c>
      <c r="I390" s="309">
        <v>1.0</v>
      </c>
      <c r="K390" s="318"/>
      <c r="L390" s="311"/>
      <c r="M390" s="312">
        <v>45183.51566508102</v>
      </c>
      <c r="N390" s="313">
        <v>45184.47356885417</v>
      </c>
      <c r="O390" s="314" t="s">
        <v>1998</v>
      </c>
      <c r="P390" s="314" t="s">
        <v>1999</v>
      </c>
      <c r="Q390" s="319" t="s">
        <v>31</v>
      </c>
      <c r="R390" s="316">
        <v>0.02361111111167702</v>
      </c>
      <c r="S390" s="317">
        <f t="shared" si="82"/>
        <v>65.16666667</v>
      </c>
      <c r="T390" s="317">
        <f>VLOOKUP(F390, Data_Validation!$D$2:$G$15, 4, FALSE)</f>
        <v>115</v>
      </c>
      <c r="U390" s="317"/>
    </row>
    <row r="391" ht="20.25" hidden="1" customHeight="1" outlineLevel="1">
      <c r="A391" s="216" t="str">
        <f>IFERROR(__xludf.DUMMYFUNCTION("ARRAYFORMULA(IFERROR(VLOOKUP(REGEXEXTRACT(B391, ""-(\w+)-""), {Data_Validation!$F$16:$F$29, Data_Validation!$E$16:$E$29}, 2, FALSE), """"))
"),"Aretius Advisory")</f>
        <v>Aretius Advisory</v>
      </c>
      <c r="B391" s="265" t="s">
        <v>2000</v>
      </c>
      <c r="D391" s="265" t="s">
        <v>1008</v>
      </c>
      <c r="E391" s="265" t="s">
        <v>26</v>
      </c>
      <c r="F391" s="265" t="s">
        <v>41</v>
      </c>
      <c r="H391" s="307">
        <v>45183.0</v>
      </c>
      <c r="I391" s="309">
        <v>1.0</v>
      </c>
      <c r="K391" s="318"/>
      <c r="L391" s="311"/>
      <c r="M391" s="312"/>
      <c r="N391" s="313"/>
      <c r="O391" s="314"/>
      <c r="P391" s="314"/>
      <c r="Q391" s="315"/>
      <c r="R391" s="316"/>
      <c r="S391" s="317">
        <f t="shared" si="82"/>
        <v>0</v>
      </c>
      <c r="T391" s="317">
        <f>VLOOKUP(F391, Data_Validation!$D$2:$G$15, 4, FALSE)</f>
        <v>115</v>
      </c>
      <c r="U391" s="317"/>
    </row>
    <row r="392" ht="20.25" customHeight="1" collapsed="1">
      <c r="A392" s="216" t="str">
        <f>IFERROR(__xludf.DUMMYFUNCTION("ARRAYFORMULA(IFERROR(VLOOKUP(REGEXEXTRACT(B392, ""-(\w+)-""), {Data_Validation!$F$16:$F$29, Data_Validation!$E$16:$E$29}, 2, FALSE), """"))
"),"TheMVP")</f>
        <v>TheMVP</v>
      </c>
      <c r="B392" s="265" t="s">
        <v>2001</v>
      </c>
      <c r="C392" s="265" t="s">
        <v>2002</v>
      </c>
      <c r="E392" s="265" t="s">
        <v>21</v>
      </c>
      <c r="F392" s="265" t="s">
        <v>41</v>
      </c>
      <c r="G392" s="265" t="s">
        <v>63</v>
      </c>
      <c r="H392" s="320">
        <v>45207.0</v>
      </c>
      <c r="I392" s="308"/>
      <c r="J392" s="309">
        <v>7.0</v>
      </c>
      <c r="L392" s="311"/>
      <c r="M392" s="313">
        <v>45194.45359503472</v>
      </c>
      <c r="N392" s="313">
        <v>45207.836106076385</v>
      </c>
      <c r="O392" s="314"/>
      <c r="P392" s="314"/>
      <c r="Q392" s="315"/>
      <c r="R392" s="316">
        <v>0.3937499999992724</v>
      </c>
      <c r="S392" s="317">
        <f>SUM(S393:S399)</f>
        <v>900.9583333</v>
      </c>
      <c r="T392" s="317">
        <f>AVERAGE(T393:T399)</f>
        <v>99.64285714</v>
      </c>
      <c r="U392" s="317"/>
    </row>
    <row r="393" ht="20.25" hidden="1" customHeight="1" outlineLevel="1">
      <c r="A393" s="216" t="str">
        <f>IFERROR(__xludf.DUMMYFUNCTION("ARRAYFORMULA(IFERROR(VLOOKUP(REGEXEXTRACT(B393, ""-(\w+)-""), {Data_Validation!$F$16:$F$29, Data_Validation!$E$16:$E$29}, 2, FALSE), """"))
"),"TheMVP")</f>
        <v>TheMVP</v>
      </c>
      <c r="B393" s="265" t="s">
        <v>2003</v>
      </c>
      <c r="D393" s="265" t="s">
        <v>25</v>
      </c>
      <c r="E393" s="265" t="s">
        <v>26</v>
      </c>
      <c r="F393" s="265" t="s">
        <v>22</v>
      </c>
      <c r="G393" s="265" t="s">
        <v>2002</v>
      </c>
      <c r="H393" s="320">
        <v>45202.0</v>
      </c>
      <c r="I393" s="309">
        <v>1.0</v>
      </c>
      <c r="L393" s="311"/>
      <c r="M393" s="313">
        <v>45194.45359503472</v>
      </c>
      <c r="N393" s="313">
        <v>45205.741198958334</v>
      </c>
      <c r="O393" s="314" t="s">
        <v>2004</v>
      </c>
      <c r="P393" s="314" t="s">
        <v>2005</v>
      </c>
      <c r="Q393" s="319" t="s">
        <v>31</v>
      </c>
      <c r="R393" s="316">
        <v>0.010416666667879326</v>
      </c>
      <c r="S393" s="317">
        <f t="shared" ref="S393:S399" si="83">T393*24*R393</f>
        <v>31.25</v>
      </c>
      <c r="T393" s="317">
        <f>VLOOKUP(F393, Data_Validation!$D$2:$G$15, 4, FALSE)</f>
        <v>125</v>
      </c>
      <c r="U393" s="317"/>
    </row>
    <row r="394" ht="20.25" hidden="1" customHeight="1" outlineLevel="1">
      <c r="A394" s="216" t="str">
        <f>IFERROR(__xludf.DUMMYFUNCTION("ARRAYFORMULA(IFERROR(VLOOKUP(REGEXEXTRACT(B394, ""-(\w+)-""), {Data_Validation!$F$16:$F$29, Data_Validation!$E$16:$E$29}, 2, FALSE), """"))
"),"TheMVP")</f>
        <v>TheMVP</v>
      </c>
      <c r="B394" s="265" t="s">
        <v>2006</v>
      </c>
      <c r="D394" s="265" t="s">
        <v>33</v>
      </c>
      <c r="E394" s="265" t="s">
        <v>26</v>
      </c>
      <c r="F394" s="265" t="s">
        <v>22</v>
      </c>
      <c r="H394" s="320">
        <v>45204.0</v>
      </c>
      <c r="I394" s="309">
        <v>1.0</v>
      </c>
      <c r="L394" s="311"/>
      <c r="M394" s="313"/>
      <c r="N394" s="313"/>
      <c r="O394" s="314"/>
      <c r="P394" s="314"/>
      <c r="Q394" s="315"/>
      <c r="R394" s="316">
        <v>0.02708333333430346</v>
      </c>
      <c r="S394" s="317">
        <f t="shared" si="83"/>
        <v>81.25</v>
      </c>
      <c r="T394" s="317">
        <f>VLOOKUP(F394, Data_Validation!$D$2:$G$15, 4, FALSE)</f>
        <v>125</v>
      </c>
      <c r="U394" s="317"/>
    </row>
    <row r="395" ht="20.25" hidden="1" customHeight="1" outlineLevel="1">
      <c r="A395" s="216" t="str">
        <f>IFERROR(__xludf.DUMMYFUNCTION("ARRAYFORMULA(IFERROR(VLOOKUP(REGEXEXTRACT(B395, ""-(\w+)-""), {Data_Validation!$F$16:$F$29, Data_Validation!$E$16:$E$29}, 2, FALSE), """"))
"),"TheMVP")</f>
        <v>TheMVP</v>
      </c>
      <c r="B395" s="265" t="s">
        <v>2007</v>
      </c>
      <c r="D395" s="265" t="s">
        <v>121</v>
      </c>
      <c r="E395" s="265" t="s">
        <v>26</v>
      </c>
      <c r="F395" s="265" t="s">
        <v>27</v>
      </c>
      <c r="H395" s="320">
        <v>45203.0</v>
      </c>
      <c r="I395" s="309">
        <v>1.0</v>
      </c>
      <c r="L395" s="311"/>
      <c r="M395" s="313">
        <v>45205.741325358795</v>
      </c>
      <c r="N395" s="313">
        <v>45205.79007756944</v>
      </c>
      <c r="O395" s="314"/>
      <c r="P395" s="314"/>
      <c r="Q395" s="319" t="s">
        <v>31</v>
      </c>
      <c r="R395" s="316">
        <v>0.04861111110949423</v>
      </c>
      <c r="S395" s="317">
        <f t="shared" si="83"/>
        <v>84.58333333</v>
      </c>
      <c r="T395" s="317">
        <f>VLOOKUP(F395, Data_Validation!$D$2:$G$15, 4, FALSE)</f>
        <v>72.5</v>
      </c>
      <c r="U395" s="317"/>
    </row>
    <row r="396" ht="20.25" hidden="1" customHeight="1" outlineLevel="1">
      <c r="A396" s="216" t="str">
        <f>IFERROR(__xludf.DUMMYFUNCTION("ARRAYFORMULA(IFERROR(VLOOKUP(REGEXEXTRACT(B396, ""-(\w+)-""), {Data_Validation!$F$16:$F$29, Data_Validation!$E$16:$E$29}, 2, FALSE), """"))
"),"TheMVP")</f>
        <v>TheMVP</v>
      </c>
      <c r="B396" s="265" t="s">
        <v>2008</v>
      </c>
      <c r="D396" s="265" t="s">
        <v>1626</v>
      </c>
      <c r="E396" s="265" t="s">
        <v>26</v>
      </c>
      <c r="F396" s="265" t="s">
        <v>41</v>
      </c>
      <c r="H396" s="320">
        <v>45203.0</v>
      </c>
      <c r="I396" s="309">
        <v>1.0</v>
      </c>
      <c r="L396" s="311"/>
      <c r="M396" s="313">
        <v>45206.50530092593</v>
      </c>
      <c r="N396" s="313">
        <v>45206.69418173611</v>
      </c>
      <c r="O396" s="314" t="s">
        <v>2009</v>
      </c>
      <c r="P396" s="314" t="s">
        <v>2010</v>
      </c>
      <c r="Q396" s="319" t="s">
        <v>31</v>
      </c>
      <c r="R396" s="316">
        <v>0.15902777777955635</v>
      </c>
      <c r="S396" s="317">
        <f t="shared" si="83"/>
        <v>438.9166667</v>
      </c>
      <c r="T396" s="317">
        <f>VLOOKUP(F396, Data_Validation!$D$2:$G$15, 4, FALSE)</f>
        <v>115</v>
      </c>
      <c r="U396" s="317"/>
    </row>
    <row r="397" ht="20.25" hidden="1" customHeight="1" outlineLevel="1">
      <c r="A397" s="216" t="str">
        <f>IFERROR(__xludf.DUMMYFUNCTION("ARRAYFORMULA(IFERROR(VLOOKUP(REGEXEXTRACT(B397, ""-(\w+)-""), {Data_Validation!$F$16:$F$29, Data_Validation!$E$16:$E$29}, 2, FALSE), """"))
"),"TheMVP")</f>
        <v>TheMVP</v>
      </c>
      <c r="B397" s="265" t="s">
        <v>2011</v>
      </c>
      <c r="D397" s="265" t="s">
        <v>40</v>
      </c>
      <c r="E397" s="265" t="s">
        <v>26</v>
      </c>
      <c r="F397" s="265" t="s">
        <v>27</v>
      </c>
      <c r="H397" s="320">
        <v>45204.0</v>
      </c>
      <c r="I397" s="309">
        <v>1.0</v>
      </c>
      <c r="L397" s="311"/>
      <c r="M397" s="313">
        <v>45206.683252372684</v>
      </c>
      <c r="N397" s="313">
        <v>45206.85223103009</v>
      </c>
      <c r="O397" s="314" t="s">
        <v>2012</v>
      </c>
      <c r="P397" s="314" t="s">
        <v>2013</v>
      </c>
      <c r="Q397" s="319" t="s">
        <v>31</v>
      </c>
      <c r="R397" s="316">
        <v>0.14236111110949423</v>
      </c>
      <c r="S397" s="317">
        <f t="shared" si="83"/>
        <v>247.7083333</v>
      </c>
      <c r="T397" s="317">
        <f>VLOOKUP(F397, Data_Validation!$D$2:$G$15, 4, FALSE)</f>
        <v>72.5</v>
      </c>
      <c r="U397" s="317"/>
    </row>
    <row r="398" ht="20.25" hidden="1" customHeight="1" outlineLevel="1">
      <c r="A398" s="216" t="str">
        <f>IFERROR(__xludf.DUMMYFUNCTION("ARRAYFORMULA(IFERROR(VLOOKUP(REGEXEXTRACT(B398, ""-(\w+)-""), {Data_Validation!$F$16:$F$29, Data_Validation!$E$16:$E$29}, 2, FALSE), """"))
"),"TheMVP")</f>
        <v>TheMVP</v>
      </c>
      <c r="B398" s="265" t="s">
        <v>2014</v>
      </c>
      <c r="D398" s="265" t="s">
        <v>45</v>
      </c>
      <c r="E398" s="265" t="s">
        <v>26</v>
      </c>
      <c r="F398" s="265" t="s">
        <v>41</v>
      </c>
      <c r="H398" s="320">
        <v>45204.0</v>
      </c>
      <c r="I398" s="309">
        <v>1.0</v>
      </c>
      <c r="L398" s="311"/>
      <c r="M398" s="313">
        <v>45206.70502270834</v>
      </c>
      <c r="N398" s="313">
        <v>45206.82624369213</v>
      </c>
      <c r="O398" s="314" t="s">
        <v>2015</v>
      </c>
      <c r="P398" s="314" t="s">
        <v>2016</v>
      </c>
      <c r="Q398" s="319" t="s">
        <v>31</v>
      </c>
      <c r="R398" s="316">
        <v>0.0062499999985448085</v>
      </c>
      <c r="S398" s="317">
        <f t="shared" si="83"/>
        <v>17.25</v>
      </c>
      <c r="T398" s="317">
        <f>VLOOKUP(F398, Data_Validation!$D$2:$G$15, 4, FALSE)</f>
        <v>115</v>
      </c>
      <c r="U398" s="317"/>
    </row>
    <row r="399" ht="20.25" hidden="1" customHeight="1" outlineLevel="1">
      <c r="A399" s="216" t="str">
        <f>IFERROR(__xludf.DUMMYFUNCTION("ARRAYFORMULA(IFERROR(VLOOKUP(REGEXEXTRACT(B399, ""-(\w+)-""), {Data_Validation!$F$16:$F$29, Data_Validation!$E$16:$E$29}, 2, FALSE), """"))
"),"TheMVP")</f>
        <v>TheMVP</v>
      </c>
      <c r="B399" s="265" t="s">
        <v>2017</v>
      </c>
      <c r="D399" s="265" t="s">
        <v>47</v>
      </c>
      <c r="E399" s="265" t="s">
        <v>26</v>
      </c>
      <c r="F399" s="265" t="s">
        <v>27</v>
      </c>
      <c r="H399" s="320">
        <v>45207.0</v>
      </c>
      <c r="I399" s="309">
        <v>1.0</v>
      </c>
      <c r="L399" s="311"/>
      <c r="M399" s="313">
        <v>45207.83589400463</v>
      </c>
      <c r="N399" s="313">
        <v>45207.836106076385</v>
      </c>
      <c r="O399" s="314"/>
      <c r="P399" s="314"/>
      <c r="Q399" s="319" t="s">
        <v>31</v>
      </c>
      <c r="R399" s="316">
        <v>0.0</v>
      </c>
      <c r="S399" s="317">
        <f t="shared" si="83"/>
        <v>0</v>
      </c>
      <c r="T399" s="317">
        <f>VLOOKUP(F399, Data_Validation!$D$2:$G$15, 4, FALSE)</f>
        <v>72.5</v>
      </c>
      <c r="U399" s="317"/>
    </row>
    <row r="400" ht="20.25" customHeight="1" collapsed="1">
      <c r="A400" s="216" t="str">
        <f>IFERROR(__xludf.DUMMYFUNCTION("ARRAYFORMULA(IFERROR(VLOOKUP(REGEXEXTRACT(B400, ""-(\w+)-""), {Data_Validation!$F$16:$F$29, Data_Validation!$E$16:$E$29}, 2, FALSE), """"))
"),"Nvidia")</f>
        <v>Nvidia</v>
      </c>
      <c r="B400" s="265" t="s">
        <v>527</v>
      </c>
      <c r="C400" s="265" t="s">
        <v>505</v>
      </c>
      <c r="D400" s="265"/>
      <c r="E400" s="265" t="s">
        <v>21</v>
      </c>
      <c r="F400" s="265" t="s">
        <v>41</v>
      </c>
      <c r="G400" s="265" t="s">
        <v>79</v>
      </c>
      <c r="H400" s="307">
        <v>45195.0</v>
      </c>
      <c r="I400" s="308"/>
      <c r="J400" s="309">
        <v>6.0</v>
      </c>
      <c r="L400" s="311"/>
      <c r="M400" s="313">
        <v>45195.32539993056</v>
      </c>
      <c r="N400" s="313">
        <v>45195.830181006946</v>
      </c>
      <c r="O400" s="314"/>
      <c r="P400" s="314"/>
      <c r="Q400" s="319"/>
      <c r="R400" s="316">
        <v>0.42085817129554925</v>
      </c>
      <c r="S400" s="317"/>
      <c r="T400" s="317"/>
      <c r="U400" s="317"/>
    </row>
    <row r="401" ht="20.25" hidden="1" customHeight="1" outlineLevel="1">
      <c r="A401" s="216" t="str">
        <f>IFERROR(__xludf.DUMMYFUNCTION("ARRAYFORMULA(IFERROR(VLOOKUP(REGEXEXTRACT(B401, ""-(\w+)-""), {Data_Validation!$F$16:$F$29, Data_Validation!$E$16:$E$29}, 2, FALSE), """"))
"),"Nvidia")</f>
        <v>Nvidia</v>
      </c>
      <c r="B401" s="265" t="s">
        <v>529</v>
      </c>
      <c r="D401" s="265" t="s">
        <v>25</v>
      </c>
      <c r="E401" s="265" t="s">
        <v>26</v>
      </c>
      <c r="F401" s="265" t="s">
        <v>22</v>
      </c>
      <c r="G401" s="265" t="s">
        <v>507</v>
      </c>
      <c r="H401" s="307">
        <v>45194.73787158565</v>
      </c>
      <c r="I401" s="309">
        <v>1.0</v>
      </c>
      <c r="L401" s="311"/>
      <c r="M401" s="313">
        <v>45195.32539993056</v>
      </c>
      <c r="N401" s="313">
        <v>45195.35708061342</v>
      </c>
      <c r="O401" s="314" t="s">
        <v>508</v>
      </c>
      <c r="P401" s="314" t="s">
        <v>509</v>
      </c>
      <c r="Q401" s="319" t="s">
        <v>31</v>
      </c>
      <c r="R401" s="316">
        <v>0.029861111110221827</v>
      </c>
      <c r="S401" s="317"/>
      <c r="T401" s="317"/>
      <c r="U401" s="317"/>
    </row>
    <row r="402" ht="20.25" hidden="1" customHeight="1" outlineLevel="1">
      <c r="A402" s="216" t="str">
        <f>IFERROR(__xludf.DUMMYFUNCTION("ARRAYFORMULA(IFERROR(VLOOKUP(REGEXEXTRACT(B402, ""-(\w+)-""), {Data_Validation!$F$16:$F$29, Data_Validation!$E$16:$E$29}, 2, FALSE), """"))
"),"Nvidia")</f>
        <v>Nvidia</v>
      </c>
      <c r="B402" s="265" t="s">
        <v>531</v>
      </c>
      <c r="D402" s="265" t="s">
        <v>112</v>
      </c>
      <c r="E402" s="265" t="s">
        <v>26</v>
      </c>
      <c r="F402" s="265" t="s">
        <v>22</v>
      </c>
      <c r="H402" s="307">
        <v>45194.0</v>
      </c>
      <c r="I402" s="309">
        <v>1.0</v>
      </c>
      <c r="L402" s="311"/>
      <c r="M402" s="313"/>
      <c r="N402" s="313"/>
      <c r="O402" s="314"/>
      <c r="P402" s="314"/>
      <c r="Q402" s="319"/>
      <c r="R402" s="316"/>
      <c r="S402" s="317"/>
      <c r="T402" s="317"/>
      <c r="U402" s="317"/>
    </row>
    <row r="403" ht="20.25" hidden="1" customHeight="1" outlineLevel="1">
      <c r="A403" s="216" t="str">
        <f>IFERROR(__xludf.DUMMYFUNCTION("ARRAYFORMULA(IFERROR(VLOOKUP(REGEXEXTRACT(B403, ""-(\w+)-""), {Data_Validation!$F$16:$F$29, Data_Validation!$E$16:$E$29}, 2, FALSE), """"))
"),"Nvidia")</f>
        <v>Nvidia</v>
      </c>
      <c r="B403" s="265" t="s">
        <v>1796</v>
      </c>
      <c r="D403" s="265" t="s">
        <v>38</v>
      </c>
      <c r="E403" s="265" t="s">
        <v>26</v>
      </c>
      <c r="F403" s="265" t="s">
        <v>22</v>
      </c>
      <c r="H403" s="307">
        <v>45194.73787158565</v>
      </c>
      <c r="I403" s="309">
        <v>1.0</v>
      </c>
      <c r="L403" s="311"/>
      <c r="M403" s="313">
        <v>45195.402719907404</v>
      </c>
      <c r="N403" s="313">
        <v>45195.40975673611</v>
      </c>
      <c r="O403" s="314"/>
      <c r="P403" s="314"/>
      <c r="Q403" s="319" t="s">
        <v>31</v>
      </c>
      <c r="R403" s="316">
        <v>0.006944444445252884</v>
      </c>
      <c r="S403" s="317"/>
      <c r="T403" s="317"/>
      <c r="U403" s="317"/>
    </row>
    <row r="404" ht="20.25" hidden="1" customHeight="1" outlineLevel="1">
      <c r="A404" s="216" t="str">
        <f>IFERROR(__xludf.DUMMYFUNCTION("ARRAYFORMULA(IFERROR(VLOOKUP(REGEXEXTRACT(B404, ""-(\w+)-""), {Data_Validation!$F$16:$F$29, Data_Validation!$E$16:$E$29}, 2, FALSE), """"))
"),"Nvidia")</f>
        <v>Nvidia</v>
      </c>
      <c r="B404" s="265" t="s">
        <v>532</v>
      </c>
      <c r="D404" s="265" t="s">
        <v>40</v>
      </c>
      <c r="E404" s="265" t="s">
        <v>26</v>
      </c>
      <c r="F404" s="265" t="s">
        <v>27</v>
      </c>
      <c r="H404" s="307">
        <v>45194.0</v>
      </c>
      <c r="I404" s="309">
        <v>1.0</v>
      </c>
      <c r="L404" s="311"/>
      <c r="M404" s="313">
        <v>45195.47182283565</v>
      </c>
      <c r="N404" s="313">
        <v>45195.830181006946</v>
      </c>
      <c r="O404" s="314" t="s">
        <v>513</v>
      </c>
      <c r="P404" s="314" t="s">
        <v>514</v>
      </c>
      <c r="Q404" s="319" t="s">
        <v>31</v>
      </c>
      <c r="R404" s="316">
        <v>0.35835817129554925</v>
      </c>
      <c r="S404" s="317"/>
      <c r="T404" s="317"/>
      <c r="U404" s="317"/>
    </row>
    <row r="405" ht="20.25" hidden="1" customHeight="1" outlineLevel="1">
      <c r="A405" s="216" t="str">
        <f>IFERROR(__xludf.DUMMYFUNCTION("ARRAYFORMULA(IFERROR(VLOOKUP(REGEXEXTRACT(B405, ""-(\w+)-""), {Data_Validation!$F$16:$F$29, Data_Validation!$E$16:$E$29}, 2, FALSE), """"))
"),"Nvidia")</f>
        <v>Nvidia</v>
      </c>
      <c r="B405" s="265" t="s">
        <v>534</v>
      </c>
      <c r="D405" s="265" t="s">
        <v>45</v>
      </c>
      <c r="E405" s="265" t="s">
        <v>26</v>
      </c>
      <c r="F405" s="265" t="s">
        <v>41</v>
      </c>
      <c r="H405" s="307">
        <v>45195.0</v>
      </c>
      <c r="I405" s="309">
        <v>1.0</v>
      </c>
      <c r="L405" s="311"/>
      <c r="M405" s="313">
        <v>45195.60477979167</v>
      </c>
      <c r="N405" s="313">
        <v>45195.630935532405</v>
      </c>
      <c r="O405" s="314"/>
      <c r="P405" s="314"/>
      <c r="Q405" s="319" t="s">
        <v>31</v>
      </c>
      <c r="R405" s="316">
        <v>0.02569444444452529</v>
      </c>
      <c r="S405" s="317"/>
      <c r="T405" s="317"/>
      <c r="U405" s="317"/>
    </row>
    <row r="406" ht="20.25" hidden="1" customHeight="1" outlineLevel="1">
      <c r="A406" s="216" t="str">
        <f>IFERROR(__xludf.DUMMYFUNCTION("ARRAYFORMULA(IFERROR(VLOOKUP(REGEXEXTRACT(B406, ""-(\w+)-""), {Data_Validation!$F$16:$F$29, Data_Validation!$E$16:$E$29}, 2, FALSE), """"))
"),"Nvidia")</f>
        <v>Nvidia</v>
      </c>
      <c r="B406" s="265" t="s">
        <v>538</v>
      </c>
      <c r="D406" s="265" t="s">
        <v>47</v>
      </c>
      <c r="E406" s="265" t="s">
        <v>26</v>
      </c>
      <c r="F406" s="265" t="s">
        <v>27</v>
      </c>
      <c r="H406" s="307">
        <v>45195.0</v>
      </c>
      <c r="I406" s="309">
        <v>1.0</v>
      </c>
      <c r="L406" s="311"/>
      <c r="M406" s="313"/>
      <c r="N406" s="313"/>
      <c r="O406" s="314"/>
      <c r="P406" s="314"/>
      <c r="Q406" s="319"/>
      <c r="R406" s="316"/>
      <c r="S406" s="317"/>
      <c r="T406" s="317"/>
      <c r="U406" s="317"/>
    </row>
    <row r="407" ht="20.25" customHeight="1" collapsed="1">
      <c r="A407" s="216" t="str">
        <f>IFERROR(__xludf.DUMMYFUNCTION("ARRAYFORMULA(IFERROR(VLOOKUP(REGEXEXTRACT(B407, ""-(\w+)-""), {Data_Validation!$F$16:$F$29, Data_Validation!$E$16:$E$29}, 2, FALSE), """"))
"),"TheMVP")</f>
        <v>TheMVP</v>
      </c>
      <c r="B407" s="265" t="s">
        <v>2018</v>
      </c>
      <c r="C407" s="265" t="s">
        <v>208</v>
      </c>
      <c r="D407" s="265"/>
      <c r="E407" s="265" t="s">
        <v>78</v>
      </c>
      <c r="F407" s="265" t="s">
        <v>22</v>
      </c>
      <c r="G407" s="265" t="s">
        <v>89</v>
      </c>
      <c r="H407" s="320">
        <v>45204.0</v>
      </c>
      <c r="I407" s="308"/>
      <c r="J407" s="309">
        <v>2.0</v>
      </c>
      <c r="L407" s="311"/>
      <c r="M407" s="313">
        <v>45208.62393980324</v>
      </c>
      <c r="N407" s="313">
        <v>45208.65034262731</v>
      </c>
      <c r="O407" s="314"/>
      <c r="P407" s="314"/>
      <c r="Q407" s="319"/>
      <c r="R407" s="316">
        <v>0.026388888887595385</v>
      </c>
      <c r="S407" s="317"/>
      <c r="T407" s="317"/>
      <c r="U407" s="317"/>
    </row>
    <row r="408" ht="20.25" hidden="1" customHeight="1" outlineLevel="1">
      <c r="A408" s="216" t="str">
        <f>IFERROR(__xludf.DUMMYFUNCTION("ARRAYFORMULA(IFERROR(VLOOKUP(REGEXEXTRACT(B408, ""-(\w+)-""), {Data_Validation!$F$16:$F$29, Data_Validation!$E$16:$E$29}, 2, FALSE), """"))
"),"TheMVP")</f>
        <v>TheMVP</v>
      </c>
      <c r="B408" s="265" t="s">
        <v>2019</v>
      </c>
      <c r="D408" s="265" t="s">
        <v>25</v>
      </c>
      <c r="E408" s="265" t="s">
        <v>26</v>
      </c>
      <c r="F408" s="265" t="s">
        <v>22</v>
      </c>
      <c r="G408" s="265" t="s">
        <v>210</v>
      </c>
      <c r="H408" s="320">
        <v>45202.0</v>
      </c>
      <c r="I408" s="309">
        <v>1.0</v>
      </c>
      <c r="L408" s="311"/>
      <c r="M408" s="313"/>
      <c r="N408" s="313"/>
      <c r="O408" s="314"/>
      <c r="P408" s="314"/>
      <c r="Q408" s="319"/>
      <c r="R408" s="316">
        <v>0.0</v>
      </c>
      <c r="S408" s="317"/>
      <c r="T408" s="317"/>
      <c r="U408" s="317"/>
    </row>
    <row r="409" ht="20.25" hidden="1" customHeight="1" outlineLevel="1">
      <c r="A409" s="216" t="str">
        <f>IFERROR(__xludf.DUMMYFUNCTION("ARRAYFORMULA(IFERROR(VLOOKUP(REGEXEXTRACT(B409, ""-(\w+)-""), {Data_Validation!$F$16:$F$29, Data_Validation!$E$16:$E$29}, 2, FALSE), """"))
"),"TheMVP")</f>
        <v>TheMVP</v>
      </c>
      <c r="B409" s="265" t="s">
        <v>2020</v>
      </c>
      <c r="D409" s="265" t="s">
        <v>274</v>
      </c>
      <c r="E409" s="265" t="s">
        <v>26</v>
      </c>
      <c r="F409" s="265" t="s">
        <v>22</v>
      </c>
      <c r="H409" s="320">
        <v>45204.0</v>
      </c>
      <c r="I409" s="309">
        <v>1.0</v>
      </c>
      <c r="L409" s="311"/>
      <c r="M409" s="313">
        <v>45208.62393980324</v>
      </c>
      <c r="N409" s="313">
        <v>45208.65034262731</v>
      </c>
      <c r="O409" s="314"/>
      <c r="P409" s="314"/>
      <c r="Q409" s="319" t="s">
        <v>31</v>
      </c>
      <c r="R409" s="316">
        <v>0.026388888887595385</v>
      </c>
      <c r="S409" s="317"/>
      <c r="T409" s="317"/>
      <c r="U409" s="317"/>
    </row>
    <row r="410" ht="20.25" customHeight="1" collapsed="1">
      <c r="A410" s="216" t="str">
        <f>IFERROR(__xludf.DUMMYFUNCTION("ARRAYFORMULA(IFERROR(VLOOKUP(REGEXEXTRACT(B410, ""-(\w+)-""), {Data_Validation!$F$16:$F$29, Data_Validation!$E$16:$E$29}, 2, FALSE), """"))
"),"Colorful Tech")</f>
        <v>Colorful Tech</v>
      </c>
      <c r="B410" s="265" t="s">
        <v>2021</v>
      </c>
      <c r="C410" s="265" t="s">
        <v>2022</v>
      </c>
      <c r="D410" s="265"/>
      <c r="E410" s="265" t="s">
        <v>51</v>
      </c>
      <c r="F410" s="265" t="s">
        <v>41</v>
      </c>
      <c r="G410" s="265" t="s">
        <v>89</v>
      </c>
      <c r="H410" s="307">
        <v>45209.0</v>
      </c>
      <c r="I410" s="308"/>
      <c r="J410" s="309">
        <v>3.0</v>
      </c>
      <c r="L410" s="311"/>
      <c r="M410" s="313">
        <v>45199.6204315162</v>
      </c>
      <c r="N410" s="313">
        <v>45208.94626087963</v>
      </c>
      <c r="O410" s="314"/>
      <c r="P410" s="314"/>
      <c r="Q410" s="319"/>
      <c r="R410" s="316">
        <v>0.1951388888888889</v>
      </c>
      <c r="S410" s="317"/>
      <c r="T410" s="317"/>
      <c r="U410" s="317"/>
    </row>
    <row r="411" ht="20.25" hidden="1" customHeight="1" outlineLevel="1">
      <c r="A411" s="216" t="str">
        <f>IFERROR(__xludf.DUMMYFUNCTION("ARRAYFORMULA(IFERROR(VLOOKUP(REGEXEXTRACT(B411, ""-(\w+)-""), {Data_Validation!$F$16:$F$29, Data_Validation!$E$16:$E$29}, 2, FALSE), """"))
"),"Colorful Tech")</f>
        <v>Colorful Tech</v>
      </c>
      <c r="B411" s="265" t="s">
        <v>2023</v>
      </c>
      <c r="D411" s="265" t="s">
        <v>25</v>
      </c>
      <c r="E411" s="265" t="s">
        <v>26</v>
      </c>
      <c r="F411" s="265" t="s">
        <v>22</v>
      </c>
      <c r="G411" s="265" t="s">
        <v>2024</v>
      </c>
      <c r="H411" s="307">
        <v>45194.0</v>
      </c>
      <c r="I411" s="309">
        <v>1.0</v>
      </c>
      <c r="L411" s="311"/>
      <c r="M411" s="313"/>
      <c r="N411" s="313"/>
      <c r="O411" s="314"/>
      <c r="P411" s="314"/>
      <c r="Q411" s="319"/>
      <c r="R411" s="316"/>
      <c r="S411" s="317"/>
      <c r="T411" s="317"/>
      <c r="U411" s="317"/>
    </row>
    <row r="412" ht="20.25" hidden="1" customHeight="1" outlineLevel="1">
      <c r="A412" s="216" t="str">
        <f>IFERROR(__xludf.DUMMYFUNCTION("ARRAYFORMULA(IFERROR(VLOOKUP(REGEXEXTRACT(B412, ""-(\w+)-""), {Data_Validation!$F$16:$F$29, Data_Validation!$E$16:$E$29}, 2, FALSE), """"))
"),"Colorful Tech")</f>
        <v>Colorful Tech</v>
      </c>
      <c r="B412" s="265" t="s">
        <v>2025</v>
      </c>
      <c r="D412" s="265" t="s">
        <v>40</v>
      </c>
      <c r="E412" s="265" t="s">
        <v>26</v>
      </c>
      <c r="F412" s="265" t="s">
        <v>41</v>
      </c>
      <c r="H412" s="307">
        <v>45199.0</v>
      </c>
      <c r="I412" s="309">
        <v>1.0</v>
      </c>
      <c r="L412" s="311"/>
      <c r="M412" s="313">
        <v>45199.6204315162</v>
      </c>
      <c r="N412" s="313">
        <v>45208.943329953705</v>
      </c>
      <c r="O412" s="314" t="s">
        <v>2026</v>
      </c>
      <c r="P412" s="314" t="s">
        <v>2027</v>
      </c>
      <c r="Q412" s="319" t="s">
        <v>31</v>
      </c>
      <c r="R412" s="316">
        <v>0.18888888888977817</v>
      </c>
      <c r="S412" s="317"/>
      <c r="T412" s="317"/>
      <c r="U412" s="317"/>
    </row>
    <row r="413" ht="20.25" hidden="1" customHeight="1" outlineLevel="1">
      <c r="A413" s="216" t="str">
        <f>IFERROR(__xludf.DUMMYFUNCTION("ARRAYFORMULA(IFERROR(VLOOKUP(REGEXEXTRACT(B413, ""-(\w+)-""), {Data_Validation!$F$16:$F$29, Data_Validation!$E$16:$E$29}, 2, FALSE), """"))
"),"Colorful Tech")</f>
        <v>Colorful Tech</v>
      </c>
      <c r="B413" s="265" t="s">
        <v>2028</v>
      </c>
      <c r="D413" s="265" t="s">
        <v>47</v>
      </c>
      <c r="E413" s="265" t="s">
        <v>26</v>
      </c>
      <c r="F413" s="265" t="s">
        <v>48</v>
      </c>
      <c r="H413" s="307">
        <v>45209.0</v>
      </c>
      <c r="I413" s="309">
        <v>1.0</v>
      </c>
      <c r="L413" s="311"/>
      <c r="M413" s="313">
        <v>45199.756434375</v>
      </c>
      <c r="N413" s="313">
        <v>45208.94626087963</v>
      </c>
      <c r="O413" s="314" t="s">
        <v>2029</v>
      </c>
      <c r="P413" s="314" t="s">
        <v>2030</v>
      </c>
      <c r="Q413" s="319" t="s">
        <v>31</v>
      </c>
      <c r="R413" s="316">
        <v>0.0062499999985448085</v>
      </c>
      <c r="S413" s="317"/>
      <c r="T413" s="317"/>
      <c r="U413" s="317"/>
    </row>
    <row r="414" ht="20.25" customHeight="1" collapsed="1">
      <c r="A414" s="216" t="str">
        <f>IFERROR(__xludf.DUMMYFUNCTION("ARRAYFORMULA(IFERROR(VLOOKUP(REGEXEXTRACT(B414, ""-(\w+)-""), {Data_Validation!$F$16:$F$29, Data_Validation!$E$16:$E$29}, 2, FALSE), """"))
"),"TheMVP")</f>
        <v>TheMVP</v>
      </c>
      <c r="B414" s="265" t="s">
        <v>2031</v>
      </c>
      <c r="C414" s="265" t="s">
        <v>2032</v>
      </c>
      <c r="D414" s="265"/>
      <c r="E414" s="265" t="s">
        <v>21</v>
      </c>
      <c r="F414" s="265" t="s">
        <v>41</v>
      </c>
      <c r="G414" s="265" t="s">
        <v>89</v>
      </c>
      <c r="H414" s="320">
        <v>45206.0</v>
      </c>
      <c r="I414" s="308"/>
      <c r="J414" s="309">
        <v>3.0</v>
      </c>
      <c r="L414" s="311"/>
      <c r="M414" s="313">
        <v>45205.5830537963</v>
      </c>
      <c r="N414" s="313">
        <v>45209.7631252662</v>
      </c>
      <c r="O414" s="314"/>
      <c r="P414" s="314"/>
      <c r="Q414" s="319"/>
      <c r="R414" s="316">
        <v>0.07847222222335404</v>
      </c>
      <c r="S414" s="317"/>
      <c r="T414" s="317"/>
      <c r="U414" s="317"/>
    </row>
    <row r="415" ht="20.25" hidden="1" customHeight="1" outlineLevel="1">
      <c r="A415" s="216" t="str">
        <f>IFERROR(__xludf.DUMMYFUNCTION("ARRAYFORMULA(IFERROR(VLOOKUP(REGEXEXTRACT(B415, ""-(\w+)-""), {Data_Validation!$F$16:$F$29, Data_Validation!$E$16:$E$29}, 2, FALSE), """"))
"),"TheMVP")</f>
        <v>TheMVP</v>
      </c>
      <c r="B415" s="265" t="s">
        <v>2033</v>
      </c>
      <c r="D415" s="265" t="s">
        <v>40</v>
      </c>
      <c r="E415" s="265" t="s">
        <v>26</v>
      </c>
      <c r="F415" s="265" t="s">
        <v>27</v>
      </c>
      <c r="H415" s="320">
        <v>45205.0</v>
      </c>
      <c r="I415" s="309">
        <v>1.0</v>
      </c>
      <c r="L415" s="311"/>
      <c r="M415" s="313">
        <v>45205.5830537963</v>
      </c>
      <c r="N415" s="313">
        <v>45205.665109340276</v>
      </c>
      <c r="O415" s="314" t="s">
        <v>2034</v>
      </c>
      <c r="P415" s="314" t="s">
        <v>2035</v>
      </c>
      <c r="Q415" s="319" t="s">
        <v>31</v>
      </c>
      <c r="R415" s="316">
        <v>0.07847222222335404</v>
      </c>
      <c r="S415" s="317"/>
      <c r="T415" s="317"/>
      <c r="U415" s="317"/>
    </row>
    <row r="416" ht="20.25" hidden="1" customHeight="1" outlineLevel="1">
      <c r="A416" s="216" t="str">
        <f>IFERROR(__xludf.DUMMYFUNCTION("ARRAYFORMULA(IFERROR(VLOOKUP(REGEXEXTRACT(B416, ""-(\w+)-""), {Data_Validation!$F$16:$F$29, Data_Validation!$E$16:$E$29}, 2, FALSE), """"))
"),"TheMVP")</f>
        <v>TheMVP</v>
      </c>
      <c r="B416" s="265" t="s">
        <v>2036</v>
      </c>
      <c r="D416" s="265" t="s">
        <v>45</v>
      </c>
      <c r="E416" s="265" t="s">
        <v>26</v>
      </c>
      <c r="F416" s="265" t="s">
        <v>41</v>
      </c>
      <c r="H416" s="320">
        <v>45206.0</v>
      </c>
      <c r="I416" s="309">
        <v>1.0</v>
      </c>
      <c r="L416" s="311"/>
      <c r="M416" s="313">
        <v>45209.76270141204</v>
      </c>
      <c r="N416" s="313">
        <v>45209.7631252662</v>
      </c>
      <c r="O416" s="314"/>
      <c r="P416" s="314"/>
      <c r="Q416" s="319" t="s">
        <v>31</v>
      </c>
      <c r="R416" s="316">
        <v>0.0</v>
      </c>
      <c r="S416" s="317"/>
      <c r="T416" s="317"/>
      <c r="U416" s="317"/>
    </row>
    <row r="417" ht="20.25" hidden="1" customHeight="1" outlineLevel="1">
      <c r="A417" s="216" t="str">
        <f>IFERROR(__xludf.DUMMYFUNCTION("ARRAYFORMULA(IFERROR(VLOOKUP(REGEXEXTRACT(B417, ""-(\w+)-""), {Data_Validation!$F$16:$F$29, Data_Validation!$E$16:$E$29}, 2, FALSE), """"))
"),"TheMVP")</f>
        <v>TheMVP</v>
      </c>
      <c r="B417" s="265" t="s">
        <v>2037</v>
      </c>
      <c r="D417" s="265" t="s">
        <v>47</v>
      </c>
      <c r="E417" s="265" t="s">
        <v>26</v>
      </c>
      <c r="F417" s="265" t="s">
        <v>27</v>
      </c>
      <c r="H417" s="320">
        <v>45206.0</v>
      </c>
      <c r="I417" s="309">
        <v>1.0</v>
      </c>
      <c r="L417" s="311"/>
      <c r="M417" s="313"/>
      <c r="N417" s="313"/>
      <c r="O417" s="314"/>
      <c r="P417" s="314"/>
      <c r="Q417" s="319"/>
      <c r="R417" s="316"/>
      <c r="S417" s="317"/>
      <c r="T417" s="317"/>
      <c r="U417" s="317"/>
    </row>
    <row r="418" ht="20.25" customHeight="1" collapsed="1">
      <c r="A418" s="216" t="str">
        <f>IFERROR(__xludf.DUMMYFUNCTION("ARRAYFORMULA(IFERROR(VLOOKUP(REGEXEXTRACT(B418, ""-(\w+)-""), {Data_Validation!$F$16:$F$29, Data_Validation!$E$16:$E$29}, 2, FALSE), """"))
"),"TheMVP")</f>
        <v>TheMVP</v>
      </c>
      <c r="B418" s="265" t="s">
        <v>2038</v>
      </c>
      <c r="C418" s="265" t="s">
        <v>2039</v>
      </c>
      <c r="E418" s="265" t="s">
        <v>51</v>
      </c>
      <c r="F418" s="265" t="s">
        <v>22</v>
      </c>
      <c r="G418" s="265" t="s">
        <v>23</v>
      </c>
      <c r="H418" s="320">
        <v>45209.0</v>
      </c>
      <c r="I418" s="308"/>
      <c r="J418" s="309">
        <v>4.0</v>
      </c>
      <c r="L418" s="311"/>
      <c r="M418" s="313">
        <v>45203.444841805554</v>
      </c>
      <c r="N418" s="313">
        <v>45209.932517442125</v>
      </c>
      <c r="O418" s="314"/>
      <c r="P418" s="314"/>
      <c r="Q418" s="315"/>
      <c r="R418" s="316">
        <v>0.12908180555677973</v>
      </c>
      <c r="S418" s="317"/>
      <c r="T418" s="317"/>
      <c r="U418" s="317"/>
    </row>
    <row r="419" ht="20.25" hidden="1" customHeight="1" outlineLevel="1">
      <c r="A419" s="216" t="str">
        <f>IFERROR(__xludf.DUMMYFUNCTION("ARRAYFORMULA(IFERROR(VLOOKUP(REGEXEXTRACT(B419, ""-(\w+)-""), {Data_Validation!$F$16:$F$29, Data_Validation!$E$16:$E$29}, 2, FALSE), """"))
"),"TheMVP")</f>
        <v>TheMVP</v>
      </c>
      <c r="B419" s="265" t="s">
        <v>2040</v>
      </c>
      <c r="D419" s="265" t="s">
        <v>25</v>
      </c>
      <c r="E419" s="265" t="s">
        <v>26</v>
      </c>
      <c r="F419" s="265" t="s">
        <v>41</v>
      </c>
      <c r="G419" s="265" t="s">
        <v>25</v>
      </c>
      <c r="H419" s="320">
        <v>45208.0</v>
      </c>
      <c r="I419" s="309">
        <v>1.0</v>
      </c>
      <c r="L419" s="311"/>
      <c r="M419" s="313">
        <v>45209.72543568287</v>
      </c>
      <c r="N419" s="313">
        <v>45209.726687800925</v>
      </c>
      <c r="O419" s="314"/>
      <c r="P419" s="314"/>
      <c r="Q419" s="319" t="s">
        <v>31</v>
      </c>
      <c r="R419" s="316">
        <v>6.944444430700969E-4</v>
      </c>
      <c r="S419" s="317"/>
      <c r="T419" s="317"/>
      <c r="U419" s="317"/>
    </row>
    <row r="420" ht="20.25" hidden="1" customHeight="1" outlineLevel="1">
      <c r="A420" s="216" t="str">
        <f>IFERROR(__xludf.DUMMYFUNCTION("ARRAYFORMULA(IFERROR(VLOOKUP(REGEXEXTRACT(B420, ""-(\w+)-""), {Data_Validation!$F$16:$F$29, Data_Validation!$E$16:$E$29}, 2, FALSE), """"))
"),"TheMVP")</f>
        <v>TheMVP</v>
      </c>
      <c r="B420" s="265" t="s">
        <v>2041</v>
      </c>
      <c r="D420" s="265" t="s">
        <v>33</v>
      </c>
      <c r="E420" s="265" t="s">
        <v>26</v>
      </c>
      <c r="F420" s="265" t="s">
        <v>41</v>
      </c>
      <c r="H420" s="320">
        <v>45203.0</v>
      </c>
      <c r="I420" s="309">
        <v>1.0</v>
      </c>
      <c r="L420" s="311"/>
      <c r="M420" s="313">
        <v>45203.444841805554</v>
      </c>
      <c r="N420" s="313">
        <v>45203.48017361111</v>
      </c>
      <c r="O420" s="314"/>
      <c r="P420" s="314"/>
      <c r="Q420" s="319" t="s">
        <v>31</v>
      </c>
      <c r="R420" s="316">
        <v>0.03533180555677973</v>
      </c>
      <c r="S420" s="317"/>
      <c r="T420" s="317"/>
      <c r="U420" s="317"/>
    </row>
    <row r="421" ht="20.25" hidden="1" customHeight="1" outlineLevel="1">
      <c r="A421" s="216" t="str">
        <f>IFERROR(__xludf.DUMMYFUNCTION("ARRAYFORMULA(IFERROR(VLOOKUP(REGEXEXTRACT(B421, ""-(\w+)-""), {Data_Validation!$F$16:$F$29, Data_Validation!$E$16:$E$29}, 2, FALSE), """"))
"),"TheMVP")</f>
        <v>TheMVP</v>
      </c>
      <c r="B421" s="265" t="s">
        <v>2042</v>
      </c>
      <c r="D421" s="265" t="s">
        <v>40</v>
      </c>
      <c r="E421" s="265" t="s">
        <v>26</v>
      </c>
      <c r="F421" s="265" t="s">
        <v>41</v>
      </c>
      <c r="H421" s="320">
        <v>45209.0</v>
      </c>
      <c r="I421" s="309">
        <v>1.0</v>
      </c>
      <c r="L421" s="311"/>
      <c r="M421" s="313">
        <v>45205.717941423616</v>
      </c>
      <c r="N421" s="313">
        <v>45209.9318325</v>
      </c>
      <c r="O421" s="314" t="s">
        <v>2043</v>
      </c>
      <c r="P421" s="314" t="s">
        <v>2044</v>
      </c>
      <c r="Q421" s="319" t="s">
        <v>31</v>
      </c>
      <c r="R421" s="316">
        <v>0.0930555555569299</v>
      </c>
      <c r="S421" s="317"/>
      <c r="T421" s="317"/>
      <c r="U421" s="317"/>
    </row>
    <row r="422" ht="20.25" hidden="1" customHeight="1" outlineLevel="1">
      <c r="A422" s="216" t="str">
        <f>IFERROR(__xludf.DUMMYFUNCTION("ARRAYFORMULA(IFERROR(VLOOKUP(REGEXEXTRACT(B422, ""-(\w+)-""), {Data_Validation!$F$16:$F$29, Data_Validation!$E$16:$E$29}, 2, FALSE), """"))
"),"TheMVP")</f>
        <v>TheMVP</v>
      </c>
      <c r="B422" s="265" t="s">
        <v>2045</v>
      </c>
      <c r="D422" s="265" t="s">
        <v>47</v>
      </c>
      <c r="E422" s="265" t="s">
        <v>26</v>
      </c>
      <c r="F422" s="265" t="s">
        <v>48</v>
      </c>
      <c r="H422" s="320">
        <v>45209.0</v>
      </c>
      <c r="I422" s="309">
        <v>1.0</v>
      </c>
      <c r="L422" s="311"/>
      <c r="M422" s="313">
        <v>45209.9320194676</v>
      </c>
      <c r="N422" s="313">
        <v>45209.932517442125</v>
      </c>
      <c r="O422" s="314"/>
      <c r="P422" s="314"/>
      <c r="Q422" s="319" t="s">
        <v>31</v>
      </c>
      <c r="R422" s="316">
        <v>0.0</v>
      </c>
      <c r="S422" s="317"/>
      <c r="T422" s="317"/>
      <c r="U422" s="317"/>
    </row>
    <row r="423" ht="20.25" customHeight="1" collapsed="1">
      <c r="A423" s="216" t="str">
        <f>IFERROR(__xludf.DUMMYFUNCTION("ARRAYFORMULA(IFERROR(VLOOKUP(REGEXEXTRACT(B423, ""-(\w+)-""), {Data_Validation!$F$16:$F$29, Data_Validation!$E$16:$E$29}, 2, FALSE), """"))
"),"TheMVP")</f>
        <v>TheMVP</v>
      </c>
      <c r="B423" s="265" t="s">
        <v>2046</v>
      </c>
      <c r="C423" s="265" t="s">
        <v>2047</v>
      </c>
      <c r="D423" s="265"/>
      <c r="E423" s="265" t="s">
        <v>21</v>
      </c>
      <c r="F423" s="265" t="s">
        <v>41</v>
      </c>
      <c r="G423" s="265" t="s">
        <v>63</v>
      </c>
      <c r="H423" s="320">
        <v>45212.0</v>
      </c>
      <c r="I423" s="308"/>
      <c r="J423" s="309">
        <v>6.0</v>
      </c>
      <c r="L423" s="311"/>
      <c r="M423" s="313">
        <v>45202.5049684838</v>
      </c>
      <c r="N423" s="313">
        <v>45212.55464174769</v>
      </c>
      <c r="O423" s="314"/>
      <c r="P423" s="314"/>
      <c r="Q423" s="319"/>
      <c r="R423" s="316">
        <v>0.4055555555569299</v>
      </c>
      <c r="S423" s="317"/>
      <c r="T423" s="317"/>
      <c r="U423" s="317"/>
    </row>
    <row r="424" ht="20.25" hidden="1" customHeight="1" outlineLevel="1">
      <c r="A424" s="216" t="str">
        <f>IFERROR(__xludf.DUMMYFUNCTION("ARRAYFORMULA(IFERROR(VLOOKUP(REGEXEXTRACT(B424, ""-(\w+)-""), {Data_Validation!$F$16:$F$29, Data_Validation!$E$16:$E$29}, 2, FALSE), """"))
"),"TheMVP")</f>
        <v>TheMVP</v>
      </c>
      <c r="B424" s="265" t="s">
        <v>2048</v>
      </c>
      <c r="D424" s="265" t="s">
        <v>25</v>
      </c>
      <c r="E424" s="265" t="s">
        <v>26</v>
      </c>
      <c r="F424" s="265" t="s">
        <v>27</v>
      </c>
      <c r="G424" s="265" t="s">
        <v>2047</v>
      </c>
      <c r="H424" s="320">
        <v>45207.0</v>
      </c>
      <c r="I424" s="309">
        <v>1.0</v>
      </c>
      <c r="L424" s="311"/>
      <c r="M424" s="313">
        <v>45202.5049684838</v>
      </c>
      <c r="N424" s="313">
        <v>45205.581804444446</v>
      </c>
      <c r="O424" s="314" t="s">
        <v>2049</v>
      </c>
      <c r="P424" s="314" t="s">
        <v>2050</v>
      </c>
      <c r="Q424" s="319" t="s">
        <v>31</v>
      </c>
      <c r="R424" s="316">
        <v>0.053472222221898846</v>
      </c>
      <c r="S424" s="317"/>
      <c r="T424" s="317"/>
      <c r="U424" s="317"/>
    </row>
    <row r="425" ht="20.25" hidden="1" customHeight="1" outlineLevel="1">
      <c r="A425" s="216" t="str">
        <f>IFERROR(__xludf.DUMMYFUNCTION("ARRAYFORMULA(IFERROR(VLOOKUP(REGEXEXTRACT(B425, ""-(\w+)-""), {Data_Validation!$F$16:$F$29, Data_Validation!$E$16:$E$29}, 2, FALSE), """"))
"),"TheMVP")</f>
        <v>TheMVP</v>
      </c>
      <c r="B425" s="265" t="s">
        <v>2051</v>
      </c>
      <c r="D425" s="265" t="s">
        <v>2052</v>
      </c>
      <c r="E425" s="265" t="s">
        <v>26</v>
      </c>
      <c r="F425" s="265" t="s">
        <v>22</v>
      </c>
      <c r="H425" s="320">
        <v>45209.0</v>
      </c>
      <c r="I425" s="309">
        <v>1.0</v>
      </c>
      <c r="L425" s="311"/>
      <c r="M425" s="313">
        <v>45208.798738425925</v>
      </c>
      <c r="N425" s="313">
        <v>45210.503227106485</v>
      </c>
      <c r="O425" s="314" t="s">
        <v>2053</v>
      </c>
      <c r="P425" s="314" t="s">
        <v>2054</v>
      </c>
      <c r="Q425" s="319" t="s">
        <v>31</v>
      </c>
      <c r="R425" s="316">
        <v>0.014583333333575865</v>
      </c>
      <c r="S425" s="317"/>
      <c r="T425" s="317"/>
      <c r="U425" s="317"/>
    </row>
    <row r="426" ht="20.25" hidden="1" customHeight="1" outlineLevel="1">
      <c r="A426" s="216" t="str">
        <f>IFERROR(__xludf.DUMMYFUNCTION("ARRAYFORMULA(IFERROR(VLOOKUP(REGEXEXTRACT(B426, ""-(\w+)-""), {Data_Validation!$F$16:$F$29, Data_Validation!$E$16:$E$29}, 2, FALSE), """"))
"),"TheMVP")</f>
        <v>TheMVP</v>
      </c>
      <c r="B426" s="265" t="s">
        <v>2055</v>
      </c>
      <c r="D426" s="265" t="s">
        <v>112</v>
      </c>
      <c r="E426" s="265" t="s">
        <v>26</v>
      </c>
      <c r="F426" s="265" t="s">
        <v>27</v>
      </c>
      <c r="H426" s="320">
        <v>45210.0</v>
      </c>
      <c r="I426" s="309">
        <v>1.0</v>
      </c>
      <c r="L426" s="311"/>
      <c r="M426" s="313">
        <v>45210.598339606484</v>
      </c>
      <c r="N426" s="313">
        <v>45210.598465497686</v>
      </c>
      <c r="O426" s="314"/>
      <c r="P426" s="314"/>
      <c r="Q426" s="319" t="s">
        <v>31</v>
      </c>
      <c r="R426" s="316">
        <v>0.0</v>
      </c>
      <c r="S426" s="317"/>
      <c r="T426" s="317"/>
      <c r="U426" s="317"/>
    </row>
    <row r="427" ht="20.25" hidden="1" customHeight="1" outlineLevel="1">
      <c r="A427" s="216" t="str">
        <f>IFERROR(__xludf.DUMMYFUNCTION("ARRAYFORMULA(IFERROR(VLOOKUP(REGEXEXTRACT(B427, ""-(\w+)-""), {Data_Validation!$F$16:$F$29, Data_Validation!$E$16:$E$29}, 2, FALSE), """"))
"),"TheMVP")</f>
        <v>TheMVP</v>
      </c>
      <c r="B427" s="265" t="s">
        <v>2056</v>
      </c>
      <c r="D427" s="265" t="s">
        <v>40</v>
      </c>
      <c r="E427" s="265" t="s">
        <v>26</v>
      </c>
      <c r="F427" s="265" t="s">
        <v>27</v>
      </c>
      <c r="H427" s="320">
        <v>45211.0</v>
      </c>
      <c r="I427" s="309">
        <v>1.0</v>
      </c>
      <c r="L427" s="311"/>
      <c r="M427" s="313">
        <v>45210.59849780092</v>
      </c>
      <c r="N427" s="313">
        <v>45211.83406340278</v>
      </c>
      <c r="O427" s="314" t="s">
        <v>2057</v>
      </c>
      <c r="P427" s="314" t="s">
        <v>2058</v>
      </c>
      <c r="Q427" s="319" t="s">
        <v>31</v>
      </c>
      <c r="R427" s="316">
        <v>0.32916666666642413</v>
      </c>
      <c r="S427" s="317"/>
      <c r="T427" s="317"/>
      <c r="U427" s="317"/>
    </row>
    <row r="428" ht="20.25" hidden="1" customHeight="1" outlineLevel="1">
      <c r="A428" s="216" t="str">
        <f>IFERROR(__xludf.DUMMYFUNCTION("ARRAYFORMULA(IFERROR(VLOOKUP(REGEXEXTRACT(B428, ""-(\w+)-""), {Data_Validation!$F$16:$F$29, Data_Validation!$E$16:$E$29}, 2, FALSE), """"))
"),"TheMVP")</f>
        <v>TheMVP</v>
      </c>
      <c r="B428" s="265" t="s">
        <v>2059</v>
      </c>
      <c r="D428" s="265" t="s">
        <v>45</v>
      </c>
      <c r="E428" s="265" t="s">
        <v>26</v>
      </c>
      <c r="F428" s="265" t="s">
        <v>41</v>
      </c>
      <c r="H428" s="320">
        <v>45211.0</v>
      </c>
      <c r="I428" s="309">
        <v>1.0</v>
      </c>
      <c r="L428" s="311"/>
      <c r="M428" s="313">
        <v>45212.544071620374</v>
      </c>
      <c r="N428" s="313">
        <v>45212.55457637731</v>
      </c>
      <c r="O428" s="314" t="s">
        <v>2060</v>
      </c>
      <c r="P428" s="314" t="s">
        <v>2061</v>
      </c>
      <c r="Q428" s="319" t="s">
        <v>31</v>
      </c>
      <c r="R428" s="316">
        <v>0.0062499999985448085</v>
      </c>
      <c r="S428" s="317"/>
      <c r="T428" s="317"/>
      <c r="U428" s="317"/>
    </row>
    <row r="429" ht="20.25" hidden="1" customHeight="1" outlineLevel="1">
      <c r="A429" s="216" t="str">
        <f>IFERROR(__xludf.DUMMYFUNCTION("ARRAYFORMULA(IFERROR(VLOOKUP(REGEXEXTRACT(B429, ""-(\w+)-""), {Data_Validation!$F$16:$F$29, Data_Validation!$E$16:$E$29}, 2, FALSE), """"))
"),"TheMVP")</f>
        <v>TheMVP</v>
      </c>
      <c r="B429" s="265" t="s">
        <v>2062</v>
      </c>
      <c r="D429" s="265" t="s">
        <v>47</v>
      </c>
      <c r="E429" s="265" t="s">
        <v>26</v>
      </c>
      <c r="F429" s="265" t="s">
        <v>27</v>
      </c>
      <c r="H429" s="320">
        <v>45212.0</v>
      </c>
      <c r="I429" s="309">
        <v>1.0</v>
      </c>
      <c r="L429" s="311"/>
      <c r="M429" s="313">
        <v>45212.5524066088</v>
      </c>
      <c r="N429" s="313">
        <v>45212.55464174769</v>
      </c>
      <c r="O429" s="314" t="s">
        <v>2063</v>
      </c>
      <c r="P429" s="314" t="s">
        <v>2064</v>
      </c>
      <c r="Q429" s="319" t="s">
        <v>31</v>
      </c>
      <c r="R429" s="316">
        <v>0.0020833333328482695</v>
      </c>
      <c r="S429" s="317"/>
      <c r="T429" s="317"/>
      <c r="U429" s="317"/>
    </row>
    <row r="430" ht="20.25" customHeight="1" collapsed="1">
      <c r="A430" s="216" t="str">
        <f>IFERROR(__xludf.DUMMYFUNCTION("ARRAYFORMULA(IFERROR(VLOOKUP(REGEXEXTRACT(B430, ""-(\w+)-""), {Data_Validation!$F$16:$F$29, Data_Validation!$E$16:$E$29}, 2, FALSE), """"))
"),"Colorful Tech")</f>
        <v>Colorful Tech</v>
      </c>
      <c r="B430" s="265" t="s">
        <v>2065</v>
      </c>
      <c r="C430" s="265" t="s">
        <v>2066</v>
      </c>
      <c r="D430" s="265"/>
      <c r="E430" s="265" t="s">
        <v>21</v>
      </c>
      <c r="F430" s="265" t="s">
        <v>22</v>
      </c>
      <c r="G430" s="265" t="s">
        <v>63</v>
      </c>
      <c r="H430" s="307">
        <v>45211.0</v>
      </c>
      <c r="I430" s="308"/>
      <c r="J430" s="309">
        <v>5.0</v>
      </c>
      <c r="L430" s="311"/>
      <c r="M430" s="313">
        <v>45206.6409375</v>
      </c>
      <c r="N430" s="313">
        <v>45212.831243148146</v>
      </c>
      <c r="O430" s="314"/>
      <c r="P430" s="314"/>
      <c r="Q430" s="319"/>
      <c r="R430" s="316">
        <v>0.08752314814773854</v>
      </c>
      <c r="S430" s="317"/>
      <c r="T430" s="317"/>
      <c r="U430" s="317"/>
    </row>
    <row r="431" ht="20.25" hidden="1" customHeight="1" outlineLevel="1">
      <c r="A431" s="216" t="str">
        <f>IFERROR(__xludf.DUMMYFUNCTION("ARRAYFORMULA(IFERROR(VLOOKUP(REGEXEXTRACT(B431, ""-(\w+)-""), {Data_Validation!$F$16:$F$29, Data_Validation!$E$16:$E$29}, 2, FALSE), """"))
"),"Colorful Tech")</f>
        <v>Colorful Tech</v>
      </c>
      <c r="B431" s="265" t="s">
        <v>2067</v>
      </c>
      <c r="D431" s="265" t="s">
        <v>25</v>
      </c>
      <c r="E431" s="265" t="s">
        <v>26</v>
      </c>
      <c r="F431" s="265" t="s">
        <v>22</v>
      </c>
      <c r="G431" s="265" t="s">
        <v>2066</v>
      </c>
      <c r="H431" s="307">
        <v>45203.0</v>
      </c>
      <c r="I431" s="309">
        <v>1.0</v>
      </c>
      <c r="L431" s="311"/>
      <c r="M431" s="313">
        <v>45206.6409375</v>
      </c>
      <c r="N431" s="313">
        <v>45206.676884988425</v>
      </c>
      <c r="O431" s="314"/>
      <c r="P431" s="314"/>
      <c r="Q431" s="319" t="s">
        <v>31</v>
      </c>
      <c r="R431" s="316">
        <v>0.03541666666569654</v>
      </c>
      <c r="S431" s="317"/>
      <c r="T431" s="317"/>
      <c r="U431" s="317"/>
    </row>
    <row r="432" ht="20.25" hidden="1" customHeight="1" outlineLevel="1">
      <c r="A432" s="216" t="str">
        <f>IFERROR(__xludf.DUMMYFUNCTION("ARRAYFORMULA(IFERROR(VLOOKUP(REGEXEXTRACT(B432, ""-(\w+)-""), {Data_Validation!$F$16:$F$29, Data_Validation!$E$16:$E$29}, 2, FALSE), """"))
"),"Colorful Tech")</f>
        <v>Colorful Tech</v>
      </c>
      <c r="B432" s="265" t="s">
        <v>2068</v>
      </c>
      <c r="D432" s="265" t="s">
        <v>33</v>
      </c>
      <c r="E432" s="265" t="s">
        <v>26</v>
      </c>
      <c r="F432" s="265" t="s">
        <v>48</v>
      </c>
      <c r="H432" s="307">
        <v>45206.0</v>
      </c>
      <c r="I432" s="309">
        <v>1.0</v>
      </c>
      <c r="L432" s="311"/>
      <c r="M432" s="313">
        <v>45206.764073275466</v>
      </c>
      <c r="N432" s="313">
        <v>45206.843668437505</v>
      </c>
      <c r="O432" s="314" t="s">
        <v>2069</v>
      </c>
      <c r="P432" s="314" t="s">
        <v>2070</v>
      </c>
      <c r="Q432" s="319" t="s">
        <v>31</v>
      </c>
      <c r="R432" s="316">
        <v>0.04236111111094942</v>
      </c>
      <c r="S432" s="317"/>
      <c r="T432" s="317"/>
      <c r="U432" s="317"/>
    </row>
    <row r="433" ht="20.25" hidden="1" customHeight="1" outlineLevel="1">
      <c r="A433" s="216" t="str">
        <f>IFERROR(__xludf.DUMMYFUNCTION("ARRAYFORMULA(IFERROR(VLOOKUP(REGEXEXTRACT(B433, ""-(\w+)-""), {Data_Validation!$F$16:$F$29, Data_Validation!$E$16:$E$29}, 2, FALSE), """"))
"),"Colorful Tech")</f>
        <v>Colorful Tech</v>
      </c>
      <c r="B433" s="265" t="s">
        <v>2071</v>
      </c>
      <c r="D433" s="265" t="s">
        <v>38</v>
      </c>
      <c r="E433" s="265" t="s">
        <v>26</v>
      </c>
      <c r="F433" s="265" t="s">
        <v>22</v>
      </c>
      <c r="H433" s="307">
        <v>45207.0</v>
      </c>
      <c r="I433" s="309">
        <v>1.0</v>
      </c>
      <c r="L433" s="311"/>
      <c r="M433" s="313">
        <v>45206.75864583333</v>
      </c>
      <c r="N433" s="313">
        <v>45206.76422453704</v>
      </c>
      <c r="O433" s="314"/>
      <c r="P433" s="314"/>
      <c r="Q433" s="319" t="s">
        <v>31</v>
      </c>
      <c r="R433" s="316">
        <v>0.0055787037053960375</v>
      </c>
      <c r="S433" s="317"/>
      <c r="T433" s="317"/>
      <c r="U433" s="317"/>
    </row>
    <row r="434" ht="20.25" hidden="1" customHeight="1" outlineLevel="1">
      <c r="A434" s="216" t="str">
        <f>IFERROR(__xludf.DUMMYFUNCTION("ARRAYFORMULA(IFERROR(VLOOKUP(REGEXEXTRACT(B434, ""-(\w+)-""), {Data_Validation!$F$16:$F$29, Data_Validation!$E$16:$E$29}, 2, FALSE), """"))
"),"Colorful Tech")</f>
        <v>Colorful Tech</v>
      </c>
      <c r="B434" s="265" t="s">
        <v>2072</v>
      </c>
      <c r="D434" s="265" t="s">
        <v>40</v>
      </c>
      <c r="E434" s="265" t="s">
        <v>26</v>
      </c>
      <c r="F434" s="265" t="s">
        <v>236</v>
      </c>
      <c r="G434" s="265" t="s">
        <v>237</v>
      </c>
      <c r="H434" s="307">
        <v>45211.0</v>
      </c>
      <c r="I434" s="309">
        <v>1.0</v>
      </c>
      <c r="L434" s="311"/>
      <c r="M434" s="313"/>
      <c r="N434" s="313"/>
      <c r="O434" s="314"/>
      <c r="P434" s="314"/>
      <c r="Q434" s="319"/>
      <c r="R434" s="316"/>
      <c r="S434" s="317"/>
      <c r="T434" s="317">
        <v>1000.0</v>
      </c>
      <c r="U434" s="317"/>
    </row>
    <row r="435" ht="20.25" hidden="1" customHeight="1" outlineLevel="1">
      <c r="A435" s="216" t="str">
        <f>IFERROR(__xludf.DUMMYFUNCTION("ARRAYFORMULA(IFERROR(VLOOKUP(REGEXEXTRACT(B435, ""-(\w+)-""), {Data_Validation!$F$16:$F$29, Data_Validation!$E$16:$E$29}, 2, FALSE), """"))
"),"Colorful Tech")</f>
        <v>Colorful Tech</v>
      </c>
      <c r="B435" s="265" t="s">
        <v>2073</v>
      </c>
      <c r="D435" s="265" t="s">
        <v>47</v>
      </c>
      <c r="E435" s="265" t="s">
        <v>26</v>
      </c>
      <c r="F435" s="265" t="s">
        <v>48</v>
      </c>
      <c r="H435" s="307">
        <v>45211.0</v>
      </c>
      <c r="I435" s="309">
        <v>1.0</v>
      </c>
      <c r="L435" s="311"/>
      <c r="M435" s="313">
        <v>45212.82646964121</v>
      </c>
      <c r="N435" s="313">
        <v>45212.831243148146</v>
      </c>
      <c r="O435" s="314"/>
      <c r="P435" s="314"/>
      <c r="Q435" s="319" t="s">
        <v>31</v>
      </c>
      <c r="R435" s="316">
        <v>0.004166666665696539</v>
      </c>
      <c r="S435" s="317"/>
      <c r="T435" s="317"/>
      <c r="U435" s="317"/>
    </row>
    <row r="436" ht="20.25" customHeight="1" collapsed="1">
      <c r="A436" s="216" t="str">
        <f>IFERROR(__xludf.DUMMYFUNCTION("ARRAYFORMULA(IFERROR(VLOOKUP(REGEXEXTRACT(B436, ""-(\w+)-""), {Data_Validation!$F$16:$F$29, Data_Validation!$E$16:$E$29}, 2, FALSE), """"))
"),"TheMVP")</f>
        <v>TheMVP</v>
      </c>
      <c r="B436" s="265" t="s">
        <v>2074</v>
      </c>
      <c r="C436" s="265" t="s">
        <v>2075</v>
      </c>
      <c r="D436" s="265"/>
      <c r="E436" s="265" t="s">
        <v>62</v>
      </c>
      <c r="F436" s="265" t="s">
        <v>27</v>
      </c>
      <c r="G436" s="265" t="s">
        <v>89</v>
      </c>
      <c r="H436" s="320">
        <v>45212.0</v>
      </c>
      <c r="I436" s="308"/>
      <c r="J436" s="309">
        <v>6.0</v>
      </c>
      <c r="L436" s="311"/>
      <c r="M436" s="313">
        <v>45204.49826388889</v>
      </c>
      <c r="N436" s="313">
        <v>45212.99191708333</v>
      </c>
      <c r="O436" s="314"/>
      <c r="P436" s="314"/>
      <c r="Q436" s="319"/>
      <c r="R436" s="316">
        <v>0.5999999999985448</v>
      </c>
      <c r="S436" s="317"/>
      <c r="T436" s="317"/>
      <c r="U436" s="317"/>
    </row>
    <row r="437" ht="20.25" hidden="1" customHeight="1" outlineLevel="1">
      <c r="A437" s="216" t="str">
        <f>IFERROR(__xludf.DUMMYFUNCTION("ARRAYFORMULA(IFERROR(VLOOKUP(REGEXEXTRACT(B437, ""-(\w+)-""), {Data_Validation!$F$16:$F$29, Data_Validation!$E$16:$E$29}, 2, FALSE), """"))
"),"TheMVP")</f>
        <v>TheMVP</v>
      </c>
      <c r="B437" s="265" t="s">
        <v>2076</v>
      </c>
      <c r="D437" s="265" t="s">
        <v>25</v>
      </c>
      <c r="E437" s="265" t="s">
        <v>26</v>
      </c>
      <c r="F437" s="265" t="s">
        <v>22</v>
      </c>
      <c r="G437" s="265" t="s">
        <v>2077</v>
      </c>
      <c r="H437" s="320">
        <v>45203.0</v>
      </c>
      <c r="I437" s="309">
        <v>1.0</v>
      </c>
      <c r="L437" s="311"/>
      <c r="M437" s="313">
        <v>45204.49826388889</v>
      </c>
      <c r="N437" s="313">
        <v>45204.6234124537</v>
      </c>
      <c r="O437" s="314"/>
      <c r="P437" s="314"/>
      <c r="Q437" s="319" t="s">
        <v>31</v>
      </c>
      <c r="R437" s="316">
        <v>0.125</v>
      </c>
      <c r="S437" s="317"/>
      <c r="T437" s="317"/>
      <c r="U437" s="317"/>
    </row>
    <row r="438" ht="20.25" hidden="1" customHeight="1" outlineLevel="1">
      <c r="A438" s="216" t="str">
        <f>IFERROR(__xludf.DUMMYFUNCTION("ARRAYFORMULA(IFERROR(VLOOKUP(REGEXEXTRACT(B438, ""-(\w+)-""), {Data_Validation!$F$16:$F$29, Data_Validation!$E$16:$E$29}, 2, FALSE), """"))
"),"TheMVP")</f>
        <v>TheMVP</v>
      </c>
      <c r="B438" s="265" t="s">
        <v>2078</v>
      </c>
      <c r="D438" s="265" t="s">
        <v>33</v>
      </c>
      <c r="E438" s="265" t="s">
        <v>26</v>
      </c>
      <c r="F438" s="265" t="s">
        <v>41</v>
      </c>
      <c r="H438" s="320">
        <v>45204.0</v>
      </c>
      <c r="I438" s="309">
        <v>1.0</v>
      </c>
      <c r="L438" s="311"/>
      <c r="M438" s="313">
        <v>45204.725987881946</v>
      </c>
      <c r="N438" s="313">
        <v>45206.50922251157</v>
      </c>
      <c r="O438" s="314" t="s">
        <v>2079</v>
      </c>
      <c r="P438" s="314" t="s">
        <v>2080</v>
      </c>
      <c r="Q438" s="319" t="s">
        <v>31</v>
      </c>
      <c r="R438" s="316">
        <v>0.053472222221898846</v>
      </c>
      <c r="S438" s="317"/>
      <c r="T438" s="317"/>
      <c r="U438" s="317"/>
    </row>
    <row r="439" ht="20.25" hidden="1" customHeight="1" outlineLevel="1">
      <c r="A439" s="216" t="str">
        <f>IFERROR(__xludf.DUMMYFUNCTION("ARRAYFORMULA(IFERROR(VLOOKUP(REGEXEXTRACT(B439, ""-(\w+)-""), {Data_Validation!$F$16:$F$29, Data_Validation!$E$16:$E$29}, 2, FALSE), """"))
"),"TheMVP")</f>
        <v>TheMVP</v>
      </c>
      <c r="B439" s="265" t="s">
        <v>2081</v>
      </c>
      <c r="D439" s="265" t="s">
        <v>430</v>
      </c>
      <c r="E439" s="265" t="s">
        <v>26</v>
      </c>
      <c r="F439" s="265" t="s">
        <v>27</v>
      </c>
      <c r="H439" s="320">
        <v>45209.0</v>
      </c>
      <c r="I439" s="309">
        <v>1.0</v>
      </c>
      <c r="L439" s="311"/>
      <c r="M439" s="313">
        <v>45209.787921145835</v>
      </c>
      <c r="N439" s="313">
        <v>45209.82307273148</v>
      </c>
      <c r="O439" s="314"/>
      <c r="P439" s="314"/>
      <c r="Q439" s="319" t="s">
        <v>31</v>
      </c>
      <c r="R439" s="316">
        <v>0.03472222222262644</v>
      </c>
      <c r="S439" s="317"/>
      <c r="T439" s="317"/>
      <c r="U439" s="317"/>
    </row>
    <row r="440" ht="20.25" hidden="1" customHeight="1" outlineLevel="1">
      <c r="A440" s="216" t="str">
        <f>IFERROR(__xludf.DUMMYFUNCTION("ARRAYFORMULA(IFERROR(VLOOKUP(REGEXEXTRACT(B440, ""-(\w+)-""), {Data_Validation!$F$16:$F$29, Data_Validation!$E$16:$E$29}, 2, FALSE), """"))
"),"TheMVP")</f>
        <v>TheMVP</v>
      </c>
      <c r="B440" s="265" t="s">
        <v>2082</v>
      </c>
      <c r="D440" s="265" t="s">
        <v>38</v>
      </c>
      <c r="E440" s="265" t="s">
        <v>26</v>
      </c>
      <c r="F440" s="265" t="s">
        <v>27</v>
      </c>
      <c r="H440" s="320">
        <v>45209.0</v>
      </c>
      <c r="I440" s="309">
        <v>1.0</v>
      </c>
      <c r="L440" s="311"/>
      <c r="M440" s="313">
        <v>45208.570545821756</v>
      </c>
      <c r="N440" s="313">
        <v>45211.722854548614</v>
      </c>
      <c r="O440" s="314" t="s">
        <v>2083</v>
      </c>
      <c r="P440" s="314" t="s">
        <v>2084</v>
      </c>
      <c r="Q440" s="319" t="s">
        <v>31</v>
      </c>
      <c r="R440" s="316">
        <v>0.3423611111102218</v>
      </c>
      <c r="S440" s="317"/>
      <c r="T440" s="317"/>
      <c r="U440" s="317"/>
    </row>
    <row r="441" ht="20.25" hidden="1" customHeight="1" outlineLevel="1">
      <c r="A441" s="216" t="str">
        <f>IFERROR(__xludf.DUMMYFUNCTION("ARRAYFORMULA(IFERROR(VLOOKUP(REGEXEXTRACT(B441, ""-(\w+)-""), {Data_Validation!$F$16:$F$29, Data_Validation!$E$16:$E$29}, 2, FALSE), """"))
"),"TheMVP")</f>
        <v>TheMVP</v>
      </c>
      <c r="B441" s="265" t="s">
        <v>2085</v>
      </c>
      <c r="D441" s="265" t="s">
        <v>40</v>
      </c>
      <c r="E441" s="265" t="s">
        <v>26</v>
      </c>
      <c r="F441" s="265" t="s">
        <v>236</v>
      </c>
      <c r="G441" s="265" t="s">
        <v>2086</v>
      </c>
      <c r="H441" s="320">
        <v>45210.0</v>
      </c>
      <c r="I441" s="309">
        <v>1.0</v>
      </c>
      <c r="L441" s="311"/>
      <c r="M441" s="313"/>
      <c r="N441" s="313"/>
      <c r="O441" s="314"/>
      <c r="P441" s="314"/>
      <c r="Q441" s="319"/>
      <c r="R441" s="316"/>
      <c r="S441" s="317"/>
      <c r="T441" s="317"/>
      <c r="U441" s="317"/>
    </row>
    <row r="442" ht="20.25" hidden="1" customHeight="1" outlineLevel="1">
      <c r="A442" s="216" t="str">
        <f>IFERROR(__xludf.DUMMYFUNCTION("ARRAYFORMULA(IFERROR(VLOOKUP(REGEXEXTRACT(B442, ""-(\w+)-""), {Data_Validation!$F$16:$F$29, Data_Validation!$E$16:$E$29}, 2, FALSE), """"))
"),"TheMVP")</f>
        <v>TheMVP</v>
      </c>
      <c r="B442" s="265" t="s">
        <v>2087</v>
      </c>
      <c r="D442" s="265" t="s">
        <v>47</v>
      </c>
      <c r="E442" s="265" t="s">
        <v>26</v>
      </c>
      <c r="F442" s="265" t="s">
        <v>22</v>
      </c>
      <c r="H442" s="320">
        <v>45212.0</v>
      </c>
      <c r="I442" s="309">
        <v>1.0</v>
      </c>
      <c r="L442" s="311"/>
      <c r="M442" s="313">
        <v>45212.94699074074</v>
      </c>
      <c r="N442" s="313">
        <v>45212.99191708333</v>
      </c>
      <c r="O442" s="314"/>
      <c r="P442" s="314"/>
      <c r="Q442" s="319" t="s">
        <v>31</v>
      </c>
      <c r="R442" s="316">
        <v>0.04444444444379769</v>
      </c>
      <c r="S442" s="317"/>
      <c r="T442" s="317"/>
      <c r="U442" s="317"/>
    </row>
    <row r="443" ht="20.25" customHeight="1" collapsed="1">
      <c r="A443" s="216" t="str">
        <f>IFERROR(__xludf.DUMMYFUNCTION("ARRAYFORMULA(IFERROR(VLOOKUP(REGEXEXTRACT(B443, ""-(\w+)-""), {Data_Validation!$F$16:$F$29, Data_Validation!$E$16:$E$29}, 2, FALSE), """"))
"),"TheMVP")</f>
        <v>TheMVP</v>
      </c>
      <c r="B443" s="265" t="s">
        <v>2088</v>
      </c>
      <c r="C443" s="265" t="s">
        <v>2089</v>
      </c>
      <c r="D443" s="265"/>
      <c r="E443" s="265" t="s">
        <v>51</v>
      </c>
      <c r="F443" s="265" t="s">
        <v>27</v>
      </c>
      <c r="G443" s="265" t="s">
        <v>89</v>
      </c>
      <c r="H443" s="320">
        <v>45213.0</v>
      </c>
      <c r="I443" s="308"/>
      <c r="J443" s="309">
        <v>4.0</v>
      </c>
      <c r="L443" s="311"/>
      <c r="M443" s="313">
        <v>45210.43186347222</v>
      </c>
      <c r="N443" s="313">
        <v>45213.72620895834</v>
      </c>
      <c r="O443" s="314"/>
      <c r="P443" s="314"/>
      <c r="Q443" s="319"/>
      <c r="R443" s="316">
        <v>3.3069444444445253</v>
      </c>
      <c r="S443" s="317"/>
      <c r="T443" s="317"/>
      <c r="U443" s="317"/>
    </row>
    <row r="444" ht="20.25" hidden="1" customHeight="1" outlineLevel="1">
      <c r="A444" s="216" t="str">
        <f>IFERROR(__xludf.DUMMYFUNCTION("ARRAYFORMULA(IFERROR(VLOOKUP(REGEXEXTRACT(B444, ""-(\w+)-""), {Data_Validation!$F$16:$F$29, Data_Validation!$E$16:$E$29}, 2, FALSE), """"))
"),"TheMVP")</f>
        <v>TheMVP</v>
      </c>
      <c r="B444" s="265" t="s">
        <v>2090</v>
      </c>
      <c r="D444" s="265" t="s">
        <v>25</v>
      </c>
      <c r="E444" s="265" t="s">
        <v>26</v>
      </c>
      <c r="F444" s="265" t="s">
        <v>41</v>
      </c>
      <c r="H444" s="320">
        <v>45209.0</v>
      </c>
      <c r="I444" s="309">
        <v>1.0</v>
      </c>
      <c r="L444" s="311"/>
      <c r="M444" s="313">
        <v>45212.52337085648</v>
      </c>
      <c r="N444" s="313">
        <v>45212.52378052083</v>
      </c>
      <c r="O444" s="314"/>
      <c r="P444" s="314"/>
      <c r="Q444" s="319" t="s">
        <v>31</v>
      </c>
      <c r="R444" s="316">
        <v>0.0</v>
      </c>
      <c r="S444" s="317"/>
      <c r="T444" s="317"/>
      <c r="U444" s="317"/>
    </row>
    <row r="445" ht="20.25" hidden="1" customHeight="1" outlineLevel="1">
      <c r="A445" s="216" t="str">
        <f>IFERROR(__xludf.DUMMYFUNCTION("ARRAYFORMULA(IFERROR(VLOOKUP(REGEXEXTRACT(B445, ""-(\w+)-""), {Data_Validation!$F$16:$F$29, Data_Validation!$E$16:$E$29}, 2, FALSE), """"))
"),"TheMVP")</f>
        <v>TheMVP</v>
      </c>
      <c r="B445" s="265" t="s">
        <v>2091</v>
      </c>
      <c r="D445" s="265" t="s">
        <v>33</v>
      </c>
      <c r="E445" s="265" t="s">
        <v>26</v>
      </c>
      <c r="F445" s="265" t="s">
        <v>41</v>
      </c>
      <c r="H445" s="320">
        <v>45210.0</v>
      </c>
      <c r="I445" s="309">
        <v>1.0</v>
      </c>
      <c r="L445" s="311"/>
      <c r="M445" s="313">
        <v>45210.43186347222</v>
      </c>
      <c r="N445" s="313">
        <v>45210.73171386574</v>
      </c>
      <c r="O445" s="314" t="s">
        <v>2092</v>
      </c>
      <c r="P445" s="314" t="s">
        <v>2093</v>
      </c>
      <c r="Q445" s="319" t="s">
        <v>31</v>
      </c>
      <c r="R445" s="316">
        <v>0.08194444444598048</v>
      </c>
      <c r="S445" s="317"/>
      <c r="T445" s="317"/>
      <c r="U445" s="317"/>
    </row>
    <row r="446" ht="20.25" hidden="1" customHeight="1" outlineLevel="1">
      <c r="A446" s="216" t="str">
        <f>IFERROR(__xludf.DUMMYFUNCTION("ARRAYFORMULA(IFERROR(VLOOKUP(REGEXEXTRACT(B446, ""-(\w+)-""), {Data_Validation!$F$16:$F$29, Data_Validation!$E$16:$E$29}, 2, FALSE), """"))
"),"TheMVP")</f>
        <v>TheMVP</v>
      </c>
      <c r="B446" s="265" t="s">
        <v>2094</v>
      </c>
      <c r="D446" s="265" t="s">
        <v>40</v>
      </c>
      <c r="E446" s="265" t="s">
        <v>26</v>
      </c>
      <c r="F446" s="265" t="s">
        <v>41</v>
      </c>
      <c r="H446" s="320">
        <v>45213.0</v>
      </c>
      <c r="I446" s="309">
        <v>1.0</v>
      </c>
      <c r="L446" s="311"/>
      <c r="M446" s="313">
        <v>45213.642183344906</v>
      </c>
      <c r="N446" s="313">
        <v>45213.64269332176</v>
      </c>
      <c r="O446" s="314"/>
      <c r="P446" s="314"/>
      <c r="Q446" s="319" t="s">
        <v>31</v>
      </c>
      <c r="R446" s="316">
        <v>0.0</v>
      </c>
      <c r="S446" s="317"/>
      <c r="T446" s="317"/>
      <c r="U446" s="317"/>
    </row>
    <row r="447" ht="20.25" hidden="1" customHeight="1" outlineLevel="1">
      <c r="A447" s="216" t="str">
        <f>IFERROR(__xludf.DUMMYFUNCTION("ARRAYFORMULA(IFERROR(VLOOKUP(REGEXEXTRACT(B447, ""-(\w+)-""), {Data_Validation!$F$16:$F$29, Data_Validation!$E$16:$E$29}, 2, FALSE), """"))
"),"TheMVP")</f>
        <v>TheMVP</v>
      </c>
      <c r="B447" s="265" t="s">
        <v>2095</v>
      </c>
      <c r="D447" s="265" t="s">
        <v>47</v>
      </c>
      <c r="E447" s="265" t="s">
        <v>26</v>
      </c>
      <c r="F447" s="265" t="s">
        <v>48</v>
      </c>
      <c r="H447" s="320">
        <v>45213.0</v>
      </c>
      <c r="I447" s="309">
        <v>1.0</v>
      </c>
      <c r="L447" s="311"/>
      <c r="M447" s="313">
        <v>45210.5005175463</v>
      </c>
      <c r="N447" s="313">
        <v>45213.72620895834</v>
      </c>
      <c r="O447" s="314"/>
      <c r="P447" s="314"/>
      <c r="Q447" s="319" t="s">
        <v>31</v>
      </c>
      <c r="R447" s="316">
        <v>3.224999999998545</v>
      </c>
      <c r="S447" s="317"/>
      <c r="T447" s="317"/>
      <c r="U447" s="317"/>
    </row>
    <row r="448" ht="20.25" customHeight="1" collapsed="1">
      <c r="A448" s="216" t="str">
        <f>IFERROR(__xludf.DUMMYFUNCTION("ARRAYFORMULA(IFERROR(VLOOKUP(REGEXEXTRACT(B448, ""-(\w+)-""), {Data_Validation!$F$16:$F$29, Data_Validation!$E$16:$E$29}, 2, FALSE), """"))
"),"TheMVP")</f>
        <v>TheMVP</v>
      </c>
      <c r="B448" s="265" t="s">
        <v>1742</v>
      </c>
      <c r="C448" s="265" t="s">
        <v>2096</v>
      </c>
      <c r="D448" s="265"/>
      <c r="E448" s="265" t="s">
        <v>21</v>
      </c>
      <c r="F448" s="265" t="s">
        <v>27</v>
      </c>
      <c r="G448" s="265" t="s">
        <v>89</v>
      </c>
      <c r="H448" s="320">
        <v>45211.0</v>
      </c>
      <c r="I448" s="308"/>
      <c r="J448" s="309">
        <v>7.0</v>
      </c>
      <c r="L448" s="311"/>
      <c r="M448" s="313">
        <v>45208.405270567135</v>
      </c>
      <c r="N448" s="313">
        <v>45209.62673888889</v>
      </c>
      <c r="O448" s="314"/>
      <c r="P448" s="314"/>
      <c r="Q448" s="319"/>
      <c r="R448" s="316">
        <v>0.00972222222117125</v>
      </c>
      <c r="S448" s="317"/>
      <c r="T448" s="317"/>
      <c r="U448" s="317"/>
    </row>
    <row r="449" ht="20.25" hidden="1" customHeight="1" outlineLevel="1">
      <c r="A449" s="216" t="str">
        <f>IFERROR(__xludf.DUMMYFUNCTION("ARRAYFORMULA(IFERROR(VLOOKUP(REGEXEXTRACT(B449, ""-(\w+)-""), {Data_Validation!$F$16:$F$29, Data_Validation!$E$16:$E$29}, 2, FALSE), """"))
"),"TheMVP")</f>
        <v>TheMVP</v>
      </c>
      <c r="B449" s="265" t="s">
        <v>1743</v>
      </c>
      <c r="D449" s="265" t="s">
        <v>25</v>
      </c>
      <c r="E449" s="265" t="s">
        <v>26</v>
      </c>
      <c r="F449" s="265" t="s">
        <v>22</v>
      </c>
      <c r="G449" s="265" t="s">
        <v>2097</v>
      </c>
      <c r="H449" s="320">
        <v>45206.0</v>
      </c>
      <c r="I449" s="309">
        <v>1.0</v>
      </c>
      <c r="L449" s="311"/>
      <c r="M449" s="313"/>
      <c r="N449" s="313"/>
      <c r="O449" s="314"/>
      <c r="P449" s="314"/>
      <c r="Q449" s="319"/>
      <c r="R449" s="316"/>
      <c r="S449" s="317"/>
      <c r="T449" s="317"/>
      <c r="U449" s="317"/>
    </row>
    <row r="450" ht="20.25" hidden="1" customHeight="1" outlineLevel="1">
      <c r="A450" s="216" t="str">
        <f>IFERROR(__xludf.DUMMYFUNCTION("ARRAYFORMULA(IFERROR(VLOOKUP(REGEXEXTRACT(B450, ""-(\w+)-""), {Data_Validation!$F$16:$F$29, Data_Validation!$E$16:$E$29}, 2, FALSE), """"))
"),"TheMVP")</f>
        <v>TheMVP</v>
      </c>
      <c r="B450" s="265" t="s">
        <v>1744</v>
      </c>
      <c r="D450" s="265" t="s">
        <v>33</v>
      </c>
      <c r="E450" s="265" t="s">
        <v>26</v>
      </c>
      <c r="F450" s="265" t="s">
        <v>22</v>
      </c>
      <c r="H450" s="320">
        <v>45206.0</v>
      </c>
      <c r="I450" s="309">
        <v>1.0</v>
      </c>
      <c r="L450" s="311"/>
      <c r="M450" s="313"/>
      <c r="N450" s="313"/>
      <c r="O450" s="314"/>
      <c r="P450" s="314"/>
      <c r="Q450" s="319"/>
      <c r="R450" s="316"/>
      <c r="S450" s="317"/>
      <c r="T450" s="317"/>
      <c r="U450" s="317"/>
    </row>
    <row r="451" ht="20.25" hidden="1" customHeight="1" outlineLevel="1">
      <c r="A451" s="216" t="str">
        <f>IFERROR(__xludf.DUMMYFUNCTION("ARRAYFORMULA(IFERROR(VLOOKUP(REGEXEXTRACT(B451, ""-(\w+)-""), {Data_Validation!$F$16:$F$29, Data_Validation!$E$16:$E$29}, 2, FALSE), """"))
"),"TheMVP")</f>
        <v>TheMVP</v>
      </c>
      <c r="B451" s="265" t="s">
        <v>1745</v>
      </c>
      <c r="D451" s="265" t="s">
        <v>121</v>
      </c>
      <c r="E451" s="265" t="s">
        <v>26</v>
      </c>
      <c r="F451" s="265" t="s">
        <v>48</v>
      </c>
      <c r="H451" s="320">
        <v>45208.0</v>
      </c>
      <c r="I451" s="309">
        <v>1.0</v>
      </c>
      <c r="L451" s="311"/>
      <c r="M451" s="313">
        <v>45208.405270567135</v>
      </c>
      <c r="N451" s="313">
        <v>45208.407944375</v>
      </c>
      <c r="O451" s="314"/>
      <c r="P451" s="314"/>
      <c r="Q451" s="319" t="s">
        <v>31</v>
      </c>
      <c r="R451" s="316">
        <v>0.0020833333328482695</v>
      </c>
      <c r="S451" s="317"/>
      <c r="T451" s="317"/>
      <c r="U451" s="317"/>
    </row>
    <row r="452" ht="20.25" hidden="1" customHeight="1" outlineLevel="1">
      <c r="A452" s="216" t="str">
        <f>IFERROR(__xludf.DUMMYFUNCTION("ARRAYFORMULA(IFERROR(VLOOKUP(REGEXEXTRACT(B452, ""-(\w+)-""), {Data_Validation!$F$16:$F$29, Data_Validation!$E$16:$E$29}, 2, FALSE), """"))
"),"TheMVP")</f>
        <v>TheMVP</v>
      </c>
      <c r="B452" s="265" t="s">
        <v>1746</v>
      </c>
      <c r="D452" s="265" t="s">
        <v>38</v>
      </c>
      <c r="E452" s="265" t="s">
        <v>26</v>
      </c>
      <c r="F452" s="265" t="s">
        <v>48</v>
      </c>
      <c r="H452" s="320">
        <v>45209.0</v>
      </c>
      <c r="I452" s="309">
        <v>1.0</v>
      </c>
      <c r="L452" s="311"/>
      <c r="M452" s="313">
        <v>45208.85564325232</v>
      </c>
      <c r="N452" s="313">
        <v>45209.62673888889</v>
      </c>
      <c r="O452" s="314" t="s">
        <v>2098</v>
      </c>
      <c r="P452" s="314" t="s">
        <v>2099</v>
      </c>
      <c r="Q452" s="319" t="s">
        <v>31</v>
      </c>
      <c r="R452" s="316">
        <v>0.007638888888322981</v>
      </c>
      <c r="S452" s="317"/>
      <c r="T452" s="317"/>
      <c r="U452" s="317"/>
    </row>
    <row r="453" ht="20.25" hidden="1" customHeight="1" outlineLevel="1">
      <c r="A453" s="216" t="str">
        <f>IFERROR(__xludf.DUMMYFUNCTION("ARRAYFORMULA(IFERROR(VLOOKUP(REGEXEXTRACT(B453, ""-(\w+)-""), {Data_Validation!$F$16:$F$29, Data_Validation!$E$16:$E$29}, 2, FALSE), """"))
"),"TheMVP")</f>
        <v>TheMVP</v>
      </c>
      <c r="B453" s="265" t="s">
        <v>2100</v>
      </c>
      <c r="D453" s="265" t="s">
        <v>40</v>
      </c>
      <c r="E453" s="265" t="s">
        <v>26</v>
      </c>
      <c r="F453" s="265" t="s">
        <v>236</v>
      </c>
      <c r="G453" s="265" t="s">
        <v>237</v>
      </c>
      <c r="H453" s="320">
        <v>45209.0</v>
      </c>
      <c r="I453" s="309">
        <v>1.0</v>
      </c>
      <c r="L453" s="311"/>
      <c r="M453" s="313"/>
      <c r="N453" s="313"/>
      <c r="O453" s="314"/>
      <c r="P453" s="314"/>
      <c r="Q453" s="319"/>
      <c r="R453" s="316"/>
      <c r="S453" s="317"/>
      <c r="T453" s="317">
        <v>1000.0</v>
      </c>
      <c r="U453" s="317"/>
    </row>
    <row r="454" ht="20.25" hidden="1" customHeight="1" outlineLevel="1">
      <c r="A454" s="216" t="str">
        <f>IFERROR(__xludf.DUMMYFUNCTION("ARRAYFORMULA(IFERROR(VLOOKUP(REGEXEXTRACT(B454, ""-(\w+)-""), {Data_Validation!$F$16:$F$29, Data_Validation!$E$16:$E$29}, 2, FALSE), """"))
"),"TheMVP")</f>
        <v>TheMVP</v>
      </c>
      <c r="B454" s="265" t="s">
        <v>2101</v>
      </c>
      <c r="D454" s="265" t="s">
        <v>45</v>
      </c>
      <c r="E454" s="265" t="s">
        <v>26</v>
      </c>
      <c r="F454" s="265" t="s">
        <v>22</v>
      </c>
      <c r="H454" s="320">
        <v>45211.0</v>
      </c>
      <c r="I454" s="309">
        <v>1.0</v>
      </c>
      <c r="L454" s="311"/>
      <c r="M454" s="313"/>
      <c r="N454" s="313"/>
      <c r="O454" s="314"/>
      <c r="P454" s="314"/>
      <c r="Q454" s="319"/>
      <c r="R454" s="316"/>
      <c r="S454" s="317"/>
      <c r="T454" s="317"/>
      <c r="U454" s="317"/>
    </row>
    <row r="455" ht="20.25" hidden="1" customHeight="1" outlineLevel="1">
      <c r="A455" s="216" t="str">
        <f>IFERROR(__xludf.DUMMYFUNCTION("ARRAYFORMULA(IFERROR(VLOOKUP(REGEXEXTRACT(B455, ""-(\w+)-""), {Data_Validation!$F$16:$F$29, Data_Validation!$E$16:$E$29}, 2, FALSE), """"))
"),"TheMVP")</f>
        <v>TheMVP</v>
      </c>
      <c r="B455" s="265" t="s">
        <v>2102</v>
      </c>
      <c r="D455" s="265" t="s">
        <v>47</v>
      </c>
      <c r="E455" s="265" t="s">
        <v>26</v>
      </c>
      <c r="F455" s="265" t="s">
        <v>27</v>
      </c>
      <c r="H455" s="320">
        <v>45211.0</v>
      </c>
      <c r="I455" s="309">
        <v>1.0</v>
      </c>
      <c r="L455" s="311"/>
      <c r="M455" s="313"/>
      <c r="N455" s="313"/>
      <c r="O455" s="314"/>
      <c r="P455" s="314"/>
      <c r="Q455" s="319"/>
      <c r="R455" s="316"/>
      <c r="S455" s="317"/>
      <c r="T455" s="317"/>
      <c r="U455" s="317"/>
    </row>
    <row r="456" ht="20.25" customHeight="1" collapsed="1">
      <c r="A456" s="216" t="str">
        <f>IFERROR(__xludf.DUMMYFUNCTION("ARRAYFORMULA(IFERROR(VLOOKUP(REGEXEXTRACT(B456, ""-(\w+)-""), {Data_Validation!$F$16:$F$29, Data_Validation!$E$16:$E$29}, 2, FALSE), """"))
"),"TheMVP")</f>
        <v>TheMVP</v>
      </c>
      <c r="B456" s="265" t="s">
        <v>2103</v>
      </c>
      <c r="C456" s="265" t="s">
        <v>2104</v>
      </c>
      <c r="D456" s="265"/>
      <c r="E456" s="265" t="s">
        <v>78</v>
      </c>
      <c r="F456" s="265" t="s">
        <v>22</v>
      </c>
      <c r="G456" s="265" t="s">
        <v>23</v>
      </c>
      <c r="H456" s="320">
        <v>45211.0</v>
      </c>
      <c r="I456" s="308"/>
      <c r="J456" s="309">
        <v>2.0</v>
      </c>
      <c r="L456" s="311"/>
      <c r="M456" s="313">
        <v>45214.34104966435</v>
      </c>
      <c r="N456" s="313">
        <v>45214.38378960648</v>
      </c>
      <c r="O456" s="314"/>
      <c r="P456" s="314"/>
      <c r="Q456" s="319"/>
      <c r="R456" s="316">
        <v>0.04236111111094942</v>
      </c>
      <c r="S456" s="317"/>
      <c r="T456" s="317"/>
      <c r="U456" s="317"/>
    </row>
    <row r="457" ht="20.25" hidden="1" customHeight="1" outlineLevel="1">
      <c r="A457" s="216" t="str">
        <f>IFERROR(__xludf.DUMMYFUNCTION("ARRAYFORMULA(IFERROR(VLOOKUP(REGEXEXTRACT(B457, ""-(\w+)-""), {Data_Validation!$F$16:$F$29, Data_Validation!$E$16:$E$29}, 2, FALSE), """"))
"),"TheMVP")</f>
        <v>TheMVP</v>
      </c>
      <c r="B457" s="265" t="s">
        <v>2105</v>
      </c>
      <c r="D457" s="265" t="s">
        <v>25</v>
      </c>
      <c r="E457" s="265" t="s">
        <v>26</v>
      </c>
      <c r="F457" s="265" t="s">
        <v>131</v>
      </c>
      <c r="G457" s="265" t="s">
        <v>2106</v>
      </c>
      <c r="H457" s="320">
        <v>45210.0</v>
      </c>
      <c r="I457" s="309">
        <v>1.0</v>
      </c>
      <c r="L457" s="311"/>
      <c r="M457" s="313"/>
      <c r="N457" s="313"/>
      <c r="O457" s="314"/>
      <c r="P457" s="314"/>
      <c r="Q457" s="319"/>
      <c r="R457" s="316"/>
      <c r="S457" s="317"/>
      <c r="T457" s="317"/>
      <c r="U457" s="317"/>
    </row>
    <row r="458" ht="20.25" hidden="1" customHeight="1" outlineLevel="1">
      <c r="A458" s="216" t="str">
        <f>IFERROR(__xludf.DUMMYFUNCTION("ARRAYFORMULA(IFERROR(VLOOKUP(REGEXEXTRACT(B458, ""-(\w+)-""), {Data_Validation!$F$16:$F$29, Data_Validation!$E$16:$E$29}, 2, FALSE), """"))
"),"TheMVP")</f>
        <v>TheMVP</v>
      </c>
      <c r="B458" s="265" t="s">
        <v>2107</v>
      </c>
      <c r="D458" s="265" t="s">
        <v>40</v>
      </c>
      <c r="E458" s="265" t="s">
        <v>26</v>
      </c>
      <c r="F458" s="265" t="s">
        <v>22</v>
      </c>
      <c r="H458" s="320">
        <v>45211.0</v>
      </c>
      <c r="I458" s="309">
        <v>1.0</v>
      </c>
      <c r="L458" s="311"/>
      <c r="M458" s="313">
        <v>45214.34104966435</v>
      </c>
      <c r="N458" s="313">
        <v>45214.38378960648</v>
      </c>
      <c r="O458" s="314"/>
      <c r="P458" s="314"/>
      <c r="Q458" s="319" t="s">
        <v>31</v>
      </c>
      <c r="R458" s="316">
        <v>0.04236111111094942</v>
      </c>
      <c r="S458" s="317"/>
      <c r="T458" s="317"/>
      <c r="U458" s="317"/>
    </row>
    <row r="459" ht="20.25" customHeight="1" collapsed="1">
      <c r="A459" s="216" t="str">
        <f>IFERROR(__xludf.DUMMYFUNCTION("ARRAYFORMULA(IFERROR(VLOOKUP(REGEXEXTRACT(B459, ""-(\w+)-""), {Data_Validation!$F$16:$F$29, Data_Validation!$E$16:$E$29}, 2, FALSE), """"))
"),"TheMVP")</f>
        <v>TheMVP</v>
      </c>
      <c r="B459" s="265" t="s">
        <v>2108</v>
      </c>
      <c r="C459" s="265" t="s">
        <v>2109</v>
      </c>
      <c r="D459" s="265"/>
      <c r="E459" s="265" t="s">
        <v>21</v>
      </c>
      <c r="F459" s="265" t="s">
        <v>27</v>
      </c>
      <c r="G459" s="265" t="s">
        <v>63</v>
      </c>
      <c r="H459" s="320">
        <v>45213.0</v>
      </c>
      <c r="I459" s="308"/>
      <c r="J459" s="309">
        <v>5.0</v>
      </c>
      <c r="L459" s="311"/>
      <c r="M459" s="313">
        <v>45213.47217636574</v>
      </c>
      <c r="N459" s="313">
        <v>45213.82063545139</v>
      </c>
      <c r="O459" s="314"/>
      <c r="P459" s="314"/>
      <c r="Q459" s="319"/>
      <c r="R459" s="316">
        <v>0.13958333333357587</v>
      </c>
      <c r="S459" s="317"/>
      <c r="T459" s="317"/>
      <c r="U459" s="317"/>
    </row>
    <row r="460" ht="20.25" hidden="1" customHeight="1" outlineLevel="1">
      <c r="A460" s="216" t="str">
        <f>IFERROR(__xludf.DUMMYFUNCTION("ARRAYFORMULA(IFERROR(VLOOKUP(REGEXEXTRACT(B460, ""-(\w+)-""), {Data_Validation!$F$16:$F$29, Data_Validation!$E$16:$E$29}, 2, FALSE), """"))
"),"TheMVP")</f>
        <v>TheMVP</v>
      </c>
      <c r="B460" s="265" t="s">
        <v>2110</v>
      </c>
      <c r="D460" s="265" t="s">
        <v>33</v>
      </c>
      <c r="E460" s="265" t="s">
        <v>26</v>
      </c>
      <c r="F460" s="265" t="s">
        <v>27</v>
      </c>
      <c r="H460" s="320">
        <v>45209.0</v>
      </c>
      <c r="I460" s="309">
        <v>1.0</v>
      </c>
      <c r="L460" s="311"/>
      <c r="M460" s="313"/>
      <c r="N460" s="313"/>
      <c r="O460" s="314"/>
      <c r="P460" s="314"/>
      <c r="Q460" s="319"/>
      <c r="R460" s="316"/>
      <c r="S460" s="317"/>
      <c r="T460" s="317"/>
      <c r="U460" s="317"/>
    </row>
    <row r="461" ht="20.25" hidden="1" customHeight="1" outlineLevel="1">
      <c r="A461" s="216" t="str">
        <f>IFERROR(__xludf.DUMMYFUNCTION("ARRAYFORMULA(IFERROR(VLOOKUP(REGEXEXTRACT(B461, ""-(\w+)-""), {Data_Validation!$F$16:$F$29, Data_Validation!$E$16:$E$29}, 2, FALSE), """"))
"),"TheMVP")</f>
        <v>TheMVP</v>
      </c>
      <c r="B461" s="265" t="s">
        <v>2111</v>
      </c>
      <c r="D461" s="265" t="s">
        <v>2112</v>
      </c>
      <c r="E461" s="265" t="s">
        <v>26</v>
      </c>
      <c r="F461" s="265" t="s">
        <v>27</v>
      </c>
      <c r="H461" s="320">
        <v>45210.0</v>
      </c>
      <c r="I461" s="309">
        <v>1.0</v>
      </c>
      <c r="L461" s="311"/>
      <c r="M461" s="313">
        <v>45213.68668513889</v>
      </c>
      <c r="N461" s="313">
        <v>45213.7988234838</v>
      </c>
      <c r="O461" s="314"/>
      <c r="P461" s="314"/>
      <c r="Q461" s="319" t="s">
        <v>31</v>
      </c>
      <c r="R461" s="316">
        <v>0.11180555555620231</v>
      </c>
      <c r="S461" s="317"/>
      <c r="T461" s="317"/>
      <c r="U461" s="317"/>
    </row>
    <row r="462" ht="20.25" hidden="1" customHeight="1" outlineLevel="1">
      <c r="A462" s="216" t="str">
        <f>IFERROR(__xludf.DUMMYFUNCTION("ARRAYFORMULA(IFERROR(VLOOKUP(REGEXEXTRACT(B462, ""-(\w+)-""), {Data_Validation!$F$16:$F$29, Data_Validation!$E$16:$E$29}, 2, FALSE), """"))
"),"TheMVP")</f>
        <v>TheMVP</v>
      </c>
      <c r="B462" s="265" t="s">
        <v>2113</v>
      </c>
      <c r="D462" s="265" t="s">
        <v>40</v>
      </c>
      <c r="E462" s="265" t="s">
        <v>26</v>
      </c>
      <c r="F462" s="265" t="s">
        <v>27</v>
      </c>
      <c r="H462" s="320">
        <v>45211.0</v>
      </c>
      <c r="I462" s="309">
        <v>1.0</v>
      </c>
      <c r="L462" s="311"/>
      <c r="M462" s="313">
        <v>45213.47217636574</v>
      </c>
      <c r="N462" s="313">
        <v>45213.81991517361</v>
      </c>
      <c r="O462" s="314" t="s">
        <v>2114</v>
      </c>
      <c r="P462" s="314" t="s">
        <v>2115</v>
      </c>
      <c r="Q462" s="319" t="s">
        <v>31</v>
      </c>
      <c r="R462" s="316">
        <v>0.022916666664968943</v>
      </c>
      <c r="S462" s="317"/>
      <c r="T462" s="317"/>
      <c r="U462" s="317"/>
    </row>
    <row r="463" ht="20.25" hidden="1" customHeight="1" outlineLevel="1">
      <c r="A463" s="216" t="str">
        <f>IFERROR(__xludf.DUMMYFUNCTION("ARRAYFORMULA(IFERROR(VLOOKUP(REGEXEXTRACT(B463, ""-(\w+)-""), {Data_Validation!$F$16:$F$29, Data_Validation!$E$16:$E$29}, 2, FALSE), """"))
"),"TheMVP")</f>
        <v>TheMVP</v>
      </c>
      <c r="B463" s="265" t="s">
        <v>2116</v>
      </c>
      <c r="D463" s="265" t="s">
        <v>45</v>
      </c>
      <c r="E463" s="265" t="s">
        <v>26</v>
      </c>
      <c r="F463" s="265" t="s">
        <v>41</v>
      </c>
      <c r="H463" s="320">
        <v>45212.0</v>
      </c>
      <c r="I463" s="309">
        <v>1.0</v>
      </c>
      <c r="L463" s="311"/>
      <c r="M463" s="313">
        <v>45213.71631552083</v>
      </c>
      <c r="N463" s="313">
        <v>45213.80666137731</v>
      </c>
      <c r="O463" s="314" t="s">
        <v>2117</v>
      </c>
      <c r="P463" s="314" t="s">
        <v>2118</v>
      </c>
      <c r="Q463" s="319" t="s">
        <v>31</v>
      </c>
      <c r="R463" s="316">
        <v>0.004166666665696539</v>
      </c>
      <c r="S463" s="317"/>
      <c r="T463" s="317"/>
      <c r="U463" s="317"/>
    </row>
    <row r="464" ht="20.25" hidden="1" customHeight="1" outlineLevel="1">
      <c r="A464" s="216" t="str">
        <f>IFERROR(__xludf.DUMMYFUNCTION("ARRAYFORMULA(IFERROR(VLOOKUP(REGEXEXTRACT(B464, ""-(\w+)-""), {Data_Validation!$F$16:$F$29, Data_Validation!$E$16:$E$29}, 2, FALSE), """"))
"),"TheMVP")</f>
        <v>TheMVP</v>
      </c>
      <c r="B464" s="265" t="s">
        <v>2119</v>
      </c>
      <c r="D464" s="265" t="s">
        <v>47</v>
      </c>
      <c r="E464" s="265" t="s">
        <v>26</v>
      </c>
      <c r="F464" s="265" t="s">
        <v>27</v>
      </c>
      <c r="H464" s="320">
        <v>45213.0</v>
      </c>
      <c r="I464" s="309">
        <v>1.0</v>
      </c>
      <c r="L464" s="311"/>
      <c r="M464" s="313">
        <v>45213.81986613426</v>
      </c>
      <c r="N464" s="313">
        <v>45213.82063545139</v>
      </c>
      <c r="O464" s="314"/>
      <c r="P464" s="314"/>
      <c r="Q464" s="319" t="s">
        <v>31</v>
      </c>
      <c r="R464" s="316">
        <v>6.944444430700969E-4</v>
      </c>
      <c r="S464" s="317"/>
      <c r="T464" s="317"/>
      <c r="U464" s="317"/>
    </row>
    <row r="465" ht="20.25" customHeight="1" collapsed="1">
      <c r="A465" s="216" t="str">
        <f>IFERROR(__xludf.DUMMYFUNCTION("ARRAYFORMULA(IFERROR(VLOOKUP(REGEXEXTRACT(B465, ""-(\w+)-""), {Data_Validation!$F$16:$F$29, Data_Validation!$E$16:$E$29}, 2, FALSE), """"))
"),"TheMVP")</f>
        <v>TheMVP</v>
      </c>
      <c r="B465" s="265" t="s">
        <v>2120</v>
      </c>
      <c r="C465" s="265" t="s">
        <v>2121</v>
      </c>
      <c r="D465" s="265"/>
      <c r="E465" s="265" t="s">
        <v>51</v>
      </c>
      <c r="F465" s="265" t="s">
        <v>22</v>
      </c>
      <c r="G465" s="265" t="s">
        <v>63</v>
      </c>
      <c r="H465" s="320">
        <v>45215.0</v>
      </c>
      <c r="I465" s="308"/>
      <c r="J465" s="309">
        <v>4.0</v>
      </c>
      <c r="L465" s="311"/>
      <c r="M465" s="313">
        <v>45215.46339496528</v>
      </c>
      <c r="N465" s="313">
        <v>45216.489683645836</v>
      </c>
      <c r="O465" s="314"/>
      <c r="P465" s="314"/>
      <c r="Q465" s="319"/>
      <c r="R465" s="316">
        <v>0.1812500000014552</v>
      </c>
      <c r="S465" s="317"/>
      <c r="T465" s="317"/>
      <c r="U465" s="317"/>
    </row>
    <row r="466" ht="20.25" hidden="1" customHeight="1" outlineLevel="1">
      <c r="A466" s="216"/>
      <c r="B466" s="265" t="s">
        <v>2122</v>
      </c>
      <c r="D466" s="265" t="s">
        <v>125</v>
      </c>
      <c r="E466" s="265" t="s">
        <v>26</v>
      </c>
      <c r="F466" s="265" t="s">
        <v>41</v>
      </c>
      <c r="H466" s="320">
        <v>45210.0</v>
      </c>
      <c r="I466" s="309">
        <v>1.0</v>
      </c>
      <c r="L466" s="311"/>
      <c r="M466" s="313">
        <v>45215.52899850694</v>
      </c>
      <c r="N466" s="313">
        <v>45215.56123373842</v>
      </c>
      <c r="O466" s="314" t="s">
        <v>2123</v>
      </c>
      <c r="P466" s="314" t="s">
        <v>2124</v>
      </c>
      <c r="Q466" s="319" t="s">
        <v>31</v>
      </c>
      <c r="R466" s="316">
        <v>0.0319444444430701</v>
      </c>
      <c r="S466" s="317"/>
      <c r="T466" s="317"/>
      <c r="U466" s="317"/>
    </row>
    <row r="467" ht="20.25" hidden="1" customHeight="1" outlineLevel="1">
      <c r="A467" s="216"/>
      <c r="B467" s="265" t="s">
        <v>2125</v>
      </c>
      <c r="D467" s="265" t="s">
        <v>33</v>
      </c>
      <c r="E467" s="265" t="s">
        <v>26</v>
      </c>
      <c r="F467" s="265" t="s">
        <v>747</v>
      </c>
      <c r="H467" s="320">
        <v>45197.0</v>
      </c>
      <c r="I467" s="309">
        <v>1.0</v>
      </c>
      <c r="L467" s="311"/>
      <c r="M467" s="313"/>
      <c r="N467" s="313"/>
      <c r="O467" s="314"/>
      <c r="P467" s="314"/>
      <c r="Q467" s="319"/>
      <c r="R467" s="316"/>
      <c r="S467" s="317"/>
      <c r="T467" s="317"/>
      <c r="U467" s="317"/>
    </row>
    <row r="468" ht="20.25" hidden="1" customHeight="1" outlineLevel="1">
      <c r="A468" s="216"/>
      <c r="B468" s="265" t="s">
        <v>2126</v>
      </c>
      <c r="D468" s="265" t="s">
        <v>40</v>
      </c>
      <c r="E468" s="265" t="s">
        <v>26</v>
      </c>
      <c r="F468" s="265" t="s">
        <v>34</v>
      </c>
      <c r="H468" s="320">
        <v>45215.0</v>
      </c>
      <c r="I468" s="309">
        <v>1.0</v>
      </c>
      <c r="L468" s="311"/>
      <c r="M468" s="313">
        <v>45215.46339496528</v>
      </c>
      <c r="N468" s="313">
        <v>45215.6600162963</v>
      </c>
      <c r="O468" s="314" t="s">
        <v>2127</v>
      </c>
      <c r="P468" s="314" t="s">
        <v>2128</v>
      </c>
      <c r="Q468" s="319" t="s">
        <v>31</v>
      </c>
      <c r="R468" s="316">
        <v>0.14166666666642413</v>
      </c>
      <c r="S468" s="317"/>
      <c r="T468" s="317"/>
      <c r="U468" s="317"/>
    </row>
    <row r="469" ht="20.25" hidden="1" customHeight="1" outlineLevel="1">
      <c r="A469" s="216"/>
      <c r="B469" s="265" t="s">
        <v>2129</v>
      </c>
      <c r="D469" s="265" t="s">
        <v>47</v>
      </c>
      <c r="E469" s="265" t="s">
        <v>26</v>
      </c>
      <c r="F469" s="265" t="s">
        <v>48</v>
      </c>
      <c r="H469" s="320">
        <v>45215.0</v>
      </c>
      <c r="I469" s="309">
        <v>1.0</v>
      </c>
      <c r="L469" s="311"/>
      <c r="M469" s="313">
        <v>45216.482032314816</v>
      </c>
      <c r="N469" s="313">
        <v>45216.489683645836</v>
      </c>
      <c r="O469" s="314"/>
      <c r="P469" s="314"/>
      <c r="Q469" s="319" t="s">
        <v>31</v>
      </c>
      <c r="R469" s="316">
        <v>0.007638888888322981</v>
      </c>
      <c r="S469" s="317"/>
      <c r="T469" s="317"/>
      <c r="U469" s="317"/>
    </row>
    <row r="470" ht="20.25" customHeight="1" collapsed="1">
      <c r="A470" s="216" t="str">
        <f>IFERROR(__xludf.DUMMYFUNCTION("ARRAYFORMULA(IFERROR(VLOOKUP(REGEXEXTRACT(B470, ""-(\w+)-""), {Data_Validation!$F$16:$F$29, Data_Validation!$E$16:$E$29}, 2, FALSE), """"))
"),"Colorful Tech")</f>
        <v>Colorful Tech</v>
      </c>
      <c r="B470" s="265" t="s">
        <v>2130</v>
      </c>
      <c r="C470" s="265" t="s">
        <v>2131</v>
      </c>
      <c r="E470" s="265" t="s">
        <v>21</v>
      </c>
      <c r="F470" s="265" t="s">
        <v>41</v>
      </c>
      <c r="G470" s="265" t="s">
        <v>89</v>
      </c>
      <c r="H470" s="340">
        <v>45226.0</v>
      </c>
      <c r="I470" s="341"/>
      <c r="J470" s="342">
        <v>5.0</v>
      </c>
      <c r="K470" s="318" t="s">
        <v>1317</v>
      </c>
      <c r="L470" s="311"/>
      <c r="M470" s="312">
        <v>45212.63615853009</v>
      </c>
      <c r="N470" s="313">
        <v>45226.42855730324</v>
      </c>
      <c r="O470" s="343"/>
      <c r="P470" s="343"/>
      <c r="Q470" s="315"/>
      <c r="R470" s="241">
        <v>0.175</v>
      </c>
      <c r="S470" s="317"/>
      <c r="T470" s="317"/>
      <c r="U470" s="317"/>
    </row>
    <row r="471" ht="20.25" hidden="1" customHeight="1" outlineLevel="1">
      <c r="A471" s="216" t="str">
        <f>IFERROR(__xludf.DUMMYFUNCTION("ARRAYFORMULA(IFERROR(VLOOKUP(REGEXEXTRACT(B471, ""-(\w+)-""), {Data_Validation!$F$16:$F$29, Data_Validation!$E$16:$E$29}, 2, FALSE), """"))
"),"Colorful Tech")</f>
        <v>Colorful Tech</v>
      </c>
      <c r="B471" s="265" t="s">
        <v>2132</v>
      </c>
      <c r="D471" s="265" t="s">
        <v>25</v>
      </c>
      <c r="E471" s="265" t="s">
        <v>26</v>
      </c>
      <c r="F471" s="265" t="s">
        <v>22</v>
      </c>
      <c r="G471" s="265" t="s">
        <v>2133</v>
      </c>
      <c r="H471" s="307">
        <v>45209.0</v>
      </c>
      <c r="I471" s="309">
        <v>1.0</v>
      </c>
      <c r="L471" s="311"/>
      <c r="M471" s="313"/>
      <c r="N471" s="313"/>
      <c r="O471" s="314"/>
      <c r="P471" s="314"/>
      <c r="Q471" s="319"/>
      <c r="R471" s="316"/>
      <c r="S471" s="317"/>
      <c r="T471" s="317"/>
      <c r="U471" s="317"/>
    </row>
    <row r="472" ht="20.25" hidden="1" customHeight="1" outlineLevel="1">
      <c r="A472" s="216" t="str">
        <f>IFERROR(__xludf.DUMMYFUNCTION("ARRAYFORMULA(IFERROR(VLOOKUP(REGEXEXTRACT(B472, ""-(\w+)-""), {Data_Validation!$F$16:$F$29, Data_Validation!$E$16:$E$29}, 2, FALSE), """"))
"),"Colorful Tech")</f>
        <v>Colorful Tech</v>
      </c>
      <c r="B472" s="265" t="s">
        <v>2134</v>
      </c>
      <c r="D472" s="265" t="s">
        <v>33</v>
      </c>
      <c r="E472" s="265" t="s">
        <v>26</v>
      </c>
      <c r="F472" s="265" t="s">
        <v>747</v>
      </c>
      <c r="H472" s="307">
        <v>45206.0</v>
      </c>
      <c r="I472" s="309">
        <v>1.0</v>
      </c>
      <c r="L472" s="311"/>
      <c r="M472" s="313"/>
      <c r="N472" s="313"/>
      <c r="O472" s="314"/>
      <c r="P472" s="314"/>
      <c r="Q472" s="319"/>
      <c r="R472" s="316"/>
      <c r="S472" s="317"/>
      <c r="T472" s="317"/>
      <c r="U472" s="317"/>
    </row>
    <row r="473" ht="20.25" hidden="1" customHeight="1" outlineLevel="1">
      <c r="A473" s="216" t="str">
        <f>IFERROR(__xludf.DUMMYFUNCTION("ARRAYFORMULA(IFERROR(VLOOKUP(REGEXEXTRACT(B473, ""-(\w+)-""), {Data_Validation!$F$16:$F$29, Data_Validation!$E$16:$E$29}, 2, FALSE), """"))
"),"Colorful Tech")</f>
        <v>Colorful Tech</v>
      </c>
      <c r="B473" s="265" t="s">
        <v>2135</v>
      </c>
      <c r="D473" s="265" t="s">
        <v>274</v>
      </c>
      <c r="E473" s="265" t="s">
        <v>26</v>
      </c>
      <c r="F473" s="265" t="s">
        <v>27</v>
      </c>
      <c r="H473" s="307">
        <v>45209.0</v>
      </c>
      <c r="I473" s="309">
        <v>1.0</v>
      </c>
      <c r="L473" s="311"/>
      <c r="M473" s="313">
        <v>45211.744631759255</v>
      </c>
      <c r="N473" s="313">
        <v>45213.49957886574</v>
      </c>
      <c r="O473" s="314" t="s">
        <v>2136</v>
      </c>
      <c r="P473" s="314" t="s">
        <v>2137</v>
      </c>
      <c r="Q473" s="319" t="s">
        <v>31</v>
      </c>
      <c r="R473" s="316">
        <v>0.08472222222189885</v>
      </c>
      <c r="S473" s="317"/>
      <c r="T473" s="317"/>
      <c r="U473" s="317"/>
    </row>
    <row r="474" ht="20.25" hidden="1" customHeight="1" outlineLevel="1">
      <c r="A474" s="216" t="str">
        <f>IFERROR(__xludf.DUMMYFUNCTION("ARRAYFORMULA(IFERROR(VLOOKUP(REGEXEXTRACT(B474, ""-(\w+)-""), {Data_Validation!$F$16:$F$29, Data_Validation!$E$16:$E$29}, 2, FALSE), """"))
"),"Colorful Tech")</f>
        <v>Colorful Tech</v>
      </c>
      <c r="B474" s="265" t="s">
        <v>2138</v>
      </c>
      <c r="D474" s="265" t="s">
        <v>40</v>
      </c>
      <c r="E474" s="265" t="s">
        <v>26</v>
      </c>
      <c r="F474" s="265" t="s">
        <v>236</v>
      </c>
      <c r="G474" s="265" t="s">
        <v>34</v>
      </c>
      <c r="H474" s="307">
        <v>45209.0</v>
      </c>
      <c r="I474" s="309">
        <v>1.0</v>
      </c>
      <c r="L474" s="311"/>
      <c r="M474" s="313"/>
      <c r="N474" s="313"/>
      <c r="O474" s="314"/>
      <c r="P474" s="314"/>
      <c r="Q474" s="319"/>
      <c r="R474" s="316"/>
      <c r="S474" s="317"/>
      <c r="T474" s="317"/>
      <c r="U474" s="317"/>
    </row>
    <row r="475" ht="20.25" hidden="1" customHeight="1" outlineLevel="1">
      <c r="A475" s="216" t="str">
        <f>IFERROR(__xludf.DUMMYFUNCTION("ARRAYFORMULA(IFERROR(VLOOKUP(REGEXEXTRACT(B475, ""-(\w+)-""), {Data_Validation!$F$16:$F$29, Data_Validation!$E$16:$E$29}, 2, FALSE), """"))
"),"Colorful Tech")</f>
        <v>Colorful Tech</v>
      </c>
      <c r="B475" s="265" t="s">
        <v>2139</v>
      </c>
      <c r="D475" s="265" t="s">
        <v>112</v>
      </c>
      <c r="E475" s="265" t="s">
        <v>26</v>
      </c>
      <c r="F475" s="265" t="s">
        <v>48</v>
      </c>
      <c r="H475" s="307">
        <v>45212.0</v>
      </c>
      <c r="I475" s="309">
        <v>1.0</v>
      </c>
      <c r="L475" s="311"/>
      <c r="M475" s="313">
        <v>45211.738078703704</v>
      </c>
      <c r="N475" s="313">
        <v>45211.74349291666</v>
      </c>
      <c r="O475" s="314"/>
      <c r="P475" s="314"/>
      <c r="Q475" s="319" t="s">
        <v>31</v>
      </c>
      <c r="R475" s="316">
        <v>0.004861111112404615</v>
      </c>
      <c r="S475" s="317"/>
      <c r="T475" s="317"/>
      <c r="U475" s="317"/>
    </row>
    <row r="476" ht="20.25" hidden="1" customHeight="1" outlineLevel="1">
      <c r="A476" s="216" t="str">
        <f>IFERROR(__xludf.DUMMYFUNCTION("ARRAYFORMULA(IFERROR(VLOOKUP(REGEXEXTRACT(B476, ""-(\w+)-""), {Data_Validation!$F$16:$F$29, Data_Validation!$E$16:$E$29}, 2, FALSE), """"))
"),"Colorful Tech")</f>
        <v>Colorful Tech</v>
      </c>
      <c r="B476" s="265" t="s">
        <v>2140</v>
      </c>
      <c r="D476" s="265" t="s">
        <v>47</v>
      </c>
      <c r="E476" s="265" t="s">
        <v>26</v>
      </c>
      <c r="F476" s="265" t="s">
        <v>48</v>
      </c>
      <c r="H476" s="307">
        <v>45213.0</v>
      </c>
      <c r="I476" s="309">
        <v>1.0</v>
      </c>
      <c r="L476" s="311"/>
      <c r="M476" s="313">
        <v>45213.52080020834</v>
      </c>
      <c r="N476" s="313">
        <v>45213.52196201389</v>
      </c>
      <c r="O476" s="314"/>
      <c r="P476" s="314"/>
      <c r="Q476" s="319" t="s">
        <v>31</v>
      </c>
      <c r="R476" s="316">
        <v>6.944444430700969E-4</v>
      </c>
      <c r="S476" s="317"/>
      <c r="T476" s="317"/>
      <c r="U476" s="317"/>
    </row>
    <row r="477" ht="20.25" customHeight="1" collapsed="1">
      <c r="A477" s="216" t="str">
        <f>IFERROR(__xludf.DUMMYFUNCTION("ARRAYFORMULA(IFERROR(VLOOKUP(REGEXEXTRACT(B477, ""-(\w+)-""), {Data_Validation!$F$16:$F$29, Data_Validation!$E$16:$E$29}, 2, FALSE), """"))
"),"TheMVP")</f>
        <v>TheMVP</v>
      </c>
      <c r="B477" s="301" t="s">
        <v>2141</v>
      </c>
      <c r="C477" s="344" t="s">
        <v>2142</v>
      </c>
      <c r="D477" s="301"/>
      <c r="E477" s="301" t="s">
        <v>21</v>
      </c>
      <c r="F477" s="301" t="s">
        <v>27</v>
      </c>
      <c r="G477" s="301" t="s">
        <v>63</v>
      </c>
      <c r="H477" s="345">
        <v>45215.0</v>
      </c>
      <c r="I477" s="308"/>
      <c r="J477" s="346">
        <v>5.0</v>
      </c>
      <c r="K477" s="301"/>
      <c r="L477" s="347"/>
      <c r="M477" s="348">
        <v>45215.59325489584</v>
      </c>
      <c r="N477" s="348">
        <v>45216.56063310185</v>
      </c>
      <c r="O477" s="349"/>
      <c r="P477" s="349"/>
      <c r="Q477" s="301"/>
      <c r="R477" s="350">
        <v>0.23888888888905058</v>
      </c>
      <c r="S477" s="351"/>
      <c r="T477" s="351"/>
      <c r="U477" s="351"/>
    </row>
    <row r="478" ht="20.25" hidden="1" customHeight="1" outlineLevel="1">
      <c r="A478" s="216" t="str">
        <f>IFERROR(__xludf.DUMMYFUNCTION("ARRAYFORMULA(IFERROR(VLOOKUP(REGEXEXTRACT(B478, ""-(\w+)-""), {Data_Validation!$F$16:$F$29, Data_Validation!$E$16:$E$29}, 2, FALSE), """"))
"),"TheMVP")</f>
        <v>TheMVP</v>
      </c>
      <c r="B478" s="301" t="s">
        <v>2143</v>
      </c>
      <c r="C478" s="301"/>
      <c r="D478" s="301" t="s">
        <v>25</v>
      </c>
      <c r="E478" s="301" t="s">
        <v>26</v>
      </c>
      <c r="F478" s="301" t="s">
        <v>27</v>
      </c>
      <c r="G478" s="301" t="s">
        <v>2144</v>
      </c>
      <c r="H478" s="345">
        <v>45215.0</v>
      </c>
      <c r="I478" s="346">
        <v>1.0</v>
      </c>
      <c r="J478" s="301"/>
      <c r="K478" s="301"/>
      <c r="L478" s="347"/>
      <c r="M478" s="348">
        <v>45215.59325489584</v>
      </c>
      <c r="N478" s="348">
        <v>45216.408457847225</v>
      </c>
      <c r="O478" s="349" t="s">
        <v>2145</v>
      </c>
      <c r="P478" s="349" t="s">
        <v>2146</v>
      </c>
      <c r="Q478" s="352" t="s">
        <v>31</v>
      </c>
      <c r="R478" s="350">
        <v>0.11458333333212067</v>
      </c>
      <c r="S478" s="351"/>
      <c r="T478" s="351"/>
      <c r="U478" s="351"/>
    </row>
    <row r="479" ht="20.25" hidden="1" customHeight="1" outlineLevel="1">
      <c r="A479" s="216" t="str">
        <f>IFERROR(__xludf.DUMMYFUNCTION("ARRAYFORMULA(IFERROR(VLOOKUP(REGEXEXTRACT(B479, ""-(\w+)-""), {Data_Validation!$F$16:$F$29, Data_Validation!$E$16:$E$29}, 2, FALSE), """"))
"),"TheMVP")</f>
        <v>TheMVP</v>
      </c>
      <c r="B479" s="301" t="s">
        <v>2147</v>
      </c>
      <c r="C479" s="301"/>
      <c r="D479" s="301" t="s">
        <v>112</v>
      </c>
      <c r="E479" s="301" t="s">
        <v>26</v>
      </c>
      <c r="F479" s="301" t="s">
        <v>48</v>
      </c>
      <c r="G479" s="301"/>
      <c r="H479" s="345">
        <v>45215.0</v>
      </c>
      <c r="I479" s="346">
        <v>1.0</v>
      </c>
      <c r="J479" s="301"/>
      <c r="K479" s="301"/>
      <c r="L479" s="347"/>
      <c r="M479" s="348">
        <v>45215.74425179398</v>
      </c>
      <c r="N479" s="348">
        <v>45215.74776453704</v>
      </c>
      <c r="O479" s="349"/>
      <c r="P479" s="349"/>
      <c r="Q479" s="352" t="s">
        <v>31</v>
      </c>
      <c r="R479" s="350">
        <v>0.003472222222626442</v>
      </c>
      <c r="S479" s="351"/>
      <c r="T479" s="351"/>
      <c r="U479" s="351"/>
    </row>
    <row r="480" ht="20.25" hidden="1" customHeight="1" outlineLevel="1">
      <c r="A480" s="216" t="str">
        <f>IFERROR(__xludf.DUMMYFUNCTION("ARRAYFORMULA(IFERROR(VLOOKUP(REGEXEXTRACT(B480, ""-(\w+)-""), {Data_Validation!$F$16:$F$29, Data_Validation!$E$16:$E$29}, 2, FALSE), """"))
"),"TheMVP")</f>
        <v>TheMVP</v>
      </c>
      <c r="B480" s="301" t="s">
        <v>2148</v>
      </c>
      <c r="C480" s="301"/>
      <c r="D480" s="301" t="s">
        <v>40</v>
      </c>
      <c r="E480" s="301" t="s">
        <v>26</v>
      </c>
      <c r="F480" s="301" t="s">
        <v>27</v>
      </c>
      <c r="G480" s="301"/>
      <c r="H480" s="345">
        <v>45215.0</v>
      </c>
      <c r="I480" s="346">
        <v>1.0</v>
      </c>
      <c r="J480" s="301"/>
      <c r="K480" s="301"/>
      <c r="L480" s="347"/>
      <c r="M480" s="348">
        <v>45215.749732847224</v>
      </c>
      <c r="N480" s="348">
        <v>45216.40859601852</v>
      </c>
      <c r="O480" s="349" t="s">
        <v>2149</v>
      </c>
      <c r="P480" s="349" t="s">
        <v>2150</v>
      </c>
      <c r="Q480" s="352" t="s">
        <v>31</v>
      </c>
      <c r="R480" s="350">
        <v>0.11180555555620231</v>
      </c>
      <c r="S480" s="351"/>
      <c r="T480" s="351"/>
      <c r="U480" s="351"/>
    </row>
    <row r="481" ht="20.25" hidden="1" customHeight="1" outlineLevel="1">
      <c r="A481" s="216" t="str">
        <f>IFERROR(__xludf.DUMMYFUNCTION("ARRAYFORMULA(IFERROR(VLOOKUP(REGEXEXTRACT(B481, ""-(\w+)-""), {Data_Validation!$F$16:$F$29, Data_Validation!$E$16:$E$29}, 2, FALSE), """"))
"),"TheMVP")</f>
        <v>TheMVP</v>
      </c>
      <c r="B481" s="301" t="s">
        <v>2151</v>
      </c>
      <c r="C481" s="301"/>
      <c r="D481" s="301" t="s">
        <v>45</v>
      </c>
      <c r="E481" s="301" t="s">
        <v>26</v>
      </c>
      <c r="F481" s="301" t="s">
        <v>41</v>
      </c>
      <c r="G481" s="301"/>
      <c r="H481" s="345">
        <v>45215.0</v>
      </c>
      <c r="I481" s="346">
        <v>1.0</v>
      </c>
      <c r="J481" s="301"/>
      <c r="K481" s="301"/>
      <c r="L481" s="347"/>
      <c r="M481" s="348">
        <v>45216.52846332176</v>
      </c>
      <c r="N481" s="348">
        <v>45216.56063310185</v>
      </c>
      <c r="O481" s="349" t="s">
        <v>2152</v>
      </c>
      <c r="P481" s="349" t="s">
        <v>2153</v>
      </c>
      <c r="Q481" s="352" t="s">
        <v>31</v>
      </c>
      <c r="R481" s="350">
        <v>0.008333333335031057</v>
      </c>
      <c r="S481" s="351"/>
      <c r="T481" s="351"/>
      <c r="U481" s="351"/>
    </row>
    <row r="482" ht="20.25" hidden="1" customHeight="1" outlineLevel="1">
      <c r="A482" s="216" t="str">
        <f>IFERROR(__xludf.DUMMYFUNCTION("ARRAYFORMULA(IFERROR(VLOOKUP(REGEXEXTRACT(B482, ""-(\w+)-""), {Data_Validation!$F$16:$F$29, Data_Validation!$E$16:$E$29}, 2, FALSE), """"))
"),"TheMVP")</f>
        <v>TheMVP</v>
      </c>
      <c r="B482" s="301" t="s">
        <v>2154</v>
      </c>
      <c r="C482" s="301"/>
      <c r="D482" s="301" t="s">
        <v>47</v>
      </c>
      <c r="E482" s="301" t="s">
        <v>26</v>
      </c>
      <c r="F482" s="301" t="s">
        <v>27</v>
      </c>
      <c r="G482" s="301"/>
      <c r="H482" s="345">
        <v>45215.0</v>
      </c>
      <c r="I482" s="346">
        <v>1.0</v>
      </c>
      <c r="J482" s="301"/>
      <c r="K482" s="301"/>
      <c r="L482" s="347"/>
      <c r="M482" s="348">
        <v>45216.43514372685</v>
      </c>
      <c r="N482" s="348">
        <v>45216.43589929398</v>
      </c>
      <c r="O482" s="349"/>
      <c r="P482" s="349"/>
      <c r="Q482" s="352" t="s">
        <v>31</v>
      </c>
      <c r="R482" s="350">
        <v>6.944444430700969E-4</v>
      </c>
      <c r="S482" s="351"/>
      <c r="T482" s="351"/>
      <c r="U482" s="351"/>
    </row>
    <row r="483" ht="20.25" customHeight="1" collapsed="1">
      <c r="A483" s="216" t="str">
        <f>IFERROR(__xludf.DUMMYFUNCTION("ARRAYFORMULA(IFERROR(VLOOKUP(REGEXEXTRACT(B483, ""-(\w+)-""), {Data_Validation!$F$16:$F$29, Data_Validation!$E$16:$E$29}, 2, FALSE), """"))
"),"Inno3D")</f>
        <v>Inno3D</v>
      </c>
      <c r="B483" s="301" t="s">
        <v>2155</v>
      </c>
      <c r="C483" s="344" t="s">
        <v>2156</v>
      </c>
      <c r="D483" s="301"/>
      <c r="E483" s="301" t="s">
        <v>51</v>
      </c>
      <c r="F483" s="301" t="s">
        <v>41</v>
      </c>
      <c r="G483" s="301" t="s">
        <v>23</v>
      </c>
      <c r="H483" s="353">
        <v>45216.0</v>
      </c>
      <c r="I483" s="308"/>
      <c r="J483" s="346">
        <v>1.5</v>
      </c>
      <c r="K483" s="301"/>
      <c r="L483" s="347"/>
      <c r="M483" s="348">
        <v>45216.74194579861</v>
      </c>
      <c r="N483" s="348">
        <v>45217.43781209491</v>
      </c>
      <c r="O483" s="349"/>
      <c r="P483" s="349"/>
      <c r="Q483" s="301"/>
      <c r="R483" s="350">
        <v>0.030555555556929903</v>
      </c>
      <c r="S483" s="351"/>
      <c r="T483" s="351"/>
      <c r="U483" s="351"/>
    </row>
    <row r="484" ht="20.25" hidden="1" customHeight="1" outlineLevel="1">
      <c r="A484" s="216" t="str">
        <f>IFERROR(__xludf.DUMMYFUNCTION("ARRAYFORMULA(IFERROR(VLOOKUP(REGEXEXTRACT(B484, ""-(\w+)-""), {Data_Validation!$F$16:$F$29, Data_Validation!$E$16:$E$29}, 2, FALSE), """"))
"),"Inno3D")</f>
        <v>Inno3D</v>
      </c>
      <c r="B484" s="301" t="s">
        <v>2157</v>
      </c>
      <c r="C484" s="301"/>
      <c r="D484" s="301" t="s">
        <v>125</v>
      </c>
      <c r="E484" s="301" t="s">
        <v>26</v>
      </c>
      <c r="F484" s="301" t="s">
        <v>41</v>
      </c>
      <c r="G484" s="301"/>
      <c r="H484" s="353">
        <v>45216.0</v>
      </c>
      <c r="I484" s="346">
        <v>1.0</v>
      </c>
      <c r="J484" s="301"/>
      <c r="K484" s="301"/>
      <c r="L484" s="347"/>
      <c r="M484" s="354"/>
      <c r="N484" s="354"/>
      <c r="O484" s="349"/>
      <c r="P484" s="349"/>
      <c r="Q484" s="301"/>
      <c r="R484" s="355"/>
      <c r="S484" s="356"/>
      <c r="T484" s="356"/>
      <c r="U484" s="356"/>
    </row>
    <row r="485" ht="20.25" customHeight="1" collapsed="1">
      <c r="A485" s="216" t="str">
        <f>IFERROR(__xludf.DUMMYFUNCTION("ARRAYFORMULA(IFERROR(VLOOKUP(REGEXEXTRACT(B485, ""-(\w+)-""), {Data_Validation!$F$16:$F$29, Data_Validation!$E$16:$E$29}, 2, FALSE), """"))
"),"Nvidia")</f>
        <v>Nvidia</v>
      </c>
      <c r="B485" s="265" t="s">
        <v>491</v>
      </c>
      <c r="C485" s="265" t="s">
        <v>492</v>
      </c>
      <c r="D485" s="265"/>
      <c r="E485" s="265" t="s">
        <v>21</v>
      </c>
      <c r="F485" s="265" t="s">
        <v>41</v>
      </c>
      <c r="G485" s="265" t="s">
        <v>23</v>
      </c>
      <c r="H485" s="307">
        <v>45178.0</v>
      </c>
      <c r="I485" s="308"/>
      <c r="J485" s="309">
        <v>1.0</v>
      </c>
      <c r="L485" s="311"/>
      <c r="M485" s="313"/>
      <c r="N485" s="313"/>
      <c r="O485" s="314"/>
      <c r="P485" s="314"/>
      <c r="Q485" s="319"/>
      <c r="R485" s="316"/>
      <c r="S485" s="317"/>
      <c r="T485" s="317"/>
      <c r="U485" s="317"/>
    </row>
    <row r="486" ht="20.25" hidden="1" customHeight="1" outlineLevel="1">
      <c r="A486" s="216" t="str">
        <f>IFERROR(__xludf.DUMMYFUNCTION("ARRAYFORMULA(IFERROR(VLOOKUP(REGEXEXTRACT(B486, ""-(\w+)-""), {Data_Validation!$F$16:$F$29, Data_Validation!$E$16:$E$29}, 2, FALSE), """"))
"),"Nvidia")</f>
        <v>Nvidia</v>
      </c>
      <c r="B486" s="265" t="s">
        <v>493</v>
      </c>
      <c r="D486" s="265" t="s">
        <v>25</v>
      </c>
      <c r="E486" s="265" t="s">
        <v>26</v>
      </c>
      <c r="F486" s="265" t="s">
        <v>22</v>
      </c>
      <c r="G486" s="265" t="s">
        <v>494</v>
      </c>
      <c r="H486" s="307">
        <v>45188.0</v>
      </c>
      <c r="I486" s="309">
        <v>1.0</v>
      </c>
      <c r="L486" s="311"/>
      <c r="M486" s="313"/>
      <c r="N486" s="313"/>
      <c r="O486" s="314"/>
      <c r="P486" s="314"/>
      <c r="Q486" s="319"/>
      <c r="R486" s="316"/>
      <c r="S486" s="317" t="s">
        <v>1378</v>
      </c>
      <c r="T486" s="317">
        <v>1.02</v>
      </c>
      <c r="U486" s="317"/>
    </row>
    <row r="487" ht="20.25" customHeight="1" collapsed="1">
      <c r="A487" s="216" t="str">
        <f>IFERROR(__xludf.DUMMYFUNCTION("ARRAYFORMULA(IFERROR(VLOOKUP(REGEXEXTRACT(B487, ""-(\w+)-""), {Data_Validation!$F$16:$F$29, Data_Validation!$E$16:$E$29}, 2, FALSE), """"))
"),"Inno3D")</f>
        <v>Inno3D</v>
      </c>
      <c r="B487" s="265" t="s">
        <v>2158</v>
      </c>
      <c r="C487" s="265" t="s">
        <v>2159</v>
      </c>
      <c r="D487" s="265"/>
      <c r="E487" s="265" t="s">
        <v>21</v>
      </c>
      <c r="F487" s="265" t="s">
        <v>41</v>
      </c>
      <c r="G487" s="265" t="s">
        <v>63</v>
      </c>
      <c r="H487" s="307">
        <v>45217.0</v>
      </c>
      <c r="I487" s="308"/>
      <c r="J487" s="309">
        <v>2.0</v>
      </c>
      <c r="L487" s="311"/>
      <c r="M487" s="313">
        <v>45217.460431493055</v>
      </c>
      <c r="N487" s="313">
        <v>45217.84189178241</v>
      </c>
      <c r="O487" s="314"/>
      <c r="P487" s="314"/>
      <c r="Q487" s="319"/>
      <c r="R487" s="316">
        <v>0.08194444444598048</v>
      </c>
      <c r="S487" s="317" t="s">
        <v>1394</v>
      </c>
      <c r="T487" s="317">
        <v>4.0</v>
      </c>
      <c r="U487" s="317"/>
    </row>
    <row r="488" ht="20.25" hidden="1" customHeight="1" outlineLevel="1">
      <c r="A488" s="216" t="str">
        <f>IFERROR(__xludf.DUMMYFUNCTION("ARRAYFORMULA(IFERROR(VLOOKUP(REGEXEXTRACT(B488, ""-(\w+)-""), {Data_Validation!$F$16:$F$29, Data_Validation!$E$16:$E$29}, 2, FALSE), """"))
"),"Inno3D")</f>
        <v>Inno3D</v>
      </c>
      <c r="B488" s="265" t="s">
        <v>2160</v>
      </c>
      <c r="D488" s="265" t="s">
        <v>121</v>
      </c>
      <c r="E488" s="265" t="s">
        <v>26</v>
      </c>
      <c r="F488" s="265" t="s">
        <v>41</v>
      </c>
      <c r="G488" s="265"/>
      <c r="H488" s="307">
        <v>45216.0</v>
      </c>
      <c r="I488" s="309">
        <v>1.0</v>
      </c>
      <c r="L488" s="311"/>
      <c r="M488" s="313">
        <v>45217.460431493055</v>
      </c>
      <c r="N488" s="313">
        <v>45217.83211783565</v>
      </c>
      <c r="O488" s="314" t="s">
        <v>2161</v>
      </c>
      <c r="P488" s="314" t="s">
        <v>2162</v>
      </c>
      <c r="Q488" s="319" t="s">
        <v>31</v>
      </c>
      <c r="R488" s="316">
        <v>0.0812499999992724</v>
      </c>
      <c r="S488" s="317"/>
      <c r="T488" s="317"/>
      <c r="U488" s="317"/>
    </row>
    <row r="489" ht="20.25" hidden="1" customHeight="1" outlineLevel="1">
      <c r="A489" s="216" t="str">
        <f>IFERROR(__xludf.DUMMYFUNCTION("ARRAYFORMULA(IFERROR(VLOOKUP(REGEXEXTRACT(B489, ""-(\w+)-""), {Data_Validation!$F$16:$F$29, Data_Validation!$E$16:$E$29}, 2, FALSE), """"))
"),"Inno3D")</f>
        <v>Inno3D</v>
      </c>
      <c r="B489" s="265" t="s">
        <v>2163</v>
      </c>
      <c r="D489" s="265" t="s">
        <v>47</v>
      </c>
      <c r="E489" s="265" t="s">
        <v>26</v>
      </c>
      <c r="F489" s="265" t="s">
        <v>41</v>
      </c>
      <c r="G489" s="265"/>
      <c r="H489" s="307">
        <v>45217.0</v>
      </c>
      <c r="I489" s="309">
        <v>1.0</v>
      </c>
      <c r="L489" s="311"/>
      <c r="M489" s="313">
        <v>45217.84074113426</v>
      </c>
      <c r="N489" s="313">
        <v>45217.84189178241</v>
      </c>
      <c r="O489" s="314"/>
      <c r="P489" s="314"/>
      <c r="Q489" s="319" t="s">
        <v>31</v>
      </c>
      <c r="R489" s="316">
        <v>6.944444430700969E-4</v>
      </c>
      <c r="S489" s="317"/>
      <c r="T489" s="317"/>
      <c r="U489" s="317"/>
    </row>
    <row r="490" ht="20.25" customHeight="1" collapsed="1">
      <c r="A490" s="216" t="str">
        <f>IFERROR(__xludf.DUMMYFUNCTION("ARRAYFORMULA(IFERROR(VLOOKUP(REGEXEXTRACT(B490, ""-(\w+)-""), {Data_Validation!$F$16:$F$29, Data_Validation!$E$16:$E$29}, 2, FALSE), """"))
"),"TheMVP")</f>
        <v>TheMVP</v>
      </c>
      <c r="B490" s="265" t="s">
        <v>2164</v>
      </c>
      <c r="C490" s="265" t="s">
        <v>2165</v>
      </c>
      <c r="D490" s="265"/>
      <c r="E490" s="265" t="s">
        <v>21</v>
      </c>
      <c r="F490" s="265" t="s">
        <v>27</v>
      </c>
      <c r="G490" s="265" t="s">
        <v>79</v>
      </c>
      <c r="H490" s="320">
        <v>45217.0</v>
      </c>
      <c r="I490" s="308"/>
      <c r="J490" s="309">
        <v>6.0</v>
      </c>
      <c r="L490" s="311"/>
      <c r="M490" s="313">
        <v>45216.4160137037</v>
      </c>
      <c r="N490" s="313">
        <v>45218.42156004629</v>
      </c>
      <c r="O490" s="314"/>
      <c r="P490" s="314"/>
      <c r="Q490" s="319"/>
      <c r="R490" s="316">
        <v>0.19583333333503106</v>
      </c>
      <c r="S490" s="317" t="s">
        <v>1368</v>
      </c>
      <c r="T490" s="317">
        <v>65.0</v>
      </c>
      <c r="U490" s="317"/>
    </row>
    <row r="491" ht="20.25" hidden="1" customHeight="1" outlineLevel="1">
      <c r="A491" s="216" t="str">
        <f>IFERROR(__xludf.DUMMYFUNCTION("ARRAYFORMULA(IFERROR(VLOOKUP(REGEXEXTRACT(B491, ""-(\w+)-""), {Data_Validation!$F$16:$F$29, Data_Validation!$E$16:$E$29}, 2, FALSE), """"))
"),"TheMVP")</f>
        <v>TheMVP</v>
      </c>
      <c r="B491" s="265" t="s">
        <v>2166</v>
      </c>
      <c r="D491" s="265" t="s">
        <v>25</v>
      </c>
      <c r="E491" s="265" t="s">
        <v>26</v>
      </c>
      <c r="F491" s="265" t="s">
        <v>22</v>
      </c>
      <c r="G491" s="265" t="s">
        <v>2167</v>
      </c>
      <c r="H491" s="320">
        <v>45216.0</v>
      </c>
      <c r="I491" s="309">
        <v>1.0</v>
      </c>
      <c r="L491" s="311"/>
      <c r="M491" s="313">
        <v>45216.4160137037</v>
      </c>
      <c r="N491" s="313">
        <v>45216.58712002315</v>
      </c>
      <c r="O491" s="314" t="s">
        <v>2168</v>
      </c>
      <c r="P491" s="314" t="s">
        <v>2169</v>
      </c>
      <c r="Q491" s="319" t="s">
        <v>31</v>
      </c>
      <c r="R491" s="316">
        <v>0.020138888889050577</v>
      </c>
      <c r="S491" s="317" t="s">
        <v>1368</v>
      </c>
      <c r="T491" s="317">
        <v>65.01</v>
      </c>
      <c r="U491" s="317"/>
    </row>
    <row r="492" ht="20.25" hidden="1" customHeight="1" outlineLevel="1">
      <c r="A492" s="216" t="str">
        <f>IFERROR(__xludf.DUMMYFUNCTION("ARRAYFORMULA(IFERROR(VLOOKUP(REGEXEXTRACT(B492, ""-(\w+)-""), {Data_Validation!$F$16:$F$29, Data_Validation!$E$16:$E$29}, 2, FALSE), """"))
"),"TheMVP")</f>
        <v>TheMVP</v>
      </c>
      <c r="B492" s="265" t="s">
        <v>2170</v>
      </c>
      <c r="D492" s="265" t="s">
        <v>33</v>
      </c>
      <c r="E492" s="265" t="s">
        <v>26</v>
      </c>
      <c r="F492" s="265" t="s">
        <v>41</v>
      </c>
      <c r="G492" s="265"/>
      <c r="H492" s="320">
        <v>45200.0</v>
      </c>
      <c r="I492" s="309">
        <v>1.0</v>
      </c>
      <c r="L492" s="311"/>
      <c r="M492" s="313">
        <v>45216.44856238426</v>
      </c>
      <c r="N492" s="313">
        <v>45216.7393041551</v>
      </c>
      <c r="O492" s="314" t="s">
        <v>2171</v>
      </c>
      <c r="P492" s="314" t="s">
        <v>2172</v>
      </c>
      <c r="Q492" s="319" t="s">
        <v>31</v>
      </c>
      <c r="R492" s="316">
        <v>0.02361111111167702</v>
      </c>
      <c r="S492" s="317" t="s">
        <v>1368</v>
      </c>
      <c r="T492" s="317">
        <v>65.02</v>
      </c>
      <c r="U492" s="317"/>
    </row>
    <row r="493" ht="20.25" hidden="1" customHeight="1" outlineLevel="1">
      <c r="A493" s="216" t="str">
        <f>IFERROR(__xludf.DUMMYFUNCTION("ARRAYFORMULA(IFERROR(VLOOKUP(REGEXEXTRACT(B493, ""-(\w+)-""), {Data_Validation!$F$16:$F$29, Data_Validation!$E$16:$E$29}, 2, FALSE), """"))
"),"TheMVP")</f>
        <v>TheMVP</v>
      </c>
      <c r="B493" s="265" t="s">
        <v>2173</v>
      </c>
      <c r="D493" s="265" t="s">
        <v>38</v>
      </c>
      <c r="E493" s="265" t="s">
        <v>26</v>
      </c>
      <c r="F493" s="265" t="s">
        <v>27</v>
      </c>
      <c r="G493" s="265"/>
      <c r="H493" s="320">
        <v>45216.0</v>
      </c>
      <c r="I493" s="309">
        <v>1.0</v>
      </c>
      <c r="L493" s="311"/>
      <c r="M493" s="313">
        <v>45216.4658493287</v>
      </c>
      <c r="N493" s="313">
        <v>45216.99017225695</v>
      </c>
      <c r="O493" s="314" t="s">
        <v>2174</v>
      </c>
      <c r="P493" s="314" t="s">
        <v>2175</v>
      </c>
      <c r="Q493" s="319" t="s">
        <v>31</v>
      </c>
      <c r="R493" s="316">
        <v>0.11666666666496894</v>
      </c>
      <c r="S493" s="317" t="s">
        <v>1368</v>
      </c>
      <c r="T493" s="317">
        <v>65.04</v>
      </c>
      <c r="U493" s="317"/>
    </row>
    <row r="494" ht="20.25" hidden="1" customHeight="1" outlineLevel="1">
      <c r="A494" s="216" t="str">
        <f>IFERROR(__xludf.DUMMYFUNCTION("ARRAYFORMULA(IFERROR(VLOOKUP(REGEXEXTRACT(B494, ""-(\w+)-""), {Data_Validation!$F$16:$F$29, Data_Validation!$E$16:$E$29}, 2, FALSE), """"))
"),"TheMVP")</f>
        <v>TheMVP</v>
      </c>
      <c r="B494" s="265" t="s">
        <v>2176</v>
      </c>
      <c r="D494" s="265" t="s">
        <v>40</v>
      </c>
      <c r="E494" s="265" t="s">
        <v>26</v>
      </c>
      <c r="F494" s="265" t="s">
        <v>236</v>
      </c>
      <c r="G494" s="265" t="s">
        <v>237</v>
      </c>
      <c r="H494" s="320">
        <v>45216.0</v>
      </c>
      <c r="I494" s="309">
        <v>1.0</v>
      </c>
      <c r="L494" s="311"/>
      <c r="M494" s="313">
        <v>45216.815069606484</v>
      </c>
      <c r="N494" s="313">
        <v>45218.42142515046</v>
      </c>
      <c r="O494" s="314" t="s">
        <v>2177</v>
      </c>
      <c r="P494" s="314" t="s">
        <v>2178</v>
      </c>
      <c r="Q494" s="319" t="s">
        <v>31</v>
      </c>
      <c r="R494" s="316">
        <v>0.01180555555401952</v>
      </c>
      <c r="S494" s="317"/>
      <c r="T494" s="317"/>
      <c r="U494" s="317"/>
    </row>
    <row r="495" ht="20.25" hidden="1" customHeight="1" outlineLevel="1">
      <c r="A495" s="216" t="str">
        <f>IFERROR(__xludf.DUMMYFUNCTION("ARRAYFORMULA(IFERROR(VLOOKUP(REGEXEXTRACT(B495, ""-(\w+)-""), {Data_Validation!$F$16:$F$29, Data_Validation!$E$16:$E$29}, 2, FALSE), """"))
"),"TheMVP")</f>
        <v>TheMVP</v>
      </c>
      <c r="B495" s="265" t="s">
        <v>2179</v>
      </c>
      <c r="D495" s="265" t="s">
        <v>45</v>
      </c>
      <c r="E495" s="265" t="s">
        <v>26</v>
      </c>
      <c r="F495" s="265" t="s">
        <v>41</v>
      </c>
      <c r="G495" s="265"/>
      <c r="H495" s="320">
        <v>45217.0</v>
      </c>
      <c r="I495" s="309">
        <v>1.0</v>
      </c>
      <c r="L495" s="311"/>
      <c r="M495" s="313">
        <v>45217.765362754624</v>
      </c>
      <c r="N495" s="313">
        <v>45217.84155591435</v>
      </c>
      <c r="O495" s="314" t="s">
        <v>2180</v>
      </c>
      <c r="P495" s="314" t="s">
        <v>2181</v>
      </c>
      <c r="Q495" s="319" t="s">
        <v>31</v>
      </c>
      <c r="R495" s="316">
        <v>0.02361111111167702</v>
      </c>
      <c r="S495" s="317" t="s">
        <v>1368</v>
      </c>
      <c r="T495" s="317">
        <v>65.06</v>
      </c>
      <c r="U495" s="317"/>
    </row>
    <row r="496" ht="20.25" hidden="1" customHeight="1" outlineLevel="1">
      <c r="A496" s="216" t="str">
        <f>IFERROR(__xludf.DUMMYFUNCTION("ARRAYFORMULA(IFERROR(VLOOKUP(REGEXEXTRACT(B496, ""-(\w+)-""), {Data_Validation!$F$16:$F$29, Data_Validation!$E$16:$E$29}, 2, FALSE), """"))
"),"TheMVP")</f>
        <v>TheMVP</v>
      </c>
      <c r="B496" s="265" t="s">
        <v>2182</v>
      </c>
      <c r="D496" s="265" t="s">
        <v>47</v>
      </c>
      <c r="E496" s="265" t="s">
        <v>26</v>
      </c>
      <c r="F496" s="265" t="s">
        <v>27</v>
      </c>
      <c r="G496" s="265"/>
      <c r="H496" s="320">
        <v>45217.0</v>
      </c>
      <c r="I496" s="309">
        <v>1.0</v>
      </c>
      <c r="L496" s="311"/>
      <c r="M496" s="313">
        <v>45218.42146329861</v>
      </c>
      <c r="N496" s="313">
        <v>45218.42156004629</v>
      </c>
      <c r="O496" s="314"/>
      <c r="P496" s="314"/>
      <c r="Q496" s="319" t="s">
        <v>31</v>
      </c>
      <c r="R496" s="316">
        <v>0.0</v>
      </c>
      <c r="S496" s="317" t="s">
        <v>1368</v>
      </c>
      <c r="T496" s="317">
        <v>65.07</v>
      </c>
      <c r="U496" s="317"/>
    </row>
    <row r="497" ht="20.25" customHeight="1" collapsed="1">
      <c r="A497" s="216" t="str">
        <f>IFERROR(__xludf.DUMMYFUNCTION("ARRAYFORMULA(IFERROR(VLOOKUP(REGEXEXTRACT(B497, ""-(\w+)-""), {Data_Validation!$F$16:$F$29, Data_Validation!$E$16:$E$29}, 2, FALSE), """"))
"),"MaCaw")</f>
        <v>MaCaw</v>
      </c>
      <c r="B497" s="265" t="s">
        <v>753</v>
      </c>
      <c r="C497" s="265" t="s">
        <v>754</v>
      </c>
      <c r="D497" s="265"/>
      <c r="E497" s="265" t="s">
        <v>51</v>
      </c>
      <c r="F497" s="265" t="s">
        <v>34</v>
      </c>
      <c r="G497" s="265" t="s">
        <v>23</v>
      </c>
      <c r="H497" s="307">
        <v>45218.0</v>
      </c>
      <c r="I497" s="308"/>
      <c r="J497" s="309">
        <v>2.0</v>
      </c>
      <c r="L497" s="311"/>
      <c r="M497" s="313">
        <v>45215.74699581019</v>
      </c>
      <c r="N497" s="313">
        <v>45217.64996949074</v>
      </c>
      <c r="O497" s="314"/>
      <c r="P497" s="314"/>
      <c r="Q497" s="319"/>
      <c r="R497" s="316">
        <v>0.7006944444437977</v>
      </c>
      <c r="S497" s="317" t="s">
        <v>1383</v>
      </c>
      <c r="T497" s="317">
        <v>10.0</v>
      </c>
      <c r="U497" s="317"/>
    </row>
    <row r="498" ht="20.25" hidden="1" customHeight="1" outlineLevel="1">
      <c r="A498" s="216" t="str">
        <f>IFERROR(__xludf.DUMMYFUNCTION("ARRAYFORMULA(IFERROR(VLOOKUP(REGEXEXTRACT(B498, ""-(\w+)-""), {Data_Validation!$F$16:$F$29, Data_Validation!$E$16:$E$29}, 2, FALSE), """"))
"),"MaCaw")</f>
        <v>MaCaw</v>
      </c>
      <c r="B498" s="265" t="s">
        <v>755</v>
      </c>
      <c r="D498" s="265" t="s">
        <v>756</v>
      </c>
      <c r="E498" s="265" t="s">
        <v>26</v>
      </c>
      <c r="F498" s="265" t="s">
        <v>34</v>
      </c>
      <c r="G498" s="265" t="s">
        <v>757</v>
      </c>
      <c r="H498" s="307">
        <v>45215.0</v>
      </c>
      <c r="I498" s="309">
        <v>1.0</v>
      </c>
      <c r="L498" s="311"/>
      <c r="M498" s="313">
        <v>45215.74699581019</v>
      </c>
      <c r="N498" s="313">
        <v>45217.64996949074</v>
      </c>
      <c r="O498" s="314" t="s">
        <v>758</v>
      </c>
      <c r="P498" s="314" t="s">
        <v>759</v>
      </c>
      <c r="Q498" s="319" t="s">
        <v>31</v>
      </c>
      <c r="R498" s="316">
        <v>0.7006944444437977</v>
      </c>
      <c r="S498" s="317"/>
      <c r="T498" s="317"/>
      <c r="U498" s="317"/>
    </row>
    <row r="499" ht="20.25" hidden="1" customHeight="1" outlineLevel="1">
      <c r="A499" s="216" t="str">
        <f>IFERROR(__xludf.DUMMYFUNCTION("ARRAYFORMULA(IFERROR(VLOOKUP(REGEXEXTRACT(B499, ""-(\w+)-""), {Data_Validation!$F$16:$F$29, Data_Validation!$E$16:$E$29}, 2, FALSE), """"))
"),"MaCaw")</f>
        <v>MaCaw</v>
      </c>
      <c r="B499" s="265" t="s">
        <v>760</v>
      </c>
      <c r="D499" s="265" t="s">
        <v>47</v>
      </c>
      <c r="E499" s="265" t="s">
        <v>26</v>
      </c>
      <c r="F499" s="265" t="s">
        <v>34</v>
      </c>
      <c r="G499" s="265"/>
      <c r="H499" s="307">
        <v>45218.0</v>
      </c>
      <c r="I499" s="309">
        <v>1.0</v>
      </c>
      <c r="L499" s="311"/>
      <c r="M499" s="313"/>
      <c r="N499" s="313"/>
      <c r="O499" s="314"/>
      <c r="P499" s="314"/>
      <c r="Q499" s="319"/>
      <c r="R499" s="316"/>
      <c r="S499" s="317"/>
      <c r="T499" s="317"/>
      <c r="U499" s="317"/>
    </row>
    <row r="500" ht="20.25" customHeight="1" collapsed="1">
      <c r="A500" s="216" t="str">
        <f>IFERROR(__xludf.DUMMYFUNCTION("ARRAYFORMULA(IFERROR(VLOOKUP(REGEXEXTRACT(B500, ""-(\w+)-""), {Data_Validation!$F$16:$F$29, Data_Validation!$E$16:$E$29}, 2, FALSE), """"))
"),"MaCaw")</f>
        <v>MaCaw</v>
      </c>
      <c r="B500" s="265" t="s">
        <v>744</v>
      </c>
      <c r="C500" s="265" t="s">
        <v>745</v>
      </c>
      <c r="D500" s="265"/>
      <c r="E500" s="265" t="s">
        <v>21</v>
      </c>
      <c r="F500" s="265" t="s">
        <v>34</v>
      </c>
      <c r="G500" s="265" t="s">
        <v>79</v>
      </c>
      <c r="H500" s="307">
        <v>45218.0</v>
      </c>
      <c r="I500" s="308"/>
      <c r="J500" s="309">
        <v>3.0</v>
      </c>
      <c r="L500" s="311"/>
      <c r="M500" s="313">
        <v>45217.481466875004</v>
      </c>
      <c r="N500" s="313">
        <v>45218.80179855324</v>
      </c>
      <c r="O500" s="314"/>
      <c r="P500" s="314"/>
      <c r="Q500" s="319"/>
      <c r="R500" s="316">
        <v>0.05694444444452529</v>
      </c>
      <c r="S500" s="317" t="s">
        <v>1383</v>
      </c>
      <c r="T500" s="317">
        <v>1.0</v>
      </c>
      <c r="U500" s="317"/>
    </row>
    <row r="501" ht="20.25" hidden="1" customHeight="1" outlineLevel="1">
      <c r="A501" s="216" t="str">
        <f>IFERROR(__xludf.DUMMYFUNCTION("ARRAYFORMULA(IFERROR(VLOOKUP(REGEXEXTRACT(B501, ""-(\w+)-""), {Data_Validation!$F$16:$F$29, Data_Validation!$E$16:$E$29}, 2, FALSE), """"))
"),"MaCaw")</f>
        <v>MaCaw</v>
      </c>
      <c r="B501" s="265" t="s">
        <v>746</v>
      </c>
      <c r="D501" s="265" t="s">
        <v>33</v>
      </c>
      <c r="E501" s="265" t="s">
        <v>26</v>
      </c>
      <c r="F501" s="265" t="s">
        <v>747</v>
      </c>
      <c r="G501" s="265"/>
      <c r="H501" s="307">
        <v>45216.0</v>
      </c>
      <c r="I501" s="309">
        <v>1.0</v>
      </c>
      <c r="L501" s="311"/>
      <c r="M501" s="313"/>
      <c r="N501" s="313"/>
      <c r="O501" s="314"/>
      <c r="P501" s="314"/>
      <c r="Q501" s="319"/>
      <c r="R501" s="316"/>
      <c r="S501" s="317" t="s">
        <v>1383</v>
      </c>
      <c r="T501" s="317">
        <v>1.02</v>
      </c>
      <c r="U501" s="317"/>
    </row>
    <row r="502" ht="20.25" hidden="1" customHeight="1" outlineLevel="1">
      <c r="A502" s="216" t="str">
        <f>IFERROR(__xludf.DUMMYFUNCTION("ARRAYFORMULA(IFERROR(VLOOKUP(REGEXEXTRACT(B502, ""-(\w+)-""), {Data_Validation!$F$16:$F$29, Data_Validation!$E$16:$E$29}, 2, FALSE), """"))
"),"MaCaw")</f>
        <v>MaCaw</v>
      </c>
      <c r="B502" s="265" t="s">
        <v>748</v>
      </c>
      <c r="D502" s="265" t="s">
        <v>40</v>
      </c>
      <c r="E502" s="265" t="s">
        <v>26</v>
      </c>
      <c r="F502" s="265" t="s">
        <v>34</v>
      </c>
      <c r="G502" s="357" t="s">
        <v>749</v>
      </c>
      <c r="H502" s="307">
        <v>45212.0</v>
      </c>
      <c r="I502" s="309">
        <v>1.0</v>
      </c>
      <c r="L502" s="311"/>
      <c r="M502" s="313">
        <v>45217.481466875004</v>
      </c>
      <c r="N502" s="313">
        <v>45218.80179855324</v>
      </c>
      <c r="O502" s="314" t="s">
        <v>750</v>
      </c>
      <c r="P502" s="314" t="s">
        <v>751</v>
      </c>
      <c r="Q502" s="319" t="s">
        <v>31</v>
      </c>
      <c r="R502" s="316">
        <v>0.05694444444452529</v>
      </c>
      <c r="S502" s="317" t="s">
        <v>1383</v>
      </c>
      <c r="T502" s="317">
        <v>1.05</v>
      </c>
      <c r="U502" s="317"/>
    </row>
    <row r="503" ht="20.25" hidden="1" customHeight="1" outlineLevel="1">
      <c r="A503" s="216" t="str">
        <f>IFERROR(__xludf.DUMMYFUNCTION("ARRAYFORMULA(IFERROR(VLOOKUP(REGEXEXTRACT(B503, ""-(\w+)-""), {Data_Validation!$F$16:$F$29, Data_Validation!$E$16:$E$29}, 2, FALSE), """"))
"),"MaCaw")</f>
        <v>MaCaw</v>
      </c>
      <c r="B503" s="265" t="s">
        <v>752</v>
      </c>
      <c r="D503" s="265" t="s">
        <v>47</v>
      </c>
      <c r="E503" s="265" t="s">
        <v>26</v>
      </c>
      <c r="F503" s="265" t="s">
        <v>34</v>
      </c>
      <c r="G503" s="265"/>
      <c r="H503" s="307">
        <v>45218.0</v>
      </c>
      <c r="I503" s="309">
        <v>1.0</v>
      </c>
      <c r="L503" s="311"/>
      <c r="M503" s="313"/>
      <c r="N503" s="313"/>
      <c r="O503" s="314"/>
      <c r="P503" s="314"/>
      <c r="Q503" s="319"/>
      <c r="R503" s="316"/>
      <c r="S503" s="317" t="s">
        <v>1383</v>
      </c>
      <c r="T503" s="317">
        <v>1.07</v>
      </c>
      <c r="U503" s="317"/>
    </row>
    <row r="504" ht="20.25" customHeight="1" collapsed="1">
      <c r="A504" s="216" t="str">
        <f>IFERROR(__xludf.DUMMYFUNCTION("ARRAYFORMULA(IFERROR(VLOOKUP(REGEXEXTRACT(B504, ""-(\w+)-""), {Data_Validation!$F$16:$F$29, Data_Validation!$E$16:$E$29}, 2, FALSE), """"))
"),"Inno3D")</f>
        <v>Inno3D</v>
      </c>
      <c r="B504" s="265" t="s">
        <v>2183</v>
      </c>
      <c r="C504" s="265" t="s">
        <v>2184</v>
      </c>
      <c r="D504" s="265"/>
      <c r="E504" s="265" t="s">
        <v>51</v>
      </c>
      <c r="F504" s="265" t="s">
        <v>41</v>
      </c>
      <c r="G504" s="265" t="s">
        <v>23</v>
      </c>
      <c r="H504" s="307">
        <v>45217.0</v>
      </c>
      <c r="I504" s="308"/>
      <c r="J504" s="309">
        <v>3.0</v>
      </c>
      <c r="L504" s="311"/>
      <c r="M504" s="313">
        <v>45218.47089085648</v>
      </c>
      <c r="N504" s="313">
        <v>45218.83618806713</v>
      </c>
      <c r="O504" s="314"/>
      <c r="P504" s="314"/>
      <c r="Q504" s="319"/>
      <c r="R504" s="316">
        <v>0.4881944444459805</v>
      </c>
      <c r="S504" s="317" t="s">
        <v>1394</v>
      </c>
      <c r="T504" s="317">
        <v>3.0</v>
      </c>
      <c r="U504" s="317"/>
    </row>
    <row r="505" ht="20.25" hidden="1" customHeight="1" outlineLevel="1">
      <c r="A505" s="216" t="str">
        <f>IFERROR(__xludf.DUMMYFUNCTION("ARRAYFORMULA(IFERROR(VLOOKUP(REGEXEXTRACT(B505, ""-(\w+)-""), {Data_Validation!$F$16:$F$29, Data_Validation!$E$16:$E$29}, 2, FALSE), """"))
"),"Inno3D")</f>
        <v>Inno3D</v>
      </c>
      <c r="B505" s="265" t="s">
        <v>2185</v>
      </c>
      <c r="D505" s="265" t="s">
        <v>698</v>
      </c>
      <c r="E505" s="265" t="s">
        <v>26</v>
      </c>
      <c r="F505" s="265" t="s">
        <v>41</v>
      </c>
      <c r="G505" s="265"/>
      <c r="H505" s="307">
        <v>45217.0</v>
      </c>
      <c r="I505" s="309">
        <v>1.0</v>
      </c>
      <c r="L505" s="311"/>
      <c r="M505" s="313">
        <v>45218.54795965277</v>
      </c>
      <c r="N505" s="313">
        <v>45218.72761590278</v>
      </c>
      <c r="O505" s="314"/>
      <c r="P505" s="314"/>
      <c r="Q505" s="319" t="s">
        <v>31</v>
      </c>
      <c r="R505" s="316">
        <v>0.17916666666496894</v>
      </c>
      <c r="S505" s="317"/>
      <c r="T505" s="317"/>
      <c r="U505" s="317"/>
    </row>
    <row r="506" ht="20.25" hidden="1" customHeight="1" outlineLevel="1">
      <c r="A506" s="216" t="str">
        <f>IFERROR(__xludf.DUMMYFUNCTION("ARRAYFORMULA(IFERROR(VLOOKUP(REGEXEXTRACT(B506, ""-(\w+)-""), {Data_Validation!$F$16:$F$29, Data_Validation!$E$16:$E$29}, 2, FALSE), """"))
"),"Inno3D")</f>
        <v>Inno3D</v>
      </c>
      <c r="B506" s="265" t="s">
        <v>2186</v>
      </c>
      <c r="D506" s="265" t="s">
        <v>40</v>
      </c>
      <c r="E506" s="265" t="s">
        <v>26</v>
      </c>
      <c r="F506" s="265" t="s">
        <v>41</v>
      </c>
      <c r="G506" s="265"/>
      <c r="H506" s="307">
        <v>45217.0</v>
      </c>
      <c r="I506" s="309">
        <v>1.0</v>
      </c>
      <c r="L506" s="311"/>
      <c r="M506" s="313">
        <v>45218.47089085648</v>
      </c>
      <c r="N506" s="313">
        <v>45218.72764491898</v>
      </c>
      <c r="O506" s="314" t="s">
        <v>2187</v>
      </c>
      <c r="P506" s="314" t="s">
        <v>2188</v>
      </c>
      <c r="Q506" s="319" t="s">
        <v>31</v>
      </c>
      <c r="R506" s="316">
        <v>0.013194444443797693</v>
      </c>
      <c r="S506" s="317"/>
      <c r="T506" s="317"/>
      <c r="U506" s="317"/>
    </row>
    <row r="507" ht="20.25" hidden="1" customHeight="1" outlineLevel="1">
      <c r="A507" s="216" t="str">
        <f>IFERROR(__xludf.DUMMYFUNCTION("ARRAYFORMULA(IFERROR(VLOOKUP(REGEXEXTRACT(B507, ""-(\w+)-""), {Data_Validation!$F$16:$F$29, Data_Validation!$E$16:$E$29}, 2, FALSE), """"))
"),"Inno3D")</f>
        <v>Inno3D</v>
      </c>
      <c r="B507" s="265" t="s">
        <v>2189</v>
      </c>
      <c r="D507" s="265" t="s">
        <v>47</v>
      </c>
      <c r="E507" s="265" t="s">
        <v>26</v>
      </c>
      <c r="F507" s="265" t="s">
        <v>41</v>
      </c>
      <c r="G507" s="265"/>
      <c r="H507" s="307">
        <v>45217.0</v>
      </c>
      <c r="I507" s="309">
        <v>1.0</v>
      </c>
      <c r="L507" s="311"/>
      <c r="M507" s="313">
        <v>45218.53992829861</v>
      </c>
      <c r="N507" s="313">
        <v>45218.83618806713</v>
      </c>
      <c r="O507" s="314"/>
      <c r="P507" s="314"/>
      <c r="Q507" s="319" t="s">
        <v>31</v>
      </c>
      <c r="R507" s="316">
        <v>0.29583333333357587</v>
      </c>
      <c r="S507" s="317"/>
      <c r="T507" s="317"/>
      <c r="U507" s="317"/>
    </row>
    <row r="508" ht="20.25" customHeight="1" collapsed="1">
      <c r="A508" s="216" t="str">
        <f>IFERROR(__xludf.DUMMYFUNCTION("ARRAYFORMULA(IFERROR(VLOOKUP(REGEXEXTRACT(B508, ""-(\w+)-""), {Data_Validation!$F$16:$F$29, Data_Validation!$E$16:$E$29}, 2, FALSE), """"))
"),"TheMVP")</f>
        <v>TheMVP</v>
      </c>
      <c r="B508" s="265" t="s">
        <v>2190</v>
      </c>
      <c r="C508" s="265" t="s">
        <v>2191</v>
      </c>
      <c r="D508" s="265"/>
      <c r="E508" s="265" t="s">
        <v>252</v>
      </c>
      <c r="F508" s="265" t="s">
        <v>27</v>
      </c>
      <c r="G508" s="265" t="s">
        <v>89</v>
      </c>
      <c r="H508" s="320">
        <v>45220.0</v>
      </c>
      <c r="I508" s="308"/>
      <c r="J508" s="309">
        <v>2.0</v>
      </c>
      <c r="L508" s="311"/>
      <c r="M508" s="313">
        <v>45220.63122387731</v>
      </c>
      <c r="N508" s="313"/>
      <c r="O508" s="314"/>
      <c r="P508" s="314"/>
      <c r="Q508" s="319"/>
      <c r="R508" s="316">
        <v>0.14444444444598048</v>
      </c>
      <c r="S508" s="317" t="s">
        <v>1368</v>
      </c>
      <c r="T508" s="317"/>
      <c r="U508" s="317"/>
    </row>
    <row r="509" ht="20.25" hidden="1" customHeight="1" outlineLevel="1">
      <c r="A509" s="216" t="str">
        <f>IFERROR(__xludf.DUMMYFUNCTION("ARRAYFORMULA(IFERROR(VLOOKUP(REGEXEXTRACT(B509, ""-(\w+)-""), {Data_Validation!$F$16:$F$29, Data_Validation!$E$16:$E$29}, 2, FALSE), """"))
"),"TheMVP")</f>
        <v>TheMVP</v>
      </c>
      <c r="B509" s="265" t="s">
        <v>2192</v>
      </c>
      <c r="D509" s="265" t="s">
        <v>40</v>
      </c>
      <c r="E509" s="265" t="s">
        <v>26</v>
      </c>
      <c r="F509" s="265" t="s">
        <v>27</v>
      </c>
      <c r="G509" s="265"/>
      <c r="H509" s="320">
        <v>45220.0</v>
      </c>
      <c r="I509" s="309">
        <v>1.0</v>
      </c>
      <c r="L509" s="311"/>
      <c r="M509" s="313">
        <v>45220.63122387731</v>
      </c>
      <c r="N509" s="313">
        <v>45220.67545015046</v>
      </c>
      <c r="O509" s="314" t="s">
        <v>2193</v>
      </c>
      <c r="P509" s="314" t="s">
        <v>2194</v>
      </c>
      <c r="Q509" s="319" t="s">
        <v>31</v>
      </c>
      <c r="R509" s="316">
        <v>0.01944444444598048</v>
      </c>
      <c r="S509" s="317"/>
      <c r="T509" s="317"/>
      <c r="U509" s="317"/>
    </row>
    <row r="510" ht="20.25" hidden="1" customHeight="1" outlineLevel="1">
      <c r="A510" s="216" t="str">
        <f>IFERROR(__xludf.DUMMYFUNCTION("ARRAYFORMULA(IFERROR(VLOOKUP(REGEXEXTRACT(B510, ""-(\w+)-""), {Data_Validation!$F$16:$F$29, Data_Validation!$E$16:$E$29}, 2, FALSE), """"))
"),"TheMVP")</f>
        <v>TheMVP</v>
      </c>
      <c r="B510" s="265" t="s">
        <v>2195</v>
      </c>
      <c r="D510" s="265" t="s">
        <v>47</v>
      </c>
      <c r="E510" s="265" t="s">
        <v>26</v>
      </c>
      <c r="F510" s="265" t="s">
        <v>48</v>
      </c>
      <c r="G510" s="265"/>
      <c r="H510" s="320">
        <v>45220.0</v>
      </c>
      <c r="I510" s="309">
        <v>1.0</v>
      </c>
      <c r="L510" s="311"/>
      <c r="M510" s="313">
        <v>45220.67551112268</v>
      </c>
      <c r="N510" s="313">
        <v>45220.80090021991</v>
      </c>
      <c r="O510" s="314"/>
      <c r="P510" s="314"/>
      <c r="Q510" s="319" t="s">
        <v>31</v>
      </c>
      <c r="R510" s="316">
        <v>0.125</v>
      </c>
      <c r="S510" s="317"/>
      <c r="T510" s="317"/>
      <c r="U510" s="317"/>
    </row>
    <row r="511" ht="20.25" customHeight="1" collapsed="1">
      <c r="A511" s="216" t="str">
        <f>IFERROR(__xludf.DUMMYFUNCTION("ARRAYFORMULA(IFERROR(VLOOKUP(REGEXEXTRACT(B511, ""-(\w+)-""), {Data_Validation!$F$16:$F$29, Data_Validation!$E$16:$E$29}, 2, FALSE), """"))
"),"TheMVP")</f>
        <v>TheMVP</v>
      </c>
      <c r="B511" s="265" t="s">
        <v>2196</v>
      </c>
      <c r="C511" s="265" t="s">
        <v>2197</v>
      </c>
      <c r="D511" s="265"/>
      <c r="E511" s="265" t="s">
        <v>62</v>
      </c>
      <c r="F511" s="265" t="s">
        <v>22</v>
      </c>
      <c r="G511" s="265" t="s">
        <v>79</v>
      </c>
      <c r="H511" s="320">
        <v>45221.0</v>
      </c>
      <c r="I511" s="308"/>
      <c r="J511" s="309">
        <v>6.0</v>
      </c>
      <c r="L511" s="311"/>
      <c r="M511" s="313">
        <v>45217.69121527778</v>
      </c>
      <c r="N511" s="313">
        <v>45221.885439907404</v>
      </c>
      <c r="O511" s="314"/>
      <c r="P511" s="314"/>
      <c r="Q511" s="319"/>
      <c r="R511" s="316">
        <v>1.0111111111109494</v>
      </c>
      <c r="S511" s="317" t="s">
        <v>1368</v>
      </c>
      <c r="T511" s="317">
        <v>73.0</v>
      </c>
      <c r="U511" s="317"/>
    </row>
    <row r="512" ht="20.25" hidden="1" customHeight="1" outlineLevel="1">
      <c r="A512" s="216" t="str">
        <f>IFERROR(__xludf.DUMMYFUNCTION("ARRAYFORMULA(IFERROR(VLOOKUP(REGEXEXTRACT(B512, ""-(\w+)-""), {Data_Validation!$F$16:$F$29, Data_Validation!$E$16:$E$29}, 2, FALSE), """"))
"),"TheMVP")</f>
        <v>TheMVP</v>
      </c>
      <c r="B512" s="265" t="s">
        <v>2198</v>
      </c>
      <c r="D512" s="265" t="s">
        <v>25</v>
      </c>
      <c r="E512" s="265" t="s">
        <v>26</v>
      </c>
      <c r="F512" s="265" t="s">
        <v>22</v>
      </c>
      <c r="G512" s="265" t="s">
        <v>2199</v>
      </c>
      <c r="H512" s="320">
        <v>45217.0</v>
      </c>
      <c r="I512" s="309">
        <v>1.0</v>
      </c>
      <c r="L512" s="311"/>
      <c r="M512" s="313">
        <v>45217.69121527778</v>
      </c>
      <c r="N512" s="313">
        <v>45218.4420333912</v>
      </c>
      <c r="O512" s="314" t="s">
        <v>2200</v>
      </c>
      <c r="P512" s="314" t="s">
        <v>2201</v>
      </c>
      <c r="Q512" s="319" t="s">
        <v>31</v>
      </c>
      <c r="R512" s="316">
        <v>0.05833333333430346</v>
      </c>
      <c r="S512" s="317" t="s">
        <v>1368</v>
      </c>
      <c r="T512" s="317">
        <v>73.01</v>
      </c>
      <c r="U512" s="317"/>
    </row>
    <row r="513" ht="20.25" hidden="1" customHeight="1" outlineLevel="1">
      <c r="A513" s="216" t="str">
        <f>IFERROR(__xludf.DUMMYFUNCTION("ARRAYFORMULA(IFERROR(VLOOKUP(REGEXEXTRACT(B513, ""-(\w+)-""), {Data_Validation!$F$16:$F$29, Data_Validation!$E$16:$E$29}, 2, FALSE), """"))
"),"TheMVP")</f>
        <v>TheMVP</v>
      </c>
      <c r="B513" s="265" t="s">
        <v>2202</v>
      </c>
      <c r="D513" s="265" t="s">
        <v>33</v>
      </c>
      <c r="E513" s="265" t="s">
        <v>26</v>
      </c>
      <c r="F513" s="265" t="s">
        <v>34</v>
      </c>
      <c r="G513" s="265"/>
      <c r="H513" s="320">
        <v>45217.0</v>
      </c>
      <c r="I513" s="309">
        <v>1.0</v>
      </c>
      <c r="L513" s="311"/>
      <c r="M513" s="313">
        <v>45218.623544999995</v>
      </c>
      <c r="N513" s="313">
        <v>45218.643257812495</v>
      </c>
      <c r="O513" s="314" t="s">
        <v>2203</v>
      </c>
      <c r="P513" s="314" t="s">
        <v>2204</v>
      </c>
      <c r="Q513" s="319" t="s">
        <v>31</v>
      </c>
      <c r="R513" s="316">
        <v>0.002777777779556345</v>
      </c>
      <c r="S513" s="317" t="s">
        <v>1368</v>
      </c>
      <c r="T513" s="317">
        <v>73.02</v>
      </c>
      <c r="U513" s="317"/>
    </row>
    <row r="514" ht="20.25" hidden="1" customHeight="1" outlineLevel="1">
      <c r="A514" s="216" t="str">
        <f>IFERROR(__xludf.DUMMYFUNCTION("ARRAYFORMULA(IFERROR(VLOOKUP(REGEXEXTRACT(B514, ""-(\w+)-""), {Data_Validation!$F$16:$F$29, Data_Validation!$E$16:$E$29}, 2, FALSE), """"))
"),"TheMVP")</f>
        <v>TheMVP</v>
      </c>
      <c r="B514" s="265" t="s">
        <v>2205</v>
      </c>
      <c r="D514" s="265" t="s">
        <v>38</v>
      </c>
      <c r="E514" s="265" t="s">
        <v>26</v>
      </c>
      <c r="F514" s="265" t="s">
        <v>27</v>
      </c>
      <c r="G514" s="265"/>
      <c r="H514" s="320">
        <v>45218.0</v>
      </c>
      <c r="I514" s="309">
        <v>1.0</v>
      </c>
      <c r="L514" s="311"/>
      <c r="M514" s="313">
        <v>45218.547649733795</v>
      </c>
      <c r="N514" s="313">
        <v>45219.39987309028</v>
      </c>
      <c r="O514" s="314"/>
      <c r="P514" s="314"/>
      <c r="Q514" s="319" t="s">
        <v>31</v>
      </c>
      <c r="R514" s="316">
        <v>0.8520833333350311</v>
      </c>
      <c r="S514" s="317" t="s">
        <v>1368</v>
      </c>
      <c r="T514" s="317">
        <v>73.04</v>
      </c>
      <c r="U514" s="317"/>
    </row>
    <row r="515" ht="20.25" hidden="1" customHeight="1" outlineLevel="1">
      <c r="A515" s="216" t="str">
        <f>IFERROR(__xludf.DUMMYFUNCTION("ARRAYFORMULA(IFERROR(VLOOKUP(REGEXEXTRACT(B515, ""-(\w+)-""), {Data_Validation!$F$16:$F$29, Data_Validation!$E$16:$E$29}, 2, FALSE), """"))
"),"TheMVP")</f>
        <v>TheMVP</v>
      </c>
      <c r="B515" s="265" t="s">
        <v>2206</v>
      </c>
      <c r="D515" s="265" t="s">
        <v>40</v>
      </c>
      <c r="E515" s="265" t="s">
        <v>26</v>
      </c>
      <c r="F515" s="265" t="s">
        <v>236</v>
      </c>
      <c r="G515" s="265" t="s">
        <v>2086</v>
      </c>
      <c r="H515" s="320">
        <v>45219.0</v>
      </c>
      <c r="I515" s="309">
        <v>1.0</v>
      </c>
      <c r="L515" s="311"/>
      <c r="M515" s="313">
        <v>45219.478258020834</v>
      </c>
      <c r="N515" s="313">
        <v>45219.991755208335</v>
      </c>
      <c r="O515" s="314" t="s">
        <v>2207</v>
      </c>
      <c r="P515" s="314" t="s">
        <v>2208</v>
      </c>
      <c r="Q515" s="319" t="s">
        <v>31</v>
      </c>
      <c r="R515" s="316">
        <v>0.0</v>
      </c>
      <c r="S515" s="317" t="s">
        <v>1368</v>
      </c>
      <c r="T515" s="317">
        <v>73.05</v>
      </c>
      <c r="U515" s="317"/>
    </row>
    <row r="516" ht="20.25" hidden="1" customHeight="1" outlineLevel="1">
      <c r="A516" s="216" t="str">
        <f>IFERROR(__xludf.DUMMYFUNCTION("ARRAYFORMULA(IFERROR(VLOOKUP(REGEXEXTRACT(B516, ""-(\w+)-""), {Data_Validation!$F$16:$F$29, Data_Validation!$E$16:$E$29}, 2, FALSE), """"))
"),"TheMVP")</f>
        <v>TheMVP</v>
      </c>
      <c r="B516" s="265" t="s">
        <v>2209</v>
      </c>
      <c r="D516" s="265" t="s">
        <v>45</v>
      </c>
      <c r="E516" s="265" t="s">
        <v>26</v>
      </c>
      <c r="F516" s="265" t="s">
        <v>41</v>
      </c>
      <c r="G516" s="265"/>
      <c r="H516" s="320">
        <v>45219.0</v>
      </c>
      <c r="I516" s="309">
        <v>1.0</v>
      </c>
      <c r="L516" s="311"/>
      <c r="M516" s="313">
        <v>45219.82554365741</v>
      </c>
      <c r="N516" s="313">
        <v>45219.8449908912</v>
      </c>
      <c r="O516" s="314" t="s">
        <v>2210</v>
      </c>
      <c r="P516" s="314" t="s">
        <v>2211</v>
      </c>
      <c r="Q516" s="319" t="s">
        <v>31</v>
      </c>
      <c r="R516" s="316">
        <v>0.010416666667879326</v>
      </c>
      <c r="S516" s="317" t="s">
        <v>1368</v>
      </c>
      <c r="T516" s="317">
        <v>73.06</v>
      </c>
      <c r="U516" s="317"/>
    </row>
    <row r="517" ht="20.25" hidden="1" customHeight="1" outlineLevel="1">
      <c r="A517" s="216" t="str">
        <f>IFERROR(__xludf.DUMMYFUNCTION("ARRAYFORMULA(IFERROR(VLOOKUP(REGEXEXTRACT(B517, ""-(\w+)-""), {Data_Validation!$F$16:$F$29, Data_Validation!$E$16:$E$29}, 2, FALSE), """"))
"),"TheMVP")</f>
        <v>TheMVP</v>
      </c>
      <c r="B517" s="265" t="s">
        <v>2212</v>
      </c>
      <c r="D517" s="265" t="s">
        <v>47</v>
      </c>
      <c r="E517" s="265" t="s">
        <v>26</v>
      </c>
      <c r="F517" s="265" t="s">
        <v>27</v>
      </c>
      <c r="G517" s="265"/>
      <c r="H517" s="320">
        <v>45221.0</v>
      </c>
      <c r="I517" s="309">
        <v>1.0</v>
      </c>
      <c r="L517" s="311"/>
      <c r="M517" s="313">
        <v>45221.79747790509</v>
      </c>
      <c r="N517" s="313">
        <v>45221.885439907404</v>
      </c>
      <c r="O517" s="314"/>
      <c r="P517" s="314"/>
      <c r="Q517" s="319" t="s">
        <v>31</v>
      </c>
      <c r="R517" s="316">
        <v>0.08750000000145519</v>
      </c>
      <c r="S517" s="317" t="s">
        <v>1368</v>
      </c>
      <c r="T517" s="317">
        <v>73.07</v>
      </c>
      <c r="U517" s="317"/>
    </row>
    <row r="518" ht="20.25" customHeight="1" collapsed="1">
      <c r="A518" s="216" t="str">
        <f>IFERROR(__xludf.DUMMYFUNCTION("ARRAYFORMULA(IFERROR(VLOOKUP(REGEXEXTRACT(B518, ""-(\w+)-""), {Data_Validation!$F$16:$F$29, Data_Validation!$E$16:$E$29}, 2, FALSE), """"))
"),"Inno3D")</f>
        <v>Inno3D</v>
      </c>
      <c r="B518" s="265" t="s">
        <v>2213</v>
      </c>
      <c r="C518" s="265" t="s">
        <v>862</v>
      </c>
      <c r="D518" s="265"/>
      <c r="E518" s="265" t="s">
        <v>51</v>
      </c>
      <c r="F518" s="265" t="s">
        <v>41</v>
      </c>
      <c r="G518" s="265" t="s">
        <v>63</v>
      </c>
      <c r="H518" s="332">
        <v>45220.0</v>
      </c>
      <c r="I518" s="308"/>
      <c r="J518" s="309">
        <v>3.0</v>
      </c>
      <c r="L518" s="311"/>
      <c r="M518" s="313">
        <v>45220.74918324074</v>
      </c>
      <c r="N518" s="313">
        <v>45224.437934456015</v>
      </c>
      <c r="O518" s="314"/>
      <c r="P518" s="314"/>
      <c r="Q518" s="319"/>
      <c r="R518" s="316">
        <v>0.00972222222117125</v>
      </c>
      <c r="S518" s="317" t="s">
        <v>1394</v>
      </c>
      <c r="T518" s="317">
        <v>6.0</v>
      </c>
      <c r="U518" s="317"/>
    </row>
    <row r="519" ht="20.25" hidden="1" customHeight="1" outlineLevel="1">
      <c r="A519" s="216" t="str">
        <f>IFERROR(__xludf.DUMMYFUNCTION("ARRAYFORMULA(IFERROR(VLOOKUP(REGEXEXTRACT(B519, ""-(\w+)-""), {Data_Validation!$F$16:$F$29, Data_Validation!$E$16:$E$29}, 2, FALSE), """"))
"),"Inno3D")</f>
        <v>Inno3D</v>
      </c>
      <c r="B519" s="265" t="s">
        <v>2214</v>
      </c>
      <c r="D519" s="265" t="s">
        <v>698</v>
      </c>
      <c r="E519" s="265" t="s">
        <v>26</v>
      </c>
      <c r="F519" s="265" t="s">
        <v>41</v>
      </c>
      <c r="G519" s="265"/>
      <c r="H519" s="332">
        <v>45219.0</v>
      </c>
      <c r="I519" s="309">
        <v>1.0</v>
      </c>
      <c r="L519" s="311"/>
      <c r="M519" s="313"/>
      <c r="N519" s="313"/>
      <c r="O519" s="314"/>
      <c r="P519" s="314"/>
      <c r="Q519" s="319"/>
      <c r="R519" s="316"/>
      <c r="S519" s="317"/>
      <c r="T519" s="317"/>
      <c r="U519" s="317"/>
    </row>
    <row r="520" ht="20.25" hidden="1" customHeight="1" outlineLevel="1">
      <c r="A520" s="216" t="str">
        <f>IFERROR(__xludf.DUMMYFUNCTION("ARRAYFORMULA(IFERROR(VLOOKUP(REGEXEXTRACT(B520, ""-(\w+)-""), {Data_Validation!$F$16:$F$29, Data_Validation!$E$16:$E$29}, 2, FALSE), """"))
"),"Inno3D")</f>
        <v>Inno3D</v>
      </c>
      <c r="B520" s="265" t="s">
        <v>2215</v>
      </c>
      <c r="D520" s="265" t="s">
        <v>40</v>
      </c>
      <c r="E520" s="265" t="s">
        <v>26</v>
      </c>
      <c r="F520" s="265" t="s">
        <v>41</v>
      </c>
      <c r="G520" s="265"/>
      <c r="H520" s="332">
        <v>45219.0</v>
      </c>
      <c r="I520" s="309">
        <v>1.0</v>
      </c>
      <c r="L520" s="311"/>
      <c r="M520" s="313">
        <v>45220.74918324074</v>
      </c>
      <c r="N520" s="313">
        <v>45224.437934456015</v>
      </c>
      <c r="O520" s="314" t="s">
        <v>2216</v>
      </c>
      <c r="P520" s="314" t="s">
        <v>2217</v>
      </c>
      <c r="Q520" s="319" t="s">
        <v>31</v>
      </c>
      <c r="R520" s="316">
        <v>0.00972222222117125</v>
      </c>
      <c r="S520" s="317"/>
      <c r="T520" s="317"/>
      <c r="U520" s="317"/>
    </row>
    <row r="521" ht="20.25" hidden="1" customHeight="1" outlineLevel="1">
      <c r="A521" s="216" t="str">
        <f>IFERROR(__xludf.DUMMYFUNCTION("ARRAYFORMULA(IFERROR(VLOOKUP(REGEXEXTRACT(B521, ""-(\w+)-""), {Data_Validation!$F$16:$F$29, Data_Validation!$E$16:$E$29}, 2, FALSE), """"))
"),"Inno3D")</f>
        <v>Inno3D</v>
      </c>
      <c r="B521" s="265" t="s">
        <v>2218</v>
      </c>
      <c r="D521" s="265" t="s">
        <v>47</v>
      </c>
      <c r="E521" s="265" t="s">
        <v>26</v>
      </c>
      <c r="F521" s="265" t="s">
        <v>41</v>
      </c>
      <c r="G521" s="265"/>
      <c r="H521" s="332">
        <v>45220.0</v>
      </c>
      <c r="I521" s="309">
        <v>1.0</v>
      </c>
      <c r="L521" s="311"/>
      <c r="M521" s="313"/>
      <c r="N521" s="313"/>
      <c r="O521" s="314"/>
      <c r="P521" s="314"/>
      <c r="Q521" s="319"/>
      <c r="R521" s="316"/>
      <c r="S521" s="317"/>
      <c r="T521" s="317"/>
      <c r="U521" s="317"/>
    </row>
    <row r="522" ht="20.25" customHeight="1" collapsed="1">
      <c r="A522" s="216" t="str">
        <f>IFERROR(__xludf.DUMMYFUNCTION("ARRAYFORMULA(IFERROR(VLOOKUP(REGEXEXTRACT(B522, ""-(\w+)-""), {Data_Validation!$F$16:$F$29, Data_Validation!$E$16:$E$29}, 2, FALSE), """"))
"),"TheMVP")</f>
        <v>TheMVP</v>
      </c>
      <c r="B522" s="265" t="s">
        <v>2219</v>
      </c>
      <c r="C522" s="265" t="s">
        <v>2104</v>
      </c>
      <c r="D522" s="265"/>
      <c r="E522" s="265" t="s">
        <v>62</v>
      </c>
      <c r="F522" s="265" t="s">
        <v>27</v>
      </c>
      <c r="G522" s="265" t="s">
        <v>89</v>
      </c>
      <c r="H522" s="332">
        <v>45223.0</v>
      </c>
      <c r="I522" s="308"/>
      <c r="J522" s="309">
        <v>6.0</v>
      </c>
      <c r="L522" s="311"/>
      <c r="M522" s="313">
        <v>45216.43655261574</v>
      </c>
      <c r="N522" s="313">
        <v>45225.909095173614</v>
      </c>
      <c r="O522" s="314"/>
      <c r="P522" s="314"/>
      <c r="Q522" s="319"/>
      <c r="R522" s="316">
        <v>0.5298611111102218</v>
      </c>
      <c r="S522" s="317" t="s">
        <v>1368</v>
      </c>
      <c r="T522" s="317">
        <v>26.0</v>
      </c>
      <c r="U522" s="317"/>
    </row>
    <row r="523" ht="20.25" hidden="1" customHeight="1" outlineLevel="1">
      <c r="A523" s="216" t="str">
        <f>IFERROR(__xludf.DUMMYFUNCTION("ARRAYFORMULA(IFERROR(VLOOKUP(REGEXEXTRACT(B523, ""-(\w+)-""), {Data_Validation!$F$16:$F$29, Data_Validation!$E$16:$E$29}, 2, FALSE), """"))
"),"TheMVP")</f>
        <v>TheMVP</v>
      </c>
      <c r="B523" s="265" t="s">
        <v>2220</v>
      </c>
      <c r="D523" s="265" t="s">
        <v>25</v>
      </c>
      <c r="E523" s="265" t="s">
        <v>26</v>
      </c>
      <c r="F523" s="265" t="s">
        <v>27</v>
      </c>
      <c r="G523" s="265" t="s">
        <v>2221</v>
      </c>
      <c r="H523" s="332">
        <v>45216.0</v>
      </c>
      <c r="I523" s="309">
        <v>1.0</v>
      </c>
      <c r="L523" s="311"/>
      <c r="M523" s="313">
        <v>45216.43655261574</v>
      </c>
      <c r="N523" s="313">
        <v>45216.43939925926</v>
      </c>
      <c r="O523" s="314"/>
      <c r="P523" s="314"/>
      <c r="Q523" s="319" t="s">
        <v>31</v>
      </c>
      <c r="R523" s="316">
        <v>0.002777777779556345</v>
      </c>
      <c r="S523" s="317" t="s">
        <v>1368</v>
      </c>
      <c r="T523" s="317">
        <v>26.01</v>
      </c>
      <c r="U523" s="317"/>
    </row>
    <row r="524" ht="20.25" hidden="1" customHeight="1" outlineLevel="1">
      <c r="A524" s="216" t="str">
        <f>IFERROR(__xludf.DUMMYFUNCTION("ARRAYFORMULA(IFERROR(VLOOKUP(REGEXEXTRACT(B524, ""-(\w+)-""), {Data_Validation!$F$16:$F$29, Data_Validation!$E$16:$E$29}, 2, FALSE), """"))
"),"TheMVP")</f>
        <v>TheMVP</v>
      </c>
      <c r="B524" s="265" t="s">
        <v>2222</v>
      </c>
      <c r="D524" s="265" t="s">
        <v>33</v>
      </c>
      <c r="E524" s="265" t="s">
        <v>26</v>
      </c>
      <c r="F524" s="265" t="s">
        <v>41</v>
      </c>
      <c r="G524" s="265"/>
      <c r="H524" s="332">
        <v>45216.0</v>
      </c>
      <c r="I524" s="309">
        <v>1.0</v>
      </c>
      <c r="L524" s="311"/>
      <c r="M524" s="313">
        <v>45216.66168049768</v>
      </c>
      <c r="N524" s="313">
        <v>45216.725820810185</v>
      </c>
      <c r="O524" s="314" t="s">
        <v>2223</v>
      </c>
      <c r="P524" s="314" t="s">
        <v>2224</v>
      </c>
      <c r="Q524" s="319" t="s">
        <v>31</v>
      </c>
      <c r="R524" s="316">
        <v>0.006944444445252884</v>
      </c>
      <c r="S524" s="317" t="s">
        <v>1368</v>
      </c>
      <c r="T524" s="317">
        <v>26.02</v>
      </c>
      <c r="U524" s="317"/>
    </row>
    <row r="525" ht="20.25" hidden="1" customHeight="1" outlineLevel="1">
      <c r="A525" s="216" t="str">
        <f>IFERROR(__xludf.DUMMYFUNCTION("ARRAYFORMULA(IFERROR(VLOOKUP(REGEXEXTRACT(B525, ""-(\w+)-""), {Data_Validation!$F$16:$F$29, Data_Validation!$E$16:$E$29}, 2, FALSE), """"))
"),"TheMVP")</f>
        <v>TheMVP</v>
      </c>
      <c r="B525" s="265" t="s">
        <v>2225</v>
      </c>
      <c r="D525" s="265" t="s">
        <v>38</v>
      </c>
      <c r="E525" s="265" t="s">
        <v>26</v>
      </c>
      <c r="F525" s="265" t="s">
        <v>27</v>
      </c>
      <c r="G525" s="265"/>
      <c r="H525" s="332">
        <v>45217.0</v>
      </c>
      <c r="I525" s="309">
        <v>1.0</v>
      </c>
      <c r="L525" s="311"/>
      <c r="M525" s="313">
        <v>45216.62489922454</v>
      </c>
      <c r="N525" s="313">
        <v>45217.73456413194</v>
      </c>
      <c r="O525" s="314" t="s">
        <v>2226</v>
      </c>
      <c r="P525" s="314" t="s">
        <v>2227</v>
      </c>
      <c r="Q525" s="319" t="s">
        <v>31</v>
      </c>
      <c r="R525" s="316">
        <v>0.49027777777882875</v>
      </c>
      <c r="S525" s="317" t="s">
        <v>1368</v>
      </c>
      <c r="T525" s="317">
        <v>26.04</v>
      </c>
      <c r="U525" s="317"/>
    </row>
    <row r="526" ht="20.25" hidden="1" customHeight="1" outlineLevel="1">
      <c r="A526" s="216" t="str">
        <f>IFERROR(__xludf.DUMMYFUNCTION("ARRAYFORMULA(IFERROR(VLOOKUP(REGEXEXTRACT(B526, ""-(\w+)-""), {Data_Validation!$F$16:$F$29, Data_Validation!$E$16:$E$29}, 2, FALSE), """"))
"),"TheMVP")</f>
        <v>TheMVP</v>
      </c>
      <c r="B526" s="265" t="s">
        <v>2228</v>
      </c>
      <c r="D526" s="265" t="s">
        <v>40</v>
      </c>
      <c r="E526" s="265" t="s">
        <v>26</v>
      </c>
      <c r="F526" s="265" t="s">
        <v>236</v>
      </c>
      <c r="G526" s="265" t="s">
        <v>237</v>
      </c>
      <c r="H526" s="332">
        <v>45218.0</v>
      </c>
      <c r="I526" s="309">
        <v>1.0</v>
      </c>
      <c r="L526" s="311"/>
      <c r="M526" s="313">
        <v>45219.399359143514</v>
      </c>
      <c r="N526" s="313">
        <v>45225.878569837965</v>
      </c>
      <c r="O526" s="314" t="s">
        <v>2229</v>
      </c>
      <c r="P526" s="314" t="s">
        <v>2230</v>
      </c>
      <c r="Q526" s="319" t="s">
        <v>31</v>
      </c>
      <c r="R526" s="316">
        <v>0.0</v>
      </c>
      <c r="S526" s="317" t="s">
        <v>1368</v>
      </c>
      <c r="T526" s="317">
        <v>26.05</v>
      </c>
      <c r="U526" s="317"/>
    </row>
    <row r="527" ht="20.25" hidden="1" customHeight="1" outlineLevel="1">
      <c r="A527" s="216" t="str">
        <f>IFERROR(__xludf.DUMMYFUNCTION("ARRAYFORMULA(IFERROR(VLOOKUP(REGEXEXTRACT(B527, ""-(\w+)-""), {Data_Validation!$F$16:$F$29, Data_Validation!$E$16:$E$29}, 2, FALSE), """"))
"),"TheMVP")</f>
        <v>TheMVP</v>
      </c>
      <c r="B527" s="265" t="s">
        <v>2231</v>
      </c>
      <c r="D527" s="265" t="s">
        <v>45</v>
      </c>
      <c r="E527" s="265" t="s">
        <v>26</v>
      </c>
      <c r="F527" s="265" t="s">
        <v>41</v>
      </c>
      <c r="G527" s="265"/>
      <c r="H527" s="332">
        <v>45222.0</v>
      </c>
      <c r="I527" s="309">
        <v>1.0</v>
      </c>
      <c r="L527" s="311"/>
      <c r="M527" s="313">
        <v>45225.87883877315</v>
      </c>
      <c r="N527" s="313">
        <v>45225.87914833333</v>
      </c>
      <c r="O527" s="314"/>
      <c r="P527" s="314"/>
      <c r="Q527" s="319" t="s">
        <v>31</v>
      </c>
      <c r="R527" s="316">
        <v>0.0</v>
      </c>
      <c r="S527" s="317" t="s">
        <v>1368</v>
      </c>
      <c r="T527" s="317">
        <v>26.06</v>
      </c>
      <c r="U527" s="317"/>
    </row>
    <row r="528" ht="20.25" hidden="1" customHeight="1" outlineLevel="1">
      <c r="A528" s="216" t="str">
        <f>IFERROR(__xludf.DUMMYFUNCTION("ARRAYFORMULA(IFERROR(VLOOKUP(REGEXEXTRACT(B528, ""-(\w+)-""), {Data_Validation!$F$16:$F$29, Data_Validation!$E$16:$E$29}, 2, FALSE), """"))
"),"TheMVP")</f>
        <v>TheMVP</v>
      </c>
      <c r="B528" s="265" t="s">
        <v>2232</v>
      </c>
      <c r="D528" s="265" t="s">
        <v>47</v>
      </c>
      <c r="E528" s="265" t="s">
        <v>26</v>
      </c>
      <c r="F528" s="265" t="s">
        <v>27</v>
      </c>
      <c r="G528" s="265"/>
      <c r="H528" s="332">
        <v>45223.0</v>
      </c>
      <c r="I528" s="309">
        <v>1.0</v>
      </c>
      <c r="L528" s="311"/>
      <c r="M528" s="313">
        <v>45225.87918408564</v>
      </c>
      <c r="N528" s="313">
        <v>45225.909095173614</v>
      </c>
      <c r="O528" s="314"/>
      <c r="P528" s="314"/>
      <c r="Q528" s="319" t="s">
        <v>31</v>
      </c>
      <c r="R528" s="316">
        <v>0.029861111110221827</v>
      </c>
      <c r="S528" s="317" t="s">
        <v>1368</v>
      </c>
      <c r="T528" s="317">
        <v>26.07</v>
      </c>
      <c r="U528" s="317"/>
    </row>
    <row r="529" ht="20.25" customHeight="1" collapsed="1">
      <c r="A529" s="216" t="str">
        <f>IFERROR(__xludf.DUMMYFUNCTION("ARRAYFORMULA(IFERROR(VLOOKUP(REGEXEXTRACT(B529, ""-(\w+)-""), {Data_Validation!$F$16:$F$29, Data_Validation!$E$16:$E$29}, 2, FALSE), """"))
"),"Inno3D")</f>
        <v>Inno3D</v>
      </c>
      <c r="B529" s="265" t="s">
        <v>2233</v>
      </c>
      <c r="C529" s="265" t="s">
        <v>844</v>
      </c>
      <c r="D529" s="265"/>
      <c r="E529" s="265" t="s">
        <v>51</v>
      </c>
      <c r="F529" s="265" t="s">
        <v>34</v>
      </c>
      <c r="G529" s="265" t="s">
        <v>79</v>
      </c>
      <c r="H529" s="332">
        <v>45224.0</v>
      </c>
      <c r="I529" s="308"/>
      <c r="J529" s="309">
        <v>2.0</v>
      </c>
      <c r="L529" s="311"/>
      <c r="M529" s="313">
        <v>0.0</v>
      </c>
      <c r="N529" s="313">
        <v>0.0</v>
      </c>
      <c r="O529" s="314"/>
      <c r="P529" s="314"/>
      <c r="Q529" s="319"/>
      <c r="R529" s="316">
        <v>0.0</v>
      </c>
      <c r="S529" s="317" t="s">
        <v>1394</v>
      </c>
      <c r="T529" s="317">
        <v>8.0</v>
      </c>
      <c r="U529" s="317"/>
    </row>
    <row r="530" ht="20.25" hidden="1" customHeight="1" outlineLevel="1">
      <c r="A530" s="216" t="str">
        <f>IFERROR(__xludf.DUMMYFUNCTION("ARRAYFORMULA(IFERROR(VLOOKUP(REGEXEXTRACT(B530, ""-(\w+)-""), {Data_Validation!$F$16:$F$29, Data_Validation!$E$16:$E$29}, 2, FALSE), """"))
"),"Inno3D")</f>
        <v>Inno3D</v>
      </c>
      <c r="B530" s="265" t="s">
        <v>2234</v>
      </c>
      <c r="D530" s="265" t="s">
        <v>40</v>
      </c>
      <c r="E530" s="265" t="s">
        <v>26</v>
      </c>
      <c r="F530" s="265" t="s">
        <v>34</v>
      </c>
      <c r="G530" s="357" t="s">
        <v>2235</v>
      </c>
      <c r="H530" s="332">
        <v>45224.0</v>
      </c>
      <c r="I530" s="309">
        <v>1.0</v>
      </c>
      <c r="L530" s="311"/>
      <c r="M530" s="313"/>
      <c r="N530" s="313"/>
      <c r="O530" s="314"/>
      <c r="P530" s="314"/>
      <c r="Q530" s="319"/>
      <c r="R530" s="316"/>
      <c r="S530" s="317"/>
      <c r="T530" s="317"/>
      <c r="U530" s="317"/>
    </row>
    <row r="531" ht="20.25" hidden="1" customHeight="1" outlineLevel="1">
      <c r="A531" s="216" t="str">
        <f>IFERROR(__xludf.DUMMYFUNCTION("ARRAYFORMULA(IFERROR(VLOOKUP(REGEXEXTRACT(B531, ""-(\w+)-""), {Data_Validation!$F$16:$F$29, Data_Validation!$E$16:$E$29}, 2, FALSE), """"))
"),"Inno3D")</f>
        <v>Inno3D</v>
      </c>
      <c r="B531" s="265" t="s">
        <v>2236</v>
      </c>
      <c r="D531" s="265" t="s">
        <v>47</v>
      </c>
      <c r="E531" s="265" t="s">
        <v>26</v>
      </c>
      <c r="F531" s="265" t="s">
        <v>34</v>
      </c>
      <c r="G531" s="265"/>
      <c r="H531" s="332">
        <v>45225.0</v>
      </c>
      <c r="I531" s="309">
        <v>1.0</v>
      </c>
      <c r="L531" s="311"/>
      <c r="M531" s="313"/>
      <c r="N531" s="313"/>
      <c r="O531" s="314"/>
      <c r="P531" s="314"/>
      <c r="Q531" s="319"/>
      <c r="R531" s="316"/>
      <c r="S531" s="317"/>
      <c r="T531" s="317"/>
      <c r="U531" s="317"/>
    </row>
    <row r="532" ht="20.25" customHeight="1" collapsed="1">
      <c r="A532" s="216" t="str">
        <f>IFERROR(__xludf.DUMMYFUNCTION("ARRAYFORMULA(IFERROR(VLOOKUP(REGEXEXTRACT(B532, ""-(\w+)-""), {Data_Validation!$F$16:$F$29, Data_Validation!$E$16:$E$29}, 2, FALSE), """"))
"),"TheMVP")</f>
        <v>TheMVP</v>
      </c>
      <c r="B532" s="265" t="s">
        <v>2237</v>
      </c>
      <c r="C532" s="265" t="s">
        <v>2238</v>
      </c>
      <c r="D532" s="265"/>
      <c r="E532" s="265" t="s">
        <v>51</v>
      </c>
      <c r="F532" s="265" t="s">
        <v>27</v>
      </c>
      <c r="G532" s="265" t="s">
        <v>63</v>
      </c>
      <c r="H532" s="332">
        <v>45226.0</v>
      </c>
      <c r="I532" s="308"/>
      <c r="J532" s="309">
        <v>4.0</v>
      </c>
      <c r="L532" s="311"/>
      <c r="M532" s="313">
        <v>45202.49488049769</v>
      </c>
      <c r="N532" s="313">
        <v>45226.45183796296</v>
      </c>
      <c r="O532" s="314"/>
      <c r="P532" s="314"/>
      <c r="Q532" s="319"/>
      <c r="R532" s="316">
        <v>9.808333333334303</v>
      </c>
      <c r="S532" s="317" t="s">
        <v>1368</v>
      </c>
      <c r="T532" s="317">
        <v>45.0</v>
      </c>
      <c r="U532" s="317"/>
    </row>
    <row r="533" ht="20.25" hidden="1" customHeight="1" outlineLevel="1">
      <c r="A533" s="216" t="str">
        <f>IFERROR(__xludf.DUMMYFUNCTION("ARRAYFORMULA(IFERROR(VLOOKUP(REGEXEXTRACT(B533, ""-(\w+)-""), {Data_Validation!$F$16:$F$29, Data_Validation!$E$16:$E$29}, 2, FALSE), """"))
"),"TheMVP")</f>
        <v>TheMVP</v>
      </c>
      <c r="B533" s="265" t="s">
        <v>2239</v>
      </c>
      <c r="D533" s="265" t="s">
        <v>25</v>
      </c>
      <c r="E533" s="265" t="s">
        <v>26</v>
      </c>
      <c r="F533" s="265" t="s">
        <v>41</v>
      </c>
      <c r="G533" s="265"/>
      <c r="H533" s="332">
        <v>45222.0</v>
      </c>
      <c r="I533" s="309">
        <v>1.0</v>
      </c>
      <c r="L533" s="311"/>
      <c r="M533" s="313">
        <v>45226.441968680556</v>
      </c>
      <c r="N533" s="313">
        <v>45226.45183796296</v>
      </c>
      <c r="O533" s="314" t="s">
        <v>2240</v>
      </c>
      <c r="P533" s="314" t="s">
        <v>2241</v>
      </c>
      <c r="Q533" s="319" t="s">
        <v>31</v>
      </c>
      <c r="R533" s="316">
        <v>0.002777777779556345</v>
      </c>
      <c r="S533" s="317" t="s">
        <v>1368</v>
      </c>
      <c r="T533" s="317">
        <v>45.01</v>
      </c>
      <c r="U533" s="317"/>
    </row>
    <row r="534" ht="20.25" hidden="1" customHeight="1" outlineLevel="1">
      <c r="A534" s="216" t="str">
        <f>IFERROR(__xludf.DUMMYFUNCTION("ARRAYFORMULA(IFERROR(VLOOKUP(REGEXEXTRACT(B534, ""-(\w+)-""), {Data_Validation!$F$16:$F$29, Data_Validation!$E$16:$E$29}, 2, FALSE), """"))
"),"TheMVP")</f>
        <v>TheMVP</v>
      </c>
      <c r="B534" s="265" t="s">
        <v>2242</v>
      </c>
      <c r="D534" s="265" t="s">
        <v>33</v>
      </c>
      <c r="E534" s="265" t="s">
        <v>26</v>
      </c>
      <c r="F534" s="265" t="s">
        <v>41</v>
      </c>
      <c r="G534" s="265"/>
      <c r="H534" s="332">
        <v>45211.0</v>
      </c>
      <c r="I534" s="309">
        <v>1.0</v>
      </c>
      <c r="L534" s="311"/>
      <c r="M534" s="313">
        <v>45211.454737962966</v>
      </c>
      <c r="N534" s="313">
        <v>45211.512765694446</v>
      </c>
      <c r="O534" s="314"/>
      <c r="P534" s="314"/>
      <c r="Q534" s="319" t="s">
        <v>31</v>
      </c>
      <c r="R534" s="316">
        <v>0.057638888887595385</v>
      </c>
      <c r="S534" s="317" t="s">
        <v>1368</v>
      </c>
      <c r="T534" s="317">
        <v>45.02</v>
      </c>
      <c r="U534" s="317"/>
    </row>
    <row r="535" ht="20.25" hidden="1" customHeight="1" outlineLevel="1">
      <c r="A535" s="216" t="str">
        <f>IFERROR(__xludf.DUMMYFUNCTION("ARRAYFORMULA(IFERROR(VLOOKUP(REGEXEXTRACT(B535, ""-(\w+)-""), {Data_Validation!$F$16:$F$29, Data_Validation!$E$16:$E$29}, 2, FALSE), """"))
"),"TheMVP")</f>
        <v>TheMVP</v>
      </c>
      <c r="B535" s="265" t="s">
        <v>2243</v>
      </c>
      <c r="D535" s="265" t="s">
        <v>40</v>
      </c>
      <c r="E535" s="265" t="s">
        <v>26</v>
      </c>
      <c r="F535" s="265" t="s">
        <v>41</v>
      </c>
      <c r="G535" s="265"/>
      <c r="H535" s="332">
        <v>45222.0</v>
      </c>
      <c r="I535" s="309">
        <v>1.0</v>
      </c>
      <c r="L535" s="311"/>
      <c r="M535" s="313">
        <v>45226.42294982639</v>
      </c>
      <c r="N535" s="313">
        <v>45226.43615393518</v>
      </c>
      <c r="O535" s="314"/>
      <c r="P535" s="314"/>
      <c r="Q535" s="319" t="s">
        <v>31</v>
      </c>
      <c r="R535" s="316">
        <v>0.013194444443797693</v>
      </c>
      <c r="S535" s="317" t="s">
        <v>1368</v>
      </c>
      <c r="T535" s="317">
        <v>45.03</v>
      </c>
      <c r="U535" s="317"/>
    </row>
    <row r="536" ht="20.25" hidden="1" customHeight="1" outlineLevel="1">
      <c r="A536" s="216" t="str">
        <f>IFERROR(__xludf.DUMMYFUNCTION("ARRAYFORMULA(IFERROR(VLOOKUP(REGEXEXTRACT(B536, ""-(\w+)-""), {Data_Validation!$F$16:$F$29, Data_Validation!$E$16:$E$29}, 2, FALSE), """"))
"),"TheMVP")</f>
        <v>TheMVP</v>
      </c>
      <c r="B536" s="265" t="s">
        <v>2244</v>
      </c>
      <c r="D536" s="265" t="s">
        <v>47</v>
      </c>
      <c r="E536" s="265" t="s">
        <v>26</v>
      </c>
      <c r="F536" s="265" t="s">
        <v>22</v>
      </c>
      <c r="G536" s="265"/>
      <c r="H536" s="332">
        <v>45226.0</v>
      </c>
      <c r="I536" s="309">
        <v>1.0</v>
      </c>
      <c r="L536" s="311"/>
      <c r="M536" s="313"/>
      <c r="N536" s="313"/>
      <c r="O536" s="314"/>
      <c r="P536" s="314"/>
      <c r="Q536" s="319"/>
      <c r="R536" s="316"/>
      <c r="S536" s="317" t="s">
        <v>1368</v>
      </c>
      <c r="T536" s="317">
        <v>45.04</v>
      </c>
      <c r="U536" s="317"/>
    </row>
    <row r="537" ht="20.25" customHeight="1" collapsed="1">
      <c r="A537" s="216" t="str">
        <f>IFERROR(__xludf.DUMMYFUNCTION("ARRAYFORMULA(IFERROR(VLOOKUP(REGEXEXTRACT(B537, ""-(\w+)-""), {Data_Validation!$F$16:$F$29, Data_Validation!$E$16:$E$29}, 2, FALSE), """"))
"),"Colorful Tech")</f>
        <v>Colorful Tech</v>
      </c>
      <c r="B537" s="265" t="s">
        <v>2245</v>
      </c>
      <c r="C537" s="265" t="s">
        <v>2246</v>
      </c>
      <c r="D537" s="265"/>
      <c r="E537" s="265" t="s">
        <v>21</v>
      </c>
      <c r="F537" s="265" t="s">
        <v>41</v>
      </c>
      <c r="G537" s="265" t="s">
        <v>89</v>
      </c>
      <c r="H537" s="332">
        <v>45229.0</v>
      </c>
      <c r="I537" s="308"/>
      <c r="J537" s="265">
        <v>7.0</v>
      </c>
      <c r="L537" s="311"/>
      <c r="M537" s="313">
        <v>45219.49419208334</v>
      </c>
      <c r="N537" s="313">
        <v>45220.63672016204</v>
      </c>
      <c r="O537" s="314"/>
      <c r="P537" s="314"/>
      <c r="Q537" s="319"/>
      <c r="R537" s="316">
        <v>0.03472222222262644</v>
      </c>
      <c r="S537" s="317" t="s">
        <v>1375</v>
      </c>
      <c r="T537" s="317">
        <v>9.0</v>
      </c>
      <c r="U537" s="317"/>
    </row>
    <row r="538" ht="20.25" hidden="1" customHeight="1" outlineLevel="1">
      <c r="A538" s="216" t="str">
        <f>IFERROR(__xludf.DUMMYFUNCTION("ARRAYFORMULA(IFERROR(VLOOKUP(REGEXEXTRACT(B538, ""-(\w+)-""), {Data_Validation!$F$16:$F$29, Data_Validation!$E$16:$E$29}, 2, FALSE), """"))
"),"Colorful Tech")</f>
        <v>Colorful Tech</v>
      </c>
      <c r="B538" s="265" t="s">
        <v>2247</v>
      </c>
      <c r="D538" s="265" t="s">
        <v>25</v>
      </c>
      <c r="E538" s="265" t="s">
        <v>26</v>
      </c>
      <c r="F538" s="265" t="s">
        <v>41</v>
      </c>
      <c r="G538" s="265" t="s">
        <v>2248</v>
      </c>
      <c r="H538" s="332">
        <v>45218.0</v>
      </c>
      <c r="I538" s="309">
        <v>1.0</v>
      </c>
      <c r="L538" s="311"/>
      <c r="M538" s="313">
        <v>45219.49419208334</v>
      </c>
      <c r="N538" s="313">
        <v>45219.51232149306</v>
      </c>
      <c r="O538" s="314"/>
      <c r="P538" s="314"/>
      <c r="Q538" s="319" t="s">
        <v>31</v>
      </c>
      <c r="R538" s="316">
        <v>0.018055555556202307</v>
      </c>
      <c r="S538" s="317" t="s">
        <v>1375</v>
      </c>
      <c r="T538" s="317">
        <v>9.01</v>
      </c>
      <c r="U538" s="317"/>
    </row>
    <row r="539" ht="20.25" hidden="1" customHeight="1" outlineLevel="1">
      <c r="A539" s="216" t="str">
        <f>IFERROR(__xludf.DUMMYFUNCTION("ARRAYFORMULA(IFERROR(VLOOKUP(REGEXEXTRACT(B539, ""-(\w+)-""), {Data_Validation!$F$16:$F$29, Data_Validation!$E$16:$E$29}, 2, FALSE), """"))
"),"Colorful Tech")</f>
        <v>Colorful Tech</v>
      </c>
      <c r="B539" s="265" t="s">
        <v>2249</v>
      </c>
      <c r="D539" s="265" t="s">
        <v>2250</v>
      </c>
      <c r="E539" s="265" t="s">
        <v>26</v>
      </c>
      <c r="F539" s="265" t="s">
        <v>41</v>
      </c>
      <c r="G539" s="265"/>
      <c r="H539" s="332">
        <v>45218.0</v>
      </c>
      <c r="I539" s="309">
        <v>1.0</v>
      </c>
      <c r="L539" s="311"/>
      <c r="M539" s="313">
        <v>45219.67375457176</v>
      </c>
      <c r="N539" s="313">
        <v>45220.63252667824</v>
      </c>
      <c r="O539" s="314" t="s">
        <v>2251</v>
      </c>
      <c r="P539" s="314" t="s">
        <v>2252</v>
      </c>
      <c r="Q539" s="319" t="s">
        <v>31</v>
      </c>
      <c r="R539" s="316">
        <v>0.009027777778101154</v>
      </c>
      <c r="S539" s="317" t="s">
        <v>1375</v>
      </c>
      <c r="T539" s="317">
        <v>9.02</v>
      </c>
      <c r="U539" s="317"/>
    </row>
    <row r="540" ht="20.25" hidden="1" customHeight="1" outlineLevel="1">
      <c r="A540" s="216" t="str">
        <f>IFERROR(__xludf.DUMMYFUNCTION("ARRAYFORMULA(IFERROR(VLOOKUP(REGEXEXTRACT(B540, ""-(\w+)-""), {Data_Validation!$F$16:$F$29, Data_Validation!$E$16:$E$29}, 2, FALSE), """"))
"),"Colorful Tech")</f>
        <v>Colorful Tech</v>
      </c>
      <c r="B540" s="265" t="s">
        <v>2253</v>
      </c>
      <c r="D540" s="265" t="s">
        <v>303</v>
      </c>
      <c r="E540" s="265" t="s">
        <v>26</v>
      </c>
      <c r="F540" s="265" t="s">
        <v>41</v>
      </c>
      <c r="G540" s="265"/>
      <c r="H540" s="332">
        <v>45220.0</v>
      </c>
      <c r="I540" s="265">
        <v>1.0</v>
      </c>
      <c r="L540" s="311"/>
      <c r="M540" s="313">
        <v>45220.63250386574</v>
      </c>
      <c r="N540" s="313">
        <v>45220.63672016204</v>
      </c>
      <c r="O540" s="314"/>
      <c r="P540" s="314"/>
      <c r="Q540" s="319" t="s">
        <v>31</v>
      </c>
      <c r="R540" s="316">
        <v>0.004166666665696539</v>
      </c>
      <c r="S540" s="317" t="s">
        <v>1375</v>
      </c>
      <c r="T540" s="317">
        <v>9.04</v>
      </c>
      <c r="U540" s="317"/>
    </row>
    <row r="541" ht="20.25" hidden="1" customHeight="1" outlineLevel="1">
      <c r="A541" s="216" t="str">
        <f>IFERROR(__xludf.DUMMYFUNCTION("ARRAYFORMULA(IFERROR(VLOOKUP(REGEXEXTRACT(B541, ""-(\w+)-""), {Data_Validation!$F$16:$F$29, Data_Validation!$E$16:$E$29}, 2, FALSE), """"))
"),"Inno3D")</f>
        <v>Inno3D</v>
      </c>
      <c r="B541" s="265" t="s">
        <v>2254</v>
      </c>
      <c r="D541" s="265" t="s">
        <v>112</v>
      </c>
      <c r="E541" s="265" t="s">
        <v>26</v>
      </c>
      <c r="F541" s="265" t="s">
        <v>48</v>
      </c>
      <c r="G541" s="265"/>
      <c r="H541" s="332">
        <v>45226.0</v>
      </c>
      <c r="I541" s="309">
        <v>1.0</v>
      </c>
      <c r="L541" s="311"/>
      <c r="M541" s="313">
        <v>45226.546612210645</v>
      </c>
      <c r="N541" s="313">
        <v>45226.54836548612</v>
      </c>
      <c r="O541" s="314"/>
      <c r="P541" s="314"/>
      <c r="Q541" s="319" t="s">
        <v>31</v>
      </c>
      <c r="R541" s="316">
        <v>0.0013888888897781726</v>
      </c>
      <c r="S541" s="317"/>
      <c r="T541" s="317"/>
      <c r="U541" s="317"/>
    </row>
    <row r="542" ht="20.25" hidden="1" customHeight="1" outlineLevel="1">
      <c r="A542" s="216" t="str">
        <f>IFERROR(__xludf.DUMMYFUNCTION("ARRAYFORMULA(IFERROR(VLOOKUP(REGEXEXTRACT(B542, ""-(\w+)-""), {Data_Validation!$F$16:$F$29, Data_Validation!$E$16:$E$29}, 2, FALSE), """"))
"),"Inno3D")</f>
        <v>Inno3D</v>
      </c>
      <c r="B542" s="265" t="s">
        <v>2255</v>
      </c>
      <c r="D542" s="265" t="s">
        <v>40</v>
      </c>
      <c r="E542" s="265" t="s">
        <v>26</v>
      </c>
      <c r="F542" s="265" t="s">
        <v>41</v>
      </c>
      <c r="G542" s="265" t="s">
        <v>2256</v>
      </c>
      <c r="H542" s="332">
        <v>45225.0</v>
      </c>
      <c r="I542" s="309">
        <v>1.0</v>
      </c>
      <c r="L542" s="311"/>
      <c r="M542" s="313">
        <v>45226.55432496528</v>
      </c>
      <c r="N542" s="313">
        <v>45226.77709876157</v>
      </c>
      <c r="O542" s="314" t="s">
        <v>2257</v>
      </c>
      <c r="P542" s="314" t="s">
        <v>2258</v>
      </c>
      <c r="Q542" s="319" t="s">
        <v>31</v>
      </c>
      <c r="R542" s="316">
        <v>0.10277777777810115</v>
      </c>
      <c r="S542" s="317"/>
      <c r="T542" s="317"/>
      <c r="U542" s="317"/>
    </row>
    <row r="543" ht="20.25" hidden="1" customHeight="1" outlineLevel="1">
      <c r="A543" s="216" t="str">
        <f>IFERROR(__xludf.DUMMYFUNCTION("ARRAYFORMULA(IFERROR(VLOOKUP(REGEXEXTRACT(B543, ""-(\w+)-""), {Data_Validation!$F$16:$F$29, Data_Validation!$E$16:$E$29}, 2, FALSE), """"))
"),"Inno3D")</f>
        <v>Inno3D</v>
      </c>
      <c r="B543" s="265" t="s">
        <v>2259</v>
      </c>
      <c r="D543" s="265" t="s">
        <v>47</v>
      </c>
      <c r="E543" s="265" t="s">
        <v>26</v>
      </c>
      <c r="F543" s="265" t="s">
        <v>41</v>
      </c>
      <c r="G543" s="265"/>
      <c r="H543" s="332">
        <v>45226.0</v>
      </c>
      <c r="I543" s="309">
        <v>1.0</v>
      </c>
      <c r="L543" s="311"/>
      <c r="M543" s="313">
        <v>45226.77714297453</v>
      </c>
      <c r="N543" s="313">
        <v>45226.79066960648</v>
      </c>
      <c r="O543" s="314" t="s">
        <v>2260</v>
      </c>
      <c r="P543" s="314" t="s">
        <v>2261</v>
      </c>
      <c r="Q543" s="319" t="s">
        <v>31</v>
      </c>
      <c r="R543" s="316">
        <v>0.0013888888897781726</v>
      </c>
      <c r="S543" s="317"/>
      <c r="T543" s="317"/>
      <c r="U543" s="317"/>
    </row>
    <row r="544" ht="20.25" hidden="1" customHeight="1" outlineLevel="1">
      <c r="A544" s="216" t="str">
        <f>IFERROR(__xludf.DUMMYFUNCTION("ARRAYFORMULA(IFERROR(VLOOKUP(REGEXEXTRACT(B544, ""-(\w+)-""), {Data_Validation!$F$16:$F$29, Data_Validation!$E$16:$E$29}, 2, FALSE), """"))
"),"Inno3D")</f>
        <v>Inno3D</v>
      </c>
      <c r="B544" s="265" t="s">
        <v>2254</v>
      </c>
      <c r="D544" s="265" t="s">
        <v>112</v>
      </c>
      <c r="E544" s="265" t="s">
        <v>26</v>
      </c>
      <c r="F544" s="265" t="s">
        <v>48</v>
      </c>
      <c r="G544" s="265"/>
      <c r="H544" s="332">
        <v>45226.0</v>
      </c>
      <c r="I544" s="309">
        <v>1.0</v>
      </c>
      <c r="L544" s="311"/>
      <c r="M544" s="313">
        <v>45226.546612210645</v>
      </c>
      <c r="N544" s="313">
        <v>45226.54836548612</v>
      </c>
      <c r="O544" s="314"/>
      <c r="P544" s="314"/>
      <c r="Q544" s="319" t="s">
        <v>31</v>
      </c>
      <c r="R544" s="316">
        <v>0.0013888888897781726</v>
      </c>
      <c r="S544" s="317"/>
      <c r="T544" s="317"/>
      <c r="U544" s="317"/>
    </row>
    <row r="545" ht="20.25" customHeight="1" collapsed="1">
      <c r="A545" s="216" t="str">
        <f>IFERROR(__xludf.DUMMYFUNCTION("ARRAYFORMULA(IFERROR(VLOOKUP(REGEXEXTRACT(B545, ""-(\w+)-""), {Data_Validation!$F$16:$F$29, Data_Validation!$E$16:$E$29}, 2, FALSE), """"))
"),"TheMVP")</f>
        <v>TheMVP</v>
      </c>
      <c r="B545" s="265" t="s">
        <v>2262</v>
      </c>
      <c r="C545" s="265" t="s">
        <v>2097</v>
      </c>
      <c r="D545" s="265"/>
      <c r="E545" s="265" t="s">
        <v>78</v>
      </c>
      <c r="F545" s="265" t="s">
        <v>22</v>
      </c>
      <c r="G545" s="265" t="s">
        <v>63</v>
      </c>
      <c r="H545" s="332">
        <v>45226.0</v>
      </c>
      <c r="I545" s="308"/>
      <c r="J545" s="309">
        <v>2.0</v>
      </c>
      <c r="L545" s="311"/>
      <c r="M545" s="313">
        <v>45219.55254842593</v>
      </c>
      <c r="N545" s="313">
        <v>45227.548397719904</v>
      </c>
      <c r="O545" s="314"/>
      <c r="P545" s="314"/>
      <c r="Q545" s="319"/>
      <c r="R545" s="316">
        <v>0.30416666666496894</v>
      </c>
      <c r="S545" s="317" t="s">
        <v>1368</v>
      </c>
      <c r="T545" s="317">
        <v>60.0</v>
      </c>
      <c r="U545" s="317"/>
    </row>
    <row r="546" ht="20.25" hidden="1" customHeight="1" outlineLevel="1">
      <c r="A546" s="216" t="str">
        <f>IFERROR(__xludf.DUMMYFUNCTION("ARRAYFORMULA(IFERROR(VLOOKUP(REGEXEXTRACT(B546, ""-(\w+)-""), {Data_Validation!$F$16:$F$29, Data_Validation!$E$16:$E$29}, 2, FALSE), """"))
"),"TheMVP")</f>
        <v>TheMVP</v>
      </c>
      <c r="B546" s="265" t="s">
        <v>2263</v>
      </c>
      <c r="D546" s="265" t="s">
        <v>25</v>
      </c>
      <c r="E546" s="265" t="s">
        <v>26</v>
      </c>
      <c r="F546" s="265" t="s">
        <v>22</v>
      </c>
      <c r="G546" s="265" t="s">
        <v>279</v>
      </c>
      <c r="H546" s="332">
        <v>45222.0</v>
      </c>
      <c r="I546" s="309">
        <v>1.0</v>
      </c>
      <c r="L546" s="311"/>
      <c r="M546" s="313">
        <v>45219.55254842593</v>
      </c>
      <c r="N546" s="313">
        <v>45224.74076377315</v>
      </c>
      <c r="O546" s="314" t="s">
        <v>2264</v>
      </c>
      <c r="P546" s="314" t="s">
        <v>2265</v>
      </c>
      <c r="Q546" s="319" t="s">
        <v>31</v>
      </c>
      <c r="R546" s="316">
        <v>0.16666666666787933</v>
      </c>
      <c r="S546" s="317" t="s">
        <v>1368</v>
      </c>
      <c r="T546" s="317">
        <v>60.01</v>
      </c>
      <c r="U546" s="317"/>
    </row>
    <row r="547" ht="20.25" hidden="1" customHeight="1" outlineLevel="1">
      <c r="A547" s="216" t="str">
        <f>IFERROR(__xludf.DUMMYFUNCTION("ARRAYFORMULA(IFERROR(VLOOKUP(REGEXEXTRACT(B547, ""-(\w+)-""), {Data_Validation!$F$16:$F$29, Data_Validation!$E$16:$E$29}, 2, FALSE), """"))
"),"TheMVP")</f>
        <v>TheMVP</v>
      </c>
      <c r="B547" s="265" t="s">
        <v>2266</v>
      </c>
      <c r="D547" s="265" t="s">
        <v>2267</v>
      </c>
      <c r="E547" s="265" t="s">
        <v>26</v>
      </c>
      <c r="F547" s="265" t="s">
        <v>22</v>
      </c>
      <c r="G547" s="265"/>
      <c r="H547" s="332">
        <v>45226.0</v>
      </c>
      <c r="I547" s="309">
        <v>1.0</v>
      </c>
      <c r="L547" s="311"/>
      <c r="M547" s="313">
        <v>45227.410266203704</v>
      </c>
      <c r="N547" s="313">
        <v>45227.548397719904</v>
      </c>
      <c r="O547" s="314"/>
      <c r="P547" s="314"/>
      <c r="Q547" s="319" t="s">
        <v>31</v>
      </c>
      <c r="R547" s="316">
        <v>0.1375000000007276</v>
      </c>
      <c r="S547" s="317" t="s">
        <v>1368</v>
      </c>
      <c r="T547" s="317">
        <v>60.02</v>
      </c>
      <c r="U547" s="317"/>
    </row>
    <row r="548" ht="20.25" customHeight="1" collapsed="1">
      <c r="A548" s="216" t="str">
        <f>IFERROR(__xludf.DUMMYFUNCTION("ARRAYFORMULA(IFERROR(VLOOKUP(REGEXEXTRACT(B548, ""-(\w+)-""), {Data_Validation!$F$16:$F$29, Data_Validation!$E$16:$E$29}, 2, FALSE), """"))
"),"Inno3D")</f>
        <v>Inno3D</v>
      </c>
      <c r="B548" s="265" t="s">
        <v>2233</v>
      </c>
      <c r="C548" s="265" t="s">
        <v>844</v>
      </c>
      <c r="D548" s="265"/>
      <c r="E548" s="265" t="s">
        <v>51</v>
      </c>
      <c r="F548" s="265" t="s">
        <v>34</v>
      </c>
      <c r="G548" s="265" t="s">
        <v>79</v>
      </c>
      <c r="H548" s="332">
        <v>45224.0</v>
      </c>
      <c r="I548" s="308"/>
      <c r="J548" s="309">
        <v>2.0</v>
      </c>
      <c r="L548" s="311"/>
      <c r="M548" s="313">
        <v>45226.546612210645</v>
      </c>
      <c r="N548" s="313">
        <v>45226.79066960648</v>
      </c>
      <c r="O548" s="314"/>
      <c r="P548" s="314"/>
      <c r="Q548" s="319"/>
      <c r="R548" s="316">
        <v>0.21111111111167702</v>
      </c>
      <c r="S548" s="317" t="s">
        <v>1394</v>
      </c>
      <c r="T548" s="317">
        <v>8.0</v>
      </c>
      <c r="U548" s="317"/>
    </row>
    <row r="549" ht="20.25" hidden="1" customHeight="1" outlineLevel="1">
      <c r="A549" s="216" t="str">
        <f>IFERROR(__xludf.DUMMYFUNCTION("ARRAYFORMULA(IFERROR(VLOOKUP(REGEXEXTRACT(B549, ""-(\w+)-""), {Data_Validation!$F$16:$F$29, Data_Validation!$E$16:$E$29}, 2, FALSE), """"))
"),"Inno3D")</f>
        <v>Inno3D</v>
      </c>
      <c r="B549" s="265" t="s">
        <v>2234</v>
      </c>
      <c r="D549" s="265" t="s">
        <v>40</v>
      </c>
      <c r="E549" s="265" t="s">
        <v>26</v>
      </c>
      <c r="F549" s="265" t="s">
        <v>34</v>
      </c>
      <c r="G549" s="357" t="s">
        <v>2235</v>
      </c>
      <c r="H549" s="332">
        <v>45224.0</v>
      </c>
      <c r="I549" s="309">
        <v>1.0</v>
      </c>
      <c r="L549" s="311"/>
      <c r="M549" s="313"/>
      <c r="N549" s="313"/>
      <c r="O549" s="314"/>
      <c r="P549" s="314"/>
      <c r="Q549" s="319"/>
      <c r="R549" s="316"/>
      <c r="S549" s="317"/>
      <c r="T549" s="317"/>
      <c r="U549" s="317"/>
    </row>
    <row r="550" ht="20.25" hidden="1" customHeight="1" outlineLevel="1">
      <c r="A550" s="216" t="str">
        <f>IFERROR(__xludf.DUMMYFUNCTION("ARRAYFORMULA(IFERROR(VLOOKUP(REGEXEXTRACT(B550, ""-(\w+)-""), {Data_Validation!$F$16:$F$29, Data_Validation!$E$16:$E$29}, 2, FALSE), """"))
"),"Inno3D")</f>
        <v>Inno3D</v>
      </c>
      <c r="B550" s="265" t="s">
        <v>2236</v>
      </c>
      <c r="D550" s="265" t="s">
        <v>47</v>
      </c>
      <c r="E550" s="265" t="s">
        <v>26</v>
      </c>
      <c r="F550" s="265" t="s">
        <v>34</v>
      </c>
      <c r="G550" s="265"/>
      <c r="H550" s="332">
        <v>45225.0</v>
      </c>
      <c r="I550" s="309">
        <v>1.0</v>
      </c>
      <c r="L550" s="311"/>
      <c r="M550" s="313"/>
      <c r="N550" s="313"/>
      <c r="O550" s="314"/>
      <c r="P550" s="314"/>
      <c r="Q550" s="319"/>
      <c r="R550" s="316"/>
      <c r="S550" s="317"/>
      <c r="T550" s="317"/>
      <c r="U550" s="317"/>
    </row>
    <row r="551" ht="20.25" customHeight="1" collapsed="1">
      <c r="A551" s="216" t="str">
        <f>IFERROR(__xludf.DUMMYFUNCTION("ARRAYFORMULA(IFERROR(VLOOKUP(REGEXEXTRACT(B551, ""-(\w+)-""), {Data_Validation!$F$16:$F$29, Data_Validation!$E$16:$E$29}, 2, FALSE), """"))
"),"Colorful Tech")</f>
        <v>Colorful Tech</v>
      </c>
      <c r="B551" s="265" t="s">
        <v>2130</v>
      </c>
      <c r="C551" s="265" t="s">
        <v>2131</v>
      </c>
      <c r="D551" s="265"/>
      <c r="E551" s="265" t="s">
        <v>21</v>
      </c>
      <c r="F551" s="265" t="s">
        <v>41</v>
      </c>
      <c r="G551" s="265" t="s">
        <v>89</v>
      </c>
      <c r="H551" s="332">
        <v>45226.0</v>
      </c>
      <c r="I551" s="308"/>
      <c r="J551" s="309">
        <v>5.0</v>
      </c>
      <c r="L551" s="311"/>
      <c r="M551" s="313">
        <v>45212.63615853009</v>
      </c>
      <c r="N551" s="313">
        <v>45226.42855730324</v>
      </c>
      <c r="O551" s="314"/>
      <c r="P551" s="314"/>
      <c r="Q551" s="319"/>
      <c r="R551" s="316">
        <v>0.1749999999992724</v>
      </c>
      <c r="S551" s="317" t="s">
        <v>1375</v>
      </c>
      <c r="T551" s="317">
        <v>8.0</v>
      </c>
      <c r="U551" s="317"/>
    </row>
    <row r="552" ht="20.25" hidden="1" customHeight="1" outlineLevel="1">
      <c r="A552" s="216" t="str">
        <f>IFERROR(__xludf.DUMMYFUNCTION("ARRAYFORMULA(IFERROR(VLOOKUP(REGEXEXTRACT(B552, ""-(\w+)-""), {Data_Validation!$F$16:$F$29, Data_Validation!$E$16:$E$29}, 2, FALSE), """"))
"),"Colorful Tech")</f>
        <v>Colorful Tech</v>
      </c>
      <c r="B552" s="265" t="s">
        <v>2268</v>
      </c>
      <c r="D552" s="265" t="s">
        <v>25</v>
      </c>
      <c r="E552" s="265" t="s">
        <v>26</v>
      </c>
      <c r="F552" s="265" t="s">
        <v>34</v>
      </c>
      <c r="G552" s="265" t="s">
        <v>2269</v>
      </c>
      <c r="H552" s="332">
        <v>45208.0</v>
      </c>
      <c r="I552" s="309">
        <v>1.0</v>
      </c>
      <c r="L552" s="311"/>
      <c r="M552" s="313">
        <v>45212.63615853009</v>
      </c>
      <c r="N552" s="313">
        <v>45220.62258876157</v>
      </c>
      <c r="O552" s="314" t="s">
        <v>2270</v>
      </c>
      <c r="P552" s="314" t="s">
        <v>2271</v>
      </c>
      <c r="Q552" s="319" t="s">
        <v>31</v>
      </c>
      <c r="R552" s="316">
        <v>0.018055555556202307</v>
      </c>
      <c r="S552" s="317" t="s">
        <v>1375</v>
      </c>
      <c r="T552" s="317">
        <v>8.01</v>
      </c>
      <c r="U552" s="317"/>
    </row>
    <row r="553" ht="20.25" hidden="1" customHeight="1" outlineLevel="1">
      <c r="A553" s="216" t="str">
        <f>IFERROR(__xludf.DUMMYFUNCTION("ARRAYFORMULA(IFERROR(VLOOKUP(REGEXEXTRACT(B553, ""-(\w+)-""), {Data_Validation!$F$16:$F$29, Data_Validation!$E$16:$E$29}, 2, FALSE), """"))
"),"Colorful Tech")</f>
        <v>Colorful Tech</v>
      </c>
      <c r="B553" s="265" t="s">
        <v>2272</v>
      </c>
      <c r="D553" s="265" t="s">
        <v>33</v>
      </c>
      <c r="E553" s="265" t="s">
        <v>26</v>
      </c>
      <c r="F553" s="265" t="s">
        <v>34</v>
      </c>
      <c r="G553" s="265"/>
      <c r="H553" s="332">
        <v>45208.0</v>
      </c>
      <c r="I553" s="309">
        <v>1.0</v>
      </c>
      <c r="L553" s="311"/>
      <c r="M553" s="313">
        <v>45212.654719328704</v>
      </c>
      <c r="N553" s="313">
        <v>45213.64444969907</v>
      </c>
      <c r="O553" s="314" t="s">
        <v>2273</v>
      </c>
      <c r="P553" s="314" t="s">
        <v>2274</v>
      </c>
      <c r="Q553" s="319" t="s">
        <v>31</v>
      </c>
      <c r="R553" s="316">
        <v>0.008333333335031057</v>
      </c>
      <c r="S553" s="317" t="s">
        <v>1375</v>
      </c>
      <c r="T553" s="317">
        <v>8.02</v>
      </c>
      <c r="U553" s="317"/>
    </row>
    <row r="554" ht="20.25" hidden="1" customHeight="1" outlineLevel="1">
      <c r="A554" s="216" t="str">
        <f>IFERROR(__xludf.DUMMYFUNCTION("ARRAYFORMULA(IFERROR(VLOOKUP(REGEXEXTRACT(B554, ""-(\w+)-""), {Data_Validation!$F$16:$F$29, Data_Validation!$E$16:$E$29}, 2, FALSE), """"))
"),"Colorful Tech")</f>
        <v>Colorful Tech</v>
      </c>
      <c r="B554" s="265" t="s">
        <v>2275</v>
      </c>
      <c r="D554" s="265" t="s">
        <v>112</v>
      </c>
      <c r="E554" s="265" t="s">
        <v>26</v>
      </c>
      <c r="F554" s="265" t="s">
        <v>22</v>
      </c>
      <c r="G554" s="265"/>
      <c r="H554" s="332">
        <v>45213.0</v>
      </c>
      <c r="I554" s="309">
        <v>1.0</v>
      </c>
      <c r="L554" s="311"/>
      <c r="M554" s="313">
        <v>45215.62327658565</v>
      </c>
      <c r="N554" s="313">
        <v>45225.47682469907</v>
      </c>
      <c r="O554" s="314" t="s">
        <v>2276</v>
      </c>
      <c r="P554" s="314" t="s">
        <v>2277</v>
      </c>
      <c r="Q554" s="319" t="s">
        <v>31</v>
      </c>
      <c r="R554" s="316">
        <v>0.052083333332120674</v>
      </c>
      <c r="S554" s="317" t="s">
        <v>1375</v>
      </c>
      <c r="T554" s="317">
        <v>8.05</v>
      </c>
      <c r="U554" s="317"/>
    </row>
    <row r="555" ht="20.25" hidden="1" customHeight="1" outlineLevel="1">
      <c r="A555" s="216" t="str">
        <f>IFERROR(__xludf.DUMMYFUNCTION("ARRAYFORMULA(IFERROR(VLOOKUP(REGEXEXTRACT(B555, ""-(\w+)-""), {Data_Validation!$F$16:$F$29, Data_Validation!$E$16:$E$29}, 2, FALSE), """"))
"),"Colorful Tech")</f>
        <v>Colorful Tech</v>
      </c>
      <c r="B555" s="265" t="s">
        <v>2278</v>
      </c>
      <c r="D555" s="265" t="s">
        <v>40</v>
      </c>
      <c r="E555" s="265" t="s">
        <v>26</v>
      </c>
      <c r="F555" s="265" t="s">
        <v>34</v>
      </c>
      <c r="G555" s="265"/>
      <c r="H555" s="332">
        <v>45224.0</v>
      </c>
      <c r="I555" s="309">
        <v>1.0</v>
      </c>
      <c r="L555" s="311"/>
      <c r="M555" s="313">
        <v>45225.49951288194</v>
      </c>
      <c r="N555" s="313">
        <v>45226.42855730324</v>
      </c>
      <c r="O555" s="314" t="s">
        <v>2279</v>
      </c>
      <c r="P555" s="314" t="s">
        <v>2280</v>
      </c>
      <c r="Q555" s="319" t="s">
        <v>31</v>
      </c>
      <c r="R555" s="316">
        <v>0.09652777777955635</v>
      </c>
      <c r="S555" s="317"/>
      <c r="T555" s="317"/>
      <c r="U555" s="317"/>
    </row>
    <row r="556" ht="20.25" hidden="1" customHeight="1" outlineLevel="1">
      <c r="A556" s="216" t="str">
        <f>IFERROR(__xludf.DUMMYFUNCTION("ARRAYFORMULA(IFERROR(VLOOKUP(REGEXEXTRACT(B556, ""-(\w+)-""), {Data_Validation!$F$16:$F$29, Data_Validation!$E$16:$E$29}, 2, FALSE), """"))
"),"Colorful Tech")</f>
        <v>Colorful Tech</v>
      </c>
      <c r="B556" s="265" t="s">
        <v>2281</v>
      </c>
      <c r="D556" s="265" t="s">
        <v>47</v>
      </c>
      <c r="E556" s="265" t="s">
        <v>26</v>
      </c>
      <c r="F556" s="265" t="s">
        <v>48</v>
      </c>
      <c r="G556" s="265"/>
      <c r="H556" s="332">
        <v>45226.0</v>
      </c>
      <c r="I556" s="309">
        <v>1.0</v>
      </c>
      <c r="L556" s="311"/>
      <c r="M556" s="313"/>
      <c r="N556" s="313"/>
      <c r="O556" s="314"/>
      <c r="P556" s="314"/>
      <c r="Q556" s="319"/>
      <c r="R556" s="316"/>
      <c r="S556" s="317" t="s">
        <v>1375</v>
      </c>
      <c r="T556" s="317">
        <v>8.07</v>
      </c>
      <c r="U556" s="317"/>
    </row>
    <row r="557" ht="20.25" customHeight="1" collapsed="1">
      <c r="A557" s="216" t="str">
        <f>IFERROR(__xludf.DUMMYFUNCTION("ARRAYFORMULA(IFERROR(VLOOKUP(REGEXEXTRACT(B557, ""-(\w+)-""), {Data_Validation!$F$16:$F$29, Data_Validation!$E$16:$E$29}, 2, FALSE), """"))
"),"Colorful Tech")</f>
        <v>Colorful Tech</v>
      </c>
      <c r="B557" s="265" t="s">
        <v>2282</v>
      </c>
      <c r="C557" s="265" t="s">
        <v>2283</v>
      </c>
      <c r="D557" s="265"/>
      <c r="E557" s="265" t="s">
        <v>21</v>
      </c>
      <c r="F557" s="265" t="s">
        <v>41</v>
      </c>
      <c r="G557" s="265" t="s">
        <v>89</v>
      </c>
      <c r="H557" s="332">
        <v>45227.0</v>
      </c>
      <c r="I557" s="308"/>
      <c r="J557" s="309">
        <v>6.0</v>
      </c>
      <c r="L557" s="311"/>
      <c r="M557" s="313">
        <v>45218.79228635417</v>
      </c>
      <c r="N557" s="313">
        <v>45227.72336422454</v>
      </c>
      <c r="O557" s="314"/>
      <c r="P557" s="314"/>
      <c r="Q557" s="319"/>
      <c r="R557" s="316">
        <v>0.10347222222117125</v>
      </c>
      <c r="S557" s="317" t="s">
        <v>1375</v>
      </c>
      <c r="T557" s="317">
        <v>7.0</v>
      </c>
      <c r="U557" s="317"/>
    </row>
    <row r="558" ht="20.25" hidden="1" customHeight="1" outlineLevel="1">
      <c r="A558" s="216" t="str">
        <f>IFERROR(__xludf.DUMMYFUNCTION("ARRAYFORMULA(IFERROR(VLOOKUP(REGEXEXTRACT(B558, ""-(\w+)-""), {Data_Validation!$F$16:$F$29, Data_Validation!$E$16:$E$29}, 2, FALSE), """"))
"),"Colorful Tech")</f>
        <v>Colorful Tech</v>
      </c>
      <c r="B558" s="265" t="s">
        <v>2284</v>
      </c>
      <c r="D558" s="265" t="s">
        <v>25</v>
      </c>
      <c r="E558" s="265" t="s">
        <v>26</v>
      </c>
      <c r="F558" s="265" t="s">
        <v>41</v>
      </c>
      <c r="G558" s="265" t="s">
        <v>25</v>
      </c>
      <c r="H558" s="332">
        <v>45216.0</v>
      </c>
      <c r="I558" s="309">
        <v>1.0</v>
      </c>
      <c r="L558" s="311"/>
      <c r="M558" s="313">
        <v>45218.79228635417</v>
      </c>
      <c r="N558" s="313">
        <v>45218.82274025463</v>
      </c>
      <c r="O558" s="314" t="s">
        <v>2285</v>
      </c>
      <c r="P558" s="314" t="s">
        <v>2286</v>
      </c>
      <c r="Q558" s="319" t="s">
        <v>31</v>
      </c>
      <c r="R558" s="316">
        <v>0.018055555556202307</v>
      </c>
      <c r="S558" s="317" t="s">
        <v>1375</v>
      </c>
      <c r="T558" s="317">
        <v>7.01</v>
      </c>
      <c r="U558" s="317"/>
    </row>
    <row r="559" ht="20.25" hidden="1" customHeight="1" outlineLevel="1">
      <c r="A559" s="216" t="str">
        <f>IFERROR(__xludf.DUMMYFUNCTION("ARRAYFORMULA(IFERROR(VLOOKUP(REGEXEXTRACT(B559, ""-(\w+)-""), {Data_Validation!$F$16:$F$29, Data_Validation!$E$16:$E$29}, 2, FALSE), """"))
"),"Colorful Tech")</f>
        <v>Colorful Tech</v>
      </c>
      <c r="B559" s="265" t="s">
        <v>2287</v>
      </c>
      <c r="D559" s="265" t="s">
        <v>112</v>
      </c>
      <c r="E559" s="265" t="s">
        <v>26</v>
      </c>
      <c r="F559" s="265" t="s">
        <v>48</v>
      </c>
      <c r="G559" s="265"/>
      <c r="H559" s="332">
        <v>45219.0</v>
      </c>
      <c r="I559" s="309">
        <v>1.0</v>
      </c>
      <c r="L559" s="311"/>
      <c r="M559" s="313">
        <v>45219.5070858449</v>
      </c>
      <c r="N559" s="313">
        <v>45219.514096307874</v>
      </c>
      <c r="O559" s="314"/>
      <c r="P559" s="314"/>
      <c r="Q559" s="319" t="s">
        <v>31</v>
      </c>
      <c r="R559" s="316">
        <v>0.006944444445252884</v>
      </c>
      <c r="S559" s="317" t="s">
        <v>1375</v>
      </c>
      <c r="T559" s="317">
        <v>7.04</v>
      </c>
      <c r="U559" s="317"/>
    </row>
    <row r="560" ht="20.25" hidden="1" customHeight="1" outlineLevel="1">
      <c r="A560" s="216" t="str">
        <f>IFERROR(__xludf.DUMMYFUNCTION("ARRAYFORMULA(IFERROR(VLOOKUP(REGEXEXTRACT(B560, ""-(\w+)-""), {Data_Validation!$F$16:$F$29, Data_Validation!$E$16:$E$29}, 2, FALSE), """"))
"),"Colorful Tech")</f>
        <v>Colorful Tech</v>
      </c>
      <c r="B560" s="265" t="s">
        <v>2288</v>
      </c>
      <c r="D560" s="265" t="s">
        <v>40</v>
      </c>
      <c r="E560" s="265" t="s">
        <v>26</v>
      </c>
      <c r="F560" s="265" t="s">
        <v>34</v>
      </c>
      <c r="G560" s="265"/>
      <c r="H560" s="332">
        <v>45219.0</v>
      </c>
      <c r="I560" s="309">
        <v>1.0</v>
      </c>
      <c r="L560" s="311"/>
      <c r="M560" s="313">
        <v>45219.56046799768</v>
      </c>
      <c r="N560" s="313">
        <v>45219.661332268515</v>
      </c>
      <c r="O560" s="314" t="s">
        <v>2289</v>
      </c>
      <c r="P560" s="314" t="s">
        <v>2290</v>
      </c>
      <c r="Q560" s="319" t="s">
        <v>31</v>
      </c>
      <c r="R560" s="316">
        <v>0.07777777777664596</v>
      </c>
      <c r="S560" s="317"/>
      <c r="T560" s="317"/>
      <c r="U560" s="317"/>
    </row>
    <row r="561" ht="20.25" hidden="1" customHeight="1" outlineLevel="1">
      <c r="A561" s="216" t="str">
        <f>IFERROR(__xludf.DUMMYFUNCTION("ARRAYFORMULA(IFERROR(VLOOKUP(REGEXEXTRACT(B561, ""-(\w+)-""), {Data_Validation!$F$16:$F$29, Data_Validation!$E$16:$E$29}, 2, FALSE), """"))
"),"Colorful Tech")</f>
        <v>Colorful Tech</v>
      </c>
      <c r="B561" s="265" t="s">
        <v>2291</v>
      </c>
      <c r="D561" s="265" t="s">
        <v>2292</v>
      </c>
      <c r="E561" s="265" t="s">
        <v>26</v>
      </c>
      <c r="F561" s="265" t="s">
        <v>22</v>
      </c>
      <c r="G561" s="265"/>
      <c r="H561" s="332">
        <v>45222.0</v>
      </c>
      <c r="I561" s="309">
        <v>1.0</v>
      </c>
      <c r="L561" s="311"/>
      <c r="M561" s="313"/>
      <c r="N561" s="313"/>
      <c r="O561" s="314"/>
      <c r="P561" s="314"/>
      <c r="Q561" s="319"/>
      <c r="R561" s="316"/>
      <c r="S561" s="317"/>
      <c r="T561" s="317"/>
      <c r="U561" s="317"/>
    </row>
    <row r="562" ht="20.25" hidden="1" customHeight="1" outlineLevel="1">
      <c r="A562" s="216" t="str">
        <f>IFERROR(__xludf.DUMMYFUNCTION("ARRAYFORMULA(IFERROR(VLOOKUP(REGEXEXTRACT(B562, ""-(\w+)-""), {Data_Validation!$F$16:$F$29, Data_Validation!$E$16:$E$29}, 2, FALSE), """"))
"),"Colorful Tech")</f>
        <v>Colorful Tech</v>
      </c>
      <c r="B562" s="265" t="s">
        <v>2293</v>
      </c>
      <c r="D562" s="265" t="s">
        <v>2294</v>
      </c>
      <c r="E562" s="265" t="s">
        <v>26</v>
      </c>
      <c r="F562" s="265" t="s">
        <v>34</v>
      </c>
      <c r="G562" s="265"/>
      <c r="H562" s="332">
        <v>45222.0</v>
      </c>
      <c r="I562" s="309">
        <v>1.0</v>
      </c>
      <c r="L562" s="311"/>
      <c r="M562" s="313"/>
      <c r="N562" s="313"/>
      <c r="O562" s="314"/>
      <c r="P562" s="314"/>
      <c r="Q562" s="319"/>
      <c r="R562" s="316"/>
      <c r="S562" s="317"/>
      <c r="T562" s="317"/>
      <c r="U562" s="317"/>
    </row>
    <row r="563" ht="20.25" hidden="1" customHeight="1" outlineLevel="1">
      <c r="A563" s="216" t="str">
        <f>IFERROR(__xludf.DUMMYFUNCTION("ARRAYFORMULA(IFERROR(VLOOKUP(REGEXEXTRACT(B563, ""-(\w+)-""), {Data_Validation!$F$16:$F$29, Data_Validation!$E$16:$E$29}, 2, FALSE), """"))
"),"Colorful Tech")</f>
        <v>Colorful Tech</v>
      </c>
      <c r="B563" s="265" t="s">
        <v>2295</v>
      </c>
      <c r="D563" s="265" t="s">
        <v>47</v>
      </c>
      <c r="E563" s="265" t="s">
        <v>26</v>
      </c>
      <c r="F563" s="265" t="s">
        <v>48</v>
      </c>
      <c r="G563" s="265"/>
      <c r="H563" s="332">
        <v>45227.0</v>
      </c>
      <c r="I563" s="309">
        <v>1.0</v>
      </c>
      <c r="L563" s="311"/>
      <c r="M563" s="313">
        <v>45227.72206082176</v>
      </c>
      <c r="N563" s="313">
        <v>45227.72336422454</v>
      </c>
      <c r="O563" s="314"/>
      <c r="P563" s="314"/>
      <c r="Q563" s="319" t="s">
        <v>31</v>
      </c>
      <c r="R563" s="316">
        <v>6.944444430700969E-4</v>
      </c>
      <c r="S563" s="317" t="s">
        <v>1375</v>
      </c>
      <c r="T563" s="317">
        <v>7.09</v>
      </c>
      <c r="U563" s="317"/>
    </row>
    <row r="564" ht="20.25" customHeight="1" collapsed="1">
      <c r="A564" s="216" t="str">
        <f>IFERROR(__xludf.DUMMYFUNCTION("ARRAYFORMULA(IFERROR(VLOOKUP(REGEXEXTRACT(B564, ""-(\w+)-""), {Data_Validation!$F$16:$F$29, Data_Validation!$E$16:$E$29}, 2, FALSE), """"))
"),"TheMVP")</f>
        <v>TheMVP</v>
      </c>
      <c r="B564" s="265" t="s">
        <v>2296</v>
      </c>
      <c r="C564" s="265" t="s">
        <v>2297</v>
      </c>
      <c r="D564" s="265"/>
      <c r="E564" s="265" t="s">
        <v>21</v>
      </c>
      <c r="F564" s="265" t="s">
        <v>22</v>
      </c>
      <c r="G564" s="265" t="s">
        <v>89</v>
      </c>
      <c r="H564" s="332">
        <v>45227.0</v>
      </c>
      <c r="I564" s="308"/>
      <c r="J564" s="309">
        <v>5.0</v>
      </c>
      <c r="L564" s="311"/>
      <c r="M564" s="313"/>
      <c r="N564" s="313"/>
      <c r="O564" s="314"/>
      <c r="P564" s="314"/>
      <c r="Q564" s="319"/>
      <c r="R564" s="316"/>
      <c r="S564" s="317"/>
      <c r="T564" s="317"/>
      <c r="U564" s="317"/>
    </row>
    <row r="565" ht="20.25" hidden="1" customHeight="1" outlineLevel="1">
      <c r="A565" s="216" t="str">
        <f>IFERROR(__xludf.DUMMYFUNCTION("ARRAYFORMULA(IFERROR(VLOOKUP(REGEXEXTRACT(B565, ""-(\w+)-""), {Data_Validation!$F$16:$F$29, Data_Validation!$E$16:$E$29}, 2, FALSE), """"))
"),"TheMVP")</f>
        <v>TheMVP</v>
      </c>
      <c r="B565" s="265" t="s">
        <v>2298</v>
      </c>
      <c r="D565" s="265" t="s">
        <v>2299</v>
      </c>
      <c r="E565" s="265" t="s">
        <v>26</v>
      </c>
      <c r="F565" s="265" t="s">
        <v>22</v>
      </c>
      <c r="G565" s="265"/>
      <c r="H565" s="332">
        <v>45227.0</v>
      </c>
      <c r="I565" s="309">
        <v>1.0</v>
      </c>
      <c r="L565" s="311"/>
      <c r="M565" s="313"/>
      <c r="N565" s="313"/>
      <c r="O565" s="314"/>
      <c r="P565" s="314"/>
      <c r="Q565" s="319"/>
      <c r="R565" s="316"/>
      <c r="S565" s="317"/>
      <c r="T565" s="317"/>
      <c r="U565" s="317"/>
    </row>
    <row r="566" ht="20.25" hidden="1" customHeight="1" outlineLevel="1">
      <c r="A566" s="216" t="str">
        <f>IFERROR(__xludf.DUMMYFUNCTION("ARRAYFORMULA(IFERROR(VLOOKUP(REGEXEXTRACT(B566, ""-(\w+)-""), {Data_Validation!$F$16:$F$29, Data_Validation!$E$16:$E$29}, 2, FALSE), """"))
"),"TheMVP")</f>
        <v>TheMVP</v>
      </c>
      <c r="B566" s="265" t="s">
        <v>2300</v>
      </c>
      <c r="D566" s="265" t="s">
        <v>112</v>
      </c>
      <c r="E566" s="265" t="s">
        <v>26</v>
      </c>
      <c r="F566" s="265" t="s">
        <v>48</v>
      </c>
      <c r="G566" s="265"/>
      <c r="H566" s="332">
        <v>45227.0</v>
      </c>
      <c r="I566" s="309">
        <v>1.0</v>
      </c>
      <c r="L566" s="311"/>
      <c r="M566" s="313"/>
      <c r="N566" s="313"/>
      <c r="O566" s="314"/>
      <c r="P566" s="314"/>
      <c r="Q566" s="319"/>
      <c r="R566" s="316"/>
      <c r="S566" s="317"/>
      <c r="T566" s="317"/>
      <c r="U566" s="317"/>
    </row>
    <row r="567" ht="20.25" hidden="1" customHeight="1" outlineLevel="1">
      <c r="A567" s="216" t="str">
        <f>IFERROR(__xludf.DUMMYFUNCTION("ARRAYFORMULA(IFERROR(VLOOKUP(REGEXEXTRACT(B567, ""-(\w+)-""), {Data_Validation!$F$16:$F$29, Data_Validation!$E$16:$E$29}, 2, FALSE), """"))
"),"TheMVP")</f>
        <v>TheMVP</v>
      </c>
      <c r="B567" s="265" t="s">
        <v>2301</v>
      </c>
      <c r="D567" s="265" t="s">
        <v>40</v>
      </c>
      <c r="E567" s="265" t="s">
        <v>26</v>
      </c>
      <c r="F567" s="265" t="s">
        <v>34</v>
      </c>
      <c r="G567" s="265"/>
      <c r="H567" s="332">
        <v>45227.0</v>
      </c>
      <c r="I567" s="309">
        <v>1.0</v>
      </c>
      <c r="L567" s="311"/>
      <c r="M567" s="313"/>
      <c r="N567" s="313"/>
      <c r="O567" s="314"/>
      <c r="P567" s="314"/>
      <c r="Q567" s="319"/>
      <c r="R567" s="316"/>
      <c r="S567" s="317"/>
      <c r="T567" s="317"/>
      <c r="U567" s="317"/>
    </row>
    <row r="568" ht="20.25" hidden="1" customHeight="1" outlineLevel="1">
      <c r="A568" s="216" t="str">
        <f>IFERROR(__xludf.DUMMYFUNCTION("ARRAYFORMULA(IFERROR(VLOOKUP(REGEXEXTRACT(B568, ""-(\w+)-""), {Data_Validation!$F$16:$F$29, Data_Validation!$E$16:$E$29}, 2, FALSE), """"))
"),"TheMVP")</f>
        <v>TheMVP</v>
      </c>
      <c r="B568" s="265" t="s">
        <v>2302</v>
      </c>
      <c r="D568" s="265" t="s">
        <v>45</v>
      </c>
      <c r="E568" s="265" t="s">
        <v>26</v>
      </c>
      <c r="F568" s="265" t="s">
        <v>22</v>
      </c>
      <c r="G568" s="265"/>
      <c r="H568" s="332">
        <v>45227.0</v>
      </c>
      <c r="I568" s="309">
        <v>1.0</v>
      </c>
      <c r="L568" s="311"/>
      <c r="M568" s="313"/>
      <c r="N568" s="313"/>
      <c r="O568" s="314"/>
      <c r="P568" s="314"/>
      <c r="Q568" s="319"/>
      <c r="R568" s="316"/>
      <c r="S568" s="317"/>
      <c r="T568" s="317"/>
      <c r="U568" s="317"/>
    </row>
    <row r="569" ht="20.25" hidden="1" customHeight="1" outlineLevel="1">
      <c r="A569" s="216" t="str">
        <f>IFERROR(__xludf.DUMMYFUNCTION("ARRAYFORMULA(IFERROR(VLOOKUP(REGEXEXTRACT(B569, ""-(\w+)-""), {Data_Validation!$F$16:$F$29, Data_Validation!$E$16:$E$29}, 2, FALSE), """"))
"),"TheMVP")</f>
        <v>TheMVP</v>
      </c>
      <c r="B569" s="265" t="s">
        <v>2303</v>
      </c>
      <c r="D569" s="265" t="s">
        <v>47</v>
      </c>
      <c r="E569" s="265" t="s">
        <v>26</v>
      </c>
      <c r="F569" s="265" t="s">
        <v>22</v>
      </c>
      <c r="G569" s="265"/>
      <c r="H569" s="332">
        <v>45227.0</v>
      </c>
      <c r="I569" s="309">
        <v>1.0</v>
      </c>
      <c r="L569" s="311"/>
      <c r="M569" s="313"/>
      <c r="N569" s="313"/>
      <c r="O569" s="314"/>
      <c r="P569" s="314"/>
      <c r="Q569" s="319"/>
      <c r="R569" s="316"/>
      <c r="S569" s="317"/>
      <c r="T569" s="317"/>
      <c r="U569" s="317"/>
    </row>
    <row r="570" ht="20.25" customHeight="1" collapsed="1">
      <c r="A570" s="216" t="str">
        <f>IFERROR(__xludf.DUMMYFUNCTION("ARRAYFORMULA(IFERROR(VLOOKUP(REGEXEXTRACT(B570, ""-(\w+)-""), {Data_Validation!$F$16:$F$29, Data_Validation!$E$16:$E$29}, 2, FALSE), """"))
"),"Inno3D")</f>
        <v>Inno3D</v>
      </c>
      <c r="B570" s="265" t="s">
        <v>2304</v>
      </c>
      <c r="C570" s="265" t="s">
        <v>2305</v>
      </c>
      <c r="D570" s="265"/>
      <c r="E570" s="265" t="s">
        <v>51</v>
      </c>
      <c r="F570" s="265" t="s">
        <v>41</v>
      </c>
      <c r="G570" s="265" t="s">
        <v>63</v>
      </c>
      <c r="H570" s="332">
        <v>45227.0</v>
      </c>
      <c r="I570" s="308"/>
      <c r="J570" s="309">
        <v>2.0</v>
      </c>
      <c r="L570" s="311"/>
      <c r="M570" s="313">
        <v>45227.57139016203</v>
      </c>
      <c r="N570" s="313">
        <v>45229.425482962964</v>
      </c>
      <c r="O570" s="314"/>
      <c r="P570" s="314"/>
      <c r="Q570" s="319"/>
      <c r="R570" s="316">
        <v>0.04097222222117125</v>
      </c>
      <c r="S570" s="317" t="s">
        <v>1394</v>
      </c>
      <c r="T570" s="317">
        <v>12.0</v>
      </c>
      <c r="U570" s="317"/>
    </row>
    <row r="571" ht="20.25" hidden="1" customHeight="1" outlineLevel="1">
      <c r="A571" s="216" t="str">
        <f>IFERROR(__xludf.DUMMYFUNCTION("ARRAYFORMULA(IFERROR(VLOOKUP(REGEXEXTRACT(B571, ""-(\w+)-""), {Data_Validation!$F$16:$F$29, Data_Validation!$E$16:$E$29}, 2, FALSE), """"))
"),"Inno3D")</f>
        <v>Inno3D</v>
      </c>
      <c r="B571" s="265" t="s">
        <v>2306</v>
      </c>
      <c r="D571" s="265" t="s">
        <v>40</v>
      </c>
      <c r="E571" s="265" t="s">
        <v>26</v>
      </c>
      <c r="F571" s="265" t="s">
        <v>41</v>
      </c>
      <c r="G571" s="265"/>
      <c r="H571" s="332">
        <v>45227.0</v>
      </c>
      <c r="I571" s="309">
        <v>1.0</v>
      </c>
      <c r="L571" s="311"/>
      <c r="M571" s="313">
        <v>45227.57139016203</v>
      </c>
      <c r="N571" s="313">
        <v>45229.425482962964</v>
      </c>
      <c r="O571" s="314" t="s">
        <v>2307</v>
      </c>
      <c r="P571" s="314" t="s">
        <v>2308</v>
      </c>
      <c r="Q571" s="319" t="s">
        <v>31</v>
      </c>
      <c r="R571" s="316">
        <v>0.04097222222117125</v>
      </c>
      <c r="S571" s="317"/>
      <c r="T571" s="317"/>
      <c r="U571" s="317"/>
    </row>
    <row r="572" ht="20.25" hidden="1" customHeight="1" outlineLevel="1">
      <c r="A572" s="216" t="str">
        <f>IFERROR(__xludf.DUMMYFUNCTION("ARRAYFORMULA(IFERROR(VLOOKUP(REGEXEXTRACT(B572, ""-(\w+)-""), {Data_Validation!$F$16:$F$29, Data_Validation!$E$16:$E$29}, 2, FALSE), """"))
"),"Inno3D")</f>
        <v>Inno3D</v>
      </c>
      <c r="B572" s="265" t="s">
        <v>2309</v>
      </c>
      <c r="D572" s="265" t="s">
        <v>47</v>
      </c>
      <c r="E572" s="265" t="s">
        <v>26</v>
      </c>
      <c r="F572" s="265" t="s">
        <v>41</v>
      </c>
      <c r="G572" s="265"/>
      <c r="H572" s="332">
        <v>45227.0</v>
      </c>
      <c r="I572" s="309">
        <v>1.0</v>
      </c>
      <c r="L572" s="311"/>
      <c r="M572" s="313"/>
      <c r="N572" s="313"/>
      <c r="O572" s="314"/>
      <c r="P572" s="314"/>
      <c r="Q572" s="319"/>
      <c r="R572" s="316"/>
      <c r="S572" s="317"/>
      <c r="T572" s="317"/>
      <c r="U572" s="317"/>
    </row>
    <row r="573" ht="20.25" customHeight="1" collapsed="1">
      <c r="A573" s="216" t="str">
        <f>IFERROR(__xludf.DUMMYFUNCTION("ARRAYFORMULA(IFERROR(VLOOKUP(REGEXEXTRACT(B573, ""-(\w+)-""), {Data_Validation!$F$16:$F$29, Data_Validation!$E$16:$E$29}, 2, FALSE), """"))
"),"Inno3D")</f>
        <v>Inno3D</v>
      </c>
      <c r="B573" s="265" t="s">
        <v>838</v>
      </c>
      <c r="C573" s="265" t="s">
        <v>839</v>
      </c>
      <c r="D573" s="265"/>
      <c r="E573" s="265" t="s">
        <v>51</v>
      </c>
      <c r="F573" s="265" t="s">
        <v>41</v>
      </c>
      <c r="G573" s="265" t="s">
        <v>63</v>
      </c>
      <c r="H573" s="332">
        <v>45229.45207675926</v>
      </c>
      <c r="I573" s="308"/>
      <c r="J573" s="309">
        <v>3.0</v>
      </c>
      <c r="L573" s="311"/>
      <c r="M573" s="313">
        <v>45229.45233590278</v>
      </c>
      <c r="N573" s="313">
        <v>45229.58521711806</v>
      </c>
      <c r="O573" s="314"/>
      <c r="P573" s="314"/>
      <c r="Q573" s="319"/>
      <c r="R573" s="316">
        <v>0.0</v>
      </c>
      <c r="S573" s="317" t="s">
        <v>1394</v>
      </c>
      <c r="T573" s="317">
        <v>14.0</v>
      </c>
      <c r="U573" s="317"/>
    </row>
    <row r="574" ht="20.25" hidden="1" customHeight="1" outlineLevel="1">
      <c r="A574" s="216" t="str">
        <f>IFERROR(__xludf.DUMMYFUNCTION("ARRAYFORMULA(IFERROR(VLOOKUP(REGEXEXTRACT(B574, ""-(\w+)-""), {Data_Validation!$F$16:$F$29, Data_Validation!$E$16:$E$29}, 2, FALSE), """"))
"),"Inno3D")</f>
        <v>Inno3D</v>
      </c>
      <c r="B574" s="265" t="s">
        <v>840</v>
      </c>
      <c r="D574" s="265" t="s">
        <v>25</v>
      </c>
      <c r="E574" s="265" t="s">
        <v>26</v>
      </c>
      <c r="F574" s="265"/>
      <c r="G574" s="265" t="s">
        <v>833</v>
      </c>
      <c r="H574" s="332">
        <v>45229.45207675926</v>
      </c>
      <c r="I574" s="309">
        <v>1.0</v>
      </c>
      <c r="L574" s="311"/>
      <c r="M574" s="313">
        <v>45229.45233590278</v>
      </c>
      <c r="N574" s="313">
        <v>45229.45243971064</v>
      </c>
      <c r="O574" s="314"/>
      <c r="P574" s="314"/>
      <c r="Q574" s="319" t="s">
        <v>31</v>
      </c>
      <c r="R574" s="316">
        <v>0.0</v>
      </c>
      <c r="S574" s="317"/>
      <c r="T574" s="317"/>
      <c r="U574" s="317"/>
    </row>
    <row r="575" ht="20.25" hidden="1" customHeight="1" outlineLevel="1">
      <c r="A575" s="216" t="str">
        <f>IFERROR(__xludf.DUMMYFUNCTION("ARRAYFORMULA(IFERROR(VLOOKUP(REGEXEXTRACT(B575, ""-(\w+)-""), {Data_Validation!$F$16:$F$29, Data_Validation!$E$16:$E$29}, 2, FALSE), """"))
"),"Inno3D")</f>
        <v>Inno3D</v>
      </c>
      <c r="B575" s="265" t="s">
        <v>841</v>
      </c>
      <c r="D575" s="265" t="s">
        <v>797</v>
      </c>
      <c r="E575" s="265" t="s">
        <v>26</v>
      </c>
      <c r="F575" s="265"/>
      <c r="G575" s="265"/>
      <c r="H575" s="332">
        <v>45229.45207675926</v>
      </c>
      <c r="I575" s="309">
        <v>1.0</v>
      </c>
      <c r="L575" s="311"/>
      <c r="M575" s="313"/>
      <c r="N575" s="313"/>
      <c r="O575" s="314"/>
      <c r="P575" s="314"/>
      <c r="Q575" s="319"/>
      <c r="R575" s="316"/>
      <c r="S575" s="317"/>
      <c r="T575" s="317"/>
      <c r="U575" s="317"/>
    </row>
    <row r="576" ht="20.25" hidden="1" customHeight="1" outlineLevel="1">
      <c r="A576" s="216" t="str">
        <f>IFERROR(__xludf.DUMMYFUNCTION("ARRAYFORMULA(IFERROR(VLOOKUP(REGEXEXTRACT(B576, ""-(\w+)-""), {Data_Validation!$F$16:$F$29, Data_Validation!$E$16:$E$29}, 2, FALSE), """"))
"),"Inno3D")</f>
        <v>Inno3D</v>
      </c>
      <c r="B576" s="265" t="s">
        <v>842</v>
      </c>
      <c r="D576" s="265" t="s">
        <v>47</v>
      </c>
      <c r="E576" s="265" t="s">
        <v>26</v>
      </c>
      <c r="F576" s="265"/>
      <c r="G576" s="265"/>
      <c r="H576" s="332">
        <v>45229.45207675926</v>
      </c>
      <c r="I576" s="309">
        <v>1.0</v>
      </c>
      <c r="L576" s="311"/>
      <c r="M576" s="313">
        <v>45229.584637569445</v>
      </c>
      <c r="N576" s="313">
        <v>45229.58521711806</v>
      </c>
      <c r="O576" s="314"/>
      <c r="P576" s="314"/>
      <c r="Q576" s="319" t="s">
        <v>31</v>
      </c>
      <c r="R576" s="316">
        <v>0.0</v>
      </c>
      <c r="S576" s="317"/>
      <c r="T576" s="317"/>
      <c r="U576" s="317"/>
    </row>
    <row r="577" ht="20.25" customHeight="1" collapsed="1">
      <c r="A577" s="216" t="str">
        <f>IFERROR(__xludf.DUMMYFUNCTION("ARRAYFORMULA(IFERROR(VLOOKUP(REGEXEXTRACT(B577, ""-(\w+)-""), {Data_Validation!$F$16:$F$29, Data_Validation!$E$16:$E$29}, 2, FALSE), """"))
"),"Inno3D")</f>
        <v>Inno3D</v>
      </c>
      <c r="B577" s="265" t="s">
        <v>830</v>
      </c>
      <c r="C577" s="265" t="s">
        <v>831</v>
      </c>
      <c r="D577" s="265"/>
      <c r="E577" s="265" t="s">
        <v>51</v>
      </c>
      <c r="F577" s="265" t="s">
        <v>41</v>
      </c>
      <c r="G577" s="265" t="s">
        <v>63</v>
      </c>
      <c r="H577" s="332">
        <v>45229.431375671295</v>
      </c>
      <c r="I577" s="308"/>
      <c r="J577" s="309">
        <v>3.0</v>
      </c>
      <c r="L577" s="311"/>
      <c r="M577" s="313">
        <v>45229.513225648145</v>
      </c>
      <c r="N577" s="313">
        <v>45229.58471627315</v>
      </c>
      <c r="O577" s="314"/>
      <c r="P577" s="314"/>
      <c r="Q577" s="319"/>
      <c r="R577" s="316">
        <v>0.0062499999985448085</v>
      </c>
      <c r="S577" s="317" t="s">
        <v>1394</v>
      </c>
      <c r="T577" s="317">
        <v>13.0</v>
      </c>
      <c r="U577" s="317"/>
    </row>
    <row r="578" ht="20.25" hidden="1" customHeight="1" outlineLevel="1">
      <c r="A578" s="216" t="str">
        <f>IFERROR(__xludf.DUMMYFUNCTION("ARRAYFORMULA(IFERROR(VLOOKUP(REGEXEXTRACT(B578, ""-(\w+)-""), {Data_Validation!$F$16:$F$29, Data_Validation!$E$16:$E$29}, 2, FALSE), """"))
"),"Inno3D")</f>
        <v>Inno3D</v>
      </c>
      <c r="B578" s="265" t="s">
        <v>832</v>
      </c>
      <c r="D578" s="265" t="s">
        <v>25</v>
      </c>
      <c r="E578" s="265" t="s">
        <v>26</v>
      </c>
      <c r="F578" s="265" t="s">
        <v>41</v>
      </c>
      <c r="G578" s="265" t="s">
        <v>833</v>
      </c>
      <c r="H578" s="332">
        <v>45229.431375671295</v>
      </c>
      <c r="I578" s="309">
        <v>1.0</v>
      </c>
      <c r="L578" s="311"/>
      <c r="M578" s="313">
        <v>45229.57586795139</v>
      </c>
      <c r="N578" s="313">
        <v>45229.58193177084</v>
      </c>
      <c r="O578" s="314"/>
      <c r="P578" s="314"/>
      <c r="Q578" s="319" t="s">
        <v>31</v>
      </c>
      <c r="R578" s="316">
        <v>0.005555555555474712</v>
      </c>
      <c r="S578" s="317"/>
      <c r="T578" s="317"/>
      <c r="U578" s="317"/>
    </row>
    <row r="579" ht="20.25" hidden="1" customHeight="1" outlineLevel="1">
      <c r="A579" s="216" t="str">
        <f>IFERROR(__xludf.DUMMYFUNCTION("ARRAYFORMULA(IFERROR(VLOOKUP(REGEXEXTRACT(B579, ""-(\w+)-""), {Data_Validation!$F$16:$F$29, Data_Validation!$E$16:$E$29}, 2, FALSE), """"))
"),"Inno3D")</f>
        <v>Inno3D</v>
      </c>
      <c r="B579" s="265" t="s">
        <v>834</v>
      </c>
      <c r="D579" s="265" t="s">
        <v>797</v>
      </c>
      <c r="E579" s="265" t="s">
        <v>26</v>
      </c>
      <c r="F579" s="265" t="s">
        <v>41</v>
      </c>
      <c r="G579" s="265"/>
      <c r="H579" s="332">
        <v>45229.431375671295</v>
      </c>
      <c r="I579" s="309">
        <v>1.0</v>
      </c>
      <c r="L579" s="311"/>
      <c r="M579" s="313">
        <v>45229.513225648145</v>
      </c>
      <c r="N579" s="313">
        <v>45229.58471627315</v>
      </c>
      <c r="O579" s="314" t="s">
        <v>835</v>
      </c>
      <c r="P579" s="314" t="s">
        <v>836</v>
      </c>
      <c r="Q579" s="319" t="s">
        <v>31</v>
      </c>
      <c r="R579" s="316">
        <v>6.944444430700969E-4</v>
      </c>
      <c r="S579" s="317"/>
      <c r="T579" s="317"/>
      <c r="U579" s="317"/>
    </row>
    <row r="580" ht="20.25" hidden="1" customHeight="1" outlineLevel="1">
      <c r="A580" s="216" t="str">
        <f>IFERROR(__xludf.DUMMYFUNCTION("ARRAYFORMULA(IFERROR(VLOOKUP(REGEXEXTRACT(B580, ""-(\w+)-""), {Data_Validation!$F$16:$F$29, Data_Validation!$E$16:$E$29}, 2, FALSE), """"))
"),"Inno3D")</f>
        <v>Inno3D</v>
      </c>
      <c r="B580" s="265" t="s">
        <v>837</v>
      </c>
      <c r="D580" s="265" t="s">
        <v>47</v>
      </c>
      <c r="E580" s="265" t="s">
        <v>26</v>
      </c>
      <c r="F580" s="265" t="s">
        <v>41</v>
      </c>
      <c r="G580" s="265"/>
      <c r="H580" s="332">
        <v>45229.431375671295</v>
      </c>
      <c r="I580" s="309">
        <v>1.0</v>
      </c>
      <c r="L580" s="311"/>
      <c r="M580" s="313"/>
      <c r="N580" s="313"/>
      <c r="O580" s="314"/>
      <c r="P580" s="314"/>
      <c r="Q580" s="319"/>
      <c r="R580" s="316"/>
      <c r="S580" s="317"/>
      <c r="T580" s="317"/>
      <c r="U580" s="317"/>
    </row>
    <row r="581" ht="20.25" customHeight="1" collapsed="1">
      <c r="A581" s="216" t="str">
        <f>IFERROR(__xludf.DUMMYFUNCTION("ARRAYFORMULA(IFERROR(VLOOKUP(REGEXEXTRACT(B581, ""-(\w+)-""), {Data_Validation!$F$16:$F$29, Data_Validation!$E$16:$E$29}, 2, FALSE), """"))
"),"TheMVP")</f>
        <v>TheMVP</v>
      </c>
      <c r="B581" s="265" t="s">
        <v>2310</v>
      </c>
      <c r="C581" s="265" t="s">
        <v>2311</v>
      </c>
      <c r="D581" s="265"/>
      <c r="E581" s="265" t="s">
        <v>21</v>
      </c>
      <c r="F581" s="265" t="s">
        <v>48</v>
      </c>
      <c r="G581" s="265" t="s">
        <v>63</v>
      </c>
      <c r="H581" s="332">
        <v>45229.0</v>
      </c>
      <c r="I581" s="308"/>
      <c r="J581" s="309">
        <v>3.0</v>
      </c>
      <c r="L581" s="311"/>
      <c r="M581" s="313">
        <v>45220.42358800926</v>
      </c>
      <c r="N581" s="313">
        <v>45229.811592708335</v>
      </c>
      <c r="O581" s="314"/>
      <c r="P581" s="314"/>
      <c r="Q581" s="319"/>
      <c r="R581" s="316">
        <v>1.038888888888323</v>
      </c>
      <c r="S581" s="317" t="s">
        <v>1368</v>
      </c>
      <c r="T581" s="317">
        <v>68.0</v>
      </c>
      <c r="U581" s="317"/>
    </row>
    <row r="582" ht="20.25" hidden="1" customHeight="1" outlineLevel="1">
      <c r="A582" s="216" t="str">
        <f>IFERROR(__xludf.DUMMYFUNCTION("ARRAYFORMULA(IFERROR(VLOOKUP(REGEXEXTRACT(B582, ""-(\w+)-""), {Data_Validation!$F$16:$F$29, Data_Validation!$E$16:$E$29}, 2, FALSE), """"))
"),"TheMVP")</f>
        <v>TheMVP</v>
      </c>
      <c r="B582" s="265" t="s">
        <v>2312</v>
      </c>
      <c r="D582" s="265" t="s">
        <v>40</v>
      </c>
      <c r="E582" s="265" t="s">
        <v>26</v>
      </c>
      <c r="F582" s="265" t="s">
        <v>34</v>
      </c>
      <c r="G582" s="265"/>
      <c r="H582" s="332">
        <v>45225.0</v>
      </c>
      <c r="I582" s="309">
        <v>1.0</v>
      </c>
      <c r="L582" s="311"/>
      <c r="M582" s="313">
        <v>45220.42358800926</v>
      </c>
      <c r="N582" s="313">
        <v>45229.811592708335</v>
      </c>
      <c r="O582" s="314" t="s">
        <v>2313</v>
      </c>
      <c r="P582" s="314" t="s">
        <v>2314</v>
      </c>
      <c r="Q582" s="319" t="s">
        <v>31</v>
      </c>
      <c r="R582" s="316">
        <v>1.0333333333328483</v>
      </c>
      <c r="S582" s="317" t="s">
        <v>1368</v>
      </c>
      <c r="T582" s="317">
        <v>68.05</v>
      </c>
      <c r="U582" s="317"/>
    </row>
    <row r="583" ht="20.25" hidden="1" customHeight="1" outlineLevel="1">
      <c r="A583" s="216" t="str">
        <f>IFERROR(__xludf.DUMMYFUNCTION("ARRAYFORMULA(IFERROR(VLOOKUP(REGEXEXTRACT(B583, ""-(\w+)-""), {Data_Validation!$F$16:$F$29, Data_Validation!$E$16:$E$29}, 2, FALSE), """"))
"),"TheMVP")</f>
        <v>TheMVP</v>
      </c>
      <c r="B583" s="265" t="s">
        <v>2315</v>
      </c>
      <c r="D583" s="265" t="s">
        <v>2316</v>
      </c>
      <c r="E583" s="265" t="s">
        <v>26</v>
      </c>
      <c r="F583" s="265" t="s">
        <v>34</v>
      </c>
      <c r="G583" s="265"/>
      <c r="H583" s="332">
        <v>45226.0</v>
      </c>
      <c r="I583" s="309">
        <v>1.0</v>
      </c>
      <c r="L583" s="311"/>
      <c r="M583" s="313">
        <v>45229.799998993054</v>
      </c>
      <c r="N583" s="313">
        <v>45229.80312096065</v>
      </c>
      <c r="O583" s="314"/>
      <c r="P583" s="314"/>
      <c r="Q583" s="319" t="s">
        <v>31</v>
      </c>
      <c r="R583" s="316">
        <v>0.002777777779556345</v>
      </c>
      <c r="S583" s="317" t="s">
        <v>1368</v>
      </c>
      <c r="T583" s="317">
        <v>68.06</v>
      </c>
      <c r="U583" s="317"/>
    </row>
    <row r="584" ht="20.25" hidden="1" customHeight="1" outlineLevel="1">
      <c r="A584" s="216" t="str">
        <f>IFERROR(__xludf.DUMMYFUNCTION("ARRAYFORMULA(IFERROR(VLOOKUP(REGEXEXTRACT(B584, ""-(\w+)-""), {Data_Validation!$F$16:$F$29, Data_Validation!$E$16:$E$29}, 2, FALSE), """"))
"),"TheMVP")</f>
        <v>TheMVP</v>
      </c>
      <c r="B584" s="265" t="s">
        <v>2317</v>
      </c>
      <c r="D584" s="265" t="s">
        <v>47</v>
      </c>
      <c r="E584" s="265" t="s">
        <v>26</v>
      </c>
      <c r="F584" s="265" t="s">
        <v>48</v>
      </c>
      <c r="G584" s="265"/>
      <c r="H584" s="332">
        <v>45229.0</v>
      </c>
      <c r="I584" s="309">
        <v>1.0</v>
      </c>
      <c r="L584" s="311"/>
      <c r="M584" s="313">
        <v>45229.800167152775</v>
      </c>
      <c r="N584" s="313">
        <v>45229.80298168982</v>
      </c>
      <c r="O584" s="314"/>
      <c r="P584" s="314"/>
      <c r="Q584" s="319" t="s">
        <v>31</v>
      </c>
      <c r="R584" s="316">
        <v>0.002777777779556345</v>
      </c>
      <c r="S584" s="317" t="s">
        <v>1368</v>
      </c>
      <c r="T584" s="317">
        <v>68.07</v>
      </c>
      <c r="U584" s="317"/>
    </row>
    <row r="585" ht="20.25" customHeight="1" collapsed="1">
      <c r="A585" s="216" t="str">
        <f>IFERROR(__xludf.DUMMYFUNCTION("ARRAYFORMULA(IFERROR(VLOOKUP(REGEXEXTRACT(B585, ""-(\w+)-""), {Data_Validation!$F$16:$F$29, Data_Validation!$E$16:$E$29}, 2, FALSE), """"))
"),"TheMVP")</f>
        <v>TheMVP</v>
      </c>
      <c r="B585" s="265" t="s">
        <v>2318</v>
      </c>
      <c r="C585" s="265" t="s">
        <v>2319</v>
      </c>
      <c r="D585" s="265"/>
      <c r="E585" s="265" t="s">
        <v>21</v>
      </c>
      <c r="F585" s="265" t="s">
        <v>34</v>
      </c>
      <c r="G585" s="265" t="s">
        <v>79</v>
      </c>
      <c r="H585" s="332">
        <v>45230.0</v>
      </c>
      <c r="I585" s="308"/>
      <c r="J585" s="309">
        <v>3.0</v>
      </c>
      <c r="L585" s="311"/>
      <c r="M585" s="313">
        <v>45229.502620405096</v>
      </c>
      <c r="N585" s="313">
        <v>45230.463347893514</v>
      </c>
      <c r="O585" s="314"/>
      <c r="P585" s="314"/>
      <c r="Q585" s="319"/>
      <c r="R585" s="316">
        <v>0.009027777778101154</v>
      </c>
      <c r="S585" s="317" t="s">
        <v>1368</v>
      </c>
      <c r="T585" s="317">
        <v>79.0</v>
      </c>
      <c r="U585" s="317"/>
    </row>
    <row r="586" ht="20.25" hidden="1" customHeight="1" outlineLevel="1">
      <c r="A586" s="216" t="str">
        <f>IFERROR(__xludf.DUMMYFUNCTION("ARRAYFORMULA(IFERROR(VLOOKUP(REGEXEXTRACT(B586, ""-(\w+)-""), {Data_Validation!$F$16:$F$29, Data_Validation!$E$16:$E$29}, 2, FALSE), """"))
"),"TheMVP")</f>
        <v>TheMVP</v>
      </c>
      <c r="B586" s="265" t="s">
        <v>2320</v>
      </c>
      <c r="D586" s="265" t="s">
        <v>45</v>
      </c>
      <c r="E586" s="265" t="s">
        <v>26</v>
      </c>
      <c r="F586" s="265" t="s">
        <v>41</v>
      </c>
      <c r="G586" s="265"/>
      <c r="H586" s="332">
        <v>45229.41790833333</v>
      </c>
      <c r="I586" s="309">
        <v>1.0</v>
      </c>
      <c r="L586" s="311"/>
      <c r="M586" s="313">
        <v>45229.502620405096</v>
      </c>
      <c r="N586" s="313">
        <v>45229.51172909723</v>
      </c>
      <c r="O586" s="314" t="s">
        <v>2321</v>
      </c>
      <c r="P586" s="314" t="s">
        <v>2322</v>
      </c>
      <c r="Q586" s="319" t="s">
        <v>31</v>
      </c>
      <c r="R586" s="316">
        <v>0.004861111112404615</v>
      </c>
      <c r="S586" s="317" t="s">
        <v>1368</v>
      </c>
      <c r="T586" s="317">
        <v>79.01</v>
      </c>
      <c r="U586" s="317"/>
    </row>
    <row r="587" ht="20.25" hidden="1" customHeight="1" outlineLevel="1">
      <c r="A587" s="216" t="str">
        <f>IFERROR(__xludf.DUMMYFUNCTION("ARRAYFORMULA(IFERROR(VLOOKUP(REGEXEXTRACT(B587, ""-(\w+)-""), {Data_Validation!$F$16:$F$29, Data_Validation!$E$16:$E$29}, 2, FALSE), """"))
"),"TheMVP")</f>
        <v>TheMVP</v>
      </c>
      <c r="B587" s="265" t="s">
        <v>2323</v>
      </c>
      <c r="D587" s="265" t="s">
        <v>2324</v>
      </c>
      <c r="E587" s="265" t="s">
        <v>26</v>
      </c>
      <c r="F587" s="265" t="s">
        <v>34</v>
      </c>
      <c r="G587" s="357" t="s">
        <v>2325</v>
      </c>
      <c r="H587" s="332">
        <v>45229.41790833333</v>
      </c>
      <c r="I587" s="309">
        <v>1.0</v>
      </c>
      <c r="L587" s="311"/>
      <c r="M587" s="313">
        <v>45229.80739241898</v>
      </c>
      <c r="N587" s="313">
        <v>45229.8126816088</v>
      </c>
      <c r="O587" s="314" t="s">
        <v>2326</v>
      </c>
      <c r="P587" s="314" t="s">
        <v>2327</v>
      </c>
      <c r="Q587" s="319" t="s">
        <v>31</v>
      </c>
      <c r="R587" s="316">
        <v>0.002777777779556345</v>
      </c>
      <c r="S587" s="317" t="s">
        <v>1368</v>
      </c>
      <c r="T587" s="317">
        <v>79.02</v>
      </c>
      <c r="U587" s="317"/>
    </row>
    <row r="588" ht="20.25" hidden="1" customHeight="1" outlineLevel="1">
      <c r="A588" s="216" t="str">
        <f>IFERROR(__xludf.DUMMYFUNCTION("ARRAYFORMULA(IFERROR(VLOOKUP(REGEXEXTRACT(B588, ""-(\w+)-""), {Data_Validation!$F$16:$F$29, Data_Validation!$E$16:$E$29}, 2, FALSE), """"))
"),"TheMVP")</f>
        <v>TheMVP</v>
      </c>
      <c r="B588" s="265" t="s">
        <v>2328</v>
      </c>
      <c r="D588" s="265" t="s">
        <v>47</v>
      </c>
      <c r="E588" s="265" t="s">
        <v>26</v>
      </c>
      <c r="F588" s="265" t="s">
        <v>48</v>
      </c>
      <c r="G588" s="265"/>
      <c r="H588" s="332">
        <v>45230.0</v>
      </c>
      <c r="I588" s="309">
        <v>1.0</v>
      </c>
      <c r="L588" s="311"/>
      <c r="M588" s="313">
        <v>45230.46193546296</v>
      </c>
      <c r="N588" s="313">
        <v>45230.463347893514</v>
      </c>
      <c r="O588" s="314"/>
      <c r="P588" s="314"/>
      <c r="Q588" s="319" t="s">
        <v>31</v>
      </c>
      <c r="R588" s="316">
        <v>0.0013888888897781726</v>
      </c>
      <c r="S588" s="317" t="s">
        <v>1368</v>
      </c>
      <c r="T588" s="317">
        <v>79.04</v>
      </c>
      <c r="U588" s="317"/>
    </row>
    <row r="589" ht="20.25" customHeight="1" collapsed="1">
      <c r="A589" s="216" t="str">
        <f>IFERROR(__xludf.DUMMYFUNCTION("ARRAYFORMULA(IFERROR(VLOOKUP(REGEXEXTRACT(B589, ""-(\w+)-""), {Data_Validation!$F$16:$F$29, Data_Validation!$E$16:$E$29}, 2, FALSE), """"))
"),"Inno3D")</f>
        <v>Inno3D</v>
      </c>
      <c r="B589" s="265" t="s">
        <v>843</v>
      </c>
      <c r="C589" s="265" t="s">
        <v>844</v>
      </c>
      <c r="D589" s="265"/>
      <c r="E589" s="265" t="s">
        <v>51</v>
      </c>
      <c r="F589" s="265" t="s">
        <v>41</v>
      </c>
      <c r="G589" s="265" t="s">
        <v>63</v>
      </c>
      <c r="H589" s="332">
        <v>45231.0</v>
      </c>
      <c r="I589" s="308"/>
      <c r="J589" s="309">
        <v>2.0</v>
      </c>
      <c r="L589" s="311"/>
      <c r="M589" s="313">
        <v>45229.7435649074</v>
      </c>
      <c r="N589" s="313">
        <v>45229.812867534725</v>
      </c>
      <c r="O589" s="314"/>
      <c r="P589" s="314"/>
      <c r="Q589" s="319"/>
      <c r="R589" s="316">
        <v>0.0013888888897781726</v>
      </c>
      <c r="S589" s="317" t="s">
        <v>1394</v>
      </c>
      <c r="T589" s="317">
        <v>15.0</v>
      </c>
      <c r="U589" s="317"/>
    </row>
    <row r="590" ht="20.25" hidden="1" customHeight="1" outlineLevel="1">
      <c r="A590" s="216" t="str">
        <f>IFERROR(__xludf.DUMMYFUNCTION("ARRAYFORMULA(IFERROR(VLOOKUP(REGEXEXTRACT(B590, ""-(\w+)-""), {Data_Validation!$F$16:$F$29, Data_Validation!$E$16:$E$29}, 2, FALSE), """"))
"),"Inno3D")</f>
        <v>Inno3D</v>
      </c>
      <c r="B590" s="265" t="s">
        <v>845</v>
      </c>
      <c r="D590" s="265" t="s">
        <v>40</v>
      </c>
      <c r="E590" s="265" t="s">
        <v>26</v>
      </c>
      <c r="F590" s="265" t="s">
        <v>41</v>
      </c>
      <c r="G590" s="265"/>
      <c r="H590" s="332">
        <v>45231.0</v>
      </c>
      <c r="I590" s="309">
        <v>1.0</v>
      </c>
      <c r="L590" s="311"/>
      <c r="M590" s="313">
        <v>45229.7435649074</v>
      </c>
      <c r="N590" s="313">
        <v>45229.812867534725</v>
      </c>
      <c r="O590" s="314" t="s">
        <v>846</v>
      </c>
      <c r="P590" s="314" t="s">
        <v>847</v>
      </c>
      <c r="Q590" s="319" t="s">
        <v>31</v>
      </c>
      <c r="R590" s="316">
        <v>0.0013888888897781726</v>
      </c>
      <c r="S590" s="317"/>
      <c r="T590" s="317"/>
      <c r="U590" s="317"/>
    </row>
    <row r="591" ht="20.25" hidden="1" customHeight="1" outlineLevel="1">
      <c r="A591" s="216" t="str">
        <f>IFERROR(__xludf.DUMMYFUNCTION("ARRAYFORMULA(IFERROR(VLOOKUP(REGEXEXTRACT(B591, ""-(\w+)-""), {Data_Validation!$F$16:$F$29, Data_Validation!$E$16:$E$29}, 2, FALSE), """"))
"),"Inno3D")</f>
        <v>Inno3D</v>
      </c>
      <c r="B591" s="265" t="s">
        <v>848</v>
      </c>
      <c r="D591" s="265" t="s">
        <v>47</v>
      </c>
      <c r="E591" s="265" t="s">
        <v>26</v>
      </c>
      <c r="F591" s="265" t="s">
        <v>41</v>
      </c>
      <c r="G591" s="265"/>
      <c r="H591" s="332">
        <v>45230.0</v>
      </c>
      <c r="I591" s="309">
        <v>1.0</v>
      </c>
      <c r="L591" s="311"/>
      <c r="M591" s="313"/>
      <c r="N591" s="313"/>
      <c r="O591" s="314"/>
      <c r="P591" s="314"/>
      <c r="Q591" s="319"/>
      <c r="R591" s="316"/>
      <c r="S591" s="317"/>
      <c r="T591" s="317"/>
      <c r="U591" s="317"/>
    </row>
    <row r="592" ht="20.25" customHeight="1" collapsed="1">
      <c r="A592" s="216" t="str">
        <f>IFERROR(__xludf.DUMMYFUNCTION("ARRAYFORMULA(IFERROR(VLOOKUP(REGEXEXTRACT(B592, ""-(\w+)-""), {Data_Validation!$F$16:$F$29, Data_Validation!$E$16:$E$29}, 2, FALSE), """"))
"),"Inno3D")</f>
        <v>Inno3D</v>
      </c>
      <c r="B592" s="265" t="s">
        <v>849</v>
      </c>
      <c r="C592" s="265" t="s">
        <v>701</v>
      </c>
      <c r="D592" s="265"/>
      <c r="E592" s="265" t="s">
        <v>21</v>
      </c>
      <c r="F592" s="265" t="s">
        <v>41</v>
      </c>
      <c r="G592" s="265" t="s">
        <v>23</v>
      </c>
      <c r="H592" s="332">
        <v>45230.0</v>
      </c>
      <c r="I592" s="308"/>
      <c r="J592" s="309">
        <v>4.0</v>
      </c>
      <c r="L592" s="311"/>
      <c r="M592" s="313">
        <v>45229.58753584491</v>
      </c>
      <c r="N592" s="313">
        <v>45230.786788171295</v>
      </c>
      <c r="O592" s="314"/>
      <c r="P592" s="314"/>
      <c r="Q592" s="319"/>
      <c r="R592" s="316">
        <v>0.04930555555620231</v>
      </c>
      <c r="S592" s="317" t="s">
        <v>1394</v>
      </c>
      <c r="T592" s="317">
        <v>16.0</v>
      </c>
      <c r="U592" s="317"/>
    </row>
    <row r="593" ht="20.25" hidden="1" customHeight="1" outlineLevel="1">
      <c r="A593" s="216" t="str">
        <f>IFERROR(__xludf.DUMMYFUNCTION("ARRAYFORMULA(IFERROR(VLOOKUP(REGEXEXTRACT(B593, ""-(\w+)-""), {Data_Validation!$F$16:$F$29, Data_Validation!$E$16:$E$29}, 2, FALSE), """"))
"),"Inno3D")</f>
        <v>Inno3D</v>
      </c>
      <c r="B593" s="265" t="s">
        <v>850</v>
      </c>
      <c r="D593" s="265" t="s">
        <v>25</v>
      </c>
      <c r="E593" s="265" t="s">
        <v>26</v>
      </c>
      <c r="F593" s="265" t="s">
        <v>41</v>
      </c>
      <c r="G593" s="265" t="s">
        <v>851</v>
      </c>
      <c r="H593" s="332">
        <v>45229.483859513886</v>
      </c>
      <c r="I593" s="309">
        <v>1.0</v>
      </c>
      <c r="L593" s="311"/>
      <c r="M593" s="313">
        <v>45229.58753584491</v>
      </c>
      <c r="N593" s="313">
        <v>45230.50251622685</v>
      </c>
      <c r="O593" s="314" t="s">
        <v>852</v>
      </c>
      <c r="P593" s="314" t="s">
        <v>853</v>
      </c>
      <c r="Q593" s="319" t="s">
        <v>31</v>
      </c>
      <c r="R593" s="316">
        <v>0.02361111111167702</v>
      </c>
      <c r="S593" s="317"/>
      <c r="T593" s="317"/>
      <c r="U593" s="317"/>
    </row>
    <row r="594" ht="20.25" hidden="1" customHeight="1" outlineLevel="1">
      <c r="A594" s="216" t="str">
        <f>IFERROR(__xludf.DUMMYFUNCTION("ARRAYFORMULA(IFERROR(VLOOKUP(REGEXEXTRACT(B594, ""-(\w+)-""), {Data_Validation!$F$16:$F$29, Data_Validation!$E$16:$E$29}, 2, FALSE), """"))
"),"Inno3D")</f>
        <v>Inno3D</v>
      </c>
      <c r="B594" s="265" t="s">
        <v>854</v>
      </c>
      <c r="D594" s="265" t="s">
        <v>112</v>
      </c>
      <c r="E594" s="265" t="s">
        <v>26</v>
      </c>
      <c r="F594" s="265" t="s">
        <v>34</v>
      </c>
      <c r="G594" s="265"/>
      <c r="H594" s="332">
        <v>45229.0</v>
      </c>
      <c r="I594" s="309">
        <v>1.0</v>
      </c>
      <c r="L594" s="311"/>
      <c r="M594" s="313">
        <v>45230.51499625</v>
      </c>
      <c r="N594" s="313">
        <v>45230.52558378472</v>
      </c>
      <c r="O594" s="314" t="s">
        <v>855</v>
      </c>
      <c r="P594" s="314" t="s">
        <v>856</v>
      </c>
      <c r="Q594" s="319" t="s">
        <v>31</v>
      </c>
      <c r="R594" s="316">
        <v>0.008333333335031057</v>
      </c>
      <c r="S594" s="317"/>
      <c r="T594" s="317"/>
      <c r="U594" s="317"/>
    </row>
    <row r="595" ht="20.25" hidden="1" customHeight="1" outlineLevel="1">
      <c r="A595" s="216" t="str">
        <f>IFERROR(__xludf.DUMMYFUNCTION("ARRAYFORMULA(IFERROR(VLOOKUP(REGEXEXTRACT(B595, ""-(\w+)-""), {Data_Validation!$F$16:$F$29, Data_Validation!$E$16:$E$29}, 2, FALSE), """"))
"),"Inno3D")</f>
        <v>Inno3D</v>
      </c>
      <c r="B595" s="265" t="s">
        <v>857</v>
      </c>
      <c r="D595" s="265" t="s">
        <v>40</v>
      </c>
      <c r="E595" s="265" t="s">
        <v>26</v>
      </c>
      <c r="F595" s="265" t="s">
        <v>236</v>
      </c>
      <c r="G595" s="265"/>
      <c r="H595" s="332">
        <v>45229.0</v>
      </c>
      <c r="I595" s="309">
        <v>1.0</v>
      </c>
      <c r="L595" s="311"/>
      <c r="M595" s="313">
        <v>45230.58683188657</v>
      </c>
      <c r="N595" s="313">
        <v>45230.786788171295</v>
      </c>
      <c r="O595" s="314" t="s">
        <v>858</v>
      </c>
      <c r="P595" s="314" t="s">
        <v>859</v>
      </c>
      <c r="Q595" s="319" t="s">
        <v>31</v>
      </c>
      <c r="R595" s="316">
        <v>0.01736111110949423</v>
      </c>
      <c r="S595" s="317"/>
      <c r="T595" s="317"/>
      <c r="U595" s="317"/>
    </row>
    <row r="596" ht="20.25" hidden="1" customHeight="1" outlineLevel="1">
      <c r="A596" s="216" t="str">
        <f>IFERROR(__xludf.DUMMYFUNCTION("ARRAYFORMULA(IFERROR(VLOOKUP(REGEXEXTRACT(B596, ""-(\w+)-""), {Data_Validation!$F$16:$F$29, Data_Validation!$E$16:$E$29}, 2, FALSE), """"))
"),"Inno3D")</f>
        <v>Inno3D</v>
      </c>
      <c r="B596" s="265" t="s">
        <v>860</v>
      </c>
      <c r="D596" s="265" t="s">
        <v>47</v>
      </c>
      <c r="E596" s="265" t="s">
        <v>26</v>
      </c>
      <c r="F596" s="265" t="s">
        <v>41</v>
      </c>
      <c r="G596" s="265"/>
      <c r="H596" s="332">
        <v>45230.0</v>
      </c>
      <c r="I596" s="309">
        <v>1.0</v>
      </c>
      <c r="L596" s="311"/>
      <c r="M596" s="313"/>
      <c r="N596" s="313"/>
      <c r="O596" s="314"/>
      <c r="P596" s="314"/>
      <c r="Q596" s="319"/>
      <c r="R596" s="316"/>
      <c r="S596" s="317"/>
      <c r="T596" s="317"/>
      <c r="U596" s="317"/>
    </row>
    <row r="597" ht="20.25" customHeight="1" collapsed="1">
      <c r="A597" s="216" t="str">
        <f>IFERROR(__xludf.DUMMYFUNCTION("ARRAYFORMULA(IFERROR(VLOOKUP(REGEXEXTRACT(B597, ""-(\w+)-""), {Data_Validation!$F$16:$F$29, Data_Validation!$E$16:$E$29}, 2, FALSE), """"))
"),"Inno3D")</f>
        <v>Inno3D</v>
      </c>
      <c r="B597" s="265" t="s">
        <v>861</v>
      </c>
      <c r="C597" s="265" t="s">
        <v>862</v>
      </c>
      <c r="D597" s="265"/>
      <c r="E597" s="265" t="s">
        <v>51</v>
      </c>
      <c r="F597" s="265" t="s">
        <v>41</v>
      </c>
      <c r="G597" s="265" t="s">
        <v>63</v>
      </c>
      <c r="H597" s="332">
        <v>45231.0</v>
      </c>
      <c r="I597" s="308"/>
      <c r="J597" s="309">
        <v>2.0</v>
      </c>
      <c r="L597" s="311"/>
      <c r="M597" s="313">
        <v>45231.544430787035</v>
      </c>
      <c r="N597" s="313">
        <v>45232.436051481476</v>
      </c>
      <c r="O597" s="314"/>
      <c r="P597" s="314"/>
      <c r="Q597" s="319"/>
      <c r="R597" s="316">
        <v>0.014583333333575865</v>
      </c>
      <c r="S597" s="317" t="s">
        <v>1394</v>
      </c>
      <c r="T597" s="317">
        <v>17.0</v>
      </c>
      <c r="U597" s="317"/>
    </row>
    <row r="598" ht="20.25" hidden="1" customHeight="1" outlineLevel="1">
      <c r="A598" s="216" t="str">
        <f>IFERROR(__xludf.DUMMYFUNCTION("ARRAYFORMULA(IFERROR(VLOOKUP(REGEXEXTRACT(B598, ""-(\w+)-""), {Data_Validation!$F$16:$F$29, Data_Validation!$E$16:$E$29}, 2, FALSE), """"))
"),"Inno3D")</f>
        <v>Inno3D</v>
      </c>
      <c r="B598" s="265" t="s">
        <v>863</v>
      </c>
      <c r="D598" s="265" t="s">
        <v>40</v>
      </c>
      <c r="E598" s="265" t="s">
        <v>26</v>
      </c>
      <c r="F598" s="265" t="s">
        <v>41</v>
      </c>
      <c r="G598" s="265"/>
      <c r="H598" s="332">
        <v>45230.0</v>
      </c>
      <c r="I598" s="309">
        <v>1.0</v>
      </c>
      <c r="L598" s="311"/>
      <c r="M598" s="313">
        <v>45231.544430787035</v>
      </c>
      <c r="N598" s="313">
        <v>45231.57962957176</v>
      </c>
      <c r="O598" s="314" t="s">
        <v>864</v>
      </c>
      <c r="P598" s="314" t="s">
        <v>865</v>
      </c>
      <c r="Q598" s="319" t="s">
        <v>31</v>
      </c>
      <c r="R598" s="316">
        <v>0.00972222222117125</v>
      </c>
      <c r="S598" s="317"/>
      <c r="T598" s="317"/>
      <c r="U598" s="317"/>
    </row>
    <row r="599" ht="20.25" hidden="1" customHeight="1" outlineLevel="1">
      <c r="A599" s="216" t="str">
        <f>IFERROR(__xludf.DUMMYFUNCTION("ARRAYFORMULA(IFERROR(VLOOKUP(REGEXEXTRACT(B599, ""-(\w+)-""), {Data_Validation!$F$16:$F$29, Data_Validation!$E$16:$E$29}, 2, FALSE), """"))
"),"Inno3D")</f>
        <v>Inno3D</v>
      </c>
      <c r="B599" s="265" t="s">
        <v>866</v>
      </c>
      <c r="D599" s="265" t="s">
        <v>47</v>
      </c>
      <c r="E599" s="265" t="s">
        <v>26</v>
      </c>
      <c r="F599" s="265" t="s">
        <v>41</v>
      </c>
      <c r="G599" s="265"/>
      <c r="H599" s="332">
        <v>45231.0</v>
      </c>
      <c r="I599" s="309">
        <v>1.0</v>
      </c>
      <c r="L599" s="311"/>
      <c r="M599" s="313">
        <v>45231.57437859954</v>
      </c>
      <c r="N599" s="313">
        <v>45232.436051481476</v>
      </c>
      <c r="O599" s="314" t="s">
        <v>867</v>
      </c>
      <c r="P599" s="314" t="s">
        <v>868</v>
      </c>
      <c r="Q599" s="319" t="s">
        <v>31</v>
      </c>
      <c r="R599" s="316">
        <v>0.004861111112404615</v>
      </c>
      <c r="S599" s="317"/>
      <c r="T599" s="317"/>
      <c r="U599" s="317"/>
    </row>
    <row r="600" ht="20.25" customHeight="1" collapsed="1">
      <c r="A600" s="216" t="str">
        <f>IFERROR(__xludf.DUMMYFUNCTION("ARRAYFORMULA(IFERROR(VLOOKUP(REGEXEXTRACT(B600, ""-(\w+)-""), {Data_Validation!$F$16:$F$29, Data_Validation!$E$16:$E$29}, 2, FALSE), """"))
"),"TheMVP")</f>
        <v>TheMVP</v>
      </c>
      <c r="B600" s="265" t="s">
        <v>2329</v>
      </c>
      <c r="C600" s="265" t="s">
        <v>2330</v>
      </c>
      <c r="D600" s="265"/>
      <c r="E600" s="265" t="s">
        <v>984</v>
      </c>
      <c r="F600" s="265" t="s">
        <v>22</v>
      </c>
      <c r="G600" s="265" t="s">
        <v>89</v>
      </c>
      <c r="H600" s="332">
        <v>45215.0</v>
      </c>
      <c r="I600" s="308"/>
      <c r="J600" s="309">
        <v>15.0</v>
      </c>
      <c r="L600" s="311"/>
      <c r="M600" s="313">
        <v>45208.671263321754</v>
      </c>
      <c r="N600" s="313">
        <v>45220.555464375</v>
      </c>
      <c r="O600" s="314"/>
      <c r="P600" s="314"/>
      <c r="Q600" s="319"/>
      <c r="R600" s="316">
        <v>0.7381944444459805</v>
      </c>
      <c r="S600" s="317"/>
      <c r="T600" s="317"/>
      <c r="U600" s="317"/>
    </row>
    <row r="601" ht="20.25" hidden="1" customHeight="1" outlineLevel="1">
      <c r="A601" s="216" t="str">
        <f>IFERROR(__xludf.DUMMYFUNCTION("ARRAYFORMULA(IFERROR(VLOOKUP(REGEXEXTRACT(B601, ""-(\w+)-""), {Data_Validation!$F$16:$F$29, Data_Validation!$E$16:$E$29}, 2, FALSE), """"))
"),"TheMVP")</f>
        <v>TheMVP</v>
      </c>
      <c r="B601" s="265" t="s">
        <v>2331</v>
      </c>
      <c r="D601" s="265" t="s">
        <v>1740</v>
      </c>
      <c r="E601" s="265" t="s">
        <v>26</v>
      </c>
      <c r="F601" s="265" t="s">
        <v>22</v>
      </c>
      <c r="G601" s="265"/>
      <c r="H601" s="332">
        <v>45208.670785069444</v>
      </c>
      <c r="I601" s="309">
        <v>1.0</v>
      </c>
      <c r="L601" s="311"/>
      <c r="M601" s="313">
        <v>45208.671263321754</v>
      </c>
      <c r="N601" s="313">
        <v>45208.699900775464</v>
      </c>
      <c r="O601" s="314"/>
      <c r="P601" s="314"/>
      <c r="Q601" s="319" t="s">
        <v>31</v>
      </c>
      <c r="R601" s="316">
        <v>0.028472222220443655</v>
      </c>
      <c r="S601" s="317"/>
      <c r="T601" s="317"/>
      <c r="U601" s="317"/>
    </row>
    <row r="602" ht="20.25" hidden="1" customHeight="1" outlineLevel="1">
      <c r="A602" s="216" t="str">
        <f>IFERROR(__xludf.DUMMYFUNCTION("ARRAYFORMULA(IFERROR(VLOOKUP(REGEXEXTRACT(B602, ""-(\w+)-""), {Data_Validation!$F$16:$F$29, Data_Validation!$E$16:$E$29}, 2, FALSE), """"))
"),"TheMVP")</f>
        <v>TheMVP</v>
      </c>
      <c r="B602" s="265" t="s">
        <v>2332</v>
      </c>
      <c r="D602" s="265" t="s">
        <v>2333</v>
      </c>
      <c r="E602" s="265" t="s">
        <v>26</v>
      </c>
      <c r="F602" s="265" t="s">
        <v>41</v>
      </c>
      <c r="G602" s="265"/>
      <c r="H602" s="332">
        <v>45208.67078703704</v>
      </c>
      <c r="I602" s="309">
        <v>1.0</v>
      </c>
      <c r="L602" s="311"/>
      <c r="M602" s="313">
        <v>45209.47505197917</v>
      </c>
      <c r="N602" s="313">
        <v>45211.80432496528</v>
      </c>
      <c r="O602" s="314" t="s">
        <v>2334</v>
      </c>
      <c r="P602" s="314" t="s">
        <v>2335</v>
      </c>
      <c r="Q602" s="319" t="s">
        <v>31</v>
      </c>
      <c r="R602" s="316">
        <v>0.3631944444459805</v>
      </c>
      <c r="S602" s="317"/>
      <c r="T602" s="317"/>
      <c r="U602" s="317"/>
    </row>
    <row r="603" ht="20.25" hidden="1" customHeight="1" outlineLevel="1">
      <c r="A603" s="216" t="str">
        <f>IFERROR(__xludf.DUMMYFUNCTION("ARRAYFORMULA(IFERROR(VLOOKUP(REGEXEXTRACT(B603, ""-(\w+)-""), {Data_Validation!$F$16:$F$29, Data_Validation!$E$16:$E$29}, 2, FALSE), """"))
"),"TheMVP")</f>
        <v>TheMVP</v>
      </c>
      <c r="B603" s="265" t="s">
        <v>2336</v>
      </c>
      <c r="D603" s="265" t="s">
        <v>2337</v>
      </c>
      <c r="E603" s="265" t="s">
        <v>26</v>
      </c>
      <c r="F603" s="265" t="s">
        <v>41</v>
      </c>
      <c r="G603" s="265" t="s">
        <v>2338</v>
      </c>
      <c r="H603" s="332">
        <v>45215.0</v>
      </c>
      <c r="I603" s="309">
        <v>1.0</v>
      </c>
      <c r="L603" s="311"/>
      <c r="M603" s="313">
        <v>45210.50484730324</v>
      </c>
      <c r="N603" s="313">
        <v>45220.555464375</v>
      </c>
      <c r="O603" s="314" t="s">
        <v>2339</v>
      </c>
      <c r="P603" s="314" t="s">
        <v>2340</v>
      </c>
      <c r="Q603" s="319" t="s">
        <v>31</v>
      </c>
      <c r="R603" s="316">
        <v>0.08333333333212067</v>
      </c>
      <c r="S603" s="317"/>
      <c r="T603" s="317"/>
      <c r="U603" s="317"/>
    </row>
    <row r="604" ht="20.25" hidden="1" customHeight="1" outlineLevel="1">
      <c r="A604" s="216" t="str">
        <f>IFERROR(__xludf.DUMMYFUNCTION("ARRAYFORMULA(IFERROR(VLOOKUP(REGEXEXTRACT(B604, ""-(\w+)-""), {Data_Validation!$F$16:$F$29, Data_Validation!$E$16:$E$29}, 2, FALSE), """"))
"),"TheMVP")</f>
        <v>TheMVP</v>
      </c>
      <c r="B604" s="265" t="s">
        <v>2341</v>
      </c>
      <c r="D604" s="265" t="s">
        <v>2342</v>
      </c>
      <c r="E604" s="265" t="s">
        <v>26</v>
      </c>
      <c r="F604" s="265" t="s">
        <v>22</v>
      </c>
      <c r="G604" s="265"/>
      <c r="H604" s="332">
        <v>45210.0</v>
      </c>
      <c r="I604" s="309">
        <v>1.0</v>
      </c>
      <c r="L604" s="311"/>
      <c r="M604" s="313">
        <v>45210.73055555555</v>
      </c>
      <c r="N604" s="313">
        <v>45212.583238437495</v>
      </c>
      <c r="O604" s="314" t="s">
        <v>2343</v>
      </c>
      <c r="P604" s="314" t="s">
        <v>2344</v>
      </c>
      <c r="Q604" s="319" t="s">
        <v>31</v>
      </c>
      <c r="R604" s="316">
        <v>0.2631944444437977</v>
      </c>
      <c r="S604" s="317"/>
      <c r="T604" s="317"/>
      <c r="U604" s="317"/>
    </row>
    <row r="605" ht="20.25" hidden="1" customHeight="1" outlineLevel="1">
      <c r="A605" s="216" t="str">
        <f>IFERROR(__xludf.DUMMYFUNCTION("ARRAYFORMULA(IFERROR(VLOOKUP(REGEXEXTRACT(B605, ""-(\w+)-""), {Data_Validation!$F$16:$F$29, Data_Validation!$E$16:$E$29}, 2, FALSE), """"))
"),"TheMVP")</f>
        <v>TheMVP</v>
      </c>
      <c r="B605" s="265" t="s">
        <v>2345</v>
      </c>
      <c r="D605" s="265" t="s">
        <v>2346</v>
      </c>
      <c r="E605" s="265" t="s">
        <v>26</v>
      </c>
      <c r="F605" s="265" t="s">
        <v>48</v>
      </c>
      <c r="G605" s="265"/>
      <c r="H605" s="332">
        <v>45211.0</v>
      </c>
      <c r="I605" s="309">
        <v>1.0</v>
      </c>
      <c r="L605" s="311"/>
      <c r="M605" s="313">
        <v>45211.66896767361</v>
      </c>
      <c r="N605" s="313">
        <v>45211.77004403935</v>
      </c>
      <c r="O605" s="314" t="s">
        <v>2347</v>
      </c>
      <c r="P605" s="314" t="s">
        <v>2348</v>
      </c>
      <c r="Q605" s="319" t="s">
        <v>31</v>
      </c>
      <c r="R605" s="316">
        <v>0.06388888888977817</v>
      </c>
      <c r="S605" s="317"/>
      <c r="T605" s="317"/>
      <c r="U605" s="317"/>
    </row>
    <row r="606" ht="20.25" hidden="1" customHeight="1" outlineLevel="1">
      <c r="A606" s="216" t="str">
        <f>IFERROR(__xludf.DUMMYFUNCTION("ARRAYFORMULA(IFERROR(VLOOKUP(REGEXEXTRACT(B606, ""-(\w+)-""), {Data_Validation!$F$16:$F$29, Data_Validation!$E$16:$E$29}, 2, FALSE), """"))
"),"TheMVP")</f>
        <v>TheMVP</v>
      </c>
      <c r="B606" s="265" t="s">
        <v>2349</v>
      </c>
      <c r="D606" s="265" t="s">
        <v>1740</v>
      </c>
      <c r="E606" s="265" t="s">
        <v>26</v>
      </c>
      <c r="F606" s="265" t="s">
        <v>48</v>
      </c>
      <c r="G606" s="265"/>
      <c r="H606" s="332">
        <v>45212.0</v>
      </c>
      <c r="I606" s="309">
        <v>1.0</v>
      </c>
      <c r="L606" s="311"/>
      <c r="M606" s="313">
        <v>45212.748884155095</v>
      </c>
      <c r="N606" s="313">
        <v>45212.76017819444</v>
      </c>
      <c r="O606" s="314"/>
      <c r="P606" s="314"/>
      <c r="Q606" s="319" t="s">
        <v>31</v>
      </c>
      <c r="R606" s="316">
        <v>0.011111111110949423</v>
      </c>
      <c r="S606" s="317"/>
      <c r="T606" s="317"/>
      <c r="U606" s="317"/>
    </row>
    <row r="607" ht="20.25" hidden="1" customHeight="1" outlineLevel="1">
      <c r="A607" s="216" t="str">
        <f>IFERROR(__xludf.DUMMYFUNCTION("ARRAYFORMULA(IFERROR(VLOOKUP(REGEXEXTRACT(B607, ""-(\w+)-""), {Data_Validation!$F$16:$F$29, Data_Validation!$E$16:$E$29}, 2, FALSE), """"))
"),"TheMVP")</f>
        <v>TheMVP</v>
      </c>
      <c r="B607" s="265" t="s">
        <v>2350</v>
      </c>
      <c r="D607" s="265" t="s">
        <v>2351</v>
      </c>
      <c r="E607" s="265" t="s">
        <v>26</v>
      </c>
      <c r="F607" s="265" t="s">
        <v>22</v>
      </c>
      <c r="G607" s="265"/>
      <c r="H607" s="332">
        <v>45217.0</v>
      </c>
      <c r="I607" s="309">
        <v>1.0</v>
      </c>
      <c r="L607" s="311"/>
      <c r="M607" s="313">
        <v>45217.49376157408</v>
      </c>
      <c r="N607" s="313">
        <v>45217.50435459491</v>
      </c>
      <c r="O607" s="314"/>
      <c r="P607" s="314"/>
      <c r="Q607" s="319" t="s">
        <v>31</v>
      </c>
      <c r="R607" s="316">
        <v>0.010416666667879326</v>
      </c>
      <c r="S607" s="317"/>
      <c r="T607" s="317"/>
      <c r="U607" s="317"/>
    </row>
    <row r="608" ht="20.25" hidden="1" customHeight="1" outlineLevel="1">
      <c r="A608" s="216" t="str">
        <f>IFERROR(__xludf.DUMMYFUNCTION("ARRAYFORMULA(IFERROR(VLOOKUP(REGEXEXTRACT(B608, ""-(\w+)-""), {Data_Validation!$F$16:$F$29, Data_Validation!$E$16:$E$29}, 2, FALSE), """"))
"),"TheMVP")</f>
        <v>TheMVP</v>
      </c>
      <c r="B608" s="265" t="s">
        <v>2352</v>
      </c>
      <c r="D608" s="265" t="s">
        <v>2353</v>
      </c>
      <c r="E608" s="265" t="s">
        <v>26</v>
      </c>
      <c r="F608" s="265" t="s">
        <v>22</v>
      </c>
      <c r="G608" s="265"/>
      <c r="H608" s="332">
        <v>45215.0</v>
      </c>
      <c r="I608" s="309">
        <v>1.0</v>
      </c>
      <c r="L608" s="311"/>
      <c r="M608" s="313">
        <v>45217.41342592593</v>
      </c>
      <c r="N608" s="313">
        <v>45217.4259012963</v>
      </c>
      <c r="O608" s="314"/>
      <c r="P608" s="314"/>
      <c r="Q608" s="319" t="s">
        <v>31</v>
      </c>
      <c r="R608" s="316">
        <v>0.01180555555401952</v>
      </c>
      <c r="S608" s="317"/>
      <c r="T608" s="317"/>
      <c r="U608" s="317"/>
    </row>
    <row r="609" ht="20.25" hidden="1" customHeight="1" outlineLevel="1">
      <c r="A609" s="216" t="str">
        <f>IFERROR(__xludf.DUMMYFUNCTION("ARRAYFORMULA(IFERROR(VLOOKUP(REGEXEXTRACT(B609, ""-(\w+)-""), {Data_Validation!$F$16:$F$29, Data_Validation!$E$16:$E$29}, 2, FALSE), """"))
"),"TheMVP")</f>
        <v>TheMVP</v>
      </c>
      <c r="B609" s="265" t="s">
        <v>2354</v>
      </c>
      <c r="D609" s="265" t="s">
        <v>2355</v>
      </c>
      <c r="E609" s="265" t="s">
        <v>26</v>
      </c>
      <c r="F609" s="265" t="s">
        <v>48</v>
      </c>
      <c r="G609" s="265"/>
      <c r="H609" s="332">
        <v>45215.0</v>
      </c>
      <c r="I609" s="309">
        <v>1.0</v>
      </c>
      <c r="L609" s="311"/>
      <c r="M609" s="313">
        <v>45215.48395833334</v>
      </c>
      <c r="N609" s="313">
        <v>45215.582822303244</v>
      </c>
      <c r="O609" s="314" t="s">
        <v>2356</v>
      </c>
      <c r="P609" s="314" t="s">
        <v>2357</v>
      </c>
      <c r="Q609" s="319" t="s">
        <v>31</v>
      </c>
      <c r="R609" s="316">
        <v>0.07083333333503106</v>
      </c>
      <c r="S609" s="317"/>
      <c r="T609" s="317"/>
      <c r="U609" s="317"/>
    </row>
    <row r="610" ht="20.25" hidden="1" customHeight="1" outlineLevel="1">
      <c r="A610" s="216" t="str">
        <f>IFERROR(__xludf.DUMMYFUNCTION("ARRAYFORMULA(IFERROR(VLOOKUP(REGEXEXTRACT(B610, ""-(\w+)-""), {Data_Validation!$F$16:$F$29, Data_Validation!$E$16:$E$29}, 2, FALSE), """"))
"),"TheMVP")</f>
        <v>TheMVP</v>
      </c>
      <c r="B610" s="265" t="s">
        <v>2358</v>
      </c>
      <c r="D610" s="265" t="s">
        <v>2359</v>
      </c>
      <c r="E610" s="265" t="s">
        <v>26</v>
      </c>
      <c r="F610" s="265" t="s">
        <v>41</v>
      </c>
      <c r="G610" s="265"/>
      <c r="H610" s="332">
        <v>45218.0</v>
      </c>
      <c r="I610" s="309">
        <v>1.0</v>
      </c>
      <c r="L610" s="311"/>
      <c r="M610" s="313">
        <v>45218.77015077547</v>
      </c>
      <c r="N610" s="313">
        <v>45218.77444026621</v>
      </c>
      <c r="O610" s="314"/>
      <c r="P610" s="314"/>
      <c r="Q610" s="319" t="s">
        <v>31</v>
      </c>
      <c r="R610" s="316">
        <v>0.004166666665696539</v>
      </c>
      <c r="S610" s="317"/>
      <c r="T610" s="317"/>
      <c r="U610" s="317"/>
    </row>
    <row r="611" ht="20.25" hidden="1" customHeight="1" outlineLevel="1">
      <c r="A611" s="216" t="str">
        <f>IFERROR(__xludf.DUMMYFUNCTION("ARRAYFORMULA(IFERROR(VLOOKUP(REGEXEXTRACT(B611, ""-(\w+)-""), {Data_Validation!$F$16:$F$29, Data_Validation!$E$16:$E$29}, 2, FALSE), """"))
"),"TheMVP")</f>
        <v>TheMVP</v>
      </c>
      <c r="B611" s="265" t="s">
        <v>2360</v>
      </c>
      <c r="D611" s="265" t="s">
        <v>2361</v>
      </c>
      <c r="E611" s="265" t="s">
        <v>26</v>
      </c>
      <c r="F611" s="265" t="s">
        <v>22</v>
      </c>
      <c r="G611" s="265" t="s">
        <v>2362</v>
      </c>
      <c r="H611" s="332">
        <v>45218.0</v>
      </c>
      <c r="I611" s="309"/>
      <c r="L611" s="311"/>
      <c r="M611" s="313">
        <v>45218.55877314815</v>
      </c>
      <c r="N611" s="313">
        <v>45218.58531202546</v>
      </c>
      <c r="O611" s="314"/>
      <c r="P611" s="314"/>
      <c r="Q611" s="319" t="s">
        <v>31</v>
      </c>
      <c r="R611" s="316">
        <v>0.026388888887595385</v>
      </c>
      <c r="S611" s="317"/>
      <c r="T611" s="317"/>
      <c r="U611" s="317"/>
    </row>
    <row r="612" ht="20.25" hidden="1" customHeight="1" outlineLevel="1">
      <c r="A612" s="216" t="str">
        <f>IFERROR(__xludf.DUMMYFUNCTION("ARRAYFORMULA(IFERROR(VLOOKUP(REGEXEXTRACT(B612, ""-(\w+)-""), {Data_Validation!$F$16:$F$29, Data_Validation!$E$16:$E$29}, 2, FALSE), """"))
"),"TheMVP")</f>
        <v>TheMVP</v>
      </c>
      <c r="B612" s="265" t="s">
        <v>2363</v>
      </c>
      <c r="D612" s="265" t="s">
        <v>2364</v>
      </c>
      <c r="E612" s="265" t="s">
        <v>26</v>
      </c>
      <c r="F612" s="265" t="s">
        <v>48</v>
      </c>
      <c r="G612" s="265"/>
      <c r="H612" s="332">
        <v>45218.0</v>
      </c>
      <c r="I612" s="309"/>
      <c r="L612" s="311"/>
      <c r="M612" s="313">
        <v>45218.59168778935</v>
      </c>
      <c r="N612" s="313">
        <v>45219.692076377316</v>
      </c>
      <c r="O612" s="314" t="s">
        <v>2365</v>
      </c>
      <c r="P612" s="314" t="s">
        <v>2366</v>
      </c>
      <c r="Q612" s="319" t="s">
        <v>31</v>
      </c>
      <c r="R612" s="316">
        <v>0.2937500000007276</v>
      </c>
      <c r="S612" s="317"/>
      <c r="T612" s="317"/>
      <c r="U612" s="317"/>
    </row>
    <row r="613" ht="20.25" hidden="1" customHeight="1" outlineLevel="1">
      <c r="A613" s="216" t="str">
        <f>IFERROR(__xludf.DUMMYFUNCTION("ARRAYFORMULA(IFERROR(VLOOKUP(REGEXEXTRACT(B613, ""-(\w+)-""), {Data_Validation!$F$16:$F$29, Data_Validation!$E$16:$E$29}, 2, FALSE), """"))
"),"TheMVP")</f>
        <v>TheMVP</v>
      </c>
      <c r="B613" s="265" t="s">
        <v>2367</v>
      </c>
      <c r="D613" s="265" t="s">
        <v>2368</v>
      </c>
      <c r="E613" s="265" t="s">
        <v>26</v>
      </c>
      <c r="F613" s="265" t="s">
        <v>41</v>
      </c>
      <c r="G613" s="265"/>
      <c r="H613" s="332">
        <v>45218.0</v>
      </c>
      <c r="I613" s="309"/>
      <c r="L613" s="311"/>
      <c r="M613" s="313">
        <v>45218.730104166665</v>
      </c>
      <c r="N613" s="313">
        <v>45218.779231712964</v>
      </c>
      <c r="O613" s="314" t="s">
        <v>2369</v>
      </c>
      <c r="P613" s="314" t="s">
        <v>2370</v>
      </c>
      <c r="Q613" s="319" t="s">
        <v>31</v>
      </c>
      <c r="R613" s="316">
        <v>0.041666666667879326</v>
      </c>
      <c r="S613" s="317"/>
      <c r="T613" s="317"/>
      <c r="U613" s="317"/>
    </row>
    <row r="614" ht="20.25" hidden="1" customHeight="1" outlineLevel="1">
      <c r="A614" s="216" t="str">
        <f>IFERROR(__xludf.DUMMYFUNCTION("ARRAYFORMULA(IFERROR(VLOOKUP(REGEXEXTRACT(B614, ""-(\w+)-""), {Data_Validation!$F$16:$F$29, Data_Validation!$E$16:$E$29}, 2, FALSE), """"))
"),"TheMVP")</f>
        <v>TheMVP</v>
      </c>
      <c r="B614" s="265" t="s">
        <v>2371</v>
      </c>
      <c r="D614" s="265" t="s">
        <v>2372</v>
      </c>
      <c r="E614" s="265" t="s">
        <v>26</v>
      </c>
      <c r="F614" s="265" t="s">
        <v>41</v>
      </c>
      <c r="G614" s="265"/>
      <c r="H614" s="332">
        <v>45217.0</v>
      </c>
      <c r="I614" s="309">
        <v>1.0</v>
      </c>
      <c r="L614" s="311"/>
      <c r="M614" s="313">
        <v>45218.421076388884</v>
      </c>
      <c r="N614" s="313">
        <v>45218.44922821759</v>
      </c>
      <c r="O614" s="314"/>
      <c r="P614" s="314"/>
      <c r="Q614" s="319" t="s">
        <v>31</v>
      </c>
      <c r="R614" s="316">
        <v>0.027777777777373558</v>
      </c>
      <c r="S614" s="317"/>
      <c r="T614" s="317"/>
      <c r="U614" s="317"/>
    </row>
    <row r="615" ht="20.25" hidden="1" customHeight="1" outlineLevel="1">
      <c r="A615" s="216" t="str">
        <f>IFERROR(__xludf.DUMMYFUNCTION("ARRAYFORMULA(IFERROR(VLOOKUP(REGEXEXTRACT(B615, ""-(\w+)-""), {Data_Validation!$F$16:$F$29, Data_Validation!$E$16:$E$29}, 2, FALSE), """"))
"),"TheMVP")</f>
        <v>TheMVP</v>
      </c>
      <c r="B615" s="265" t="s">
        <v>2373</v>
      </c>
      <c r="D615" s="265" t="s">
        <v>2372</v>
      </c>
      <c r="E615" s="265" t="s">
        <v>26</v>
      </c>
      <c r="F615" s="265" t="s">
        <v>34</v>
      </c>
      <c r="G615" s="265"/>
      <c r="H615" s="332">
        <v>45217.0</v>
      </c>
      <c r="I615" s="309">
        <v>1.0</v>
      </c>
      <c r="L615" s="311"/>
      <c r="M615" s="313">
        <v>45218.421076388884</v>
      </c>
      <c r="N615" s="313">
        <v>45218.47103689815</v>
      </c>
      <c r="O615" s="314" t="s">
        <v>2374</v>
      </c>
      <c r="P615" s="314" t="s">
        <v>2375</v>
      </c>
      <c r="Q615" s="319" t="s">
        <v>31</v>
      </c>
      <c r="R615" s="316">
        <v>0.027777777777373558</v>
      </c>
      <c r="S615" s="317"/>
      <c r="T615" s="317"/>
      <c r="U615" s="317"/>
    </row>
    <row r="616" ht="20.25" customHeight="1" collapsed="1">
      <c r="A616" s="216" t="str">
        <f>IFERROR(__xludf.DUMMYFUNCTION("ARRAYFORMULA(IFERROR(VLOOKUP(REGEXEXTRACT(B616, ""-(\w+)-""), {Data_Validation!$F$16:$F$29, Data_Validation!$E$16:$E$29}, 2, FALSE), """"))
"),"TheMVP")</f>
        <v>TheMVP</v>
      </c>
      <c r="B616" s="265" t="s">
        <v>2376</v>
      </c>
      <c r="C616" s="265" t="s">
        <v>2377</v>
      </c>
      <c r="D616" s="265"/>
      <c r="E616" s="265" t="s">
        <v>21</v>
      </c>
      <c r="F616" s="265" t="s">
        <v>41</v>
      </c>
      <c r="G616" s="265" t="s">
        <v>23</v>
      </c>
      <c r="H616" s="332">
        <v>45232.0</v>
      </c>
      <c r="I616" s="308"/>
      <c r="J616" s="309">
        <v>5.0</v>
      </c>
      <c r="L616" s="311"/>
      <c r="M616" s="313">
        <v>45222.00997784722</v>
      </c>
      <c r="N616" s="313">
        <v>45232.57854604167</v>
      </c>
      <c r="O616" s="314"/>
      <c r="P616" s="314"/>
      <c r="Q616" s="319"/>
      <c r="R616" s="316">
        <v>0.8215277777781012</v>
      </c>
      <c r="S616" s="317" t="s">
        <v>1368</v>
      </c>
      <c r="T616" s="317">
        <v>42.0</v>
      </c>
      <c r="U616" s="317"/>
    </row>
    <row r="617" ht="20.25" hidden="1" customHeight="1" outlineLevel="1">
      <c r="A617" s="216" t="str">
        <f>IFERROR(__xludf.DUMMYFUNCTION("ARRAYFORMULA(IFERROR(VLOOKUP(REGEXEXTRACT(B617, ""-(\w+)-""), {Data_Validation!$F$16:$F$29, Data_Validation!$E$16:$E$29}, 2, FALSE), """"))
"),"TheMVP")</f>
        <v>TheMVP</v>
      </c>
      <c r="B617" s="265" t="s">
        <v>2378</v>
      </c>
      <c r="D617" s="265" t="s">
        <v>25</v>
      </c>
      <c r="E617" s="265" t="s">
        <v>26</v>
      </c>
      <c r="F617" s="265" t="s">
        <v>27</v>
      </c>
      <c r="G617" s="265" t="s">
        <v>2379</v>
      </c>
      <c r="H617" s="332">
        <v>45220.0</v>
      </c>
      <c r="I617" s="309">
        <v>1.0</v>
      </c>
      <c r="L617" s="311"/>
      <c r="M617" s="313">
        <v>45222.00997784722</v>
      </c>
      <c r="N617" s="313">
        <v>45225.425072094906</v>
      </c>
      <c r="O617" s="314" t="s">
        <v>2380</v>
      </c>
      <c r="P617" s="314" t="s">
        <v>2381</v>
      </c>
      <c r="Q617" s="319" t="s">
        <v>31</v>
      </c>
      <c r="R617" s="316">
        <v>0.012500000000727596</v>
      </c>
      <c r="S617" s="317" t="s">
        <v>1368</v>
      </c>
      <c r="T617" s="317">
        <v>42.01</v>
      </c>
      <c r="U617" s="317"/>
    </row>
    <row r="618" ht="20.25" hidden="1" customHeight="1" outlineLevel="1">
      <c r="A618" s="216" t="str">
        <f>IFERROR(__xludf.DUMMYFUNCTION("ARRAYFORMULA(IFERROR(VLOOKUP(REGEXEXTRACT(B618, ""-(\w+)-""), {Data_Validation!$F$16:$F$29, Data_Validation!$E$16:$E$29}, 2, FALSE), """"))
"),"TheMVP")</f>
        <v>TheMVP</v>
      </c>
      <c r="B618" s="265" t="s">
        <v>2382</v>
      </c>
      <c r="D618" s="265" t="s">
        <v>112</v>
      </c>
      <c r="E618" s="265" t="s">
        <v>26</v>
      </c>
      <c r="F618" s="265" t="s">
        <v>48</v>
      </c>
      <c r="G618" s="265"/>
      <c r="H618" s="332">
        <v>45230.0</v>
      </c>
      <c r="I618" s="309">
        <v>1.0</v>
      </c>
      <c r="L618" s="311"/>
      <c r="M618" s="313">
        <v>45231.565850706014</v>
      </c>
      <c r="N618" s="313">
        <v>45231.57060047454</v>
      </c>
      <c r="O618" s="314"/>
      <c r="P618" s="314"/>
      <c r="Q618" s="319" t="s">
        <v>31</v>
      </c>
      <c r="R618" s="316">
        <v>0.004166666665696539</v>
      </c>
      <c r="S618" s="317" t="s">
        <v>1368</v>
      </c>
      <c r="T618" s="317">
        <v>42.02</v>
      </c>
      <c r="U618" s="317"/>
    </row>
    <row r="619" ht="20.25" hidden="1" customHeight="1" outlineLevel="1">
      <c r="A619" s="216" t="str">
        <f>IFERROR(__xludf.DUMMYFUNCTION("ARRAYFORMULA(IFERROR(VLOOKUP(REGEXEXTRACT(B619, ""-(\w+)-""), {Data_Validation!$F$16:$F$29, Data_Validation!$E$16:$E$29}, 2, FALSE), """"))
"),"TheMVP")</f>
        <v>TheMVP</v>
      </c>
      <c r="B619" s="265" t="s">
        <v>2383</v>
      </c>
      <c r="D619" s="265" t="s">
        <v>40</v>
      </c>
      <c r="E619" s="265" t="s">
        <v>26</v>
      </c>
      <c r="F619" s="265" t="s">
        <v>41</v>
      </c>
      <c r="G619" s="265"/>
      <c r="H619" s="332">
        <v>45231.0</v>
      </c>
      <c r="I619" s="309">
        <v>1.0</v>
      </c>
      <c r="L619" s="311"/>
      <c r="M619" s="313">
        <v>45231.63232276621</v>
      </c>
      <c r="N619" s="313">
        <v>45232.50317997685</v>
      </c>
      <c r="O619" s="314" t="s">
        <v>2384</v>
      </c>
      <c r="P619" s="314" t="s">
        <v>2385</v>
      </c>
      <c r="Q619" s="319" t="s">
        <v>31</v>
      </c>
      <c r="R619" s="316">
        <v>0.7326388888905058</v>
      </c>
      <c r="S619" s="317" t="s">
        <v>1368</v>
      </c>
      <c r="T619" s="317">
        <v>42.05</v>
      </c>
      <c r="U619" s="317"/>
    </row>
    <row r="620" ht="20.25" hidden="1" customHeight="1" outlineLevel="1">
      <c r="A620" s="216" t="str">
        <f>IFERROR(__xludf.DUMMYFUNCTION("ARRAYFORMULA(IFERROR(VLOOKUP(REGEXEXTRACT(B620, ""-(\w+)-""), {Data_Validation!$F$16:$F$29, Data_Validation!$E$16:$E$29}, 2, FALSE), """"))
"),"TheMVP")</f>
        <v>TheMVP</v>
      </c>
      <c r="B620" s="265" t="s">
        <v>2386</v>
      </c>
      <c r="D620" s="265" t="s">
        <v>45</v>
      </c>
      <c r="E620" s="265" t="s">
        <v>26</v>
      </c>
      <c r="F620" s="265" t="s">
        <v>41</v>
      </c>
      <c r="G620" s="265"/>
      <c r="H620" s="332">
        <v>45231.0</v>
      </c>
      <c r="I620" s="309">
        <v>1.0</v>
      </c>
      <c r="L620" s="311"/>
      <c r="M620" s="313">
        <v>45232.41032894676</v>
      </c>
      <c r="N620" s="313">
        <v>45232.50322803241</v>
      </c>
      <c r="O620" s="314" t="s">
        <v>2387</v>
      </c>
      <c r="P620" s="314" t="s">
        <v>2388</v>
      </c>
      <c r="Q620" s="319" t="s">
        <v>31</v>
      </c>
      <c r="R620" s="316">
        <v>0.01180555555401952</v>
      </c>
      <c r="S620" s="317" t="s">
        <v>1368</v>
      </c>
      <c r="T620" s="317">
        <v>42.06</v>
      </c>
      <c r="U620" s="317"/>
    </row>
    <row r="621" ht="20.25" hidden="1" customHeight="1" outlineLevel="1">
      <c r="A621" s="216" t="str">
        <f>IFERROR(__xludf.DUMMYFUNCTION("ARRAYFORMULA(IFERROR(VLOOKUP(REGEXEXTRACT(B621, ""-(\w+)-""), {Data_Validation!$F$16:$F$29, Data_Validation!$E$16:$E$29}, 2, FALSE), """"))
"),"TheMVP")</f>
        <v>TheMVP</v>
      </c>
      <c r="B621" s="265" t="s">
        <v>2389</v>
      </c>
      <c r="D621" s="265" t="s">
        <v>47</v>
      </c>
      <c r="E621" s="265" t="s">
        <v>26</v>
      </c>
      <c r="F621" s="265" t="s">
        <v>48</v>
      </c>
      <c r="G621" s="265"/>
      <c r="H621" s="332">
        <v>45232.0</v>
      </c>
      <c r="I621" s="309">
        <v>1.0</v>
      </c>
      <c r="L621" s="311"/>
      <c r="M621" s="313">
        <v>45232.51783185185</v>
      </c>
      <c r="N621" s="313">
        <v>45232.57854604167</v>
      </c>
      <c r="O621" s="314"/>
      <c r="P621" s="314"/>
      <c r="Q621" s="319" t="s">
        <v>31</v>
      </c>
      <c r="R621" s="316">
        <v>0.06041666666715173</v>
      </c>
      <c r="S621" s="317" t="s">
        <v>1368</v>
      </c>
      <c r="T621" s="317">
        <v>42.07</v>
      </c>
      <c r="U621" s="317"/>
    </row>
    <row r="622" ht="20.25" customHeight="1" collapsed="1">
      <c r="A622" s="216" t="str">
        <f>IFERROR(__xludf.DUMMYFUNCTION("ARRAYFORMULA(IFERROR(VLOOKUP(REGEXEXTRACT(B622, ""-(\w+)-""), {Data_Validation!$F$16:$F$29, Data_Validation!$E$16:$E$29}, 2, FALSE), """"))
"),"Colorful Tech")</f>
        <v>Colorful Tech</v>
      </c>
      <c r="B622" s="265" t="s">
        <v>2390</v>
      </c>
      <c r="C622" s="265" t="s">
        <v>2391</v>
      </c>
      <c r="D622" s="265"/>
      <c r="E622" s="265" t="s">
        <v>21</v>
      </c>
      <c r="F622" s="265" t="s">
        <v>22</v>
      </c>
      <c r="G622" s="265" t="s">
        <v>89</v>
      </c>
      <c r="H622" s="332">
        <v>45232.0</v>
      </c>
      <c r="I622" s="308"/>
      <c r="J622" s="309">
        <v>7.0</v>
      </c>
      <c r="L622" s="311"/>
      <c r="M622" s="313">
        <v>45218.48810616898</v>
      </c>
      <c r="N622" s="313">
        <v>45232.578824502314</v>
      </c>
      <c r="O622" s="314"/>
      <c r="P622" s="314"/>
      <c r="Q622" s="319"/>
      <c r="R622" s="316">
        <v>0.2916666666678793</v>
      </c>
      <c r="S622" s="317" t="s">
        <v>1375</v>
      </c>
      <c r="T622" s="317">
        <v>6.0</v>
      </c>
      <c r="U622" s="317"/>
    </row>
    <row r="623" ht="20.25" hidden="1" customHeight="1" outlineLevel="1">
      <c r="A623" s="216" t="str">
        <f>IFERROR(__xludf.DUMMYFUNCTION("ARRAYFORMULA(IFERROR(VLOOKUP(REGEXEXTRACT(B623, ""-(\w+)-""), {Data_Validation!$F$16:$F$29, Data_Validation!$E$16:$E$29}, 2, FALSE), """"))
"),"Colorful Tech")</f>
        <v>Colorful Tech</v>
      </c>
      <c r="B623" s="265" t="s">
        <v>2392</v>
      </c>
      <c r="D623" s="265" t="s">
        <v>25</v>
      </c>
      <c r="E623" s="265" t="s">
        <v>26</v>
      </c>
      <c r="F623" s="265" t="s">
        <v>22</v>
      </c>
      <c r="G623" s="265" t="s">
        <v>2391</v>
      </c>
      <c r="H623" s="332">
        <v>45215.0</v>
      </c>
      <c r="I623" s="309">
        <v>1.0</v>
      </c>
      <c r="L623" s="311"/>
      <c r="M623" s="313"/>
      <c r="N623" s="313"/>
      <c r="O623" s="314"/>
      <c r="P623" s="314"/>
      <c r="Q623" s="319"/>
      <c r="R623" s="316"/>
      <c r="S623" s="317" t="s">
        <v>1375</v>
      </c>
      <c r="T623" s="317">
        <v>6.01</v>
      </c>
      <c r="U623" s="317"/>
    </row>
    <row r="624" ht="20.25" hidden="1" customHeight="1" outlineLevel="1">
      <c r="A624" s="216" t="str">
        <f>IFERROR(__xludf.DUMMYFUNCTION("ARRAYFORMULA(IFERROR(VLOOKUP(REGEXEXTRACT(B624, ""-(\w+)-""), {Data_Validation!$F$16:$F$29, Data_Validation!$E$16:$E$29}, 2, FALSE), """"))
"),"Colorful Tech")</f>
        <v>Colorful Tech</v>
      </c>
      <c r="B624" s="265" t="s">
        <v>2393</v>
      </c>
      <c r="D624" s="265" t="s">
        <v>2394</v>
      </c>
      <c r="E624" s="265" t="s">
        <v>26</v>
      </c>
      <c r="F624" s="265" t="s">
        <v>41</v>
      </c>
      <c r="G624" s="265"/>
      <c r="H624" s="332">
        <v>45215.0</v>
      </c>
      <c r="I624" s="309">
        <v>1.0</v>
      </c>
      <c r="L624" s="311"/>
      <c r="M624" s="313">
        <v>45218.48810616898</v>
      </c>
      <c r="N624" s="313">
        <v>45218.49686032407</v>
      </c>
      <c r="O624" s="314"/>
      <c r="P624" s="314"/>
      <c r="Q624" s="319" t="s">
        <v>31</v>
      </c>
      <c r="R624" s="316">
        <v>0.008333333335031057</v>
      </c>
      <c r="S624" s="317" t="s">
        <v>1375</v>
      </c>
      <c r="T624" s="317">
        <v>6.02</v>
      </c>
      <c r="U624" s="317"/>
    </row>
    <row r="625" ht="20.25" hidden="1" customHeight="1" outlineLevel="1">
      <c r="A625" s="216" t="str">
        <f>IFERROR(__xludf.DUMMYFUNCTION("ARRAYFORMULA(IFERROR(VLOOKUP(REGEXEXTRACT(B625, ""-(\w+)-""), {Data_Validation!$F$16:$F$29, Data_Validation!$E$16:$E$29}, 2, FALSE), """"))
"),"Colorful Tech")</f>
        <v>Colorful Tech</v>
      </c>
      <c r="B625" s="265" t="s">
        <v>2395</v>
      </c>
      <c r="D625" s="265" t="s">
        <v>33</v>
      </c>
      <c r="E625" s="265" t="s">
        <v>26</v>
      </c>
      <c r="F625" s="265" t="s">
        <v>41</v>
      </c>
      <c r="G625" s="265"/>
      <c r="H625" s="332">
        <v>45218.0</v>
      </c>
      <c r="I625" s="309">
        <v>1.0</v>
      </c>
      <c r="L625" s="311"/>
      <c r="M625" s="313">
        <v>45218.67189744213</v>
      </c>
      <c r="N625" s="313">
        <v>45219.46105665509</v>
      </c>
      <c r="O625" s="314" t="s">
        <v>2396</v>
      </c>
      <c r="P625" s="314" t="s">
        <v>2397</v>
      </c>
      <c r="Q625" s="319" t="s">
        <v>31</v>
      </c>
      <c r="R625" s="316">
        <v>0.008333333335031057</v>
      </c>
      <c r="S625" s="317" t="s">
        <v>1375</v>
      </c>
      <c r="T625" s="317">
        <v>6.04</v>
      </c>
      <c r="U625" s="317"/>
    </row>
    <row r="626" ht="20.25" hidden="1" customHeight="1" outlineLevel="1">
      <c r="A626" s="216" t="str">
        <f>IFERROR(__xludf.DUMMYFUNCTION("ARRAYFORMULA(IFERROR(VLOOKUP(REGEXEXTRACT(B626, ""-(\w+)-""), {Data_Validation!$F$16:$F$29, Data_Validation!$E$16:$E$29}, 2, FALSE), """"))
"),"Colorful Tech")</f>
        <v>Colorful Tech</v>
      </c>
      <c r="B626" s="265" t="s">
        <v>2398</v>
      </c>
      <c r="D626" s="265" t="s">
        <v>112</v>
      </c>
      <c r="E626" s="265" t="s">
        <v>26</v>
      </c>
      <c r="F626" s="265" t="s">
        <v>48</v>
      </c>
      <c r="G626" s="265"/>
      <c r="H626" s="332">
        <v>45219.0</v>
      </c>
      <c r="I626" s="309">
        <v>1.0</v>
      </c>
      <c r="L626" s="311"/>
      <c r="M626" s="313">
        <v>45219.5001146412</v>
      </c>
      <c r="N626" s="313">
        <v>45219.506989490736</v>
      </c>
      <c r="O626" s="314"/>
      <c r="P626" s="314"/>
      <c r="Q626" s="319" t="s">
        <v>31</v>
      </c>
      <c r="R626" s="316">
        <v>0.0062499999985448085</v>
      </c>
      <c r="S626" s="317" t="s">
        <v>1375</v>
      </c>
      <c r="T626" s="317">
        <v>6.05</v>
      </c>
      <c r="U626" s="317"/>
    </row>
    <row r="627" ht="20.25" hidden="1" customHeight="1" outlineLevel="1">
      <c r="A627" s="216" t="str">
        <f>IFERROR(__xludf.DUMMYFUNCTION("ARRAYFORMULA(IFERROR(VLOOKUP(REGEXEXTRACT(B627, ""-(\w+)-""), {Data_Validation!$F$16:$F$29, Data_Validation!$E$16:$E$29}, 2, FALSE), """"))
"),"Colorful Tech")</f>
        <v>Colorful Tech</v>
      </c>
      <c r="B627" s="265" t="s">
        <v>2399</v>
      </c>
      <c r="D627" s="265" t="s">
        <v>533</v>
      </c>
      <c r="E627" s="265" t="s">
        <v>26</v>
      </c>
      <c r="F627" s="265" t="s">
        <v>41</v>
      </c>
      <c r="G627" s="265"/>
      <c r="H627" s="332">
        <v>45226.0</v>
      </c>
      <c r="I627" s="309">
        <v>1.0</v>
      </c>
      <c r="L627" s="311"/>
      <c r="M627" s="313">
        <v>45220.714946875</v>
      </c>
      <c r="N627" s="313">
        <v>45220.74906835648</v>
      </c>
      <c r="O627" s="314"/>
      <c r="P627" s="314"/>
      <c r="Q627" s="319" t="s">
        <v>31</v>
      </c>
      <c r="R627" s="316">
        <v>0.034027777779556345</v>
      </c>
      <c r="S627" s="317"/>
      <c r="T627" s="317"/>
      <c r="U627" s="317"/>
    </row>
    <row r="628" ht="20.25" hidden="1" customHeight="1" outlineLevel="1">
      <c r="A628" s="216" t="str">
        <f>IFERROR(__xludf.DUMMYFUNCTION("ARRAYFORMULA(IFERROR(VLOOKUP(REGEXEXTRACT(B628, ""-(\w+)-""), {Data_Validation!$F$16:$F$29, Data_Validation!$E$16:$E$29}, 2, FALSE), """"))
"),"Colorful Tech")</f>
        <v>Colorful Tech</v>
      </c>
      <c r="B628" s="265" t="s">
        <v>2400</v>
      </c>
      <c r="D628" s="265" t="s">
        <v>40</v>
      </c>
      <c r="E628" s="265" t="s">
        <v>26</v>
      </c>
      <c r="F628" s="265" t="s">
        <v>34</v>
      </c>
      <c r="G628" s="265"/>
      <c r="H628" s="332">
        <v>45227.0</v>
      </c>
      <c r="I628" s="309">
        <v>1.0</v>
      </c>
      <c r="L628" s="311"/>
      <c r="M628" s="313">
        <v>45219.735686388885</v>
      </c>
      <c r="N628" s="313">
        <v>45232.578824502314</v>
      </c>
      <c r="O628" s="314" t="s">
        <v>2401</v>
      </c>
      <c r="P628" s="314" t="s">
        <v>2402</v>
      </c>
      <c r="Q628" s="319" t="s">
        <v>31</v>
      </c>
      <c r="R628" s="316">
        <v>0.23472222222335404</v>
      </c>
      <c r="S628" s="317" t="s">
        <v>1375</v>
      </c>
      <c r="T628" s="317">
        <v>6.07</v>
      </c>
      <c r="U628" s="317"/>
    </row>
    <row r="629" ht="20.25" hidden="1" customHeight="1" outlineLevel="1">
      <c r="A629" s="216" t="str">
        <f>IFERROR(__xludf.DUMMYFUNCTION("ARRAYFORMULA(IFERROR(VLOOKUP(REGEXEXTRACT(B629, ""-(\w+)-""), {Data_Validation!$F$16:$F$29, Data_Validation!$E$16:$E$29}, 2, FALSE), """"))
"),"Colorful Tech")</f>
        <v>Colorful Tech</v>
      </c>
      <c r="B629" s="265" t="s">
        <v>2403</v>
      </c>
      <c r="D629" s="265" t="s">
        <v>47</v>
      </c>
      <c r="E629" s="265" t="s">
        <v>26</v>
      </c>
      <c r="F629" s="265" t="s">
        <v>48</v>
      </c>
      <c r="G629" s="265"/>
      <c r="H629" s="332">
        <v>45232.0</v>
      </c>
      <c r="I629" s="309">
        <v>1.0</v>
      </c>
      <c r="L629" s="311"/>
      <c r="M629" s="313"/>
      <c r="N629" s="313"/>
      <c r="O629" s="314"/>
      <c r="P629" s="314"/>
      <c r="Q629" s="319"/>
      <c r="R629" s="316"/>
      <c r="S629" s="317" t="s">
        <v>1375</v>
      </c>
      <c r="T629" s="317">
        <v>6.08</v>
      </c>
      <c r="U629" s="317"/>
    </row>
    <row r="630" ht="20.25" customHeight="1" collapsed="1">
      <c r="A630" s="216" t="str">
        <f>IFERROR(__xludf.DUMMYFUNCTION("ARRAYFORMULA(IFERROR(VLOOKUP(REGEXEXTRACT(B630, ""-(\w+)-""), {Data_Validation!$F$16:$F$29, Data_Validation!$E$16:$E$29}, 2, FALSE), """"))
"),"Colorful Tech")</f>
        <v>Colorful Tech</v>
      </c>
      <c r="B630" s="265" t="s">
        <v>2245</v>
      </c>
      <c r="C630" s="265" t="s">
        <v>2246</v>
      </c>
      <c r="D630" s="265"/>
      <c r="E630" s="265" t="s">
        <v>21</v>
      </c>
      <c r="F630" s="265" t="s">
        <v>41</v>
      </c>
      <c r="G630" s="265" t="s">
        <v>89</v>
      </c>
      <c r="H630" s="332">
        <v>45232.0</v>
      </c>
      <c r="I630" s="308"/>
      <c r="J630" s="309">
        <v>6.0</v>
      </c>
      <c r="L630" s="311"/>
      <c r="M630" s="313">
        <v>45219.49419208334</v>
      </c>
      <c r="N630" s="313">
        <v>45220.63672016204</v>
      </c>
      <c r="O630" s="314"/>
      <c r="P630" s="314"/>
      <c r="Q630" s="319"/>
      <c r="R630" s="316">
        <v>0.03472222222262644</v>
      </c>
      <c r="S630" s="317" t="s">
        <v>1375</v>
      </c>
      <c r="T630" s="317">
        <v>9.0</v>
      </c>
      <c r="U630" s="317"/>
    </row>
    <row r="631" ht="20.25" hidden="1" customHeight="1" outlineLevel="1">
      <c r="A631" s="216" t="str">
        <f>IFERROR(__xludf.DUMMYFUNCTION("ARRAYFORMULA(IFERROR(VLOOKUP(REGEXEXTRACT(B631, ""-(\w+)-""), {Data_Validation!$F$16:$F$29, Data_Validation!$E$16:$E$29}, 2, FALSE), """"))
"),"Colorful Tech")</f>
        <v>Colorful Tech</v>
      </c>
      <c r="B631" s="265" t="s">
        <v>2247</v>
      </c>
      <c r="D631" s="265" t="s">
        <v>25</v>
      </c>
      <c r="E631" s="265" t="s">
        <v>26</v>
      </c>
      <c r="F631" s="265" t="s">
        <v>41</v>
      </c>
      <c r="G631" s="265" t="s">
        <v>2404</v>
      </c>
      <c r="H631" s="332">
        <v>45218.0</v>
      </c>
      <c r="I631" s="309">
        <v>1.0</v>
      </c>
      <c r="L631" s="311"/>
      <c r="M631" s="313">
        <v>45219.49419208334</v>
      </c>
      <c r="N631" s="313">
        <v>45219.51232149306</v>
      </c>
      <c r="O631" s="314"/>
      <c r="P631" s="314"/>
      <c r="Q631" s="319" t="s">
        <v>31</v>
      </c>
      <c r="R631" s="316">
        <v>0.018055555556202307</v>
      </c>
      <c r="S631" s="317" t="s">
        <v>1375</v>
      </c>
      <c r="T631" s="317">
        <v>9.01</v>
      </c>
      <c r="U631" s="317"/>
    </row>
    <row r="632" ht="20.25" hidden="1" customHeight="1" outlineLevel="1">
      <c r="A632" s="216" t="str">
        <f>IFERROR(__xludf.DUMMYFUNCTION("ARRAYFORMULA(IFERROR(VLOOKUP(REGEXEXTRACT(B632, ""-(\w+)-""), {Data_Validation!$F$16:$F$29, Data_Validation!$E$16:$E$29}, 2, FALSE), """"))
"),"Colorful Tech")</f>
        <v>Colorful Tech</v>
      </c>
      <c r="B632" s="265" t="s">
        <v>2249</v>
      </c>
      <c r="D632" s="265" t="s">
        <v>2250</v>
      </c>
      <c r="E632" s="265" t="s">
        <v>26</v>
      </c>
      <c r="F632" s="265" t="s">
        <v>41</v>
      </c>
      <c r="G632" s="265"/>
      <c r="H632" s="332">
        <v>45218.0</v>
      </c>
      <c r="I632" s="309">
        <v>1.0</v>
      </c>
      <c r="L632" s="311"/>
      <c r="M632" s="313">
        <v>45219.67375457176</v>
      </c>
      <c r="N632" s="313">
        <v>45220.63252667824</v>
      </c>
      <c r="O632" s="314" t="s">
        <v>2251</v>
      </c>
      <c r="P632" s="314" t="s">
        <v>2252</v>
      </c>
      <c r="Q632" s="319" t="s">
        <v>31</v>
      </c>
      <c r="R632" s="316">
        <v>0.009027777778101154</v>
      </c>
      <c r="S632" s="317" t="s">
        <v>1375</v>
      </c>
      <c r="T632" s="317">
        <v>9.02</v>
      </c>
      <c r="U632" s="317"/>
    </row>
    <row r="633" ht="20.25" hidden="1" customHeight="1" outlineLevel="1">
      <c r="A633" s="216" t="str">
        <f>IFERROR(__xludf.DUMMYFUNCTION("ARRAYFORMULA(IFERROR(VLOOKUP(REGEXEXTRACT(B633, ""-(\w+)-""), {Data_Validation!$F$16:$F$29, Data_Validation!$E$16:$E$29}, 2, FALSE), """"))
"),"Colorful Tech")</f>
        <v>Colorful Tech</v>
      </c>
      <c r="B633" s="265" t="s">
        <v>2253</v>
      </c>
      <c r="D633" s="265" t="s">
        <v>303</v>
      </c>
      <c r="E633" s="265" t="s">
        <v>26</v>
      </c>
      <c r="F633" s="265" t="s">
        <v>41</v>
      </c>
      <c r="G633" s="265"/>
      <c r="H633" s="332">
        <v>45220.0</v>
      </c>
      <c r="I633" s="309">
        <v>1.0</v>
      </c>
      <c r="L633" s="311"/>
      <c r="M633" s="313">
        <v>45220.63250386574</v>
      </c>
      <c r="N633" s="313">
        <v>45220.63672016204</v>
      </c>
      <c r="O633" s="314"/>
      <c r="P633" s="314"/>
      <c r="Q633" s="319" t="s">
        <v>31</v>
      </c>
      <c r="R633" s="316">
        <v>0.004166666665696539</v>
      </c>
      <c r="S633" s="317" t="s">
        <v>1375</v>
      </c>
      <c r="T633" s="317">
        <v>9.04</v>
      </c>
      <c r="U633" s="317"/>
    </row>
    <row r="634" ht="20.25" hidden="1" customHeight="1" outlineLevel="1">
      <c r="A634" s="216" t="str">
        <f>IFERROR(__xludf.DUMMYFUNCTION("ARRAYFORMULA(IFERROR(VLOOKUP(REGEXEXTRACT(B634, ""-(\w+)-""), {Data_Validation!$F$16:$F$29, Data_Validation!$E$16:$E$29}, 2, FALSE), """"))
"),"Colorful Tech")</f>
        <v>Colorful Tech</v>
      </c>
      <c r="B634" s="265" t="s">
        <v>2405</v>
      </c>
      <c r="D634" s="265" t="s">
        <v>112</v>
      </c>
      <c r="E634" s="265" t="s">
        <v>26</v>
      </c>
      <c r="F634" s="265" t="s">
        <v>48</v>
      </c>
      <c r="G634" s="265"/>
      <c r="H634" s="332">
        <v>45219.0</v>
      </c>
      <c r="I634" s="309">
        <v>1.0</v>
      </c>
      <c r="L634" s="311"/>
      <c r="M634" s="313">
        <v>45219.70096986111</v>
      </c>
      <c r="N634" s="313">
        <v>45219.70512052083</v>
      </c>
      <c r="O634" s="314"/>
      <c r="P634" s="314"/>
      <c r="Q634" s="319" t="s">
        <v>31</v>
      </c>
      <c r="R634" s="316">
        <v>0.003472222222626442</v>
      </c>
      <c r="S634" s="317" t="s">
        <v>1375</v>
      </c>
      <c r="T634" s="317">
        <v>9.05</v>
      </c>
      <c r="U634" s="317"/>
    </row>
    <row r="635" ht="20.25" hidden="1" customHeight="1" outlineLevel="1">
      <c r="A635" s="216" t="str">
        <f>IFERROR(__xludf.DUMMYFUNCTION("ARRAYFORMULA(IFERROR(VLOOKUP(REGEXEXTRACT(B635, ""-(\w+)-""), {Data_Validation!$F$16:$F$29, Data_Validation!$E$16:$E$29}, 2, FALSE), """"))
"),"Colorful Tech")</f>
        <v>Colorful Tech</v>
      </c>
      <c r="B635" s="265" t="s">
        <v>2406</v>
      </c>
      <c r="D635" s="265" t="s">
        <v>40</v>
      </c>
      <c r="E635" s="265" t="s">
        <v>26</v>
      </c>
      <c r="F635" s="265" t="s">
        <v>236</v>
      </c>
      <c r="G635" s="265" t="s">
        <v>237</v>
      </c>
      <c r="H635" s="332">
        <v>45228.0</v>
      </c>
      <c r="I635" s="309">
        <v>1.0</v>
      </c>
      <c r="L635" s="311"/>
      <c r="M635" s="313"/>
      <c r="N635" s="313"/>
      <c r="O635" s="314"/>
      <c r="P635" s="314"/>
      <c r="Q635" s="319"/>
      <c r="R635" s="316"/>
      <c r="S635" s="317" t="s">
        <v>1375</v>
      </c>
      <c r="T635" s="317">
        <v>9.06</v>
      </c>
      <c r="U635" s="317"/>
    </row>
    <row r="636" ht="20.25" hidden="1" customHeight="1" outlineLevel="1">
      <c r="A636" s="216" t="str">
        <f>IFERROR(__xludf.DUMMYFUNCTION("ARRAYFORMULA(IFERROR(VLOOKUP(REGEXEXTRACT(B636, ""-(\w+)-""), {Data_Validation!$F$16:$F$29, Data_Validation!$E$16:$E$29}, 2, FALSE), """"))
"),"Colorful Tech")</f>
        <v>Colorful Tech</v>
      </c>
      <c r="B636" s="265" t="s">
        <v>2407</v>
      </c>
      <c r="D636" s="265" t="s">
        <v>47</v>
      </c>
      <c r="E636" s="265" t="s">
        <v>26</v>
      </c>
      <c r="F636" s="265" t="s">
        <v>48</v>
      </c>
      <c r="G636" s="265"/>
      <c r="H636" s="332">
        <v>45232.0</v>
      </c>
      <c r="I636" s="309">
        <v>1.0</v>
      </c>
      <c r="L636" s="311"/>
      <c r="M636" s="313"/>
      <c r="N636" s="313"/>
      <c r="O636" s="314"/>
      <c r="P636" s="314"/>
      <c r="Q636" s="319"/>
      <c r="R636" s="316"/>
      <c r="S636" s="317" t="s">
        <v>1375</v>
      </c>
      <c r="T636" s="317">
        <v>9.07</v>
      </c>
      <c r="U636" s="317"/>
    </row>
    <row r="637" ht="20.25" customHeight="1" collapsed="1">
      <c r="A637" s="216" t="str">
        <f>IFERROR(__xludf.DUMMYFUNCTION("ARRAYFORMULA(IFERROR(VLOOKUP(REGEXEXTRACT(B637, ""-(\w+)-""), {Data_Validation!$F$16:$F$29, Data_Validation!$E$16:$E$29}, 2, FALSE), """"))
"),"Inno3D")</f>
        <v>Inno3D</v>
      </c>
      <c r="B637" s="265" t="s">
        <v>869</v>
      </c>
      <c r="C637" s="265" t="s">
        <v>870</v>
      </c>
      <c r="D637" s="265"/>
      <c r="E637" s="265" t="s">
        <v>21</v>
      </c>
      <c r="F637" s="265" t="s">
        <v>41</v>
      </c>
      <c r="G637" s="265" t="s">
        <v>89</v>
      </c>
      <c r="H637" s="332">
        <v>45232.0</v>
      </c>
      <c r="I637" s="308"/>
      <c r="J637" s="309">
        <v>2.0</v>
      </c>
      <c r="L637" s="311"/>
      <c r="M637" s="313">
        <v>45232.48611703704</v>
      </c>
      <c r="N637" s="313">
        <v>45233.47311851852</v>
      </c>
      <c r="O637" s="314"/>
      <c r="P637" s="314"/>
      <c r="Q637" s="319"/>
      <c r="R637" s="316">
        <v>0.004861111112404615</v>
      </c>
      <c r="S637" s="317" t="s">
        <v>1394</v>
      </c>
      <c r="T637" s="317">
        <v>19.0</v>
      </c>
      <c r="U637" s="317"/>
    </row>
    <row r="638" ht="20.25" hidden="1" customHeight="1" outlineLevel="1">
      <c r="A638" s="216" t="str">
        <f>IFERROR(__xludf.DUMMYFUNCTION("ARRAYFORMULA(IFERROR(VLOOKUP(REGEXEXTRACT(B638, ""-(\w+)-""), {Data_Validation!$F$16:$F$29, Data_Validation!$E$16:$E$29}, 2, FALSE), """"))
"),"Inno3D")</f>
        <v>Inno3D</v>
      </c>
      <c r="B638" s="265" t="s">
        <v>871</v>
      </c>
      <c r="D638" s="265" t="s">
        <v>40</v>
      </c>
      <c r="E638" s="265" t="s">
        <v>26</v>
      </c>
      <c r="F638" s="265" t="s">
        <v>41</v>
      </c>
      <c r="G638" s="265"/>
      <c r="H638" s="332">
        <v>45232.0</v>
      </c>
      <c r="I638" s="309">
        <v>1.0</v>
      </c>
      <c r="L638" s="311"/>
      <c r="M638" s="313">
        <v>45232.48611703704</v>
      </c>
      <c r="N638" s="313">
        <v>45233.47311851852</v>
      </c>
      <c r="O638" s="314" t="s">
        <v>872</v>
      </c>
      <c r="P638" s="314" t="s">
        <v>873</v>
      </c>
      <c r="Q638" s="319" t="s">
        <v>31</v>
      </c>
      <c r="R638" s="316">
        <v>0.004861111112404615</v>
      </c>
      <c r="S638" s="317"/>
      <c r="T638" s="317"/>
      <c r="U638" s="317"/>
    </row>
    <row r="639" ht="20.25" hidden="1" customHeight="1" outlineLevel="1">
      <c r="A639" s="216" t="str">
        <f>IFERROR(__xludf.DUMMYFUNCTION("ARRAYFORMULA(IFERROR(VLOOKUP(REGEXEXTRACT(B639, ""-(\w+)-""), {Data_Validation!$F$16:$F$29, Data_Validation!$E$16:$E$29}, 2, FALSE), """"))
"),"Inno3D")</f>
        <v>Inno3D</v>
      </c>
      <c r="B639" s="265" t="s">
        <v>874</v>
      </c>
      <c r="D639" s="265" t="s">
        <v>47</v>
      </c>
      <c r="E639" s="265" t="s">
        <v>26</v>
      </c>
      <c r="F639" s="265"/>
      <c r="G639" s="265"/>
      <c r="H639" s="332">
        <v>45232.0</v>
      </c>
      <c r="I639" s="309">
        <v>1.0</v>
      </c>
      <c r="L639" s="311"/>
      <c r="M639" s="313"/>
      <c r="N639" s="313"/>
      <c r="O639" s="314"/>
      <c r="P639" s="314"/>
      <c r="Q639" s="319"/>
      <c r="R639" s="316"/>
      <c r="S639" s="317"/>
      <c r="T639" s="317"/>
      <c r="U639" s="317"/>
    </row>
    <row r="640" ht="20.25" customHeight="1" collapsed="1">
      <c r="A640" s="216" t="str">
        <f>IFERROR(__xludf.DUMMYFUNCTION("ARRAYFORMULA(IFERROR(VLOOKUP(REGEXEXTRACT(B640, ""-(\w+)-""), {Data_Validation!$F$16:$F$29, Data_Validation!$E$16:$E$29}, 2, FALSE), """"))
"),"TheMVP")</f>
        <v>TheMVP</v>
      </c>
      <c r="B640" s="265" t="s">
        <v>19</v>
      </c>
      <c r="C640" s="265" t="s">
        <v>20</v>
      </c>
      <c r="D640" s="265"/>
      <c r="E640" s="265" t="s">
        <v>21</v>
      </c>
      <c r="F640" s="265" t="s">
        <v>27</v>
      </c>
      <c r="G640" s="265" t="s">
        <v>23</v>
      </c>
      <c r="H640" s="332">
        <v>45232.0</v>
      </c>
      <c r="I640" s="308"/>
      <c r="J640" s="309">
        <v>6.0</v>
      </c>
      <c r="L640" s="311"/>
      <c r="M640" s="313">
        <v>45219.484792627314</v>
      </c>
      <c r="N640" s="313">
        <v>45233.6984269213</v>
      </c>
      <c r="O640" s="314"/>
      <c r="P640" s="314"/>
      <c r="Q640" s="319"/>
      <c r="R640" s="316">
        <v>0.25833333333503106</v>
      </c>
      <c r="S640" s="317" t="s">
        <v>1368</v>
      </c>
      <c r="T640" s="317">
        <v>36.0</v>
      </c>
      <c r="U640" s="317"/>
    </row>
    <row r="641" ht="20.25" hidden="1" customHeight="1" outlineLevel="1">
      <c r="A641" s="216" t="str">
        <f>IFERROR(__xludf.DUMMYFUNCTION("ARRAYFORMULA(IFERROR(VLOOKUP(REGEXEXTRACT(B641, ""-(\w+)-""), {Data_Validation!$F$16:$F$29, Data_Validation!$E$16:$E$29}, 2, FALSE), """"))
"),"TheMVP")</f>
        <v>TheMVP</v>
      </c>
      <c r="B641" s="265" t="s">
        <v>24</v>
      </c>
      <c r="D641" s="265" t="s">
        <v>25</v>
      </c>
      <c r="E641" s="265" t="s">
        <v>26</v>
      </c>
      <c r="F641" s="265" t="s">
        <v>27</v>
      </c>
      <c r="G641" s="265" t="s">
        <v>28</v>
      </c>
      <c r="H641" s="332">
        <v>45218.0</v>
      </c>
      <c r="I641" s="309">
        <v>1.0</v>
      </c>
      <c r="L641" s="311"/>
      <c r="M641" s="313">
        <v>45219.484792627314</v>
      </c>
      <c r="N641" s="313">
        <v>45226.42315495371</v>
      </c>
      <c r="O641" s="314" t="s">
        <v>29</v>
      </c>
      <c r="P641" s="314" t="s">
        <v>30</v>
      </c>
      <c r="Q641" s="319" t="s">
        <v>31</v>
      </c>
      <c r="R641" s="316">
        <v>0.05138888888905058</v>
      </c>
      <c r="S641" s="317" t="s">
        <v>1368</v>
      </c>
      <c r="T641" s="317">
        <v>36.01</v>
      </c>
      <c r="U641" s="317"/>
    </row>
    <row r="642" ht="20.25" hidden="1" customHeight="1" outlineLevel="1">
      <c r="A642" s="216" t="str">
        <f>IFERROR(__xludf.DUMMYFUNCTION("ARRAYFORMULA(IFERROR(VLOOKUP(REGEXEXTRACT(B642, ""-(\w+)-""), {Data_Validation!$F$16:$F$29, Data_Validation!$E$16:$E$29}, 2, FALSE), """"))
"),"TheMVP")</f>
        <v>TheMVP</v>
      </c>
      <c r="B642" s="265" t="s">
        <v>32</v>
      </c>
      <c r="D642" s="265" t="s">
        <v>33</v>
      </c>
      <c r="E642" s="265" t="s">
        <v>26</v>
      </c>
      <c r="F642" s="265" t="s">
        <v>34</v>
      </c>
      <c r="G642" s="265"/>
      <c r="H642" s="332">
        <v>45226.0</v>
      </c>
      <c r="I642" s="309">
        <v>1.0</v>
      </c>
      <c r="L642" s="311"/>
      <c r="M642" s="313">
        <v>45231.580580787035</v>
      </c>
      <c r="N642" s="313">
        <v>45232.79792795139</v>
      </c>
      <c r="O642" s="314" t="s">
        <v>35</v>
      </c>
      <c r="P642" s="314" t="s">
        <v>36</v>
      </c>
      <c r="Q642" s="319" t="s">
        <v>31</v>
      </c>
      <c r="R642" s="316">
        <v>0.04444444444379769</v>
      </c>
      <c r="S642" s="317" t="s">
        <v>1368</v>
      </c>
      <c r="T642" s="317">
        <v>36.02</v>
      </c>
      <c r="U642" s="317"/>
    </row>
    <row r="643" ht="20.25" hidden="1" customHeight="1" outlineLevel="1">
      <c r="A643" s="216" t="str">
        <f>IFERROR(__xludf.DUMMYFUNCTION("ARRAYFORMULA(IFERROR(VLOOKUP(REGEXEXTRACT(B643, ""-(\w+)-""), {Data_Validation!$F$16:$F$29, Data_Validation!$E$16:$E$29}, 2, FALSE), """"))
"),"TheMVP")</f>
        <v>TheMVP</v>
      </c>
      <c r="B643" s="265" t="s">
        <v>37</v>
      </c>
      <c r="D643" s="265" t="s">
        <v>38</v>
      </c>
      <c r="E643" s="265" t="s">
        <v>26</v>
      </c>
      <c r="F643" s="265" t="s">
        <v>22</v>
      </c>
      <c r="G643" s="265"/>
      <c r="H643" s="332">
        <v>45226.0</v>
      </c>
      <c r="I643" s="309">
        <v>1.0</v>
      </c>
      <c r="L643" s="311"/>
      <c r="M643" s="313"/>
      <c r="N643" s="313"/>
      <c r="O643" s="314"/>
      <c r="P643" s="314"/>
      <c r="Q643" s="319"/>
      <c r="R643" s="316"/>
      <c r="S643" s="317" t="s">
        <v>1368</v>
      </c>
      <c r="T643" s="317">
        <v>36.04</v>
      </c>
      <c r="U643" s="317"/>
    </row>
    <row r="644" ht="20.25" hidden="1" customHeight="1" outlineLevel="1">
      <c r="A644" s="216" t="str">
        <f>IFERROR(__xludf.DUMMYFUNCTION("ARRAYFORMULA(IFERROR(VLOOKUP(REGEXEXTRACT(B644, ""-(\w+)-""), {Data_Validation!$F$16:$F$29, Data_Validation!$E$16:$E$29}, 2, FALSE), """"))
"),"TheMVP")</f>
        <v>TheMVP</v>
      </c>
      <c r="B644" s="265" t="s">
        <v>39</v>
      </c>
      <c r="D644" s="265" t="s">
        <v>40</v>
      </c>
      <c r="E644" s="265" t="s">
        <v>26</v>
      </c>
      <c r="F644" s="265" t="s">
        <v>41</v>
      </c>
      <c r="G644" s="265"/>
      <c r="H644" s="332">
        <v>45226.0</v>
      </c>
      <c r="I644" s="309">
        <v>1.0</v>
      </c>
      <c r="L644" s="311"/>
      <c r="M644" s="313">
        <v>45232.51010767361</v>
      </c>
      <c r="N644" s="313">
        <v>45232.791360717594</v>
      </c>
      <c r="O644" s="314" t="s">
        <v>42</v>
      </c>
      <c r="P644" s="314" t="s">
        <v>43</v>
      </c>
      <c r="Q644" s="319" t="s">
        <v>31</v>
      </c>
      <c r="R644" s="316">
        <v>0.15208333333430346</v>
      </c>
      <c r="S644" s="317" t="s">
        <v>1368</v>
      </c>
      <c r="T644" s="317">
        <v>36.05</v>
      </c>
      <c r="U644" s="317"/>
    </row>
    <row r="645" ht="20.25" hidden="1" customHeight="1" outlineLevel="1">
      <c r="A645" s="216" t="str">
        <f>IFERROR(__xludf.DUMMYFUNCTION("ARRAYFORMULA(IFERROR(VLOOKUP(REGEXEXTRACT(B645, ""-(\w+)-""), {Data_Validation!$F$16:$F$29, Data_Validation!$E$16:$E$29}, 2, FALSE), """"))
"),"TheMVP")</f>
        <v>TheMVP</v>
      </c>
      <c r="B645" s="265" t="s">
        <v>44</v>
      </c>
      <c r="D645" s="265" t="s">
        <v>45</v>
      </c>
      <c r="E645" s="265" t="s">
        <v>26</v>
      </c>
      <c r="F645" s="265" t="s">
        <v>41</v>
      </c>
      <c r="G645" s="265"/>
      <c r="H645" s="332">
        <v>45231.0</v>
      </c>
      <c r="I645" s="309">
        <v>1.0</v>
      </c>
      <c r="L645" s="311"/>
      <c r="M645" s="313">
        <v>45233.69032517361</v>
      </c>
      <c r="N645" s="313">
        <v>45233.6984269213</v>
      </c>
      <c r="O645" s="314"/>
      <c r="P645" s="314"/>
      <c r="Q645" s="319" t="s">
        <v>31</v>
      </c>
      <c r="R645" s="316">
        <v>0.007638888888322981</v>
      </c>
      <c r="S645" s="317" t="s">
        <v>1368</v>
      </c>
      <c r="T645" s="317">
        <v>36.06</v>
      </c>
      <c r="U645" s="317"/>
    </row>
    <row r="646" ht="20.25" hidden="1" customHeight="1" outlineLevel="1">
      <c r="A646" s="216" t="str">
        <f>IFERROR(__xludf.DUMMYFUNCTION("ARRAYFORMULA(IFERROR(VLOOKUP(REGEXEXTRACT(B646, ""-(\w+)-""), {Data_Validation!$F$16:$F$29, Data_Validation!$E$16:$E$29}, 2, FALSE), """"))
"),"TheMVP")</f>
        <v>TheMVP</v>
      </c>
      <c r="B646" s="265" t="s">
        <v>46</v>
      </c>
      <c r="D646" s="265" t="s">
        <v>47</v>
      </c>
      <c r="E646" s="265" t="s">
        <v>26</v>
      </c>
      <c r="F646" s="265" t="s">
        <v>48</v>
      </c>
      <c r="G646" s="265"/>
      <c r="H646" s="332">
        <v>45232.0</v>
      </c>
      <c r="I646" s="309">
        <v>1.0</v>
      </c>
      <c r="L646" s="311"/>
      <c r="M646" s="313">
        <v>45232.79952825232</v>
      </c>
      <c r="N646" s="313">
        <v>45232.80232870371</v>
      </c>
      <c r="O646" s="314"/>
      <c r="P646" s="314"/>
      <c r="Q646" s="319" t="s">
        <v>31</v>
      </c>
      <c r="R646" s="316">
        <v>0.002777777779556345</v>
      </c>
      <c r="S646" s="317" t="s">
        <v>1368</v>
      </c>
      <c r="T646" s="317">
        <v>36.07</v>
      </c>
      <c r="U646" s="317"/>
    </row>
    <row r="647" ht="20.25" customHeight="1" collapsed="1">
      <c r="A647" s="216" t="str">
        <f>IFERROR(__xludf.DUMMYFUNCTION("ARRAYFORMULA(IFERROR(VLOOKUP(REGEXEXTRACT(B647, ""-(\w+)-""), {Data_Validation!$F$16:$F$29, Data_Validation!$E$16:$E$29}, 2, FALSE), """"))
"),"TheMVP")</f>
        <v>TheMVP</v>
      </c>
      <c r="B647" s="265" t="s">
        <v>60</v>
      </c>
      <c r="C647" s="265" t="s">
        <v>61</v>
      </c>
      <c r="D647" s="265"/>
      <c r="E647" s="265" t="s">
        <v>62</v>
      </c>
      <c r="F647" s="265" t="s">
        <v>27</v>
      </c>
      <c r="G647" s="265" t="s">
        <v>63</v>
      </c>
      <c r="H647" s="332">
        <v>45233.0</v>
      </c>
      <c r="I647" s="308"/>
      <c r="J647" s="309">
        <v>6.0</v>
      </c>
      <c r="L647" s="311"/>
      <c r="M647" s="313">
        <v>45217.46561575231</v>
      </c>
      <c r="N647" s="313">
        <v>45233.94944568287</v>
      </c>
      <c r="O647" s="314"/>
      <c r="P647" s="314"/>
      <c r="Q647" s="319"/>
      <c r="R647" s="316">
        <v>0.445138888888323</v>
      </c>
      <c r="S647" s="317" t="s">
        <v>1368</v>
      </c>
      <c r="T647" s="317">
        <v>67.0</v>
      </c>
      <c r="U647" s="317"/>
    </row>
    <row r="648" ht="20.25" hidden="1" customHeight="1" outlineLevel="1">
      <c r="A648" s="216" t="str">
        <f>IFERROR(__xludf.DUMMYFUNCTION("ARRAYFORMULA(IFERROR(VLOOKUP(REGEXEXTRACT(B648, ""-(\w+)-""), {Data_Validation!$F$16:$F$29, Data_Validation!$E$16:$E$29}, 2, FALSE), """"))
"),"TheMVP")</f>
        <v>TheMVP</v>
      </c>
      <c r="B648" s="265" t="s">
        <v>64</v>
      </c>
      <c r="D648" s="265" t="s">
        <v>25</v>
      </c>
      <c r="E648" s="265" t="s">
        <v>26</v>
      </c>
      <c r="F648" s="265" t="s">
        <v>27</v>
      </c>
      <c r="G648" s="265" t="s">
        <v>61</v>
      </c>
      <c r="H648" s="332">
        <v>45200.0</v>
      </c>
      <c r="I648" s="309">
        <v>1.0</v>
      </c>
      <c r="L648" s="311"/>
      <c r="M648" s="313"/>
      <c r="N648" s="313"/>
      <c r="O648" s="314"/>
      <c r="P648" s="314"/>
      <c r="Q648" s="319"/>
      <c r="R648" s="316"/>
      <c r="S648" s="317" t="s">
        <v>1368</v>
      </c>
      <c r="T648" s="317">
        <v>67.01</v>
      </c>
      <c r="U648" s="317"/>
    </row>
    <row r="649" ht="20.25" hidden="1" customHeight="1" outlineLevel="1">
      <c r="A649" s="216" t="str">
        <f>IFERROR(__xludf.DUMMYFUNCTION("ARRAYFORMULA(IFERROR(VLOOKUP(REGEXEXTRACT(B649, ""-(\w+)-""), {Data_Validation!$F$16:$F$29, Data_Validation!$E$16:$E$29}, 2, FALSE), """"))
"),"TheMVP")</f>
        <v>TheMVP</v>
      </c>
      <c r="B649" s="265" t="s">
        <v>65</v>
      </c>
      <c r="D649" s="265" t="s">
        <v>33</v>
      </c>
      <c r="E649" s="265" t="s">
        <v>26</v>
      </c>
      <c r="F649" s="265" t="s">
        <v>34</v>
      </c>
      <c r="G649" s="265"/>
      <c r="H649" s="332">
        <v>45217.0</v>
      </c>
      <c r="I649" s="309">
        <v>1.0</v>
      </c>
      <c r="L649" s="311"/>
      <c r="M649" s="313"/>
      <c r="N649" s="313"/>
      <c r="O649" s="314"/>
      <c r="P649" s="314"/>
      <c r="Q649" s="319"/>
      <c r="R649" s="316"/>
      <c r="S649" s="317" t="s">
        <v>1368</v>
      </c>
      <c r="T649" s="317">
        <v>67.02</v>
      </c>
      <c r="U649" s="317"/>
    </row>
    <row r="650" ht="20.25" hidden="1" customHeight="1" outlineLevel="1">
      <c r="A650" s="216" t="str">
        <f>IFERROR(__xludf.DUMMYFUNCTION("ARRAYFORMULA(IFERROR(VLOOKUP(REGEXEXTRACT(B650, ""-(\w+)-""), {Data_Validation!$F$16:$F$29, Data_Validation!$E$16:$E$29}, 2, FALSE), """"))
"),"TheMVP")</f>
        <v>TheMVP</v>
      </c>
      <c r="B650" s="265" t="s">
        <v>66</v>
      </c>
      <c r="D650" s="265" t="s">
        <v>67</v>
      </c>
      <c r="E650" s="265" t="s">
        <v>26</v>
      </c>
      <c r="F650" s="265" t="s">
        <v>27</v>
      </c>
      <c r="G650" s="265"/>
      <c r="H650" s="332">
        <v>45220.0</v>
      </c>
      <c r="I650" s="309">
        <v>1.0</v>
      </c>
      <c r="L650" s="311"/>
      <c r="M650" s="313">
        <v>45217.46561575231</v>
      </c>
      <c r="N650" s="313">
        <v>45225.91056993055</v>
      </c>
      <c r="O650" s="314" t="s">
        <v>68</v>
      </c>
      <c r="P650" s="314" t="s">
        <v>69</v>
      </c>
      <c r="Q650" s="319" t="s">
        <v>31</v>
      </c>
      <c r="R650" s="316">
        <v>0.02500000000145519</v>
      </c>
      <c r="S650" s="317" t="s">
        <v>1368</v>
      </c>
      <c r="T650" s="317">
        <v>67.04</v>
      </c>
      <c r="U650" s="317"/>
    </row>
    <row r="651" ht="20.25" hidden="1" customHeight="1" outlineLevel="1">
      <c r="A651" s="216" t="str">
        <f>IFERROR(__xludf.DUMMYFUNCTION("ARRAYFORMULA(IFERROR(VLOOKUP(REGEXEXTRACT(B651, ""-(\w+)-""), {Data_Validation!$F$16:$F$29, Data_Validation!$E$16:$E$29}, 2, FALSE), """"))
"),"TheMVP")</f>
        <v>TheMVP</v>
      </c>
      <c r="B651" s="265" t="s">
        <v>70</v>
      </c>
      <c r="D651" s="265" t="s">
        <v>40</v>
      </c>
      <c r="E651" s="265" t="s">
        <v>26</v>
      </c>
      <c r="F651" s="265" t="s">
        <v>71</v>
      </c>
      <c r="G651" s="265"/>
      <c r="H651" s="332">
        <v>45232.0</v>
      </c>
      <c r="I651" s="309">
        <v>1.0</v>
      </c>
      <c r="L651" s="311"/>
      <c r="M651" s="313">
        <v>45233.41666666667</v>
      </c>
      <c r="N651" s="313">
        <v>45233.77895825231</v>
      </c>
      <c r="O651" s="314" t="s">
        <v>72</v>
      </c>
      <c r="P651" s="314" t="s">
        <v>73</v>
      </c>
      <c r="Q651" s="319" t="s">
        <v>31</v>
      </c>
      <c r="R651" s="316">
        <v>0.3618055555562023</v>
      </c>
      <c r="S651" s="317" t="s">
        <v>1368</v>
      </c>
      <c r="T651" s="317">
        <v>67.05</v>
      </c>
      <c r="U651" s="317"/>
    </row>
    <row r="652" ht="20.25" hidden="1" customHeight="1" outlineLevel="1">
      <c r="A652" s="216" t="str">
        <f>IFERROR(__xludf.DUMMYFUNCTION("ARRAYFORMULA(IFERROR(VLOOKUP(REGEXEXTRACT(B652, ""-(\w+)-""), {Data_Validation!$F$16:$F$29, Data_Validation!$E$16:$E$29}, 2, FALSE), """"))
"),"TheMVP")</f>
        <v>TheMVP</v>
      </c>
      <c r="B652" s="265" t="s">
        <v>74</v>
      </c>
      <c r="D652" s="265" t="s">
        <v>45</v>
      </c>
      <c r="E652" s="265" t="s">
        <v>26</v>
      </c>
      <c r="F652" s="265" t="s">
        <v>22</v>
      </c>
      <c r="G652" s="265"/>
      <c r="H652" s="332">
        <v>45233.0</v>
      </c>
      <c r="I652" s="309">
        <v>1.0</v>
      </c>
      <c r="L652" s="311"/>
      <c r="M652" s="313">
        <v>45233.891048935184</v>
      </c>
      <c r="N652" s="313">
        <v>45233.94944568287</v>
      </c>
      <c r="O652" s="314"/>
      <c r="P652" s="314"/>
      <c r="Q652" s="319" t="s">
        <v>31</v>
      </c>
      <c r="R652" s="316">
        <v>0.05833333333430346</v>
      </c>
      <c r="S652" s="317" t="s">
        <v>1368</v>
      </c>
      <c r="T652" s="317">
        <v>67.06</v>
      </c>
      <c r="U652" s="317"/>
    </row>
    <row r="653" ht="20.25" hidden="1" customHeight="1" outlineLevel="1">
      <c r="A653" s="216" t="str">
        <f>IFERROR(__xludf.DUMMYFUNCTION("ARRAYFORMULA(IFERROR(VLOOKUP(REGEXEXTRACT(B653, ""-(\w+)-""), {Data_Validation!$F$16:$F$29, Data_Validation!$E$16:$E$29}, 2, FALSE), """"))
"),"TheMVP")</f>
        <v>TheMVP</v>
      </c>
      <c r="B653" s="265" t="s">
        <v>75</v>
      </c>
      <c r="D653" s="265" t="s">
        <v>47</v>
      </c>
      <c r="E653" s="265" t="s">
        <v>26</v>
      </c>
      <c r="F653" s="265" t="s">
        <v>48</v>
      </c>
      <c r="G653" s="265"/>
      <c r="H653" s="332">
        <v>45233.0</v>
      </c>
      <c r="I653" s="309">
        <v>1.0</v>
      </c>
      <c r="L653" s="311"/>
      <c r="M653" s="313"/>
      <c r="N653" s="313"/>
      <c r="O653" s="314"/>
      <c r="P653" s="314"/>
      <c r="Q653" s="319"/>
      <c r="R653" s="316"/>
      <c r="S653" s="317" t="s">
        <v>1368</v>
      </c>
      <c r="T653" s="317">
        <v>67.07</v>
      </c>
      <c r="U653" s="317"/>
    </row>
    <row r="654" ht="20.25" customHeight="1" collapsed="1">
      <c r="A654" s="216" t="str">
        <f>IFERROR(__xludf.DUMMYFUNCTION("ARRAYFORMULA(IFERROR(VLOOKUP(REGEXEXTRACT(B654, ""-(\w+)-""), {Data_Validation!$F$16:$F$29, Data_Validation!$E$16:$E$29}, 2, FALSE), """"))
"),"TheMVP")</f>
        <v>TheMVP</v>
      </c>
      <c r="B654" s="265" t="s">
        <v>49</v>
      </c>
      <c r="C654" s="265" t="s">
        <v>50</v>
      </c>
      <c r="D654" s="265"/>
      <c r="E654" s="265" t="s">
        <v>51</v>
      </c>
      <c r="F654" s="265" t="s">
        <v>22</v>
      </c>
      <c r="G654" s="265" t="s">
        <v>23</v>
      </c>
      <c r="H654" s="332">
        <v>45233.0</v>
      </c>
      <c r="I654" s="308"/>
      <c r="J654" s="309">
        <v>4.0</v>
      </c>
      <c r="L654" s="311"/>
      <c r="M654" s="313">
        <v>45233.39232832176</v>
      </c>
      <c r="N654" s="313">
        <v>45233.966700219906</v>
      </c>
      <c r="O654" s="314"/>
      <c r="P654" s="314"/>
      <c r="Q654" s="319"/>
      <c r="R654" s="316">
        <v>0.22222222222262644</v>
      </c>
      <c r="S654" s="317" t="s">
        <v>1368</v>
      </c>
      <c r="T654" s="317">
        <v>80.0</v>
      </c>
      <c r="U654" s="317"/>
    </row>
    <row r="655" ht="20.25" hidden="1" customHeight="1" outlineLevel="1">
      <c r="A655" s="216" t="str">
        <f>IFERROR(__xludf.DUMMYFUNCTION("ARRAYFORMULA(IFERROR(VLOOKUP(REGEXEXTRACT(B655, ""-(\w+)-""), {Data_Validation!$F$16:$F$29, Data_Validation!$E$16:$E$29}, 2, FALSE), """"))
"),"TheMVP")</f>
        <v>TheMVP</v>
      </c>
      <c r="B655" s="265" t="s">
        <v>52</v>
      </c>
      <c r="D655" s="265" t="s">
        <v>25</v>
      </c>
      <c r="E655" s="265" t="s">
        <v>26</v>
      </c>
      <c r="F655" s="265" t="s">
        <v>41</v>
      </c>
      <c r="G655" s="265"/>
      <c r="H655" s="332">
        <v>45229.42030625</v>
      </c>
      <c r="I655" s="309">
        <v>1.0</v>
      </c>
      <c r="L655" s="311"/>
      <c r="M655" s="313">
        <v>45233.47761101852</v>
      </c>
      <c r="N655" s="313">
        <v>45233.94952525463</v>
      </c>
      <c r="O655" s="314" t="s">
        <v>53</v>
      </c>
      <c r="P655" s="314" t="s">
        <v>54</v>
      </c>
      <c r="Q655" s="319" t="s">
        <v>31</v>
      </c>
      <c r="R655" s="316">
        <v>0.13888888889050577</v>
      </c>
      <c r="S655" s="317" t="s">
        <v>1368</v>
      </c>
      <c r="T655" s="317">
        <v>80.01</v>
      </c>
      <c r="U655" s="317"/>
    </row>
    <row r="656" ht="20.25" hidden="1" customHeight="1" outlineLevel="1">
      <c r="A656" s="216" t="str">
        <f>IFERROR(__xludf.DUMMYFUNCTION("ARRAYFORMULA(IFERROR(VLOOKUP(REGEXEXTRACT(B656, ""-(\w+)-""), {Data_Validation!$F$16:$F$29, Data_Validation!$E$16:$E$29}, 2, FALSE), """"))
"),"TheMVP")</f>
        <v>TheMVP</v>
      </c>
      <c r="B656" s="265" t="s">
        <v>55</v>
      </c>
      <c r="D656" s="265" t="s">
        <v>33</v>
      </c>
      <c r="E656" s="265" t="s">
        <v>26</v>
      </c>
      <c r="F656" s="265" t="s">
        <v>41</v>
      </c>
      <c r="G656" s="265"/>
      <c r="H656" s="332">
        <v>45231.42030625</v>
      </c>
      <c r="I656" s="309">
        <v>1.0</v>
      </c>
      <c r="L656" s="311"/>
      <c r="M656" s="313"/>
      <c r="N656" s="313"/>
      <c r="O656" s="314"/>
      <c r="P656" s="314"/>
      <c r="Q656" s="319"/>
      <c r="R656" s="316"/>
      <c r="S656" s="317" t="s">
        <v>1368</v>
      </c>
      <c r="T656" s="317">
        <v>80.02</v>
      </c>
      <c r="U656" s="317"/>
    </row>
    <row r="657" ht="20.25" hidden="1" customHeight="1" outlineLevel="1">
      <c r="A657" s="216" t="str">
        <f>IFERROR(__xludf.DUMMYFUNCTION("ARRAYFORMULA(IFERROR(VLOOKUP(REGEXEXTRACT(B657, ""-(\w+)-""), {Data_Validation!$F$16:$F$29, Data_Validation!$E$16:$E$29}, 2, FALSE), """"))
"),"TheMVP")</f>
        <v>TheMVP</v>
      </c>
      <c r="B657" s="265" t="s">
        <v>56</v>
      </c>
      <c r="D657" s="265" t="s">
        <v>40</v>
      </c>
      <c r="E657" s="265" t="s">
        <v>26</v>
      </c>
      <c r="F657" s="265" t="s">
        <v>41</v>
      </c>
      <c r="G657" s="265"/>
      <c r="H657" s="332">
        <v>45231.0</v>
      </c>
      <c r="I657" s="309">
        <v>1.0</v>
      </c>
      <c r="L657" s="311"/>
      <c r="M657" s="313">
        <v>45233.39232832176</v>
      </c>
      <c r="N657" s="313">
        <v>45233.94956055556</v>
      </c>
      <c r="O657" s="314" t="s">
        <v>57</v>
      </c>
      <c r="P657" s="314" t="s">
        <v>58</v>
      </c>
      <c r="Q657" s="319" t="s">
        <v>31</v>
      </c>
      <c r="R657" s="316">
        <v>0.06666666666569654</v>
      </c>
      <c r="S657" s="317" t="s">
        <v>1368</v>
      </c>
      <c r="T657" s="317">
        <v>80.03</v>
      </c>
      <c r="U657" s="317"/>
    </row>
    <row r="658" ht="20.25" hidden="1" customHeight="1" outlineLevel="1">
      <c r="A658" s="216" t="str">
        <f>IFERROR(__xludf.DUMMYFUNCTION("ARRAYFORMULA(IFERROR(VLOOKUP(REGEXEXTRACT(B658, ""-(\w+)-""), {Data_Validation!$F$16:$F$29, Data_Validation!$E$16:$E$29}, 2, FALSE), """"))
"),"TheMVP")</f>
        <v>TheMVP</v>
      </c>
      <c r="B658" s="265" t="s">
        <v>59</v>
      </c>
      <c r="D658" s="265" t="s">
        <v>47</v>
      </c>
      <c r="E658" s="265" t="s">
        <v>26</v>
      </c>
      <c r="F658" s="265" t="s">
        <v>22</v>
      </c>
      <c r="G658" s="265"/>
      <c r="H658" s="332">
        <v>45233.0</v>
      </c>
      <c r="I658" s="309">
        <v>1.0</v>
      </c>
      <c r="L658" s="311"/>
      <c r="M658" s="313">
        <v>45233.94957362268</v>
      </c>
      <c r="N658" s="313">
        <v>45233.966700219906</v>
      </c>
      <c r="O658" s="314"/>
      <c r="P658" s="314"/>
      <c r="Q658" s="319" t="s">
        <v>31</v>
      </c>
      <c r="R658" s="316">
        <v>0.016666666666424135</v>
      </c>
      <c r="S658" s="317" t="s">
        <v>1368</v>
      </c>
      <c r="T658" s="317">
        <v>80.04</v>
      </c>
      <c r="U658" s="317"/>
    </row>
    <row r="659" ht="20.25" customHeight="1" collapsed="1">
      <c r="A659" s="216" t="str">
        <f>IFERROR(__xludf.DUMMYFUNCTION("ARRAYFORMULA(IFERROR(VLOOKUP(REGEXEXTRACT(B659, ""-(\w+)-""), {Data_Validation!$F$16:$F$29, Data_Validation!$E$16:$E$29}, 2, FALSE), """"))
"),"Inno3D")</f>
        <v>Inno3D</v>
      </c>
      <c r="B659" s="265" t="s">
        <v>875</v>
      </c>
      <c r="C659" s="265" t="s">
        <v>876</v>
      </c>
      <c r="D659" s="265"/>
      <c r="E659" s="265" t="s">
        <v>21</v>
      </c>
      <c r="F659" s="265" t="s">
        <v>41</v>
      </c>
      <c r="G659" s="265" t="s">
        <v>63</v>
      </c>
      <c r="H659" s="332">
        <v>45233.0</v>
      </c>
      <c r="I659" s="308"/>
      <c r="J659" s="309">
        <v>2.0</v>
      </c>
      <c r="L659" s="311"/>
      <c r="M659" s="313">
        <v>45233.54200483796</v>
      </c>
      <c r="N659" s="313">
        <v>45234.561840891205</v>
      </c>
      <c r="O659" s="314"/>
      <c r="P659" s="314"/>
      <c r="Q659" s="319"/>
      <c r="R659" s="316">
        <v>0.006944444445252884</v>
      </c>
      <c r="S659" s="317" t="s">
        <v>1394</v>
      </c>
      <c r="T659" s="317">
        <v>20.0</v>
      </c>
      <c r="U659" s="317"/>
    </row>
    <row r="660" ht="20.25" hidden="1" customHeight="1" outlineLevel="1">
      <c r="A660" s="216" t="str">
        <f>IFERROR(__xludf.DUMMYFUNCTION("ARRAYFORMULA(IFERROR(VLOOKUP(REGEXEXTRACT(B660, ""-(\w+)-""), {Data_Validation!$F$16:$F$29, Data_Validation!$E$16:$E$29}, 2, FALSE), """"))
"),"Inno3D")</f>
        <v>Inno3D</v>
      </c>
      <c r="B660" s="265" t="s">
        <v>877</v>
      </c>
      <c r="D660" s="265" t="s">
        <v>40</v>
      </c>
      <c r="E660" s="265" t="s">
        <v>26</v>
      </c>
      <c r="F660" s="265"/>
      <c r="G660" s="265"/>
      <c r="H660" s="332">
        <v>45233.0</v>
      </c>
      <c r="I660" s="309">
        <v>1.0</v>
      </c>
      <c r="L660" s="311"/>
      <c r="M660" s="313">
        <v>45233.54200483796</v>
      </c>
      <c r="N660" s="313">
        <v>45234.561840891205</v>
      </c>
      <c r="O660" s="314" t="s">
        <v>878</v>
      </c>
      <c r="P660" s="314" t="s">
        <v>879</v>
      </c>
      <c r="Q660" s="319" t="s">
        <v>31</v>
      </c>
      <c r="R660" s="316">
        <v>0.006944444445252884</v>
      </c>
      <c r="S660" s="317"/>
      <c r="T660" s="317"/>
      <c r="U660" s="317"/>
    </row>
    <row r="661" ht="20.25" hidden="1" customHeight="1" outlineLevel="1">
      <c r="A661" s="216" t="str">
        <f>IFERROR(__xludf.DUMMYFUNCTION("ARRAYFORMULA(IFERROR(VLOOKUP(REGEXEXTRACT(B661, ""-(\w+)-""), {Data_Validation!$F$16:$F$29, Data_Validation!$E$16:$E$29}, 2, FALSE), """"))
"),"Inno3D")</f>
        <v>Inno3D</v>
      </c>
      <c r="B661" s="265" t="s">
        <v>880</v>
      </c>
      <c r="D661" s="265" t="s">
        <v>47</v>
      </c>
      <c r="E661" s="265" t="s">
        <v>26</v>
      </c>
      <c r="F661" s="265"/>
      <c r="G661" s="265"/>
      <c r="H661" s="332">
        <v>45233.0</v>
      </c>
      <c r="I661" s="309">
        <v>1.0</v>
      </c>
      <c r="L661" s="311"/>
      <c r="M661" s="313">
        <v>45234.561857106484</v>
      </c>
      <c r="N661" s="313"/>
      <c r="O661" s="314"/>
      <c r="P661" s="314"/>
      <c r="Q661" s="319" t="s">
        <v>17</v>
      </c>
      <c r="R661" s="316"/>
      <c r="S661" s="317"/>
      <c r="T661" s="317"/>
      <c r="U661" s="317"/>
    </row>
    <row r="662" ht="20.25" customHeight="1" collapsed="1">
      <c r="A662" s="216" t="str">
        <f>IFERROR(__xludf.DUMMYFUNCTION("ARRAYFORMULA(IFERROR(VLOOKUP(REGEXEXTRACT(B662, ""-(\w+)-""), {Data_Validation!$F$16:$F$29, Data_Validation!$E$16:$E$29}, 2, FALSE), """"))
"),"TheMVP")</f>
        <v>TheMVP</v>
      </c>
      <c r="B662" s="265" t="s">
        <v>961</v>
      </c>
      <c r="C662" s="265" t="s">
        <v>962</v>
      </c>
      <c r="D662" s="265"/>
      <c r="E662" s="265" t="s">
        <v>963</v>
      </c>
      <c r="F662" s="265" t="s">
        <v>27</v>
      </c>
      <c r="G662" s="265" t="s">
        <v>23</v>
      </c>
      <c r="H662" s="332">
        <v>45222.0</v>
      </c>
      <c r="I662" s="308"/>
      <c r="J662" s="309">
        <v>8.0</v>
      </c>
      <c r="L662" s="311"/>
      <c r="M662" s="313">
        <v>45220.6303281713</v>
      </c>
      <c r="N662" s="313">
        <v>45233.43268100695</v>
      </c>
      <c r="O662" s="314"/>
      <c r="P662" s="314"/>
      <c r="Q662" s="319"/>
      <c r="R662" s="316">
        <v>0.14444444444598048</v>
      </c>
      <c r="S662" s="317"/>
      <c r="T662" s="317"/>
      <c r="U662" s="317"/>
    </row>
    <row r="663" ht="20.25" hidden="1" customHeight="1" outlineLevel="1">
      <c r="A663" s="216" t="str">
        <f>IFERROR(__xludf.DUMMYFUNCTION("ARRAYFORMULA(IFERROR(VLOOKUP(REGEXEXTRACT(B663, ""-(\w+)-""), {Data_Validation!$F$16:$F$29, Data_Validation!$E$16:$E$29}, 2, FALSE), """"))
"),"TheMVP")</f>
        <v>TheMVP</v>
      </c>
      <c r="B663" s="265" t="s">
        <v>964</v>
      </c>
      <c r="D663" s="265" t="s">
        <v>965</v>
      </c>
      <c r="E663" s="265" t="s">
        <v>26</v>
      </c>
      <c r="F663" s="265" t="s">
        <v>27</v>
      </c>
      <c r="G663" s="265"/>
      <c r="H663" s="332">
        <v>45219.0</v>
      </c>
      <c r="I663" s="309">
        <v>1.0</v>
      </c>
      <c r="L663" s="311"/>
      <c r="M663" s="313"/>
      <c r="N663" s="313"/>
      <c r="O663" s="314"/>
      <c r="P663" s="314"/>
      <c r="Q663" s="319"/>
      <c r="R663" s="316"/>
      <c r="S663" s="317"/>
      <c r="T663" s="317"/>
      <c r="U663" s="317"/>
    </row>
    <row r="664" ht="20.25" hidden="1" customHeight="1" outlineLevel="1">
      <c r="A664" s="216" t="str">
        <f>IFERROR(__xludf.DUMMYFUNCTION("ARRAYFORMULA(IFERROR(VLOOKUP(REGEXEXTRACT(B664, ""-(\w+)-""), {Data_Validation!$F$16:$F$29, Data_Validation!$E$16:$E$29}, 2, FALSE), """"))
"),"TheMVP")</f>
        <v>TheMVP</v>
      </c>
      <c r="B664" s="265" t="s">
        <v>966</v>
      </c>
      <c r="D664" s="265" t="s">
        <v>967</v>
      </c>
      <c r="E664" s="265" t="s">
        <v>26</v>
      </c>
      <c r="F664" s="265" t="s">
        <v>27</v>
      </c>
      <c r="G664" s="265"/>
      <c r="H664" s="332">
        <v>45222.0</v>
      </c>
      <c r="I664" s="309">
        <v>1.0</v>
      </c>
      <c r="L664" s="311"/>
      <c r="M664" s="313"/>
      <c r="N664" s="313"/>
      <c r="O664" s="314"/>
      <c r="P664" s="314"/>
      <c r="Q664" s="319"/>
      <c r="R664" s="316"/>
      <c r="S664" s="317"/>
      <c r="T664" s="317"/>
      <c r="U664" s="317"/>
    </row>
    <row r="665" ht="20.25" hidden="1" customHeight="1" outlineLevel="1">
      <c r="A665" s="216" t="str">
        <f>IFERROR(__xludf.DUMMYFUNCTION("ARRAYFORMULA(IFERROR(VLOOKUP(REGEXEXTRACT(B665, ""-(\w+)-""), {Data_Validation!$F$16:$F$29, Data_Validation!$E$16:$E$29}, 2, FALSE), """"))
"),"TheMVP")</f>
        <v>TheMVP</v>
      </c>
      <c r="B665" s="265" t="s">
        <v>968</v>
      </c>
      <c r="D665" s="265" t="s">
        <v>969</v>
      </c>
      <c r="E665" s="265" t="s">
        <v>26</v>
      </c>
      <c r="F665" s="265" t="s">
        <v>27</v>
      </c>
      <c r="G665" s="265"/>
      <c r="H665" s="332">
        <v>45221.0</v>
      </c>
      <c r="I665" s="309">
        <v>1.0</v>
      </c>
      <c r="L665" s="311"/>
      <c r="M665" s="313"/>
      <c r="N665" s="313"/>
      <c r="O665" s="314"/>
      <c r="P665" s="314"/>
      <c r="Q665" s="319"/>
      <c r="R665" s="316"/>
      <c r="S665" s="317"/>
      <c r="T665" s="317"/>
      <c r="U665" s="317"/>
    </row>
    <row r="666" ht="20.25" hidden="1" customHeight="1" outlineLevel="1">
      <c r="A666" s="216" t="str">
        <f>IFERROR(__xludf.DUMMYFUNCTION("ARRAYFORMULA(IFERROR(VLOOKUP(REGEXEXTRACT(B666, ""-(\w+)-""), {Data_Validation!$F$16:$F$29, Data_Validation!$E$16:$E$29}, 2, FALSE), """"))
"),"TheMVP")</f>
        <v>TheMVP</v>
      </c>
      <c r="B666" s="265" t="s">
        <v>970</v>
      </c>
      <c r="D666" s="265" t="s">
        <v>971</v>
      </c>
      <c r="E666" s="265" t="s">
        <v>26</v>
      </c>
      <c r="F666" s="265" t="s">
        <v>27</v>
      </c>
      <c r="G666" s="265"/>
      <c r="H666" s="332">
        <v>45221.0</v>
      </c>
      <c r="I666" s="309">
        <v>1.0</v>
      </c>
      <c r="L666" s="311"/>
      <c r="M666" s="313"/>
      <c r="N666" s="313"/>
      <c r="O666" s="314"/>
      <c r="P666" s="314"/>
      <c r="Q666" s="319"/>
      <c r="R666" s="316"/>
      <c r="S666" s="317"/>
      <c r="T666" s="317"/>
      <c r="U666" s="317"/>
    </row>
    <row r="667" ht="20.25" hidden="1" customHeight="1" outlineLevel="1">
      <c r="A667" s="216" t="str">
        <f>IFERROR(__xludf.DUMMYFUNCTION("ARRAYFORMULA(IFERROR(VLOOKUP(REGEXEXTRACT(B667, ""-(\w+)-""), {Data_Validation!$F$16:$F$29, Data_Validation!$E$16:$E$29}, 2, FALSE), """"))
"),"TheMVP")</f>
        <v>TheMVP</v>
      </c>
      <c r="B667" s="265" t="s">
        <v>972</v>
      </c>
      <c r="D667" s="265" t="s">
        <v>973</v>
      </c>
      <c r="E667" s="265" t="s">
        <v>26</v>
      </c>
      <c r="F667" s="265" t="s">
        <v>27</v>
      </c>
      <c r="G667" s="265"/>
      <c r="H667" s="332">
        <v>45221.0</v>
      </c>
      <c r="I667" s="309">
        <v>1.0</v>
      </c>
      <c r="L667" s="311"/>
      <c r="M667" s="313"/>
      <c r="N667" s="313"/>
      <c r="O667" s="314"/>
      <c r="P667" s="314"/>
      <c r="Q667" s="319"/>
      <c r="R667" s="316"/>
      <c r="S667" s="317"/>
      <c r="T667" s="317"/>
      <c r="U667" s="317"/>
    </row>
    <row r="668" ht="20.25" hidden="1" customHeight="1" outlineLevel="1">
      <c r="A668" s="216" t="str">
        <f>IFERROR(__xludf.DUMMYFUNCTION("ARRAYFORMULA(IFERROR(VLOOKUP(REGEXEXTRACT(B668, ""-(\w+)-""), {Data_Validation!$F$16:$F$29, Data_Validation!$E$16:$E$29}, 2, FALSE), """"))
"),"TheMVP")</f>
        <v>TheMVP</v>
      </c>
      <c r="B668" s="265" t="s">
        <v>974</v>
      </c>
      <c r="D668" s="265" t="s">
        <v>975</v>
      </c>
      <c r="E668" s="265" t="s">
        <v>26</v>
      </c>
      <c r="F668" s="265" t="s">
        <v>22</v>
      </c>
      <c r="G668" s="265"/>
      <c r="H668" s="332">
        <v>45220.0</v>
      </c>
      <c r="I668" s="309">
        <v>1.0</v>
      </c>
      <c r="L668" s="311"/>
      <c r="M668" s="313">
        <v>45224.504907407405</v>
      </c>
      <c r="N668" s="313">
        <v>45233.43268100695</v>
      </c>
      <c r="O668" s="314" t="s">
        <v>976</v>
      </c>
      <c r="P668" s="314" t="s">
        <v>977</v>
      </c>
      <c r="Q668" s="319" t="s">
        <v>31</v>
      </c>
      <c r="R668" s="316">
        <v>0.06597222222262644</v>
      </c>
      <c r="S668" s="317"/>
      <c r="T668" s="317"/>
      <c r="U668" s="317"/>
    </row>
    <row r="669" ht="20.25" hidden="1" customHeight="1" outlineLevel="1">
      <c r="A669" s="216" t="str">
        <f>IFERROR(__xludf.DUMMYFUNCTION("ARRAYFORMULA(IFERROR(VLOOKUP(REGEXEXTRACT(B669, ""-(\w+)-""), {Data_Validation!$F$16:$F$29, Data_Validation!$E$16:$E$29}, 2, FALSE), """"))
"),"TheMVP")</f>
        <v>TheMVP</v>
      </c>
      <c r="B669" s="265" t="s">
        <v>978</v>
      </c>
      <c r="D669" s="265" t="s">
        <v>979</v>
      </c>
      <c r="E669" s="265" t="s">
        <v>26</v>
      </c>
      <c r="F669" s="265" t="s">
        <v>22</v>
      </c>
      <c r="G669" s="265"/>
      <c r="H669" s="332">
        <v>45220.0</v>
      </c>
      <c r="I669" s="309">
        <v>1.0</v>
      </c>
      <c r="L669" s="311"/>
      <c r="M669" s="313">
        <v>45225.60508101852</v>
      </c>
      <c r="N669" s="313">
        <v>45225.683211724536</v>
      </c>
      <c r="O669" s="314"/>
      <c r="P669" s="314"/>
      <c r="Q669" s="319" t="s">
        <v>31</v>
      </c>
      <c r="R669" s="316">
        <v>0.07777777777664596</v>
      </c>
      <c r="S669" s="317"/>
      <c r="T669" s="317"/>
      <c r="U669" s="317"/>
    </row>
    <row r="670" ht="20.25" hidden="1" customHeight="1" outlineLevel="1">
      <c r="A670" s="216" t="str">
        <f>IFERROR(__xludf.DUMMYFUNCTION("ARRAYFORMULA(IFERROR(VLOOKUP(REGEXEXTRACT(B670, ""-(\w+)-""), {Data_Validation!$F$16:$F$29, Data_Validation!$E$16:$E$29}, 2, FALSE), """"))
"),"TheMVP")</f>
        <v>TheMVP</v>
      </c>
      <c r="B670" s="265" t="s">
        <v>980</v>
      </c>
      <c r="D670" s="265" t="s">
        <v>981</v>
      </c>
      <c r="E670" s="265" t="s">
        <v>26</v>
      </c>
      <c r="F670" s="265" t="s">
        <v>27</v>
      </c>
      <c r="G670" s="265"/>
      <c r="H670" s="332">
        <v>45219.0</v>
      </c>
      <c r="I670" s="309">
        <v>1.0</v>
      </c>
      <c r="L670" s="311"/>
      <c r="M670" s="313">
        <v>45220.6303281713</v>
      </c>
      <c r="N670" s="313">
        <v>45220.63115483796</v>
      </c>
      <c r="O670" s="314"/>
      <c r="P670" s="314"/>
      <c r="Q670" s="319" t="s">
        <v>31</v>
      </c>
      <c r="R670" s="316">
        <v>6.944444430700969E-4</v>
      </c>
      <c r="S670" s="317"/>
      <c r="T670" s="317"/>
      <c r="U670" s="317"/>
    </row>
    <row r="671" ht="20.25" customHeight="1" collapsed="1">
      <c r="A671" s="216" t="str">
        <f>IFERROR(__xludf.DUMMYFUNCTION("ARRAYFORMULA(IFERROR(VLOOKUP(REGEXEXTRACT(B671, ""-(\w+)-""), {Data_Validation!$F$16:$F$29, Data_Validation!$E$16:$E$29}, 2, FALSE), """"))
"),"Inno3D")</f>
        <v>Inno3D</v>
      </c>
      <c r="B671" s="265" t="s">
        <v>887</v>
      </c>
      <c r="C671" s="265" t="s">
        <v>888</v>
      </c>
      <c r="D671" s="265"/>
      <c r="E671" s="265" t="s">
        <v>51</v>
      </c>
      <c r="F671" s="265" t="s">
        <v>41</v>
      </c>
      <c r="G671" s="265" t="s">
        <v>63</v>
      </c>
      <c r="H671" s="332">
        <v>45235.0</v>
      </c>
      <c r="I671" s="308"/>
      <c r="J671" s="309">
        <v>2.0</v>
      </c>
      <c r="L671" s="311"/>
      <c r="M671" s="313">
        <v>45234.688196030096</v>
      </c>
      <c r="N671" s="313">
        <v>45236.5061649537</v>
      </c>
      <c r="O671" s="314"/>
      <c r="P671" s="314"/>
      <c r="Q671" s="319"/>
      <c r="R671" s="316">
        <v>0.003472222222626442</v>
      </c>
      <c r="S671" s="317" t="s">
        <v>1394</v>
      </c>
      <c r="T671" s="317">
        <v>22.0</v>
      </c>
      <c r="U671" s="317"/>
    </row>
    <row r="672" ht="20.25" hidden="1" customHeight="1" outlineLevel="1">
      <c r="A672" s="216" t="str">
        <f>IFERROR(__xludf.DUMMYFUNCTION("ARRAYFORMULA(IFERROR(VLOOKUP(REGEXEXTRACT(B672, ""-(\w+)-""), {Data_Validation!$F$16:$F$29, Data_Validation!$E$16:$E$29}, 2, FALSE), """"))
"),"Inno3D")</f>
        <v>Inno3D</v>
      </c>
      <c r="B672" s="265" t="s">
        <v>889</v>
      </c>
      <c r="D672" s="265" t="s">
        <v>40</v>
      </c>
      <c r="E672" s="265" t="s">
        <v>26</v>
      </c>
      <c r="F672" s="265"/>
      <c r="G672" s="265"/>
      <c r="H672" s="332">
        <v>45235.0</v>
      </c>
      <c r="I672" s="309">
        <v>1.0</v>
      </c>
      <c r="L672" s="311"/>
      <c r="M672" s="313">
        <v>45234.688196030096</v>
      </c>
      <c r="N672" s="313">
        <v>45236.5061649537</v>
      </c>
      <c r="O672" s="314" t="s">
        <v>890</v>
      </c>
      <c r="P672" s="314" t="s">
        <v>891</v>
      </c>
      <c r="Q672" s="319" t="s">
        <v>31</v>
      </c>
      <c r="R672" s="316">
        <v>0.003472222222626442</v>
      </c>
      <c r="S672" s="317"/>
      <c r="T672" s="317"/>
      <c r="U672" s="317"/>
    </row>
    <row r="673" ht="20.25" hidden="1" customHeight="1" outlineLevel="1">
      <c r="A673" s="216" t="str">
        <f>IFERROR(__xludf.DUMMYFUNCTION("ARRAYFORMULA(IFERROR(VLOOKUP(REGEXEXTRACT(B673, ""-(\w+)-""), {Data_Validation!$F$16:$F$29, Data_Validation!$E$16:$E$29}, 2, FALSE), """"))
"),"Inno3D")</f>
        <v>Inno3D</v>
      </c>
      <c r="B673" s="265" t="s">
        <v>892</v>
      </c>
      <c r="D673" s="265" t="s">
        <v>47</v>
      </c>
      <c r="E673" s="265" t="s">
        <v>26</v>
      </c>
      <c r="F673" s="265"/>
      <c r="G673" s="265"/>
      <c r="H673" s="332">
        <v>45235.0</v>
      </c>
      <c r="I673" s="309">
        <v>1.0</v>
      </c>
      <c r="L673" s="311"/>
      <c r="M673" s="313"/>
      <c r="N673" s="313"/>
      <c r="O673" s="314"/>
      <c r="P673" s="314"/>
      <c r="Q673" s="319"/>
      <c r="R673" s="316"/>
      <c r="S673" s="317"/>
      <c r="T673" s="317"/>
      <c r="U673" s="317"/>
    </row>
    <row r="674" ht="20.25" customHeight="1" collapsed="1">
      <c r="A674" s="216" t="str">
        <f>IFERROR(__xludf.DUMMYFUNCTION("ARRAYFORMULA(IFERROR(VLOOKUP(REGEXEXTRACT(B674, ""-(\w+)-""), {Data_Validation!$F$16:$F$29, Data_Validation!$E$16:$E$29}, 2, FALSE), """"))
"),"TheMVP")</f>
        <v>TheMVP</v>
      </c>
      <c r="B674" s="265" t="s">
        <v>95</v>
      </c>
      <c r="C674" s="265" t="s">
        <v>96</v>
      </c>
      <c r="D674" s="265"/>
      <c r="E674" s="265" t="s">
        <v>97</v>
      </c>
      <c r="F674" s="265" t="s">
        <v>22</v>
      </c>
      <c r="G674" s="265" t="s">
        <v>63</v>
      </c>
      <c r="H674" s="332">
        <v>45235.0</v>
      </c>
      <c r="I674" s="308"/>
      <c r="J674" s="309">
        <v>2.0</v>
      </c>
      <c r="L674" s="311"/>
      <c r="M674" s="313">
        <v>45236.804145462964</v>
      </c>
      <c r="N674" s="313">
        <v>45236.819363946764</v>
      </c>
      <c r="O674" s="314"/>
      <c r="P674" s="314"/>
      <c r="Q674" s="319"/>
      <c r="R674" s="316">
        <v>0.014583333333575865</v>
      </c>
      <c r="S674" s="317"/>
      <c r="T674" s="317"/>
      <c r="U674" s="317"/>
    </row>
    <row r="675" ht="20.25" hidden="1" customHeight="1" outlineLevel="1">
      <c r="A675" s="216" t="str">
        <f>IFERROR(__xludf.DUMMYFUNCTION("ARRAYFORMULA(IFERROR(VLOOKUP(REGEXEXTRACT(B675, ""-(\w+)-""), {Data_Validation!$F$16:$F$29, Data_Validation!$E$16:$E$29}, 2, FALSE), """"))
"),"TheMVP")</f>
        <v>TheMVP</v>
      </c>
      <c r="B675" s="265" t="s">
        <v>98</v>
      </c>
      <c r="D675" s="265" t="s">
        <v>40</v>
      </c>
      <c r="E675" s="265" t="s">
        <v>26</v>
      </c>
      <c r="F675" s="265" t="s">
        <v>22</v>
      </c>
      <c r="G675" s="265"/>
      <c r="H675" s="332">
        <v>45235.0</v>
      </c>
      <c r="I675" s="309">
        <v>1.0</v>
      </c>
      <c r="L675" s="311"/>
      <c r="M675" s="313">
        <v>45236.804145462964</v>
      </c>
      <c r="N675" s="313">
        <v>45236.81722965278</v>
      </c>
      <c r="O675" s="314"/>
      <c r="P675" s="314"/>
      <c r="Q675" s="319" t="s">
        <v>31</v>
      </c>
      <c r="R675" s="316">
        <v>0.012500000000727596</v>
      </c>
      <c r="S675" s="317"/>
      <c r="T675" s="317"/>
      <c r="U675" s="317"/>
    </row>
    <row r="676" ht="20.25" hidden="1" customHeight="1" outlineLevel="1">
      <c r="A676" s="216" t="str">
        <f>IFERROR(__xludf.DUMMYFUNCTION("ARRAYFORMULA(IFERROR(VLOOKUP(REGEXEXTRACT(B676, ""-(\w+)-""), {Data_Validation!$F$16:$F$29, Data_Validation!$E$16:$E$29}, 2, FALSE), """"))
"),"TheMVP")</f>
        <v>TheMVP</v>
      </c>
      <c r="B676" s="265" t="s">
        <v>99</v>
      </c>
      <c r="D676" s="265" t="s">
        <v>47</v>
      </c>
      <c r="E676" s="265" t="s">
        <v>26</v>
      </c>
      <c r="F676" s="265" t="s">
        <v>27</v>
      </c>
      <c r="G676" s="265"/>
      <c r="H676" s="332">
        <v>45235.0</v>
      </c>
      <c r="I676" s="309">
        <v>1.0</v>
      </c>
      <c r="L676" s="311"/>
      <c r="M676" s="313">
        <v>45236.817241979166</v>
      </c>
      <c r="N676" s="313">
        <v>45236.819363946764</v>
      </c>
      <c r="O676" s="314"/>
      <c r="P676" s="314"/>
      <c r="Q676" s="319" t="s">
        <v>31</v>
      </c>
      <c r="R676" s="316">
        <v>0.0020833333328482695</v>
      </c>
      <c r="S676" s="317"/>
      <c r="T676" s="317"/>
      <c r="U676" s="317"/>
    </row>
    <row r="677" ht="20.25" customHeight="1" collapsed="1">
      <c r="A677" s="216" t="str">
        <f>IFERROR(__xludf.DUMMYFUNCTION("ARRAYFORMULA(IFERROR(VLOOKUP(REGEXEXTRACT(B677, ""-(\w+)-""), {Data_Validation!$F$16:$F$29, Data_Validation!$E$16:$E$29}, 2, FALSE), """"))
"),"TheMVP")</f>
        <v>TheMVP</v>
      </c>
      <c r="B677" s="265" t="s">
        <v>100</v>
      </c>
      <c r="C677" s="265" t="s">
        <v>101</v>
      </c>
      <c r="D677" s="265"/>
      <c r="E677" s="265" t="s">
        <v>102</v>
      </c>
      <c r="F677" s="265" t="s">
        <v>22</v>
      </c>
      <c r="G677" s="265" t="s">
        <v>89</v>
      </c>
      <c r="H677" s="332">
        <v>45236.0</v>
      </c>
      <c r="I677" s="308"/>
      <c r="J677" s="309">
        <v>2.0</v>
      </c>
      <c r="L677" s="311"/>
      <c r="M677" s="313">
        <v>0.0</v>
      </c>
      <c r="N677" s="313">
        <v>0.0</v>
      </c>
      <c r="O677" s="314"/>
      <c r="P677" s="314"/>
      <c r="Q677" s="319"/>
      <c r="R677" s="316">
        <v>0.0</v>
      </c>
      <c r="S677" s="317"/>
      <c r="T677" s="317"/>
      <c r="U677" s="317"/>
    </row>
    <row r="678" ht="20.25" hidden="1" customHeight="1" outlineLevel="1">
      <c r="A678" s="216" t="str">
        <f>IFERROR(__xludf.DUMMYFUNCTION("ARRAYFORMULA(IFERROR(VLOOKUP(REGEXEXTRACT(B678, ""-(\w+)-""), {Data_Validation!$F$16:$F$29, Data_Validation!$E$16:$E$29}, 2, FALSE), """"))
"),"TheMVP")</f>
        <v>TheMVP</v>
      </c>
      <c r="B678" s="265" t="s">
        <v>103</v>
      </c>
      <c r="D678" s="265" t="s">
        <v>25</v>
      </c>
      <c r="E678" s="265" t="s">
        <v>26</v>
      </c>
      <c r="F678" s="265" t="s">
        <v>22</v>
      </c>
      <c r="G678" s="265"/>
      <c r="H678" s="332">
        <v>45235.59412417824</v>
      </c>
      <c r="I678" s="309">
        <v>1.0</v>
      </c>
      <c r="L678" s="311"/>
      <c r="M678" s="313"/>
      <c r="N678" s="313"/>
      <c r="O678" s="314"/>
      <c r="P678" s="314"/>
      <c r="Q678" s="319"/>
      <c r="R678" s="316"/>
      <c r="S678" s="317"/>
      <c r="T678" s="317"/>
      <c r="U678" s="317"/>
    </row>
    <row r="679" ht="20.25" hidden="1" customHeight="1" outlineLevel="1">
      <c r="A679" s="216" t="str">
        <f>IFERROR(__xludf.DUMMYFUNCTION("ARRAYFORMULA(IFERROR(VLOOKUP(REGEXEXTRACT(B679, ""-(\w+)-""), {Data_Validation!$F$16:$F$29, Data_Validation!$E$16:$E$29}, 2, FALSE), """"))
"),"TheMVP")</f>
        <v>TheMVP</v>
      </c>
      <c r="B679" s="265" t="s">
        <v>104</v>
      </c>
      <c r="D679" s="265" t="s">
        <v>47</v>
      </c>
      <c r="E679" s="265" t="s">
        <v>26</v>
      </c>
      <c r="F679" s="265" t="s">
        <v>22</v>
      </c>
      <c r="G679" s="265"/>
      <c r="H679" s="332">
        <v>45236.0</v>
      </c>
      <c r="I679" s="309">
        <v>1.0</v>
      </c>
      <c r="L679" s="311"/>
      <c r="M679" s="313"/>
      <c r="N679" s="313"/>
      <c r="O679" s="314"/>
      <c r="P679" s="314"/>
      <c r="Q679" s="319"/>
      <c r="R679" s="316"/>
      <c r="S679" s="317"/>
      <c r="T679" s="317"/>
      <c r="U679" s="317"/>
    </row>
    <row r="680" ht="20.25" customHeight="1" collapsed="1">
      <c r="A680" s="216" t="str">
        <f>IFERROR(__xludf.DUMMYFUNCTION("ARRAYFORMULA(IFERROR(VLOOKUP(REGEXEXTRACT(B680, ""-(\w+)-""), {Data_Validation!$F$16:$F$29, Data_Validation!$E$16:$E$29}, 2, FALSE), """"))
"),"TheMVP")</f>
        <v>TheMVP</v>
      </c>
      <c r="B680" s="265" t="s">
        <v>76</v>
      </c>
      <c r="C680" s="265" t="s">
        <v>77</v>
      </c>
      <c r="D680" s="265"/>
      <c r="E680" s="265" t="s">
        <v>78</v>
      </c>
      <c r="F680" s="265" t="s">
        <v>22</v>
      </c>
      <c r="G680" s="265" t="s">
        <v>79</v>
      </c>
      <c r="H680" s="332">
        <v>45229.62136612269</v>
      </c>
      <c r="I680" s="308"/>
      <c r="J680" s="309">
        <v>2.0</v>
      </c>
      <c r="L680" s="311"/>
      <c r="M680" s="313">
        <v>45228.85134820602</v>
      </c>
      <c r="N680" s="313">
        <v>45237.411500092596</v>
      </c>
      <c r="O680" s="314"/>
      <c r="P680" s="314"/>
      <c r="Q680" s="319"/>
      <c r="R680" s="316">
        <v>0.1555555555569299</v>
      </c>
      <c r="S680" s="317" t="s">
        <v>1368</v>
      </c>
      <c r="T680" s="317">
        <v>78.0</v>
      </c>
      <c r="U680" s="317"/>
    </row>
    <row r="681" ht="20.25" hidden="1" customHeight="1" outlineLevel="1">
      <c r="A681" s="216" t="str">
        <f>IFERROR(__xludf.DUMMYFUNCTION("ARRAYFORMULA(IFERROR(VLOOKUP(REGEXEXTRACT(B681, ""-(\w+)-""), {Data_Validation!$F$16:$F$29, Data_Validation!$E$16:$E$29}, 2, FALSE), """"))
"),"TheMVP")</f>
        <v>TheMVP</v>
      </c>
      <c r="B681" s="265" t="s">
        <v>80</v>
      </c>
      <c r="D681" s="265" t="s">
        <v>25</v>
      </c>
      <c r="E681" s="265" t="s">
        <v>26</v>
      </c>
      <c r="F681" s="265" t="s">
        <v>22</v>
      </c>
      <c r="G681" s="265" t="s">
        <v>81</v>
      </c>
      <c r="H681" s="332">
        <v>45227.62136612269</v>
      </c>
      <c r="I681" s="309">
        <v>1.0</v>
      </c>
      <c r="L681" s="311"/>
      <c r="M681" s="313">
        <v>45228.85134820602</v>
      </c>
      <c r="N681" s="313">
        <v>45230.80643075232</v>
      </c>
      <c r="O681" s="314" t="s">
        <v>82</v>
      </c>
      <c r="P681" s="314" t="s">
        <v>83</v>
      </c>
      <c r="Q681" s="319" t="s">
        <v>31</v>
      </c>
      <c r="R681" s="316">
        <v>0.1437499999992724</v>
      </c>
      <c r="S681" s="317" t="s">
        <v>1368</v>
      </c>
      <c r="T681" s="317">
        <v>78.01</v>
      </c>
      <c r="U681" s="317"/>
    </row>
    <row r="682" ht="20.25" hidden="1" customHeight="1" outlineLevel="1">
      <c r="A682" s="216" t="str">
        <f>IFERROR(__xludf.DUMMYFUNCTION("ARRAYFORMULA(IFERROR(VLOOKUP(REGEXEXTRACT(B682, ""-(\w+)-""), {Data_Validation!$F$16:$F$29, Data_Validation!$E$16:$E$29}, 2, FALSE), """"))
"),"TheMVP")</f>
        <v>TheMVP</v>
      </c>
      <c r="B682" s="265" t="s">
        <v>84</v>
      </c>
      <c r="D682" s="265" t="s">
        <v>40</v>
      </c>
      <c r="E682" s="265" t="s">
        <v>26</v>
      </c>
      <c r="F682" s="265" t="s">
        <v>22</v>
      </c>
      <c r="G682" s="265"/>
      <c r="H682" s="332">
        <v>45229.62136612269</v>
      </c>
      <c r="I682" s="309">
        <v>1.0</v>
      </c>
      <c r="L682" s="311"/>
      <c r="M682" s="313">
        <v>45236.8204625463</v>
      </c>
      <c r="N682" s="313">
        <v>45237.411500092596</v>
      </c>
      <c r="O682" s="314" t="s">
        <v>85</v>
      </c>
      <c r="P682" s="314" t="s">
        <v>86</v>
      </c>
      <c r="Q682" s="319" t="s">
        <v>31</v>
      </c>
      <c r="R682" s="316">
        <v>0.01180555555401952</v>
      </c>
      <c r="S682" s="317" t="s">
        <v>1368</v>
      </c>
      <c r="T682" s="317">
        <v>78.02</v>
      </c>
      <c r="U682" s="317"/>
    </row>
    <row r="683" ht="20.25" customHeight="1" collapsed="1">
      <c r="A683" s="216" t="str">
        <f>IFERROR(__xludf.DUMMYFUNCTION("ARRAYFORMULA(IFERROR(VLOOKUP(REGEXEXTRACT(B683, ""-(\w+)-""), {Data_Validation!$F$16:$F$29, Data_Validation!$E$16:$E$29}, 2, FALSE), """"))
"),"Inno3D")</f>
        <v>Inno3D</v>
      </c>
      <c r="B683" s="265" t="s">
        <v>893</v>
      </c>
      <c r="C683" s="265" t="s">
        <v>894</v>
      </c>
      <c r="D683" s="265"/>
      <c r="E683" s="265" t="s">
        <v>51</v>
      </c>
      <c r="F683" s="265" t="s">
        <v>41</v>
      </c>
      <c r="G683" s="265" t="s">
        <v>63</v>
      </c>
      <c r="H683" s="332">
        <v>45237.0</v>
      </c>
      <c r="I683" s="308"/>
      <c r="J683" s="309">
        <v>2.0</v>
      </c>
      <c r="L683" s="311"/>
      <c r="M683" s="313">
        <v>45234.76665481481</v>
      </c>
      <c r="N683" s="313">
        <v>45236.50594375</v>
      </c>
      <c r="O683" s="314"/>
      <c r="P683" s="314"/>
      <c r="Q683" s="319"/>
      <c r="R683" s="316">
        <v>0.043750000000727596</v>
      </c>
      <c r="S683" s="317" t="s">
        <v>1394</v>
      </c>
      <c r="T683" s="317">
        <v>23.0</v>
      </c>
      <c r="U683" s="317"/>
    </row>
    <row r="684" ht="20.25" hidden="1" customHeight="1" outlineLevel="1">
      <c r="A684" s="216" t="str">
        <f>IFERROR(__xludf.DUMMYFUNCTION("ARRAYFORMULA(IFERROR(VLOOKUP(REGEXEXTRACT(B684, ""-(\w+)-""), {Data_Validation!$F$16:$F$29, Data_Validation!$E$16:$E$29}, 2, FALSE), """"))
"),"Inno3D")</f>
        <v>Inno3D</v>
      </c>
      <c r="B684" s="265" t="s">
        <v>895</v>
      </c>
      <c r="D684" s="265" t="s">
        <v>40</v>
      </c>
      <c r="E684" s="265" t="s">
        <v>26</v>
      </c>
      <c r="F684" s="265" t="s">
        <v>41</v>
      </c>
      <c r="G684" s="265"/>
      <c r="H684" s="332">
        <v>45237.0</v>
      </c>
      <c r="I684" s="309">
        <v>1.0</v>
      </c>
      <c r="L684" s="311"/>
      <c r="M684" s="313">
        <v>45234.76665481481</v>
      </c>
      <c r="N684" s="313">
        <v>45236.50594375</v>
      </c>
      <c r="O684" s="314" t="s">
        <v>896</v>
      </c>
      <c r="P684" s="314" t="s">
        <v>897</v>
      </c>
      <c r="Q684" s="319" t="s">
        <v>31</v>
      </c>
      <c r="R684" s="316">
        <v>0.043750000000727596</v>
      </c>
      <c r="S684" s="317"/>
      <c r="T684" s="317"/>
      <c r="U684" s="317"/>
    </row>
    <row r="685" ht="20.25" hidden="1" customHeight="1" outlineLevel="1">
      <c r="A685" s="216" t="str">
        <f>IFERROR(__xludf.DUMMYFUNCTION("ARRAYFORMULA(IFERROR(VLOOKUP(REGEXEXTRACT(B685, ""-(\w+)-""), {Data_Validation!$F$16:$F$29, Data_Validation!$E$16:$E$29}, 2, FALSE), """"))
"),"Inno3D")</f>
        <v>Inno3D</v>
      </c>
      <c r="B685" s="265" t="s">
        <v>898</v>
      </c>
      <c r="D685" s="265" t="s">
        <v>47</v>
      </c>
      <c r="E685" s="265" t="s">
        <v>26</v>
      </c>
      <c r="F685" s="265"/>
      <c r="G685" s="265"/>
      <c r="H685" s="332">
        <v>45237.0</v>
      </c>
      <c r="I685" s="309">
        <v>1.0</v>
      </c>
      <c r="L685" s="311"/>
      <c r="M685" s="313"/>
      <c r="N685" s="313"/>
      <c r="O685" s="314"/>
      <c r="P685" s="314"/>
      <c r="Q685" s="319"/>
      <c r="R685" s="316"/>
      <c r="S685" s="317"/>
      <c r="T685" s="317"/>
      <c r="U685" s="317"/>
    </row>
    <row r="686" ht="20.25" customHeight="1" collapsed="1">
      <c r="A686" s="216" t="str">
        <f>IFERROR(__xludf.DUMMYFUNCTION("ARRAYFORMULA(IFERROR(VLOOKUP(REGEXEXTRACT(B686, ""-(\w+)-""), {Data_Validation!$F$16:$F$29, Data_Validation!$E$16:$E$29}, 2, FALSE), """"))
"),"TheMVP")</f>
        <v>TheMVP</v>
      </c>
      <c r="B686" s="265" t="s">
        <v>162</v>
      </c>
      <c r="C686" s="265" t="s">
        <v>2408</v>
      </c>
      <c r="D686" s="265"/>
      <c r="E686" s="265" t="s">
        <v>51</v>
      </c>
      <c r="F686" s="265" t="s">
        <v>41</v>
      </c>
      <c r="G686" s="265" t="s">
        <v>89</v>
      </c>
      <c r="H686" s="332">
        <v>45238.0</v>
      </c>
      <c r="I686" s="308"/>
      <c r="J686" s="309">
        <v>4.0</v>
      </c>
      <c r="L686" s="311"/>
      <c r="M686" s="313">
        <v>45233.458761574075</v>
      </c>
      <c r="N686" s="313">
        <v>45237.7887825463</v>
      </c>
      <c r="O686" s="314"/>
      <c r="P686" s="314"/>
      <c r="Q686" s="319"/>
      <c r="R686" s="316">
        <v>0.18402777777737356</v>
      </c>
      <c r="S686" s="317" t="s">
        <v>1368</v>
      </c>
      <c r="T686" s="317">
        <v>72.0</v>
      </c>
      <c r="U686" s="317"/>
    </row>
    <row r="687" ht="20.25" hidden="1" customHeight="1" outlineLevel="1">
      <c r="A687" s="216" t="str">
        <f>IFERROR(__xludf.DUMMYFUNCTION("ARRAYFORMULA(IFERROR(VLOOKUP(REGEXEXTRACT(B687, ""-(\w+)-""), {Data_Validation!$F$16:$F$29, Data_Validation!$E$16:$E$29}, 2, FALSE), """"))
"),"TheMVP")</f>
        <v>TheMVP</v>
      </c>
      <c r="B687" s="265" t="s">
        <v>164</v>
      </c>
      <c r="D687" s="265" t="s">
        <v>25</v>
      </c>
      <c r="E687" s="265" t="s">
        <v>26</v>
      </c>
      <c r="F687" s="265" t="s">
        <v>41</v>
      </c>
      <c r="G687" s="265" t="s">
        <v>25</v>
      </c>
      <c r="H687" s="332">
        <v>45233.0</v>
      </c>
      <c r="I687" s="309">
        <v>1.0</v>
      </c>
      <c r="L687" s="311"/>
      <c r="M687" s="313">
        <v>45234.512960416665</v>
      </c>
      <c r="N687" s="313">
        <v>45234.524337083334</v>
      </c>
      <c r="O687" s="314"/>
      <c r="P687" s="314"/>
      <c r="Q687" s="319" t="s">
        <v>31</v>
      </c>
      <c r="R687" s="316">
        <v>0.011111111110949423</v>
      </c>
      <c r="S687" s="317" t="s">
        <v>1368</v>
      </c>
      <c r="T687" s="317">
        <v>72.01</v>
      </c>
      <c r="U687" s="317"/>
    </row>
    <row r="688" ht="20.25" hidden="1" customHeight="1" outlineLevel="1">
      <c r="A688" s="216" t="str">
        <f>IFERROR(__xludf.DUMMYFUNCTION("ARRAYFORMULA(IFERROR(VLOOKUP(REGEXEXTRACT(B688, ""-(\w+)-""), {Data_Validation!$F$16:$F$29, Data_Validation!$E$16:$E$29}, 2, FALSE), """"))
"),"TheMVP")</f>
        <v>TheMVP</v>
      </c>
      <c r="B688" s="265" t="s">
        <v>165</v>
      </c>
      <c r="D688" s="265" t="s">
        <v>33</v>
      </c>
      <c r="E688" s="265" t="s">
        <v>26</v>
      </c>
      <c r="F688" s="265" t="s">
        <v>34</v>
      </c>
      <c r="G688" s="265"/>
      <c r="H688" s="332">
        <v>45233.0</v>
      </c>
      <c r="I688" s="309">
        <v>1.0</v>
      </c>
      <c r="L688" s="311"/>
      <c r="M688" s="313">
        <v>45233.458761574075</v>
      </c>
      <c r="N688" s="313">
        <v>45233.63574236111</v>
      </c>
      <c r="O688" s="314" t="s">
        <v>166</v>
      </c>
      <c r="P688" s="314" t="s">
        <v>167</v>
      </c>
      <c r="Q688" s="319" t="s">
        <v>31</v>
      </c>
      <c r="R688" s="316">
        <v>0.16041666666569654</v>
      </c>
      <c r="S688" s="317" t="s">
        <v>1368</v>
      </c>
      <c r="T688" s="317">
        <v>72.02</v>
      </c>
      <c r="U688" s="317"/>
    </row>
    <row r="689" ht="20.25" hidden="1" customHeight="1" outlineLevel="1">
      <c r="A689" s="216" t="str">
        <f>IFERROR(__xludf.DUMMYFUNCTION("ARRAYFORMULA(IFERROR(VLOOKUP(REGEXEXTRACT(B689, ""-(\w+)-""), {Data_Validation!$F$16:$F$29, Data_Validation!$E$16:$E$29}, 2, FALSE), """"))
"),"TheMVP")</f>
        <v>TheMVP</v>
      </c>
      <c r="B689" s="265" t="s">
        <v>168</v>
      </c>
      <c r="D689" s="265" t="s">
        <v>40</v>
      </c>
      <c r="E689" s="265" t="s">
        <v>26</v>
      </c>
      <c r="F689" s="265" t="s">
        <v>34</v>
      </c>
      <c r="G689" s="265" t="s">
        <v>169</v>
      </c>
      <c r="H689" s="332">
        <v>45234.0</v>
      </c>
      <c r="I689" s="309">
        <v>1.0</v>
      </c>
      <c r="L689" s="311"/>
      <c r="M689" s="313">
        <v>45234.45361321759</v>
      </c>
      <c r="N689" s="313">
        <v>45237.54009335648</v>
      </c>
      <c r="O689" s="314" t="s">
        <v>170</v>
      </c>
      <c r="P689" s="314" t="s">
        <v>171</v>
      </c>
      <c r="Q689" s="319" t="s">
        <v>31</v>
      </c>
      <c r="R689" s="316">
        <v>0.012500000000727596</v>
      </c>
      <c r="S689" s="317" t="s">
        <v>1368</v>
      </c>
      <c r="T689" s="317">
        <v>72.03</v>
      </c>
      <c r="U689" s="317"/>
    </row>
    <row r="690" ht="20.25" hidden="1" customHeight="1" outlineLevel="1">
      <c r="A690" s="216" t="str">
        <f>IFERROR(__xludf.DUMMYFUNCTION("ARRAYFORMULA(IFERROR(VLOOKUP(REGEXEXTRACT(B690, ""-(\w+)-""), {Data_Validation!$F$16:$F$29, Data_Validation!$E$16:$E$29}, 2, FALSE), """"))
"),"TheMVP")</f>
        <v>TheMVP</v>
      </c>
      <c r="B690" s="265" t="s">
        <v>172</v>
      </c>
      <c r="D690" s="265" t="s">
        <v>47</v>
      </c>
      <c r="E690" s="265" t="s">
        <v>26</v>
      </c>
      <c r="F690" s="265" t="s">
        <v>48</v>
      </c>
      <c r="G690" s="265"/>
      <c r="H690" s="332">
        <v>45238.0</v>
      </c>
      <c r="I690" s="309">
        <v>1.0</v>
      </c>
      <c r="L690" s="311"/>
      <c r="M690" s="313">
        <v>45237.78820027778</v>
      </c>
      <c r="N690" s="313">
        <v>45237.7887825463</v>
      </c>
      <c r="O690" s="314"/>
      <c r="P690" s="314"/>
      <c r="Q690" s="319" t="s">
        <v>31</v>
      </c>
      <c r="R690" s="316">
        <v>0.0</v>
      </c>
      <c r="S690" s="317" t="s">
        <v>1368</v>
      </c>
      <c r="T690" s="317">
        <v>72.04</v>
      </c>
      <c r="U690" s="317"/>
    </row>
    <row r="691" ht="20.25" customHeight="1" collapsed="1">
      <c r="A691" s="216" t="str">
        <f>IFERROR(__xludf.DUMMYFUNCTION("ARRAYFORMULA(IFERROR(VLOOKUP(REGEXEXTRACT(B691, ""-(\w+)-""), {Data_Validation!$F$16:$F$29, Data_Validation!$E$16:$E$29}, 2, FALSE), """"))
"),"TheMVP")</f>
        <v>TheMVP</v>
      </c>
      <c r="B691" s="265" t="s">
        <v>159</v>
      </c>
      <c r="C691" s="265" t="s">
        <v>160</v>
      </c>
      <c r="D691" s="265"/>
      <c r="E691" s="265" t="s">
        <v>97</v>
      </c>
      <c r="F691" s="265" t="s">
        <v>22</v>
      </c>
      <c r="G691" s="265" t="s">
        <v>89</v>
      </c>
      <c r="H691" s="332">
        <v>45238.0</v>
      </c>
      <c r="I691" s="308"/>
      <c r="J691" s="309">
        <v>1.0</v>
      </c>
      <c r="L691" s="311"/>
      <c r="M691" s="313">
        <v>45237.784276238424</v>
      </c>
      <c r="N691" s="313">
        <v>45237.789312430556</v>
      </c>
      <c r="O691" s="314"/>
      <c r="P691" s="314"/>
      <c r="Q691" s="319"/>
      <c r="R691" s="316">
        <v>0.004861111112404615</v>
      </c>
      <c r="S691" s="317" t="s">
        <v>1368</v>
      </c>
      <c r="T691" s="317">
        <v>100.0</v>
      </c>
      <c r="U691" s="317"/>
    </row>
    <row r="692" ht="20.25" hidden="1" customHeight="1" outlineLevel="1">
      <c r="A692" s="216" t="str">
        <f>IFERROR(__xludf.DUMMYFUNCTION("ARRAYFORMULA(IFERROR(VLOOKUP(REGEXEXTRACT(B692, ""-(\w+)-""), {Data_Validation!$F$16:$F$29, Data_Validation!$E$16:$E$29}, 2, FALSE), """"))
"),"TheMVP")</f>
        <v>TheMVP</v>
      </c>
      <c r="B692" s="265" t="s">
        <v>161</v>
      </c>
      <c r="D692" s="265" t="s">
        <v>47</v>
      </c>
      <c r="E692" s="265" t="s">
        <v>26</v>
      </c>
      <c r="F692" s="265" t="s">
        <v>22</v>
      </c>
      <c r="G692" s="265"/>
      <c r="H692" s="332">
        <v>45238.0</v>
      </c>
      <c r="I692" s="309">
        <v>1.0</v>
      </c>
      <c r="L692" s="311"/>
      <c r="M692" s="313">
        <v>45237.784276238424</v>
      </c>
      <c r="N692" s="313">
        <v>45237.789312430556</v>
      </c>
      <c r="O692" s="314"/>
      <c r="P692" s="314"/>
      <c r="Q692" s="319" t="s">
        <v>31</v>
      </c>
      <c r="R692" s="316">
        <v>0.004861111112404615</v>
      </c>
      <c r="S692" s="317" t="s">
        <v>1368</v>
      </c>
      <c r="T692" s="317">
        <v>100.04</v>
      </c>
      <c r="U692" s="317"/>
    </row>
    <row r="693" ht="20.25" customHeight="1" collapsed="1">
      <c r="A693" s="216" t="str">
        <f>IFERROR(__xludf.DUMMYFUNCTION("ARRAYFORMULA(IFERROR(VLOOKUP(REGEXEXTRACT(B693, ""-(\w+)-""), {Data_Validation!$F$16:$F$29, Data_Validation!$E$16:$E$29}, 2, FALSE), """"))
"),"TheMVP")</f>
        <v>TheMVP</v>
      </c>
      <c r="B693" s="265" t="s">
        <v>118</v>
      </c>
      <c r="C693" s="265" t="s">
        <v>119</v>
      </c>
      <c r="D693" s="265"/>
      <c r="E693" s="265" t="s">
        <v>62</v>
      </c>
      <c r="F693" s="265" t="s">
        <v>22</v>
      </c>
      <c r="G693" s="265" t="s">
        <v>63</v>
      </c>
      <c r="H693" s="332">
        <v>45237.0</v>
      </c>
      <c r="I693" s="308"/>
      <c r="J693" s="309">
        <v>7.0</v>
      </c>
      <c r="L693" s="311"/>
      <c r="M693" s="313">
        <v>45231.64355928241</v>
      </c>
      <c r="N693" s="313">
        <v>45237.81165310185</v>
      </c>
      <c r="O693" s="314"/>
      <c r="P693" s="314"/>
      <c r="Q693" s="319"/>
      <c r="R693" s="316">
        <v>0.33402777777882875</v>
      </c>
      <c r="S693" s="317" t="s">
        <v>1368</v>
      </c>
      <c r="T693" s="317">
        <v>87.0</v>
      </c>
      <c r="U693" s="317"/>
    </row>
    <row r="694" ht="20.25" hidden="1" customHeight="1" outlineLevel="1">
      <c r="A694" s="216" t="str">
        <f>IFERROR(__xludf.DUMMYFUNCTION("ARRAYFORMULA(IFERROR(VLOOKUP(REGEXEXTRACT(B694, ""-(\w+)-""), {Data_Validation!$F$16:$F$29, Data_Validation!$E$16:$E$29}, 2, FALSE), """"))
"),"TheMVP")</f>
        <v>TheMVP</v>
      </c>
      <c r="B694" s="265" t="s">
        <v>120</v>
      </c>
      <c r="D694" s="265" t="s">
        <v>121</v>
      </c>
      <c r="E694" s="265" t="s">
        <v>26</v>
      </c>
      <c r="F694" s="265" t="s">
        <v>48</v>
      </c>
      <c r="G694" s="265"/>
      <c r="H694" s="332">
        <v>45230.0</v>
      </c>
      <c r="I694" s="309">
        <v>1.0</v>
      </c>
      <c r="L694" s="311"/>
      <c r="M694" s="313">
        <v>45231.64355928241</v>
      </c>
      <c r="N694" s="313">
        <v>45233.49482923611</v>
      </c>
      <c r="O694" s="314" t="s">
        <v>122</v>
      </c>
      <c r="P694" s="314" t="s">
        <v>123</v>
      </c>
      <c r="Q694" s="319" t="s">
        <v>31</v>
      </c>
      <c r="R694" s="316">
        <v>0.034027777779556345</v>
      </c>
      <c r="S694" s="317" t="s">
        <v>1368</v>
      </c>
      <c r="T694" s="317">
        <v>87.01</v>
      </c>
      <c r="U694" s="317"/>
    </row>
    <row r="695" ht="20.25" hidden="1" customHeight="1" outlineLevel="1">
      <c r="A695" s="216" t="str">
        <f>IFERROR(__xludf.DUMMYFUNCTION("ARRAYFORMULA(IFERROR(VLOOKUP(REGEXEXTRACT(B695, ""-(\w+)-""), {Data_Validation!$F$16:$F$29, Data_Validation!$E$16:$E$29}, 2, FALSE), """"))
"),"TheMVP")</f>
        <v>TheMVP</v>
      </c>
      <c r="B695" s="265" t="s">
        <v>124</v>
      </c>
      <c r="D695" s="265" t="s">
        <v>125</v>
      </c>
      <c r="E695" s="265" t="s">
        <v>26</v>
      </c>
      <c r="F695" s="265" t="s">
        <v>48</v>
      </c>
      <c r="G695" s="265"/>
      <c r="H695" s="332">
        <v>45233.0</v>
      </c>
      <c r="I695" s="309">
        <v>1.0</v>
      </c>
      <c r="L695" s="311"/>
      <c r="M695" s="313"/>
      <c r="N695" s="313"/>
      <c r="O695" s="314"/>
      <c r="P695" s="314"/>
      <c r="Q695" s="319"/>
      <c r="R695" s="316"/>
      <c r="S695" s="317" t="s">
        <v>1368</v>
      </c>
      <c r="T695" s="317">
        <v>87.02</v>
      </c>
      <c r="U695" s="317"/>
    </row>
    <row r="696" ht="20.25" hidden="1" customHeight="1" outlineLevel="1">
      <c r="A696" s="216" t="str">
        <f>IFERROR(__xludf.DUMMYFUNCTION("ARRAYFORMULA(IFERROR(VLOOKUP(REGEXEXTRACT(B696, ""-(\w+)-""), {Data_Validation!$F$16:$F$29, Data_Validation!$E$16:$E$29}, 2, FALSE), """"))
"),"TheMVP")</f>
        <v>TheMVP</v>
      </c>
      <c r="B696" s="265" t="s">
        <v>126</v>
      </c>
      <c r="D696" s="265" t="s">
        <v>127</v>
      </c>
      <c r="E696" s="265" t="s">
        <v>26</v>
      </c>
      <c r="F696" s="265" t="s">
        <v>48</v>
      </c>
      <c r="G696" s="265"/>
      <c r="H696" s="332">
        <v>45233.0</v>
      </c>
      <c r="I696" s="309">
        <v>1.0</v>
      </c>
      <c r="L696" s="311"/>
      <c r="M696" s="313">
        <v>45233.602486435186</v>
      </c>
      <c r="N696" s="313">
        <v>45233.630697858796</v>
      </c>
      <c r="O696" s="314" t="s">
        <v>128</v>
      </c>
      <c r="P696" s="314" t="s">
        <v>129</v>
      </c>
      <c r="Q696" s="319" t="s">
        <v>31</v>
      </c>
      <c r="R696" s="316">
        <v>0.015972222223354038</v>
      </c>
      <c r="S696" s="317" t="s">
        <v>1368</v>
      </c>
      <c r="T696" s="317">
        <v>87.03</v>
      </c>
      <c r="U696" s="317"/>
    </row>
    <row r="697" ht="20.25" hidden="1" customHeight="1" outlineLevel="1">
      <c r="A697" s="216" t="str">
        <f>IFERROR(__xludf.DUMMYFUNCTION("ARRAYFORMULA(IFERROR(VLOOKUP(REGEXEXTRACT(B697, ""-(\w+)-""), {Data_Validation!$F$16:$F$29, Data_Validation!$E$16:$E$29}, 2, FALSE), """"))
"),"TheMVP")</f>
        <v>TheMVP</v>
      </c>
      <c r="B697" s="265" t="s">
        <v>130</v>
      </c>
      <c r="D697" s="265" t="s">
        <v>38</v>
      </c>
      <c r="E697" s="265" t="s">
        <v>26</v>
      </c>
      <c r="F697" s="265" t="s">
        <v>131</v>
      </c>
      <c r="G697" s="265"/>
      <c r="H697" s="332">
        <v>45231.0</v>
      </c>
      <c r="I697" s="309">
        <v>1.0</v>
      </c>
      <c r="L697" s="311"/>
      <c r="M697" s="313"/>
      <c r="N697" s="313"/>
      <c r="O697" s="314"/>
      <c r="P697" s="314"/>
      <c r="Q697" s="319"/>
      <c r="R697" s="316"/>
      <c r="S697" s="317" t="s">
        <v>1368</v>
      </c>
      <c r="T697" s="317">
        <v>87.04</v>
      </c>
      <c r="U697" s="317"/>
    </row>
    <row r="698" ht="20.25" hidden="1" customHeight="1" outlineLevel="1">
      <c r="A698" s="216" t="str">
        <f>IFERROR(__xludf.DUMMYFUNCTION("ARRAYFORMULA(IFERROR(VLOOKUP(REGEXEXTRACT(B698, ""-(\w+)-""), {Data_Validation!$F$16:$F$29, Data_Validation!$E$16:$E$29}, 2, FALSE), """"))
"),"TheMVP")</f>
        <v>TheMVP</v>
      </c>
      <c r="B698" s="265" t="s">
        <v>132</v>
      </c>
      <c r="D698" s="265" t="s">
        <v>40</v>
      </c>
      <c r="E698" s="265" t="s">
        <v>26</v>
      </c>
      <c r="F698" s="265" t="s">
        <v>48</v>
      </c>
      <c r="G698" s="265"/>
      <c r="H698" s="332">
        <v>45235.0</v>
      </c>
      <c r="I698" s="309">
        <v>1.0</v>
      </c>
      <c r="L698" s="311"/>
      <c r="M698" s="313">
        <v>45233.78023916666</v>
      </c>
      <c r="N698" s="313">
        <v>45237.74838005787</v>
      </c>
      <c r="O698" s="314" t="s">
        <v>133</v>
      </c>
      <c r="P698" s="314" t="s">
        <v>134</v>
      </c>
      <c r="Q698" s="319" t="s">
        <v>31</v>
      </c>
      <c r="R698" s="316">
        <v>0.1694444444437977</v>
      </c>
      <c r="S698" s="317" t="s">
        <v>1368</v>
      </c>
      <c r="T698" s="317">
        <v>87.05</v>
      </c>
      <c r="U698" s="317"/>
    </row>
    <row r="699" ht="20.25" hidden="1" customHeight="1" outlineLevel="1">
      <c r="A699" s="216" t="str">
        <f>IFERROR(__xludf.DUMMYFUNCTION("ARRAYFORMULA(IFERROR(VLOOKUP(REGEXEXTRACT(B699, ""-(\w+)-""), {Data_Validation!$F$16:$F$29, Data_Validation!$E$16:$E$29}, 2, FALSE), """"))
"),"TheMVP")</f>
        <v>TheMVP</v>
      </c>
      <c r="B699" s="265" t="s">
        <v>135</v>
      </c>
      <c r="D699" s="265" t="s">
        <v>45</v>
      </c>
      <c r="E699" s="265" t="s">
        <v>26</v>
      </c>
      <c r="F699" s="265" t="s">
        <v>22</v>
      </c>
      <c r="G699" s="265"/>
      <c r="H699" s="332">
        <v>45236.0</v>
      </c>
      <c r="I699" s="309">
        <v>1.0</v>
      </c>
      <c r="L699" s="311"/>
      <c r="M699" s="313">
        <v>45237.52008108796</v>
      </c>
      <c r="N699" s="313">
        <v>45237.81165310185</v>
      </c>
      <c r="O699" s="314" t="s">
        <v>136</v>
      </c>
      <c r="P699" s="314" t="s">
        <v>137</v>
      </c>
      <c r="Q699" s="319" t="s">
        <v>31</v>
      </c>
      <c r="R699" s="316">
        <v>0.11388888888905058</v>
      </c>
      <c r="S699" s="317" t="s">
        <v>1368</v>
      </c>
      <c r="T699" s="317">
        <v>87.06</v>
      </c>
      <c r="U699" s="317"/>
    </row>
    <row r="700" ht="20.25" hidden="1" customHeight="1" outlineLevel="1">
      <c r="A700" s="216" t="str">
        <f>IFERROR(__xludf.DUMMYFUNCTION("ARRAYFORMULA(IFERROR(VLOOKUP(REGEXEXTRACT(B700, ""-(\w+)-""), {Data_Validation!$F$16:$F$29, Data_Validation!$E$16:$E$29}, 2, FALSE), """"))
"),"TheMVP")</f>
        <v>TheMVP</v>
      </c>
      <c r="B700" s="265" t="s">
        <v>138</v>
      </c>
      <c r="D700" s="265" t="s">
        <v>47</v>
      </c>
      <c r="E700" s="265" t="s">
        <v>26</v>
      </c>
      <c r="F700" s="265" t="s">
        <v>48</v>
      </c>
      <c r="G700" s="265"/>
      <c r="H700" s="332">
        <v>45237.0</v>
      </c>
      <c r="I700" s="309">
        <v>1.0</v>
      </c>
      <c r="L700" s="311"/>
      <c r="M700" s="313">
        <v>45237.749135254635</v>
      </c>
      <c r="N700" s="313">
        <v>45237.75047900463</v>
      </c>
      <c r="O700" s="314"/>
      <c r="P700" s="314"/>
      <c r="Q700" s="319" t="s">
        <v>31</v>
      </c>
      <c r="R700" s="316">
        <v>6.944444430700969E-4</v>
      </c>
      <c r="S700" s="317" t="s">
        <v>1368</v>
      </c>
      <c r="T700" s="317">
        <v>87.07</v>
      </c>
      <c r="U700" s="317"/>
    </row>
    <row r="701" ht="20.25" customHeight="1" collapsed="1">
      <c r="A701" s="216" t="str">
        <f>IFERROR(__xludf.DUMMYFUNCTION("ARRAYFORMULA(IFERROR(VLOOKUP(REGEXEXTRACT(B701, ""-(\w+)-""), {Data_Validation!$F$16:$F$29, Data_Validation!$E$16:$E$29}, 2, FALSE), """"))
"),"Nvidia")</f>
        <v>Nvidia</v>
      </c>
      <c r="B701" s="265" t="s">
        <v>542</v>
      </c>
      <c r="C701" s="265" t="s">
        <v>543</v>
      </c>
      <c r="D701" s="265"/>
      <c r="E701" s="265" t="s">
        <v>21</v>
      </c>
      <c r="F701" s="265" t="s">
        <v>41</v>
      </c>
      <c r="G701" s="265" t="s">
        <v>89</v>
      </c>
      <c r="H701" s="332">
        <v>45230.0</v>
      </c>
      <c r="I701" s="308"/>
      <c r="J701" s="309">
        <v>6.0</v>
      </c>
      <c r="L701" s="311"/>
      <c r="M701" s="313">
        <v>45196.662245706015</v>
      </c>
      <c r="N701" s="313">
        <v>45226.670165578704</v>
      </c>
      <c r="O701" s="314"/>
      <c r="P701" s="314"/>
      <c r="Q701" s="319"/>
      <c r="R701" s="316">
        <v>0.04930555555620231</v>
      </c>
      <c r="S701" s="317" t="s">
        <v>1378</v>
      </c>
      <c r="T701" s="317">
        <v>6.0</v>
      </c>
      <c r="U701" s="317"/>
    </row>
    <row r="702" ht="20.25" hidden="1" customHeight="1" outlineLevel="1">
      <c r="A702" s="216" t="str">
        <f>IFERROR(__xludf.DUMMYFUNCTION("ARRAYFORMULA(IFERROR(VLOOKUP(REGEXEXTRACT(B702, ""-(\w+)-""), {Data_Validation!$F$16:$F$29, Data_Validation!$E$16:$E$29}, 2, FALSE), """"))
"),"Nvidia")</f>
        <v>Nvidia</v>
      </c>
      <c r="B702" s="265" t="s">
        <v>544</v>
      </c>
      <c r="D702" s="265" t="s">
        <v>25</v>
      </c>
      <c r="E702" s="265" t="s">
        <v>26</v>
      </c>
      <c r="F702" s="265" t="s">
        <v>22</v>
      </c>
      <c r="G702" s="265" t="s">
        <v>545</v>
      </c>
      <c r="H702" s="332">
        <v>45195.42557921296</v>
      </c>
      <c r="I702" s="309">
        <v>1.0</v>
      </c>
      <c r="L702" s="311"/>
      <c r="M702" s="313"/>
      <c r="N702" s="313"/>
      <c r="O702" s="314"/>
      <c r="P702" s="314"/>
      <c r="Q702" s="319"/>
      <c r="R702" s="316"/>
      <c r="S702" s="317" t="s">
        <v>1378</v>
      </c>
      <c r="T702" s="317">
        <v>6.01</v>
      </c>
      <c r="U702" s="317"/>
    </row>
    <row r="703" ht="20.25" hidden="1" customHeight="1" outlineLevel="1">
      <c r="A703" s="216" t="str">
        <f>IFERROR(__xludf.DUMMYFUNCTION("ARRAYFORMULA(IFERROR(VLOOKUP(REGEXEXTRACT(B703, ""-(\w+)-""), {Data_Validation!$F$16:$F$29, Data_Validation!$E$16:$E$29}, 2, FALSE), """"))
"),"Nvidia")</f>
        <v>Nvidia</v>
      </c>
      <c r="B703" s="265" t="s">
        <v>546</v>
      </c>
      <c r="D703" s="265" t="s">
        <v>33</v>
      </c>
      <c r="E703" s="265" t="s">
        <v>26</v>
      </c>
      <c r="F703" s="265" t="s">
        <v>41</v>
      </c>
      <c r="G703" s="265"/>
      <c r="H703" s="332">
        <v>45195.0</v>
      </c>
      <c r="I703" s="309">
        <v>1.0</v>
      </c>
      <c r="L703" s="311"/>
      <c r="M703" s="313">
        <v>45196.662245706015</v>
      </c>
      <c r="N703" s="313">
        <v>45196.694170717594</v>
      </c>
      <c r="O703" s="314"/>
      <c r="P703" s="314"/>
      <c r="Q703" s="319" t="s">
        <v>31</v>
      </c>
      <c r="R703" s="316">
        <v>0.03125</v>
      </c>
      <c r="S703" s="317" t="s">
        <v>1378</v>
      </c>
      <c r="T703" s="317">
        <v>6.02</v>
      </c>
      <c r="U703" s="317"/>
    </row>
    <row r="704" ht="20.25" hidden="1" customHeight="1" outlineLevel="1">
      <c r="A704" s="216" t="str">
        <f>IFERROR(__xludf.DUMMYFUNCTION("ARRAYFORMULA(IFERROR(VLOOKUP(REGEXEXTRACT(B704, ""-(\w+)-""), {Data_Validation!$F$16:$F$29, Data_Validation!$E$16:$E$29}, 2, FALSE), """"))
"),"Nvidia")</f>
        <v>Nvidia</v>
      </c>
      <c r="B704" s="265" t="s">
        <v>547</v>
      </c>
      <c r="D704" s="265" t="s">
        <v>533</v>
      </c>
      <c r="E704" s="265" t="s">
        <v>26</v>
      </c>
      <c r="F704" s="265" t="s">
        <v>22</v>
      </c>
      <c r="G704" s="265"/>
      <c r="H704" s="332">
        <v>45201.42557921296</v>
      </c>
      <c r="I704" s="309">
        <v>1.0</v>
      </c>
      <c r="L704" s="311"/>
      <c r="M704" s="313"/>
      <c r="N704" s="313"/>
      <c r="O704" s="314"/>
      <c r="P704" s="314"/>
      <c r="Q704" s="319"/>
      <c r="R704" s="316"/>
      <c r="S704" s="317" t="s">
        <v>1378</v>
      </c>
      <c r="T704" s="317">
        <v>6.04</v>
      </c>
      <c r="U704" s="317"/>
    </row>
    <row r="705" ht="20.25" hidden="1" customHeight="1" outlineLevel="1">
      <c r="A705" s="216" t="str">
        <f>IFERROR(__xludf.DUMMYFUNCTION("ARRAYFORMULA(IFERROR(VLOOKUP(REGEXEXTRACT(B705, ""-(\w+)-""), {Data_Validation!$F$16:$F$29, Data_Validation!$E$16:$E$29}, 2, FALSE), """"))
"),"Nvidia")</f>
        <v>Nvidia</v>
      </c>
      <c r="B705" s="265" t="s">
        <v>548</v>
      </c>
      <c r="D705" s="265" t="s">
        <v>40</v>
      </c>
      <c r="E705" s="265" t="s">
        <v>26</v>
      </c>
      <c r="F705" s="265" t="s">
        <v>236</v>
      </c>
      <c r="G705" s="265" t="s">
        <v>535</v>
      </c>
      <c r="H705" s="332">
        <v>45215.0</v>
      </c>
      <c r="I705" s="309">
        <v>1.0</v>
      </c>
      <c r="L705" s="311"/>
      <c r="M705" s="313">
        <v>45211.09227149306</v>
      </c>
      <c r="N705" s="313">
        <v>45226.670165578704</v>
      </c>
      <c r="O705" s="314" t="s">
        <v>549</v>
      </c>
      <c r="P705" s="314" t="s">
        <v>550</v>
      </c>
      <c r="Q705" s="319" t="s">
        <v>31</v>
      </c>
      <c r="R705" s="316">
        <v>0.008333333335031057</v>
      </c>
      <c r="S705" s="317" t="s">
        <v>1378</v>
      </c>
      <c r="T705" s="317">
        <v>6.05</v>
      </c>
      <c r="U705" s="317"/>
    </row>
    <row r="706" ht="20.25" hidden="1" customHeight="1" outlineLevel="1">
      <c r="A706" s="216" t="str">
        <f>IFERROR(__xludf.DUMMYFUNCTION("ARRAYFORMULA(IFERROR(VLOOKUP(REGEXEXTRACT(B706, ""-(\w+)-""), {Data_Validation!$F$16:$F$29, Data_Validation!$E$16:$E$29}, 2, FALSE), """"))
"),"Nvidia")</f>
        <v>Nvidia</v>
      </c>
      <c r="B706" s="265" t="s">
        <v>551</v>
      </c>
      <c r="D706" s="265" t="s">
        <v>303</v>
      </c>
      <c r="E706" s="265" t="s">
        <v>26</v>
      </c>
      <c r="F706" s="265" t="s">
        <v>41</v>
      </c>
      <c r="G706" s="265"/>
      <c r="H706" s="332">
        <v>45207.0</v>
      </c>
      <c r="I706" s="309">
        <v>1.0</v>
      </c>
      <c r="L706" s="311"/>
      <c r="M706" s="313">
        <v>45208.477741435185</v>
      </c>
      <c r="N706" s="313">
        <v>45209.43407993056</v>
      </c>
      <c r="O706" s="314" t="s">
        <v>552</v>
      </c>
      <c r="P706" s="314" t="s">
        <v>553</v>
      </c>
      <c r="Q706" s="319" t="s">
        <v>31</v>
      </c>
      <c r="R706" s="316">
        <v>0.00972222222117125</v>
      </c>
      <c r="S706" s="317" t="s">
        <v>1378</v>
      </c>
      <c r="T706" s="317">
        <v>6.06</v>
      </c>
      <c r="U706" s="317"/>
    </row>
    <row r="707" ht="20.25" hidden="1" customHeight="1" outlineLevel="1">
      <c r="A707" s="216" t="str">
        <f>IFERROR(__xludf.DUMMYFUNCTION("ARRAYFORMULA(IFERROR(VLOOKUP(REGEXEXTRACT(B707, ""-(\w+)-""), {Data_Validation!$F$16:$F$29, Data_Validation!$E$16:$E$29}, 2, FALSE), """"))
"),"Nvidia")</f>
        <v>Nvidia</v>
      </c>
      <c r="B707" s="265" t="s">
        <v>554</v>
      </c>
      <c r="D707" s="265" t="s">
        <v>47</v>
      </c>
      <c r="E707" s="265" t="s">
        <v>26</v>
      </c>
      <c r="F707" s="265" t="s">
        <v>22</v>
      </c>
      <c r="G707" s="265"/>
      <c r="H707" s="332">
        <v>45230.0</v>
      </c>
      <c r="I707" s="309">
        <v>1.0</v>
      </c>
      <c r="L707" s="311"/>
      <c r="M707" s="313"/>
      <c r="N707" s="313"/>
      <c r="O707" s="314"/>
      <c r="P707" s="314"/>
      <c r="Q707" s="319"/>
      <c r="R707" s="316"/>
      <c r="S707" s="317" t="s">
        <v>1378</v>
      </c>
      <c r="T707" s="317">
        <v>6.07</v>
      </c>
      <c r="U707" s="317"/>
    </row>
    <row r="708" ht="20.25" customHeight="1" collapsed="1">
      <c r="A708" s="216" t="str">
        <f>IFERROR(__xludf.DUMMYFUNCTION("ARRAYFORMULA(IFERROR(VLOOKUP(REGEXEXTRACT(B708, ""-(\w+)-""), {Data_Validation!$F$16:$F$29, Data_Validation!$E$16:$E$29}, 2, FALSE), """"))
"),"Nvidia")</f>
        <v>Nvidia</v>
      </c>
      <c r="B708" s="265" t="s">
        <v>555</v>
      </c>
      <c r="C708" s="265" t="s">
        <v>556</v>
      </c>
      <c r="D708" s="265"/>
      <c r="E708" s="265" t="s">
        <v>21</v>
      </c>
      <c r="F708" s="265" t="s">
        <v>41</v>
      </c>
      <c r="G708" s="265" t="s">
        <v>89</v>
      </c>
      <c r="H708" s="332">
        <v>45230.0</v>
      </c>
      <c r="I708" s="308"/>
      <c r="J708" s="309">
        <v>7.0</v>
      </c>
      <c r="L708" s="311"/>
      <c r="M708" s="313">
        <v>45198.70438388889</v>
      </c>
      <c r="N708" s="313">
        <v>45220.54492082176</v>
      </c>
      <c r="O708" s="314"/>
      <c r="P708" s="314"/>
      <c r="Q708" s="319"/>
      <c r="R708" s="316">
        <v>0.7430555555547471</v>
      </c>
      <c r="S708" s="317" t="s">
        <v>1378</v>
      </c>
      <c r="T708" s="317">
        <v>8.0</v>
      </c>
      <c r="U708" s="317"/>
    </row>
    <row r="709" ht="20.25" hidden="1" customHeight="1" outlineLevel="1">
      <c r="A709" s="216" t="str">
        <f>IFERROR(__xludf.DUMMYFUNCTION("ARRAYFORMULA(IFERROR(VLOOKUP(REGEXEXTRACT(B709, ""-(\w+)-""), {Data_Validation!$F$16:$F$29, Data_Validation!$E$16:$E$29}, 2, FALSE), """"))
"),"Nvidia")</f>
        <v>Nvidia</v>
      </c>
      <c r="B709" s="265" t="s">
        <v>557</v>
      </c>
      <c r="D709" s="265" t="s">
        <v>25</v>
      </c>
      <c r="E709" s="265" t="s">
        <v>26</v>
      </c>
      <c r="F709" s="265" t="s">
        <v>236</v>
      </c>
      <c r="G709" s="265" t="s">
        <v>558</v>
      </c>
      <c r="H709" s="332">
        <v>45207.0</v>
      </c>
      <c r="I709" s="309">
        <v>1.0</v>
      </c>
      <c r="L709" s="311"/>
      <c r="M709" s="313">
        <v>45209.80595166667</v>
      </c>
      <c r="N709" s="313">
        <v>45220.54492082176</v>
      </c>
      <c r="O709" s="314" t="s">
        <v>559</v>
      </c>
      <c r="P709" s="314" t="s">
        <v>560</v>
      </c>
      <c r="Q709" s="319" t="s">
        <v>31</v>
      </c>
      <c r="R709" s="316">
        <v>0.6833333333343035</v>
      </c>
      <c r="S709" s="317" t="s">
        <v>1378</v>
      </c>
      <c r="T709" s="317">
        <v>8.01</v>
      </c>
      <c r="U709" s="317"/>
    </row>
    <row r="710" ht="20.25" hidden="1" customHeight="1" outlineLevel="1">
      <c r="A710" s="216" t="str">
        <f>IFERROR(__xludf.DUMMYFUNCTION("ARRAYFORMULA(IFERROR(VLOOKUP(REGEXEXTRACT(B710, ""-(\w+)-""), {Data_Validation!$F$16:$F$29, Data_Validation!$E$16:$E$29}, 2, FALSE), """"))
"),"Nvidia")</f>
        <v>Nvidia</v>
      </c>
      <c r="B710" s="265" t="s">
        <v>561</v>
      </c>
      <c r="D710" s="265" t="s">
        <v>33</v>
      </c>
      <c r="E710" s="265" t="s">
        <v>26</v>
      </c>
      <c r="F710" s="265" t="s">
        <v>41</v>
      </c>
      <c r="G710" s="265"/>
      <c r="H710" s="332">
        <v>45198.0</v>
      </c>
      <c r="I710" s="309">
        <v>1.0</v>
      </c>
      <c r="L710" s="311"/>
      <c r="M710" s="313">
        <v>45198.70438388889</v>
      </c>
      <c r="N710" s="313">
        <v>45198.76148773148</v>
      </c>
      <c r="O710" s="314"/>
      <c r="P710" s="314"/>
      <c r="Q710" s="319" t="s">
        <v>31</v>
      </c>
      <c r="R710" s="316">
        <v>0.05694444444452529</v>
      </c>
      <c r="S710" s="317" t="s">
        <v>1378</v>
      </c>
      <c r="T710" s="317">
        <v>8.02</v>
      </c>
      <c r="U710" s="317"/>
    </row>
    <row r="711" ht="20.25" hidden="1" customHeight="1" outlineLevel="1">
      <c r="A711" s="216" t="str">
        <f>IFERROR(__xludf.DUMMYFUNCTION("ARRAYFORMULA(IFERROR(VLOOKUP(REGEXEXTRACT(B711, ""-(\w+)-""), {Data_Validation!$F$16:$F$29, Data_Validation!$E$16:$E$29}, 2, FALSE), """"))
"),"Nvidia")</f>
        <v>Nvidia</v>
      </c>
      <c r="B711" s="265" t="s">
        <v>562</v>
      </c>
      <c r="D711" s="265" t="s">
        <v>533</v>
      </c>
      <c r="E711" s="265" t="s">
        <v>26</v>
      </c>
      <c r="F711" s="265" t="s">
        <v>41</v>
      </c>
      <c r="G711" s="265"/>
      <c r="H711" s="332">
        <v>45207.0</v>
      </c>
      <c r="I711" s="309">
        <v>1.0</v>
      </c>
      <c r="L711" s="311"/>
      <c r="M711" s="313">
        <v>45209.802613657404</v>
      </c>
      <c r="N711" s="313">
        <v>45209.80324299769</v>
      </c>
      <c r="O711" s="314"/>
      <c r="P711" s="314"/>
      <c r="Q711" s="319" t="s">
        <v>31</v>
      </c>
      <c r="R711" s="316">
        <v>0.0</v>
      </c>
      <c r="S711" s="317" t="s">
        <v>1378</v>
      </c>
      <c r="T711" s="317">
        <v>8.04</v>
      </c>
      <c r="U711" s="317"/>
    </row>
    <row r="712" ht="20.25" hidden="1" customHeight="1" outlineLevel="1">
      <c r="A712" s="216" t="str">
        <f>IFERROR(__xludf.DUMMYFUNCTION("ARRAYFORMULA(IFERROR(VLOOKUP(REGEXEXTRACT(B712, ""-(\w+)-""), {Data_Validation!$F$16:$F$29, Data_Validation!$E$16:$E$29}, 2, FALSE), """"))
"),"Nvidia")</f>
        <v>Nvidia</v>
      </c>
      <c r="B712" s="265" t="s">
        <v>563</v>
      </c>
      <c r="D712" s="265" t="s">
        <v>112</v>
      </c>
      <c r="E712" s="265" t="s">
        <v>26</v>
      </c>
      <c r="F712" s="265" t="s">
        <v>22</v>
      </c>
      <c r="G712" s="265"/>
      <c r="H712" s="332">
        <v>45227.0</v>
      </c>
      <c r="I712" s="309">
        <v>1.0</v>
      </c>
      <c r="L712" s="311"/>
      <c r="M712" s="313"/>
      <c r="N712" s="313"/>
      <c r="O712" s="314"/>
      <c r="P712" s="314"/>
      <c r="Q712" s="319"/>
      <c r="R712" s="316"/>
      <c r="S712" s="317"/>
      <c r="T712" s="317"/>
      <c r="U712" s="317"/>
    </row>
    <row r="713" ht="20.25" hidden="1" customHeight="1" outlineLevel="1">
      <c r="A713" s="216" t="str">
        <f>IFERROR(__xludf.DUMMYFUNCTION("ARRAYFORMULA(IFERROR(VLOOKUP(REGEXEXTRACT(B713, ""-(\w+)-""), {Data_Validation!$F$16:$F$29, Data_Validation!$E$16:$E$29}, 2, FALSE), """"))
"),"Nvidia")</f>
        <v>Nvidia</v>
      </c>
      <c r="B713" s="265" t="s">
        <v>564</v>
      </c>
      <c r="D713" s="265" t="s">
        <v>40</v>
      </c>
      <c r="E713" s="265" t="s">
        <v>26</v>
      </c>
      <c r="F713" s="265" t="s">
        <v>236</v>
      </c>
      <c r="G713" s="265"/>
      <c r="H713" s="332">
        <v>45227.0</v>
      </c>
      <c r="I713" s="309">
        <v>1.0</v>
      </c>
      <c r="L713" s="311"/>
      <c r="M713" s="313"/>
      <c r="N713" s="313"/>
      <c r="O713" s="314"/>
      <c r="P713" s="314"/>
      <c r="Q713" s="319"/>
      <c r="R713" s="316"/>
      <c r="S713" s="317" t="s">
        <v>1378</v>
      </c>
      <c r="T713" s="317">
        <v>8.06</v>
      </c>
      <c r="U713" s="317"/>
    </row>
    <row r="714" ht="20.25" hidden="1" customHeight="1" outlineLevel="1">
      <c r="A714" s="216" t="str">
        <f>IFERROR(__xludf.DUMMYFUNCTION("ARRAYFORMULA(IFERROR(VLOOKUP(REGEXEXTRACT(B714, ""-(\w+)-""), {Data_Validation!$F$16:$F$29, Data_Validation!$E$16:$E$29}, 2, FALSE), """"))
"),"Nvidia")</f>
        <v>Nvidia</v>
      </c>
      <c r="B714" s="265" t="s">
        <v>565</v>
      </c>
      <c r="D714" s="265" t="s">
        <v>303</v>
      </c>
      <c r="E714" s="265" t="s">
        <v>26</v>
      </c>
      <c r="F714" s="265" t="s">
        <v>41</v>
      </c>
      <c r="G714" s="265"/>
      <c r="H714" s="332">
        <v>45209.0</v>
      </c>
      <c r="I714" s="309">
        <v>1.0</v>
      </c>
      <c r="L714" s="311"/>
      <c r="M714" s="313">
        <v>45209.727357384254</v>
      </c>
      <c r="N714" s="313">
        <v>45209.802193298616</v>
      </c>
      <c r="O714" s="314" t="s">
        <v>566</v>
      </c>
      <c r="P714" s="314" t="s">
        <v>567</v>
      </c>
      <c r="Q714" s="319" t="s">
        <v>31</v>
      </c>
      <c r="R714" s="316">
        <v>0.002777777779556345</v>
      </c>
      <c r="S714" s="317" t="s">
        <v>1378</v>
      </c>
      <c r="T714" s="317">
        <v>8.07</v>
      </c>
      <c r="U714" s="317"/>
    </row>
    <row r="715" ht="20.25" hidden="1" customHeight="1" outlineLevel="1">
      <c r="A715" s="216" t="str">
        <f>IFERROR(__xludf.DUMMYFUNCTION("ARRAYFORMULA(IFERROR(VLOOKUP(REGEXEXTRACT(B715, ""-(\w+)-""), {Data_Validation!$F$16:$F$29, Data_Validation!$E$16:$E$29}, 2, FALSE), """"))
"),"Nvidia")</f>
        <v>Nvidia</v>
      </c>
      <c r="B715" s="265" t="s">
        <v>568</v>
      </c>
      <c r="D715" s="265" t="s">
        <v>47</v>
      </c>
      <c r="E715" s="265" t="s">
        <v>26</v>
      </c>
      <c r="F715" s="265" t="s">
        <v>22</v>
      </c>
      <c r="G715" s="265"/>
      <c r="H715" s="332">
        <v>45230.0</v>
      </c>
      <c r="I715" s="309">
        <v>1.0</v>
      </c>
      <c r="L715" s="311"/>
      <c r="M715" s="313"/>
      <c r="N715" s="313"/>
      <c r="O715" s="314"/>
      <c r="P715" s="314"/>
      <c r="Q715" s="319"/>
      <c r="R715" s="316"/>
      <c r="S715" s="317" t="s">
        <v>1378</v>
      </c>
      <c r="T715" s="317">
        <v>8.08</v>
      </c>
      <c r="U715" s="317"/>
    </row>
    <row r="716" ht="20.25" customHeight="1" collapsed="1">
      <c r="A716" s="216" t="str">
        <f>IFERROR(__xludf.DUMMYFUNCTION("ARRAYFORMULA(IFERROR(VLOOKUP(REGEXEXTRACT(B716, ""-(\w+)-""), {Data_Validation!$F$16:$F$29, Data_Validation!$E$16:$E$29}, 2, FALSE), """"))
"),"Nvidia")</f>
        <v>Nvidia</v>
      </c>
      <c r="B716" s="265" t="s">
        <v>569</v>
      </c>
      <c r="C716" s="265" t="s">
        <v>570</v>
      </c>
      <c r="D716" s="265"/>
      <c r="E716" s="265" t="s">
        <v>21</v>
      </c>
      <c r="F716" s="265" t="s">
        <v>41</v>
      </c>
      <c r="G716" s="265" t="s">
        <v>89</v>
      </c>
      <c r="H716" s="332">
        <v>45230.0</v>
      </c>
      <c r="I716" s="308"/>
      <c r="J716" s="309">
        <v>5.0</v>
      </c>
      <c r="L716" s="311"/>
      <c r="M716" s="313">
        <v>45198.6514372338</v>
      </c>
      <c r="N716" s="313">
        <v>45209.78035555556</v>
      </c>
      <c r="O716" s="314"/>
      <c r="P716" s="314"/>
      <c r="Q716" s="319"/>
      <c r="R716" s="316">
        <v>0.0319444444430701</v>
      </c>
      <c r="S716" s="317" t="s">
        <v>1378</v>
      </c>
      <c r="T716" s="317">
        <v>4.0</v>
      </c>
      <c r="U716" s="317"/>
    </row>
    <row r="717" ht="20.25" hidden="1" customHeight="1" outlineLevel="1">
      <c r="A717" s="216" t="str">
        <f>IFERROR(__xludf.DUMMYFUNCTION("ARRAYFORMULA(IFERROR(VLOOKUP(REGEXEXTRACT(B717, ""-(\w+)-""), {Data_Validation!$F$16:$F$29, Data_Validation!$E$16:$E$29}, 2, FALSE), """"))
"),"Nvidia")</f>
        <v>Nvidia</v>
      </c>
      <c r="B717" s="265" t="s">
        <v>571</v>
      </c>
      <c r="D717" s="265" t="s">
        <v>25</v>
      </c>
      <c r="E717" s="265" t="s">
        <v>26</v>
      </c>
      <c r="F717" s="265" t="s">
        <v>22</v>
      </c>
      <c r="G717" s="265" t="s">
        <v>572</v>
      </c>
      <c r="H717" s="332">
        <v>45192.0</v>
      </c>
      <c r="I717" s="309">
        <v>1.0</v>
      </c>
      <c r="L717" s="311"/>
      <c r="M717" s="313"/>
      <c r="N717" s="313"/>
      <c r="O717" s="314"/>
      <c r="P717" s="314"/>
      <c r="Q717" s="319"/>
      <c r="R717" s="316"/>
      <c r="S717" s="317" t="s">
        <v>1378</v>
      </c>
      <c r="T717" s="317">
        <v>4.01</v>
      </c>
      <c r="U717" s="317"/>
    </row>
    <row r="718" ht="20.25" hidden="1" customHeight="1" outlineLevel="1">
      <c r="A718" s="216" t="str">
        <f>IFERROR(__xludf.DUMMYFUNCTION("ARRAYFORMULA(IFERROR(VLOOKUP(REGEXEXTRACT(B718, ""-(\w+)-""), {Data_Validation!$F$16:$F$29, Data_Validation!$E$16:$E$29}, 2, FALSE), """"))
"),"Nvidia")</f>
        <v>Nvidia</v>
      </c>
      <c r="B718" s="265" t="s">
        <v>573</v>
      </c>
      <c r="D718" s="265" t="s">
        <v>33</v>
      </c>
      <c r="E718" s="265" t="s">
        <v>26</v>
      </c>
      <c r="F718" s="265" t="s">
        <v>41</v>
      </c>
      <c r="G718" s="265"/>
      <c r="H718" s="332">
        <v>45197.0</v>
      </c>
      <c r="I718" s="309">
        <v>1.0</v>
      </c>
      <c r="L718" s="311"/>
      <c r="M718" s="313">
        <v>45198.6514372338</v>
      </c>
      <c r="N718" s="313">
        <v>45198.67078219907</v>
      </c>
      <c r="O718" s="314"/>
      <c r="P718" s="314"/>
      <c r="Q718" s="319" t="s">
        <v>31</v>
      </c>
      <c r="R718" s="316">
        <v>0.018749999999272404</v>
      </c>
      <c r="S718" s="317" t="s">
        <v>1378</v>
      </c>
      <c r="T718" s="317">
        <v>4.02</v>
      </c>
      <c r="U718" s="317"/>
    </row>
    <row r="719" ht="20.25" hidden="1" customHeight="1" outlineLevel="1">
      <c r="A719" s="216" t="str">
        <f>IFERROR(__xludf.DUMMYFUNCTION("ARRAYFORMULA(IFERROR(VLOOKUP(REGEXEXTRACT(B719, ""-(\w+)-""), {Data_Validation!$F$16:$F$29, Data_Validation!$E$16:$E$29}, 2, FALSE), """"))
"),"Nvidia")</f>
        <v>Nvidia</v>
      </c>
      <c r="B719" s="265" t="s">
        <v>574</v>
      </c>
      <c r="D719" s="265" t="s">
        <v>533</v>
      </c>
      <c r="E719" s="265" t="s">
        <v>26</v>
      </c>
      <c r="F719" s="265" t="s">
        <v>41</v>
      </c>
      <c r="G719" s="265"/>
      <c r="H719" s="332">
        <v>45208.0</v>
      </c>
      <c r="I719" s="309">
        <v>1.0</v>
      </c>
      <c r="L719" s="311"/>
      <c r="M719" s="313">
        <v>45209.76657082176</v>
      </c>
      <c r="N719" s="313">
        <v>45209.78035555556</v>
      </c>
      <c r="O719" s="314" t="s">
        <v>575</v>
      </c>
      <c r="P719" s="314" t="s">
        <v>576</v>
      </c>
      <c r="Q719" s="319" t="s">
        <v>31</v>
      </c>
      <c r="R719" s="316">
        <v>0.013194444443797693</v>
      </c>
      <c r="S719" s="317" t="s">
        <v>1378</v>
      </c>
      <c r="T719" s="317">
        <v>4.05</v>
      </c>
      <c r="U719" s="317"/>
    </row>
    <row r="720" ht="20.25" hidden="1" customHeight="1" outlineLevel="1">
      <c r="A720" s="216" t="str">
        <f>IFERROR(__xludf.DUMMYFUNCTION("ARRAYFORMULA(IFERROR(VLOOKUP(REGEXEXTRACT(B720, ""-(\w+)-""), {Data_Validation!$F$16:$F$29, Data_Validation!$E$16:$E$29}, 2, FALSE), """"))
"),"Nvidia")</f>
        <v>Nvidia</v>
      </c>
      <c r="B720" s="265" t="s">
        <v>577</v>
      </c>
      <c r="D720" s="265" t="s">
        <v>40</v>
      </c>
      <c r="E720" s="265" t="s">
        <v>26</v>
      </c>
      <c r="F720" s="265" t="s">
        <v>236</v>
      </c>
      <c r="G720" s="265" t="s">
        <v>237</v>
      </c>
      <c r="H720" s="332">
        <v>45228.0</v>
      </c>
      <c r="I720" s="309">
        <v>1.0</v>
      </c>
      <c r="L720" s="311"/>
      <c r="M720" s="313"/>
      <c r="N720" s="313"/>
      <c r="O720" s="314"/>
      <c r="P720" s="314"/>
      <c r="Q720" s="319"/>
      <c r="R720" s="316"/>
      <c r="S720" s="317" t="s">
        <v>1378</v>
      </c>
      <c r="T720" s="317">
        <v>4.06</v>
      </c>
      <c r="U720" s="317"/>
    </row>
    <row r="721" ht="20.25" hidden="1" customHeight="1" outlineLevel="1">
      <c r="A721" s="216" t="str">
        <f>IFERROR(__xludf.DUMMYFUNCTION("ARRAYFORMULA(IFERROR(VLOOKUP(REGEXEXTRACT(B721, ""-(\w+)-""), {Data_Validation!$F$16:$F$29, Data_Validation!$E$16:$E$29}, 2, FALSE), """"))
"),"Nvidia")</f>
        <v>Nvidia</v>
      </c>
      <c r="B721" s="265" t="s">
        <v>578</v>
      </c>
      <c r="D721" s="265" t="s">
        <v>47</v>
      </c>
      <c r="E721" s="265" t="s">
        <v>26</v>
      </c>
      <c r="F721" s="265" t="s">
        <v>22</v>
      </c>
      <c r="G721" s="265"/>
      <c r="H721" s="332">
        <v>45230.0</v>
      </c>
      <c r="I721" s="309">
        <v>1.0</v>
      </c>
      <c r="L721" s="311"/>
      <c r="M721" s="313"/>
      <c r="N721" s="313"/>
      <c r="O721" s="314"/>
      <c r="P721" s="314"/>
      <c r="Q721" s="319"/>
      <c r="R721" s="316"/>
      <c r="S721" s="317" t="s">
        <v>1378</v>
      </c>
      <c r="T721" s="317">
        <v>4.07</v>
      </c>
      <c r="U721" s="317"/>
    </row>
    <row r="722" ht="20.25" customHeight="1" collapsed="1">
      <c r="A722" s="216" t="str">
        <f>IFERROR(__xludf.DUMMYFUNCTION("ARRAYFORMULA(IFERROR(VLOOKUP(REGEXEXTRACT(B722, ""-(\w+)-""), {Data_Validation!$F$16:$F$29, Data_Validation!$E$16:$E$29}, 2, FALSE), """"))
"),"Nvidia")</f>
        <v>Nvidia</v>
      </c>
      <c r="B722" s="265" t="s">
        <v>597</v>
      </c>
      <c r="C722" s="265" t="s">
        <v>598</v>
      </c>
      <c r="D722" s="265"/>
      <c r="E722" s="265" t="s">
        <v>21</v>
      </c>
      <c r="F722" s="265" t="s">
        <v>41</v>
      </c>
      <c r="G722" s="265" t="s">
        <v>89</v>
      </c>
      <c r="H722" s="332">
        <v>45230.0</v>
      </c>
      <c r="I722" s="308"/>
      <c r="J722" s="309">
        <v>6.0</v>
      </c>
      <c r="L722" s="311"/>
      <c r="M722" s="313">
        <v>45208.49501672454</v>
      </c>
      <c r="N722" s="313">
        <v>45220.544984328706</v>
      </c>
      <c r="O722" s="314"/>
      <c r="P722" s="314"/>
      <c r="Q722" s="319"/>
      <c r="R722" s="316">
        <v>0.03263888888977817</v>
      </c>
      <c r="S722" s="317" t="s">
        <v>1378</v>
      </c>
      <c r="T722" s="317">
        <v>10.0</v>
      </c>
      <c r="U722" s="317"/>
    </row>
    <row r="723" ht="20.25" hidden="1" customHeight="1" outlineLevel="1">
      <c r="A723" s="216" t="str">
        <f>IFERROR(__xludf.DUMMYFUNCTION("ARRAYFORMULA(IFERROR(VLOOKUP(REGEXEXTRACT(B723, ""-(\w+)-""), {Data_Validation!$F$16:$F$29, Data_Validation!$E$16:$E$29}, 2, FALSE), """"))
"),"Nvidia")</f>
        <v>Nvidia</v>
      </c>
      <c r="B723" s="265" t="s">
        <v>599</v>
      </c>
      <c r="D723" s="265" t="s">
        <v>25</v>
      </c>
      <c r="E723" s="265" t="s">
        <v>26</v>
      </c>
      <c r="F723" s="265" t="s">
        <v>236</v>
      </c>
      <c r="G723" s="265" t="s">
        <v>600</v>
      </c>
      <c r="H723" s="332">
        <v>45207.0</v>
      </c>
      <c r="I723" s="309">
        <v>1.0</v>
      </c>
      <c r="L723" s="311"/>
      <c r="M723" s="313"/>
      <c r="N723" s="313"/>
      <c r="O723" s="314"/>
      <c r="P723" s="314"/>
      <c r="Q723" s="319"/>
      <c r="R723" s="316"/>
      <c r="S723" s="317" t="s">
        <v>1378</v>
      </c>
      <c r="T723" s="317">
        <v>10.01</v>
      </c>
      <c r="U723" s="317"/>
    </row>
    <row r="724" ht="20.25" hidden="1" customHeight="1" outlineLevel="1">
      <c r="A724" s="216" t="str">
        <f>IFERROR(__xludf.DUMMYFUNCTION("ARRAYFORMULA(IFERROR(VLOOKUP(REGEXEXTRACT(B724, ""-(\w+)-""), {Data_Validation!$F$16:$F$29, Data_Validation!$E$16:$E$29}, 2, FALSE), """"))
"),"Nvidia")</f>
        <v>Nvidia</v>
      </c>
      <c r="B724" s="265" t="s">
        <v>601</v>
      </c>
      <c r="D724" s="265" t="s">
        <v>33</v>
      </c>
      <c r="E724" s="265" t="s">
        <v>26</v>
      </c>
      <c r="F724" s="265" t="s">
        <v>41</v>
      </c>
      <c r="G724" s="265"/>
      <c r="H724" s="332">
        <v>45198.0</v>
      </c>
      <c r="I724" s="309">
        <v>1.0</v>
      </c>
      <c r="L724" s="311"/>
      <c r="M724" s="313"/>
      <c r="N724" s="313"/>
      <c r="O724" s="314"/>
      <c r="P724" s="314"/>
      <c r="Q724" s="319"/>
      <c r="R724" s="316"/>
      <c r="S724" s="317" t="s">
        <v>1378</v>
      </c>
      <c r="T724" s="317">
        <v>10.02</v>
      </c>
      <c r="U724" s="317"/>
    </row>
    <row r="725" ht="20.25" hidden="1" customHeight="1" outlineLevel="1">
      <c r="A725" s="216" t="str">
        <f>IFERROR(__xludf.DUMMYFUNCTION("ARRAYFORMULA(IFERROR(VLOOKUP(REGEXEXTRACT(B725, ""-(\w+)-""), {Data_Validation!$F$16:$F$29, Data_Validation!$E$16:$E$29}, 2, FALSE), """"))
"),"Nvidia")</f>
        <v>Nvidia</v>
      </c>
      <c r="B725" s="265" t="s">
        <v>602</v>
      </c>
      <c r="D725" s="265" t="s">
        <v>303</v>
      </c>
      <c r="E725" s="265" t="s">
        <v>26</v>
      </c>
      <c r="F725" s="265" t="s">
        <v>41</v>
      </c>
      <c r="G725" s="265"/>
      <c r="H725" s="332">
        <v>45207.0</v>
      </c>
      <c r="I725" s="309">
        <v>1.0</v>
      </c>
      <c r="L725" s="311"/>
      <c r="M725" s="313">
        <v>45209.80150288194</v>
      </c>
      <c r="N725" s="313">
        <v>45209.802548796295</v>
      </c>
      <c r="O725" s="314" t="s">
        <v>603</v>
      </c>
      <c r="P725" s="314" t="s">
        <v>604</v>
      </c>
      <c r="Q725" s="319" t="s">
        <v>31</v>
      </c>
      <c r="R725" s="316">
        <v>0.0</v>
      </c>
      <c r="S725" s="317" t="s">
        <v>1378</v>
      </c>
      <c r="T725" s="317">
        <v>10.04</v>
      </c>
      <c r="U725" s="317"/>
    </row>
    <row r="726" ht="20.25" hidden="1" customHeight="1" outlineLevel="1">
      <c r="A726" s="216" t="str">
        <f>IFERROR(__xludf.DUMMYFUNCTION("ARRAYFORMULA(IFERROR(VLOOKUP(REGEXEXTRACT(B726, ""-(\w+)-""), {Data_Validation!$F$16:$F$29, Data_Validation!$E$16:$E$29}, 2, FALSE), """"))
"),"Nvidia")</f>
        <v>Nvidia</v>
      </c>
      <c r="B726" s="265" t="s">
        <v>605</v>
      </c>
      <c r="D726" s="265" t="s">
        <v>40</v>
      </c>
      <c r="E726" s="265" t="s">
        <v>26</v>
      </c>
      <c r="F726" s="265" t="s">
        <v>236</v>
      </c>
      <c r="G726" s="265"/>
      <c r="H726" s="332">
        <v>45208.0</v>
      </c>
      <c r="I726" s="309">
        <v>1.0</v>
      </c>
      <c r="L726" s="311"/>
      <c r="M726" s="313">
        <v>45211.11320502315</v>
      </c>
      <c r="N726" s="313">
        <v>45220.544984328706</v>
      </c>
      <c r="O726" s="314" t="s">
        <v>606</v>
      </c>
      <c r="P726" s="314" t="s">
        <v>607</v>
      </c>
      <c r="Q726" s="319" t="s">
        <v>31</v>
      </c>
      <c r="R726" s="316">
        <v>0.009027777778101154</v>
      </c>
      <c r="S726" s="317" t="s">
        <v>1378</v>
      </c>
      <c r="T726" s="317">
        <v>10.05</v>
      </c>
      <c r="U726" s="317"/>
    </row>
    <row r="727" ht="20.25" hidden="1" customHeight="1" outlineLevel="1">
      <c r="A727" s="216" t="str">
        <f>IFERROR(__xludf.DUMMYFUNCTION("ARRAYFORMULA(IFERROR(VLOOKUP(REGEXEXTRACT(B727, ""-(\w+)-""), {Data_Validation!$F$16:$F$29, Data_Validation!$E$16:$E$29}, 2, FALSE), """"))
"),"Nvidia")</f>
        <v>Nvidia</v>
      </c>
      <c r="B727" s="265" t="s">
        <v>608</v>
      </c>
      <c r="D727" s="265" t="s">
        <v>609</v>
      </c>
      <c r="E727" s="265" t="s">
        <v>26</v>
      </c>
      <c r="F727" s="265" t="s">
        <v>22</v>
      </c>
      <c r="G727" s="265"/>
      <c r="H727" s="332">
        <v>45209.0</v>
      </c>
      <c r="I727" s="309">
        <v>1.0</v>
      </c>
      <c r="L727" s="311"/>
      <c r="M727" s="313">
        <v>45208.49501672454</v>
      </c>
      <c r="N727" s="313">
        <v>45208.556445636576</v>
      </c>
      <c r="O727" s="314" t="s">
        <v>610</v>
      </c>
      <c r="P727" s="314" t="s">
        <v>611</v>
      </c>
      <c r="Q727" s="319" t="s">
        <v>31</v>
      </c>
      <c r="R727" s="316">
        <v>0.02361111111167702</v>
      </c>
      <c r="S727" s="317" t="s">
        <v>1378</v>
      </c>
      <c r="T727" s="317">
        <v>10.06</v>
      </c>
      <c r="U727" s="317"/>
    </row>
    <row r="728" ht="20.25" hidden="1" customHeight="1" outlineLevel="1">
      <c r="A728" s="216" t="str">
        <f>IFERROR(__xludf.DUMMYFUNCTION("ARRAYFORMULA(IFERROR(VLOOKUP(REGEXEXTRACT(B728, ""-(\w+)-""), {Data_Validation!$F$16:$F$29, Data_Validation!$E$16:$E$29}, 2, FALSE), """"))
"),"Nvidia")</f>
        <v>Nvidia</v>
      </c>
      <c r="B728" s="265" t="s">
        <v>612</v>
      </c>
      <c r="D728" s="265" t="s">
        <v>47</v>
      </c>
      <c r="E728" s="265" t="s">
        <v>26</v>
      </c>
      <c r="F728" s="265" t="s">
        <v>22</v>
      </c>
      <c r="G728" s="265"/>
      <c r="H728" s="332">
        <v>45230.0</v>
      </c>
      <c r="I728" s="309">
        <v>1.0</v>
      </c>
      <c r="L728" s="311"/>
      <c r="M728" s="313"/>
      <c r="N728" s="313"/>
      <c r="O728" s="314"/>
      <c r="P728" s="314"/>
      <c r="Q728" s="319"/>
      <c r="R728" s="316"/>
      <c r="S728" s="317" t="s">
        <v>1378</v>
      </c>
      <c r="T728" s="317">
        <v>10.07</v>
      </c>
      <c r="U728" s="317"/>
    </row>
    <row r="729" ht="20.25" customHeight="1" collapsed="1">
      <c r="A729" s="216" t="str">
        <f>IFERROR(__xludf.DUMMYFUNCTION("ARRAYFORMULA(IFERROR(VLOOKUP(REGEXEXTRACT(B729, ""-(\w+)-""), {Data_Validation!$F$16:$F$29, Data_Validation!$E$16:$E$29}, 2, FALSE), """"))
"),"Inno3D")</f>
        <v>Inno3D</v>
      </c>
      <c r="B729" s="265" t="s">
        <v>899</v>
      </c>
      <c r="C729" s="265" t="s">
        <v>900</v>
      </c>
      <c r="D729" s="265"/>
      <c r="E729" s="265" t="s">
        <v>51</v>
      </c>
      <c r="F729" s="265" t="s">
        <v>41</v>
      </c>
      <c r="G729" s="265" t="s">
        <v>63</v>
      </c>
      <c r="H729" s="332">
        <v>45238.0</v>
      </c>
      <c r="I729" s="308"/>
      <c r="J729" s="309">
        <v>2.0</v>
      </c>
      <c r="L729" s="311"/>
      <c r="M729" s="313">
        <v>45236.45787283564</v>
      </c>
      <c r="N729" s="313">
        <v>45236.459047233795</v>
      </c>
      <c r="O729" s="314"/>
      <c r="P729" s="314"/>
      <c r="Q729" s="319"/>
      <c r="R729" s="316">
        <v>6.944444430700969E-4</v>
      </c>
      <c r="S729" s="317" t="s">
        <v>1394</v>
      </c>
      <c r="T729" s="317">
        <v>26.0</v>
      </c>
      <c r="U729" s="317"/>
    </row>
    <row r="730" ht="20.25" hidden="1" customHeight="1" outlineLevel="1">
      <c r="A730" s="216" t="str">
        <f>IFERROR(__xludf.DUMMYFUNCTION("ARRAYFORMULA(IFERROR(VLOOKUP(REGEXEXTRACT(B730, ""-(\w+)-""), {Data_Validation!$F$16:$F$29, Data_Validation!$E$16:$E$29}, 2, FALSE), """"))
"),"Inno3D")</f>
        <v>Inno3D</v>
      </c>
      <c r="B730" s="265" t="s">
        <v>901</v>
      </c>
      <c r="D730" s="265" t="s">
        <v>40</v>
      </c>
      <c r="E730" s="265" t="s">
        <v>26</v>
      </c>
      <c r="F730" s="265" t="s">
        <v>41</v>
      </c>
      <c r="G730" s="265"/>
      <c r="H730" s="332">
        <v>45236.0</v>
      </c>
      <c r="I730" s="309">
        <v>1.0</v>
      </c>
      <c r="L730" s="311"/>
      <c r="M730" s="313">
        <v>45236.45787283564</v>
      </c>
      <c r="N730" s="313">
        <v>45236.459047233795</v>
      </c>
      <c r="O730" s="314"/>
      <c r="P730" s="314"/>
      <c r="Q730" s="319" t="s">
        <v>31</v>
      </c>
      <c r="R730" s="316">
        <v>6.944444430700969E-4</v>
      </c>
      <c r="S730" s="317"/>
      <c r="T730" s="317"/>
      <c r="U730" s="317"/>
    </row>
    <row r="731" ht="20.25" hidden="1" customHeight="1" outlineLevel="1">
      <c r="A731" s="216" t="str">
        <f>IFERROR(__xludf.DUMMYFUNCTION("ARRAYFORMULA(IFERROR(VLOOKUP(REGEXEXTRACT(B731, ""-(\w+)-""), {Data_Validation!$F$16:$F$29, Data_Validation!$E$16:$E$29}, 2, FALSE), """"))
"),"Inno3D")</f>
        <v>Inno3D</v>
      </c>
      <c r="B731" s="265" t="s">
        <v>902</v>
      </c>
      <c r="D731" s="265" t="s">
        <v>47</v>
      </c>
      <c r="E731" s="265" t="s">
        <v>26</v>
      </c>
      <c r="F731" s="265" t="s">
        <v>41</v>
      </c>
      <c r="G731" s="265"/>
      <c r="H731" s="332">
        <v>45238.0</v>
      </c>
      <c r="I731" s="309">
        <v>1.0</v>
      </c>
      <c r="L731" s="311"/>
      <c r="M731" s="313"/>
      <c r="N731" s="313"/>
      <c r="O731" s="314"/>
      <c r="P731" s="314"/>
      <c r="Q731" s="319"/>
      <c r="R731" s="316"/>
      <c r="S731" s="317"/>
      <c r="T731" s="317"/>
      <c r="U731" s="317"/>
    </row>
    <row r="732" ht="20.25" customHeight="1" collapsed="1">
      <c r="A732" s="216" t="str">
        <f>IFERROR(__xludf.DUMMYFUNCTION("ARRAYFORMULA(IFERROR(VLOOKUP(REGEXEXTRACT(B732, ""-(\w+)-""), {Data_Validation!$F$16:$F$29, Data_Validation!$E$16:$E$29}, 2, FALSE), """"))
"),"Colorful Tech")</f>
        <v>Colorful Tech</v>
      </c>
      <c r="B732" s="265" t="s">
        <v>645</v>
      </c>
      <c r="C732" s="265" t="s">
        <v>646</v>
      </c>
      <c r="D732" s="265"/>
      <c r="E732" s="265" t="s">
        <v>21</v>
      </c>
      <c r="F732" s="265" t="s">
        <v>48</v>
      </c>
      <c r="G732" s="265" t="s">
        <v>89</v>
      </c>
      <c r="H732" s="332">
        <v>45238.0</v>
      </c>
      <c r="I732" s="308"/>
      <c r="J732" s="309">
        <v>4.0</v>
      </c>
      <c r="L732" s="311"/>
      <c r="M732" s="313">
        <v>45238.589895219906</v>
      </c>
      <c r="N732" s="313">
        <v>45238.59308380787</v>
      </c>
      <c r="O732" s="314"/>
      <c r="P732" s="314"/>
      <c r="Q732" s="319"/>
      <c r="R732" s="316">
        <v>0.002777777777777778</v>
      </c>
      <c r="S732" s="317" t="s">
        <v>1375</v>
      </c>
      <c r="T732" s="317">
        <v>14.0</v>
      </c>
      <c r="U732" s="317"/>
    </row>
    <row r="733" ht="20.25" hidden="1" customHeight="1" outlineLevel="1">
      <c r="A733" s="216" t="str">
        <f>IFERROR(__xludf.DUMMYFUNCTION("ARRAYFORMULA(IFERROR(VLOOKUP(REGEXEXTRACT(B733, ""-(\w+)-""), {Data_Validation!$F$16:$F$29, Data_Validation!$E$16:$E$29}, 2, FALSE), """"))
"),"Colorful Tech")</f>
        <v>Colorful Tech</v>
      </c>
      <c r="B733" s="265" t="s">
        <v>647</v>
      </c>
      <c r="D733" s="265" t="s">
        <v>33</v>
      </c>
      <c r="E733" s="265" t="s">
        <v>26</v>
      </c>
      <c r="F733" s="265" t="s">
        <v>34</v>
      </c>
      <c r="G733" s="265"/>
      <c r="H733" s="332">
        <v>45233.0</v>
      </c>
      <c r="I733" s="309">
        <v>1.0</v>
      </c>
      <c r="L733" s="311"/>
      <c r="M733" s="313"/>
      <c r="N733" s="313"/>
      <c r="O733" s="314"/>
      <c r="P733" s="314"/>
      <c r="Q733" s="319"/>
      <c r="R733" s="316"/>
      <c r="S733" s="317"/>
      <c r="T733" s="317"/>
      <c r="U733" s="317"/>
    </row>
    <row r="734" ht="20.25" hidden="1" customHeight="1" outlineLevel="1">
      <c r="A734" s="216" t="str">
        <f>IFERROR(__xludf.DUMMYFUNCTION("ARRAYFORMULA(IFERROR(VLOOKUP(REGEXEXTRACT(B734, ""-(\w+)-""), {Data_Validation!$F$16:$F$29, Data_Validation!$E$16:$E$29}, 2, FALSE), """"))
"),"Colorful Tech")</f>
        <v>Colorful Tech</v>
      </c>
      <c r="B734" s="265" t="s">
        <v>648</v>
      </c>
      <c r="D734" s="265" t="s">
        <v>40</v>
      </c>
      <c r="E734" s="265" t="s">
        <v>26</v>
      </c>
      <c r="F734" s="265" t="s">
        <v>34</v>
      </c>
      <c r="G734" s="265"/>
      <c r="H734" s="332">
        <v>45233.0</v>
      </c>
      <c r="I734" s="309">
        <v>1.0</v>
      </c>
      <c r="L734" s="311"/>
      <c r="M734" s="313"/>
      <c r="N734" s="313"/>
      <c r="O734" s="314"/>
      <c r="P734" s="314"/>
      <c r="Q734" s="319"/>
      <c r="R734" s="316"/>
      <c r="S734" s="317"/>
      <c r="T734" s="317"/>
      <c r="U734" s="317"/>
    </row>
    <row r="735" ht="20.25" hidden="1" customHeight="1" outlineLevel="1">
      <c r="A735" s="216" t="str">
        <f>IFERROR(__xludf.DUMMYFUNCTION("ARRAYFORMULA(IFERROR(VLOOKUP(REGEXEXTRACT(B735, ""-(\w+)-""), {Data_Validation!$F$16:$F$29, Data_Validation!$E$16:$E$29}, 2, FALSE), """"))
"),"Colorful Tech")</f>
        <v>Colorful Tech</v>
      </c>
      <c r="B735" s="265" t="s">
        <v>649</v>
      </c>
      <c r="D735" s="265" t="s">
        <v>303</v>
      </c>
      <c r="E735" s="265" t="s">
        <v>26</v>
      </c>
      <c r="F735" s="265" t="s">
        <v>34</v>
      </c>
      <c r="G735" s="265"/>
      <c r="H735" s="332">
        <v>45233.0</v>
      </c>
      <c r="I735" s="309">
        <v>1.0</v>
      </c>
      <c r="L735" s="311"/>
      <c r="M735" s="313"/>
      <c r="N735" s="313"/>
      <c r="O735" s="314"/>
      <c r="P735" s="314"/>
      <c r="Q735" s="319"/>
      <c r="R735" s="316"/>
      <c r="S735" s="317"/>
      <c r="T735" s="317"/>
      <c r="U735" s="317"/>
    </row>
    <row r="736" ht="20.25" hidden="1" customHeight="1" outlineLevel="1">
      <c r="A736" s="216" t="str">
        <f>IFERROR(__xludf.DUMMYFUNCTION("ARRAYFORMULA(IFERROR(VLOOKUP(REGEXEXTRACT(B736, ""-(\w+)-""), {Data_Validation!$F$16:$F$29, Data_Validation!$E$16:$E$29}, 2, FALSE), """"))
"),"Colorful Tech")</f>
        <v>Colorful Tech</v>
      </c>
      <c r="B736" s="265" t="s">
        <v>650</v>
      </c>
      <c r="D736" s="265" t="s">
        <v>47</v>
      </c>
      <c r="E736" s="265" t="s">
        <v>26</v>
      </c>
      <c r="F736" s="265" t="s">
        <v>48</v>
      </c>
      <c r="G736" s="265"/>
      <c r="H736" s="332">
        <v>45238.0</v>
      </c>
      <c r="I736" s="309">
        <v>1.0</v>
      </c>
      <c r="L736" s="311"/>
      <c r="M736" s="313">
        <v>45238.589895219906</v>
      </c>
      <c r="N736" s="313">
        <v>45238.59308380787</v>
      </c>
      <c r="O736" s="314"/>
      <c r="P736" s="314"/>
      <c r="Q736" s="319" t="s">
        <v>31</v>
      </c>
      <c r="R736" s="316">
        <v>0.002777777779556345</v>
      </c>
      <c r="S736" s="317"/>
      <c r="T736" s="317"/>
      <c r="U736" s="317"/>
    </row>
    <row r="737" ht="20.25" customHeight="1" collapsed="1">
      <c r="A737" s="216" t="str">
        <f>IFERROR(__xludf.DUMMYFUNCTION("ARRAYFORMULA(IFERROR(VLOOKUP(REGEXEXTRACT(B737, ""-(\w+)-""), {Data_Validation!$F$16:$F$29, Data_Validation!$E$16:$E$29}, 2, FALSE), """"))
"),"TheMVP")</f>
        <v>TheMVP</v>
      </c>
      <c r="B737" s="265" t="s">
        <v>148</v>
      </c>
      <c r="C737" s="265" t="s">
        <v>149</v>
      </c>
      <c r="D737" s="265"/>
      <c r="E737" s="265" t="s">
        <v>21</v>
      </c>
      <c r="F737" s="265" t="s">
        <v>22</v>
      </c>
      <c r="G737" s="265" t="s">
        <v>79</v>
      </c>
      <c r="H737" s="332">
        <v>45238.0</v>
      </c>
      <c r="I737" s="308"/>
      <c r="J737" s="309">
        <v>4.0</v>
      </c>
      <c r="L737" s="311"/>
      <c r="M737" s="313">
        <v>45237.541983981486</v>
      </c>
      <c r="N737" s="313">
        <v>45238.71315398148</v>
      </c>
      <c r="O737" s="314"/>
      <c r="P737" s="314"/>
      <c r="Q737" s="319"/>
      <c r="R737" s="316">
        <v>0.15763888888977817</v>
      </c>
      <c r="S737" s="317" t="s">
        <v>1368</v>
      </c>
      <c r="T737" s="317">
        <v>90.0</v>
      </c>
      <c r="U737" s="317"/>
    </row>
    <row r="738" ht="20.25" hidden="1" customHeight="1" outlineLevel="1">
      <c r="A738" s="216" t="str">
        <f>IFERROR(__xludf.DUMMYFUNCTION("ARRAYFORMULA(IFERROR(VLOOKUP(REGEXEXTRACT(B738, ""-(\w+)-""), {Data_Validation!$F$16:$F$29, Data_Validation!$E$16:$E$29}, 2, FALSE), """"))
"),"TheMVP")</f>
        <v>TheMVP</v>
      </c>
      <c r="B738" s="265" t="s">
        <v>150</v>
      </c>
      <c r="D738" s="265" t="s">
        <v>125</v>
      </c>
      <c r="E738" s="265" t="s">
        <v>26</v>
      </c>
      <c r="F738" s="265" t="s">
        <v>48</v>
      </c>
      <c r="G738" s="265" t="s">
        <v>151</v>
      </c>
      <c r="H738" s="332">
        <v>45235.0</v>
      </c>
      <c r="I738" s="309">
        <v>1.0</v>
      </c>
      <c r="L738" s="311"/>
      <c r="M738" s="313">
        <v>45237.72536773148</v>
      </c>
      <c r="N738" s="313">
        <v>45237.728070972225</v>
      </c>
      <c r="O738" s="314" t="s">
        <v>152</v>
      </c>
      <c r="P738" s="314" t="s">
        <v>153</v>
      </c>
      <c r="Q738" s="319" t="s">
        <v>31</v>
      </c>
      <c r="R738" s="316">
        <v>0.0013888888897781726</v>
      </c>
      <c r="S738" s="317" t="s">
        <v>1368</v>
      </c>
      <c r="T738" s="317">
        <v>90.01</v>
      </c>
      <c r="U738" s="317"/>
    </row>
    <row r="739" ht="20.25" hidden="1" customHeight="1" outlineLevel="1">
      <c r="A739" s="216" t="str">
        <f>IFERROR(__xludf.DUMMYFUNCTION("ARRAYFORMULA(IFERROR(VLOOKUP(REGEXEXTRACT(B739, ""-(\w+)-""), {Data_Validation!$F$16:$F$29, Data_Validation!$E$16:$E$29}, 2, FALSE), """"))
"),"TheMVP")</f>
        <v>TheMVP</v>
      </c>
      <c r="B739" s="265" t="s">
        <v>154</v>
      </c>
      <c r="D739" s="265" t="s">
        <v>40</v>
      </c>
      <c r="E739" s="265" t="s">
        <v>26</v>
      </c>
      <c r="F739" s="265" t="s">
        <v>34</v>
      </c>
      <c r="G739" s="265"/>
      <c r="H739" s="332">
        <v>45236.0</v>
      </c>
      <c r="I739" s="309">
        <v>1.0</v>
      </c>
      <c r="L739" s="311"/>
      <c r="M739" s="313">
        <v>45237.541983981486</v>
      </c>
      <c r="N739" s="313">
        <v>45238.7000245949</v>
      </c>
      <c r="O739" s="314" t="s">
        <v>155</v>
      </c>
      <c r="P739" s="314" t="s">
        <v>156</v>
      </c>
      <c r="Q739" s="319" t="s">
        <v>31</v>
      </c>
      <c r="R739" s="316">
        <v>0.15138888888759539</v>
      </c>
      <c r="S739" s="317" t="s">
        <v>1368</v>
      </c>
      <c r="T739" s="317">
        <v>90.05</v>
      </c>
      <c r="U739" s="317"/>
    </row>
    <row r="740" ht="20.25" hidden="1" customHeight="1" outlineLevel="1">
      <c r="A740" s="216" t="str">
        <f>IFERROR(__xludf.DUMMYFUNCTION("ARRAYFORMULA(IFERROR(VLOOKUP(REGEXEXTRACT(B740, ""-(\w+)-""), {Data_Validation!$F$16:$F$29, Data_Validation!$E$16:$E$29}, 2, FALSE), """"))
"),"TheMVP")</f>
        <v>TheMVP</v>
      </c>
      <c r="B740" s="265" t="s">
        <v>157</v>
      </c>
      <c r="D740" s="265" t="s">
        <v>45</v>
      </c>
      <c r="E740" s="265" t="s">
        <v>26</v>
      </c>
      <c r="F740" s="265" t="s">
        <v>34</v>
      </c>
      <c r="G740" s="265"/>
      <c r="H740" s="332">
        <v>45238.0</v>
      </c>
      <c r="I740" s="309">
        <v>1.0</v>
      </c>
      <c r="L740" s="311"/>
      <c r="M740" s="313"/>
      <c r="N740" s="313"/>
      <c r="O740" s="314"/>
      <c r="P740" s="314"/>
      <c r="Q740" s="319"/>
      <c r="R740" s="316"/>
      <c r="S740" s="317" t="s">
        <v>1368</v>
      </c>
      <c r="T740" s="317">
        <v>90.06</v>
      </c>
      <c r="U740" s="317"/>
    </row>
    <row r="741" ht="20.25" hidden="1" customHeight="1" outlineLevel="1">
      <c r="A741" s="216" t="str">
        <f>IFERROR(__xludf.DUMMYFUNCTION("ARRAYFORMULA(IFERROR(VLOOKUP(REGEXEXTRACT(B741, ""-(\w+)-""), {Data_Validation!$F$16:$F$29, Data_Validation!$E$16:$E$29}, 2, FALSE), """"))
"),"TheMVP")</f>
        <v>TheMVP</v>
      </c>
      <c r="B741" s="265" t="s">
        <v>158</v>
      </c>
      <c r="D741" s="265" t="s">
        <v>47</v>
      </c>
      <c r="E741" s="265" t="s">
        <v>26</v>
      </c>
      <c r="F741" s="265" t="s">
        <v>48</v>
      </c>
      <c r="G741" s="265"/>
      <c r="H741" s="332">
        <v>45238.0</v>
      </c>
      <c r="I741" s="309">
        <v>1.0</v>
      </c>
      <c r="L741" s="311"/>
      <c r="M741" s="313">
        <v>45238.70795979167</v>
      </c>
      <c r="N741" s="313">
        <v>45238.71315398148</v>
      </c>
      <c r="O741" s="314"/>
      <c r="P741" s="314"/>
      <c r="Q741" s="319" t="s">
        <v>31</v>
      </c>
      <c r="R741" s="316">
        <v>0.004861111112404615</v>
      </c>
      <c r="S741" s="317" t="s">
        <v>1368</v>
      </c>
      <c r="T741" s="317">
        <v>90.07</v>
      </c>
      <c r="U741" s="317"/>
    </row>
    <row r="742" ht="20.25" customHeight="1" collapsed="1">
      <c r="A742" s="216" t="str">
        <f>IFERROR(__xludf.DUMMYFUNCTION("ARRAYFORMULA(IFERROR(VLOOKUP(REGEXEXTRACT(B742, ""-(\w+)-""), {Data_Validation!$F$16:$F$29, Data_Validation!$E$16:$E$29}, 2, FALSE), """"))
"),"TheMVP")</f>
        <v>TheMVP</v>
      </c>
      <c r="B742" s="265" t="s">
        <v>106</v>
      </c>
      <c r="C742" s="265" t="s">
        <v>107</v>
      </c>
      <c r="D742" s="265"/>
      <c r="E742" s="265" t="s">
        <v>21</v>
      </c>
      <c r="F742" s="265" t="s">
        <v>41</v>
      </c>
      <c r="G742" s="265" t="s">
        <v>63</v>
      </c>
      <c r="H742" s="332">
        <v>45238.0</v>
      </c>
      <c r="I742" s="308"/>
      <c r="J742" s="309">
        <v>5.0</v>
      </c>
      <c r="L742" s="311"/>
      <c r="M742" s="313">
        <v>45232.62370795139</v>
      </c>
      <c r="N742" s="313">
        <v>45238.721685069446</v>
      </c>
      <c r="O742" s="314"/>
      <c r="P742" s="314"/>
      <c r="Q742" s="319"/>
      <c r="R742" s="316">
        <v>1.1145833333321207</v>
      </c>
      <c r="S742" s="317" t="s">
        <v>1368</v>
      </c>
      <c r="T742" s="317">
        <v>44.0</v>
      </c>
      <c r="U742" s="317"/>
    </row>
    <row r="743" ht="20.25" hidden="1" customHeight="1" outlineLevel="1">
      <c r="A743" s="216" t="str">
        <f>IFERROR(__xludf.DUMMYFUNCTION("ARRAYFORMULA(IFERROR(VLOOKUP(REGEXEXTRACT(B743, ""-(\w+)-""), {Data_Validation!$F$16:$F$29, Data_Validation!$E$16:$E$29}, 2, FALSE), """"))
"),"TheMVP")</f>
        <v>TheMVP</v>
      </c>
      <c r="B743" s="265" t="s">
        <v>108</v>
      </c>
      <c r="D743" s="265" t="s">
        <v>25</v>
      </c>
      <c r="E743" s="265" t="s">
        <v>26</v>
      </c>
      <c r="F743" s="265" t="s">
        <v>22</v>
      </c>
      <c r="G743" s="265" t="s">
        <v>107</v>
      </c>
      <c r="H743" s="332">
        <v>45236.0</v>
      </c>
      <c r="I743" s="309">
        <v>1.0</v>
      </c>
      <c r="L743" s="311"/>
      <c r="M743" s="313">
        <v>45232.62370795139</v>
      </c>
      <c r="N743" s="313">
        <v>45236.81968001157</v>
      </c>
      <c r="O743" s="314" t="s">
        <v>109</v>
      </c>
      <c r="P743" s="314" t="s">
        <v>110</v>
      </c>
      <c r="Q743" s="319" t="s">
        <v>31</v>
      </c>
      <c r="R743" s="316">
        <v>0.8562500000007276</v>
      </c>
      <c r="S743" s="317" t="s">
        <v>1368</v>
      </c>
      <c r="T743" s="317">
        <v>44.01</v>
      </c>
      <c r="U743" s="317"/>
    </row>
    <row r="744" ht="20.25" hidden="1" customHeight="1" outlineLevel="1">
      <c r="A744" s="216" t="str">
        <f>IFERROR(__xludf.DUMMYFUNCTION("ARRAYFORMULA(IFERROR(VLOOKUP(REGEXEXTRACT(B744, ""-(\w+)-""), {Data_Validation!$F$16:$F$29, Data_Validation!$E$16:$E$29}, 2, FALSE), """"))
"),"TheMVP")</f>
        <v>TheMVP</v>
      </c>
      <c r="B744" s="265" t="s">
        <v>111</v>
      </c>
      <c r="D744" s="265" t="s">
        <v>112</v>
      </c>
      <c r="E744" s="265" t="s">
        <v>26</v>
      </c>
      <c r="F744" s="265" t="s">
        <v>48</v>
      </c>
      <c r="G744" s="265"/>
      <c r="H744" s="332">
        <v>45237.0</v>
      </c>
      <c r="I744" s="309">
        <v>1.0</v>
      </c>
      <c r="L744" s="311"/>
      <c r="M744" s="313">
        <v>45237.42474188657</v>
      </c>
      <c r="N744" s="313">
        <v>45237.42933966435</v>
      </c>
      <c r="O744" s="314"/>
      <c r="P744" s="314"/>
      <c r="Q744" s="319" t="s">
        <v>31</v>
      </c>
      <c r="R744" s="316">
        <v>0.004166666665696539</v>
      </c>
      <c r="S744" s="317" t="s">
        <v>1368</v>
      </c>
      <c r="T744" s="317">
        <v>44.02</v>
      </c>
      <c r="U744" s="317"/>
    </row>
    <row r="745" ht="20.25" hidden="1" customHeight="1" outlineLevel="1">
      <c r="A745" s="216" t="str">
        <f>IFERROR(__xludf.DUMMYFUNCTION("ARRAYFORMULA(IFERROR(VLOOKUP(REGEXEXTRACT(B745, ""-(\w+)-""), {Data_Validation!$F$16:$F$29, Data_Validation!$E$16:$E$29}, 2, FALSE), """"))
"),"TheMVP")</f>
        <v>TheMVP</v>
      </c>
      <c r="B745" s="265" t="s">
        <v>113</v>
      </c>
      <c r="D745" s="265" t="s">
        <v>40</v>
      </c>
      <c r="E745" s="265" t="s">
        <v>26</v>
      </c>
      <c r="F745" s="265" t="s">
        <v>27</v>
      </c>
      <c r="G745" s="265"/>
      <c r="H745" s="332">
        <v>45237.0</v>
      </c>
      <c r="I745" s="309">
        <v>1.0</v>
      </c>
      <c r="L745" s="311"/>
      <c r="M745" s="313">
        <v>45237.53054920139</v>
      </c>
      <c r="N745" s="313">
        <v>45238.646677453704</v>
      </c>
      <c r="O745" s="314" t="s">
        <v>114</v>
      </c>
      <c r="P745" s="314" t="s">
        <v>115</v>
      </c>
      <c r="Q745" s="319" t="s">
        <v>31</v>
      </c>
      <c r="R745" s="316">
        <v>0.22638888888832298</v>
      </c>
      <c r="S745" s="317" t="s">
        <v>1368</v>
      </c>
      <c r="T745" s="317">
        <v>44.05</v>
      </c>
      <c r="U745" s="317"/>
    </row>
    <row r="746" ht="20.25" hidden="1" customHeight="1" outlineLevel="1">
      <c r="A746" s="216" t="str">
        <f>IFERROR(__xludf.DUMMYFUNCTION("ARRAYFORMULA(IFERROR(VLOOKUP(REGEXEXTRACT(B746, ""-(\w+)-""), {Data_Validation!$F$16:$F$29, Data_Validation!$E$16:$E$29}, 2, FALSE), """"))
"),"TheMVP")</f>
        <v>TheMVP</v>
      </c>
      <c r="B746" s="265" t="s">
        <v>116</v>
      </c>
      <c r="D746" s="265" t="s">
        <v>45</v>
      </c>
      <c r="E746" s="265" t="s">
        <v>26</v>
      </c>
      <c r="F746" s="265" t="s">
        <v>41</v>
      </c>
      <c r="G746" s="265"/>
      <c r="H746" s="332">
        <v>45237.0</v>
      </c>
      <c r="I746" s="309">
        <v>1.0</v>
      </c>
      <c r="L746" s="311"/>
      <c r="M746" s="313">
        <v>45237.47351998843</v>
      </c>
      <c r="N746" s="313">
        <v>45237.50104762732</v>
      </c>
      <c r="O746" s="314"/>
      <c r="P746" s="314"/>
      <c r="Q746" s="319" t="s">
        <v>31</v>
      </c>
      <c r="R746" s="316">
        <v>0.02708333333430346</v>
      </c>
      <c r="S746" s="317" t="s">
        <v>1368</v>
      </c>
      <c r="T746" s="317">
        <v>44.06</v>
      </c>
      <c r="U746" s="317"/>
    </row>
    <row r="747" ht="20.25" hidden="1" customHeight="1" outlineLevel="1">
      <c r="A747" s="216" t="str">
        <f>IFERROR(__xludf.DUMMYFUNCTION("ARRAYFORMULA(IFERROR(VLOOKUP(REGEXEXTRACT(B747, ""-(\w+)-""), {Data_Validation!$F$16:$F$29, Data_Validation!$E$16:$E$29}, 2, FALSE), """"))
"),"TheMVP")</f>
        <v>TheMVP</v>
      </c>
      <c r="B747" s="265" t="s">
        <v>117</v>
      </c>
      <c r="D747" s="265" t="s">
        <v>47</v>
      </c>
      <c r="E747" s="265" t="s">
        <v>26</v>
      </c>
      <c r="F747" s="265" t="s">
        <v>48</v>
      </c>
      <c r="G747" s="265"/>
      <c r="H747" s="332">
        <v>45238.0</v>
      </c>
      <c r="I747" s="309">
        <v>1.0</v>
      </c>
      <c r="L747" s="311"/>
      <c r="M747" s="313">
        <v>45238.72075890047</v>
      </c>
      <c r="N747" s="313">
        <v>45238.721685069446</v>
      </c>
      <c r="O747" s="314"/>
      <c r="P747" s="314"/>
      <c r="Q747" s="319" t="s">
        <v>31</v>
      </c>
      <c r="R747" s="316">
        <v>6.944444430700969E-4</v>
      </c>
      <c r="S747" s="317" t="s">
        <v>1368</v>
      </c>
      <c r="T747" s="317">
        <v>44.07</v>
      </c>
      <c r="U747" s="317"/>
    </row>
    <row r="748" ht="20.25" customHeight="1" collapsed="1">
      <c r="A748" s="216" t="str">
        <f>IFERROR(__xludf.DUMMYFUNCTION("ARRAYFORMULA(IFERROR(VLOOKUP(REGEXEXTRACT(B748, ""-(\w+)-""), {Data_Validation!$F$16:$F$29, Data_Validation!$E$16:$E$29}, 2, FALSE), """"))
"),"TheMVP")</f>
        <v>TheMVP</v>
      </c>
      <c r="B748" s="265" t="s">
        <v>173</v>
      </c>
      <c r="C748" s="265" t="s">
        <v>174</v>
      </c>
      <c r="D748" s="265"/>
      <c r="E748" s="265" t="s">
        <v>102</v>
      </c>
      <c r="F748" s="265" t="s">
        <v>22</v>
      </c>
      <c r="G748" s="265" t="s">
        <v>89</v>
      </c>
      <c r="H748" s="332">
        <v>45238.0</v>
      </c>
      <c r="I748" s="308"/>
      <c r="J748" s="309">
        <v>1.0</v>
      </c>
      <c r="L748" s="311"/>
      <c r="M748" s="313">
        <v>0.0</v>
      </c>
      <c r="N748" s="313">
        <v>0.0</v>
      </c>
      <c r="O748" s="314"/>
      <c r="P748" s="314"/>
      <c r="Q748" s="319"/>
      <c r="R748" s="316">
        <v>0.0</v>
      </c>
      <c r="S748" s="317" t="s">
        <v>1368</v>
      </c>
      <c r="T748" s="317">
        <v>105.0</v>
      </c>
      <c r="U748" s="317"/>
    </row>
    <row r="749" ht="20.25" hidden="1" customHeight="1" outlineLevel="1">
      <c r="A749" s="216" t="str">
        <f>IFERROR(__xludf.DUMMYFUNCTION("ARRAYFORMULA(IFERROR(VLOOKUP(REGEXEXTRACT(B749, ""-(\w+)-""), {Data_Validation!$F$16:$F$29, Data_Validation!$E$16:$E$29}, 2, FALSE), """"))
"),"TheMVP")</f>
        <v>TheMVP</v>
      </c>
      <c r="B749" s="265" t="s">
        <v>175</v>
      </c>
      <c r="D749" s="265" t="s">
        <v>47</v>
      </c>
      <c r="E749" s="265" t="s">
        <v>26</v>
      </c>
      <c r="F749" s="265" t="s">
        <v>22</v>
      </c>
      <c r="G749" s="265"/>
      <c r="H749" s="332">
        <v>45238.0</v>
      </c>
      <c r="I749" s="309">
        <v>1.0</v>
      </c>
      <c r="L749" s="311"/>
      <c r="M749" s="313"/>
      <c r="N749" s="313"/>
      <c r="O749" s="314"/>
      <c r="P749" s="314"/>
      <c r="Q749" s="319"/>
      <c r="R749" s="316"/>
      <c r="S749" s="317" t="s">
        <v>1368</v>
      </c>
      <c r="T749" s="317">
        <v>105.04</v>
      </c>
      <c r="U749" s="317"/>
    </row>
    <row r="750" ht="20.25" customHeight="1" collapsed="1">
      <c r="A750" s="216" t="str">
        <f>IFERROR(__xludf.DUMMYFUNCTION("ARRAYFORMULA(IFERROR(VLOOKUP(REGEXEXTRACT(B750, ""-(\w+)-""), {Data_Validation!$F$16:$F$29, Data_Validation!$E$16:$E$29}, 2, FALSE), """"))
"),"Inno3D")</f>
        <v>Inno3D</v>
      </c>
      <c r="B750" s="265" t="s">
        <v>903</v>
      </c>
      <c r="C750" s="265" t="s">
        <v>904</v>
      </c>
      <c r="D750" s="265"/>
      <c r="E750" s="265" t="s">
        <v>51</v>
      </c>
      <c r="F750" s="265" t="s">
        <v>41</v>
      </c>
      <c r="G750" s="265" t="s">
        <v>63</v>
      </c>
      <c r="H750" s="332">
        <v>45239.0</v>
      </c>
      <c r="I750" s="308"/>
      <c r="J750" s="309">
        <v>2.0</v>
      </c>
      <c r="L750" s="311"/>
      <c r="M750" s="313">
        <v>45239.52775815972</v>
      </c>
      <c r="N750" s="313">
        <v>45239.528074456015</v>
      </c>
      <c r="O750" s="314"/>
      <c r="P750" s="314"/>
      <c r="Q750" s="319"/>
      <c r="R750" s="316">
        <v>0.0</v>
      </c>
      <c r="S750" s="317" t="s">
        <v>1394</v>
      </c>
      <c r="T750" s="317">
        <v>30.0</v>
      </c>
      <c r="U750" s="317"/>
    </row>
    <row r="751" ht="20.25" hidden="1" customHeight="1" outlineLevel="1">
      <c r="A751" s="216" t="str">
        <f>IFERROR(__xludf.DUMMYFUNCTION("ARRAYFORMULA(IFERROR(VLOOKUP(REGEXEXTRACT(B751, ""-(\w+)-""), {Data_Validation!$F$16:$F$29, Data_Validation!$E$16:$E$29}, 2, FALSE), """"))
"),"Inno3D")</f>
        <v>Inno3D</v>
      </c>
      <c r="B751" s="265" t="s">
        <v>905</v>
      </c>
      <c r="D751" s="265" t="s">
        <v>40</v>
      </c>
      <c r="E751" s="265" t="s">
        <v>26</v>
      </c>
      <c r="F751" s="265"/>
      <c r="G751" s="265"/>
      <c r="H751" s="332">
        <v>45239.0</v>
      </c>
      <c r="I751" s="309">
        <v>1.0</v>
      </c>
      <c r="L751" s="311"/>
      <c r="M751" s="313">
        <v>45239.52775815972</v>
      </c>
      <c r="N751" s="313">
        <v>45239.528066388884</v>
      </c>
      <c r="O751" s="314"/>
      <c r="P751" s="314"/>
      <c r="Q751" s="319" t="s">
        <v>31</v>
      </c>
      <c r="R751" s="316">
        <v>0.0</v>
      </c>
      <c r="S751" s="317"/>
      <c r="T751" s="317"/>
      <c r="U751" s="317"/>
    </row>
    <row r="752" ht="20.25" hidden="1" customHeight="1" outlineLevel="1">
      <c r="A752" s="216" t="str">
        <f>IFERROR(__xludf.DUMMYFUNCTION("ARRAYFORMULA(IFERROR(VLOOKUP(REGEXEXTRACT(B752, ""-(\w+)-""), {Data_Validation!$F$16:$F$29, Data_Validation!$E$16:$E$29}, 2, FALSE), """"))
"),"Inno3D")</f>
        <v>Inno3D</v>
      </c>
      <c r="B752" s="265" t="s">
        <v>906</v>
      </c>
      <c r="D752" s="265" t="s">
        <v>47</v>
      </c>
      <c r="E752" s="265" t="s">
        <v>26</v>
      </c>
      <c r="F752" s="265"/>
      <c r="G752" s="265"/>
      <c r="H752" s="332">
        <v>45239.0</v>
      </c>
      <c r="I752" s="309">
        <v>1.0</v>
      </c>
      <c r="L752" s="311"/>
      <c r="M752" s="313">
        <v>45239.52783515047</v>
      </c>
      <c r="N752" s="313">
        <v>45239.528074456015</v>
      </c>
      <c r="O752" s="314" t="s">
        <v>907</v>
      </c>
      <c r="P752" s="314" t="s">
        <v>908</v>
      </c>
      <c r="Q752" s="319" t="s">
        <v>31</v>
      </c>
      <c r="R752" s="316">
        <v>0.0</v>
      </c>
      <c r="S752" s="317"/>
      <c r="T752" s="317"/>
      <c r="U752" s="317"/>
    </row>
    <row r="753" ht="20.25" customHeight="1" collapsed="1">
      <c r="A753" s="216" t="str">
        <f>IFERROR(__xludf.DUMMYFUNCTION("ARRAYFORMULA(IFERROR(VLOOKUP(REGEXEXTRACT(B753, ""-(\w+)-""), {Data_Validation!$F$16:$F$29, Data_Validation!$E$16:$E$29}, 2, FALSE), """"))
"),"Inno3D")</f>
        <v>Inno3D</v>
      </c>
      <c r="B753" s="265" t="s">
        <v>1075</v>
      </c>
      <c r="C753" s="265" t="s">
        <v>1076</v>
      </c>
      <c r="D753" s="265"/>
      <c r="E753" s="265" t="s">
        <v>984</v>
      </c>
      <c r="F753" s="265" t="s">
        <v>22</v>
      </c>
      <c r="G753" s="265" t="s">
        <v>89</v>
      </c>
      <c r="H753" s="332">
        <v>45239.0</v>
      </c>
      <c r="I753" s="308"/>
      <c r="J753" s="309">
        <v>4.0</v>
      </c>
      <c r="L753" s="311"/>
      <c r="M753" s="313">
        <v>45217.62333325231</v>
      </c>
      <c r="N753" s="313">
        <v>45239.54478993056</v>
      </c>
      <c r="O753" s="314"/>
      <c r="P753" s="314"/>
      <c r="Q753" s="319"/>
      <c r="R753" s="316">
        <v>0.0944444444430701</v>
      </c>
      <c r="S753" s="317"/>
      <c r="T753" s="317"/>
      <c r="U753" s="317"/>
    </row>
    <row r="754" ht="20.25" hidden="1" customHeight="1" outlineLevel="1">
      <c r="A754" s="216" t="str">
        <f>IFERROR(__xludf.DUMMYFUNCTION("ARRAYFORMULA(IFERROR(VLOOKUP(REGEXEXTRACT(B754, ""-(\w+)-""), {Data_Validation!$F$16:$F$29, Data_Validation!$E$16:$E$29}, 2, FALSE), """"))
"),"Inno3D")</f>
        <v>Inno3D</v>
      </c>
      <c r="B754" s="265" t="s">
        <v>1077</v>
      </c>
      <c r="D754" s="265" t="s">
        <v>975</v>
      </c>
      <c r="E754" s="265" t="s">
        <v>26</v>
      </c>
      <c r="F754" s="265" t="s">
        <v>41</v>
      </c>
      <c r="G754" s="265"/>
      <c r="H754" s="332">
        <v>45217.6229147338</v>
      </c>
      <c r="I754" s="309">
        <v>1.0</v>
      </c>
      <c r="L754" s="311"/>
      <c r="M754" s="313">
        <v>45217.62333325231</v>
      </c>
      <c r="N754" s="313">
        <v>45218.47042780093</v>
      </c>
      <c r="O754" s="314" t="s">
        <v>1078</v>
      </c>
      <c r="P754" s="314" t="s">
        <v>1079</v>
      </c>
      <c r="Q754" s="319" t="s">
        <v>31</v>
      </c>
      <c r="R754" s="316">
        <v>0.04513888889050577</v>
      </c>
      <c r="S754" s="317"/>
      <c r="T754" s="317"/>
      <c r="U754" s="317"/>
    </row>
    <row r="755" ht="20.25" hidden="1" customHeight="1" outlineLevel="1">
      <c r="A755" s="216" t="str">
        <f>IFERROR(__xludf.DUMMYFUNCTION("ARRAYFORMULA(IFERROR(VLOOKUP(REGEXEXTRACT(B755, ""-(\w+)-""), {Data_Validation!$F$16:$F$29, Data_Validation!$E$16:$E$29}, 2, FALSE), """"))
"),"Inno3D")</f>
        <v>Inno3D</v>
      </c>
      <c r="B755" s="265" t="s">
        <v>1080</v>
      </c>
      <c r="D755" s="265" t="s">
        <v>1081</v>
      </c>
      <c r="E755" s="265" t="s">
        <v>26</v>
      </c>
      <c r="F755" s="265" t="s">
        <v>22</v>
      </c>
      <c r="G755" s="265"/>
      <c r="H755" s="332">
        <v>45222.0</v>
      </c>
      <c r="I755" s="309">
        <v>1.0</v>
      </c>
      <c r="L755" s="311"/>
      <c r="M755" s="313">
        <v>45222.455947696755</v>
      </c>
      <c r="N755" s="313">
        <v>45222.5557578125</v>
      </c>
      <c r="O755" s="314" t="s">
        <v>1082</v>
      </c>
      <c r="P755" s="314" t="s">
        <v>1083</v>
      </c>
      <c r="Q755" s="319" t="s">
        <v>31</v>
      </c>
      <c r="R755" s="316">
        <v>0.015972222223354038</v>
      </c>
      <c r="S755" s="317"/>
      <c r="T755" s="317"/>
      <c r="U755" s="317"/>
    </row>
    <row r="756" ht="20.25" hidden="1" customHeight="1" outlineLevel="1">
      <c r="A756" s="216" t="str">
        <f>IFERROR(__xludf.DUMMYFUNCTION("ARRAYFORMULA(IFERROR(VLOOKUP(REGEXEXTRACT(B756, ""-(\w+)-""), {Data_Validation!$F$16:$F$29, Data_Validation!$E$16:$E$29}, 2, FALSE), """"))
"),"Inno3D")</f>
        <v>Inno3D</v>
      </c>
      <c r="B756" s="265" t="s">
        <v>1084</v>
      </c>
      <c r="D756" s="265" t="s">
        <v>1085</v>
      </c>
      <c r="E756" s="265" t="s">
        <v>26</v>
      </c>
      <c r="F756" s="265" t="s">
        <v>41</v>
      </c>
      <c r="G756" s="265"/>
      <c r="H756" s="332">
        <v>45236.0</v>
      </c>
      <c r="I756" s="309">
        <v>1.0</v>
      </c>
      <c r="L756" s="311"/>
      <c r="M756" s="313"/>
      <c r="N756" s="313"/>
      <c r="O756" s="314"/>
      <c r="P756" s="314"/>
      <c r="Q756" s="319"/>
      <c r="R756" s="316"/>
      <c r="S756" s="317"/>
      <c r="T756" s="317"/>
      <c r="U756" s="317"/>
    </row>
    <row r="757" ht="20.25" hidden="1" customHeight="1" outlineLevel="1">
      <c r="A757" s="216" t="str">
        <f>IFERROR(__xludf.DUMMYFUNCTION("ARRAYFORMULA(IFERROR(VLOOKUP(REGEXEXTRACT(B757, ""-(\w+)-""), {Data_Validation!$F$16:$F$29, Data_Validation!$E$16:$E$29}, 2, FALSE), """"))
"),"Inno3D")</f>
        <v>Inno3D</v>
      </c>
      <c r="B757" s="265" t="s">
        <v>1086</v>
      </c>
      <c r="D757" s="265" t="s">
        <v>1087</v>
      </c>
      <c r="E757" s="265" t="s">
        <v>26</v>
      </c>
      <c r="F757" s="265" t="s">
        <v>41</v>
      </c>
      <c r="G757" s="265"/>
      <c r="H757" s="332">
        <v>45239.0</v>
      </c>
      <c r="I757" s="309">
        <v>1.0</v>
      </c>
      <c r="L757" s="311"/>
      <c r="M757" s="313">
        <v>45239.461575740745</v>
      </c>
      <c r="N757" s="313">
        <v>45239.54478993056</v>
      </c>
      <c r="O757" s="314" t="s">
        <v>1088</v>
      </c>
      <c r="P757" s="314" t="s">
        <v>1089</v>
      </c>
      <c r="Q757" s="319" t="s">
        <v>31</v>
      </c>
      <c r="R757" s="316">
        <v>0.03333333333284827</v>
      </c>
      <c r="S757" s="317"/>
      <c r="T757" s="317"/>
      <c r="U757" s="317"/>
    </row>
    <row r="758" ht="20.25" customHeight="1" collapsed="1">
      <c r="A758" s="216" t="str">
        <f>IFERROR(__xludf.DUMMYFUNCTION("ARRAYFORMULA(IFERROR(VLOOKUP(REGEXEXTRACT(B758, ""-(\w+)-""), {Data_Validation!$F$16:$F$29, Data_Validation!$E$16:$E$29}, 2, FALSE), """"))
"),"Inno3D")</f>
        <v>Inno3D</v>
      </c>
      <c r="B758" s="265" t="s">
        <v>899</v>
      </c>
      <c r="C758" s="265" t="s">
        <v>900</v>
      </c>
      <c r="D758" s="265"/>
      <c r="E758" s="265" t="s">
        <v>51</v>
      </c>
      <c r="F758" s="265" t="s">
        <v>41</v>
      </c>
      <c r="G758" s="265" t="s">
        <v>63</v>
      </c>
      <c r="H758" s="332">
        <v>45238.0</v>
      </c>
      <c r="I758" s="308"/>
      <c r="J758" s="309">
        <v>2.0</v>
      </c>
      <c r="L758" s="311"/>
      <c r="M758" s="313">
        <v>45236.45787283564</v>
      </c>
      <c r="N758" s="313">
        <v>45236.459047233795</v>
      </c>
      <c r="O758" s="314"/>
      <c r="P758" s="314"/>
      <c r="Q758" s="319"/>
      <c r="R758" s="316">
        <v>6.944444430700969E-4</v>
      </c>
      <c r="S758" s="317" t="s">
        <v>1394</v>
      </c>
      <c r="T758" s="317">
        <v>26.0</v>
      </c>
      <c r="U758" s="317"/>
    </row>
    <row r="759" ht="20.25" hidden="1" customHeight="1" outlineLevel="1">
      <c r="A759" s="216" t="str">
        <f>IFERROR(__xludf.DUMMYFUNCTION("ARRAYFORMULA(IFERROR(VLOOKUP(REGEXEXTRACT(B759, ""-(\w+)-""), {Data_Validation!$F$16:$F$29, Data_Validation!$E$16:$E$29}, 2, FALSE), """"))
"),"Inno3D")</f>
        <v>Inno3D</v>
      </c>
      <c r="B759" s="265" t="s">
        <v>901</v>
      </c>
      <c r="D759" s="265" t="s">
        <v>40</v>
      </c>
      <c r="E759" s="265" t="s">
        <v>26</v>
      </c>
      <c r="F759" s="265" t="s">
        <v>41</v>
      </c>
      <c r="G759" s="265"/>
      <c r="H759" s="332">
        <v>45236.0</v>
      </c>
      <c r="I759" s="309">
        <v>1.0</v>
      </c>
      <c r="L759" s="311"/>
      <c r="M759" s="313">
        <v>45236.45787283564</v>
      </c>
      <c r="N759" s="313">
        <v>45236.459047233795</v>
      </c>
      <c r="O759" s="314"/>
      <c r="P759" s="314"/>
      <c r="Q759" s="319" t="s">
        <v>31</v>
      </c>
      <c r="R759" s="316">
        <v>6.944444430700969E-4</v>
      </c>
      <c r="S759" s="317"/>
      <c r="T759" s="317"/>
      <c r="U759" s="317"/>
    </row>
    <row r="760" ht="20.25" hidden="1" customHeight="1" outlineLevel="1">
      <c r="A760" s="216" t="str">
        <f>IFERROR(__xludf.DUMMYFUNCTION("ARRAYFORMULA(IFERROR(VLOOKUP(REGEXEXTRACT(B760, ""-(\w+)-""), {Data_Validation!$F$16:$F$29, Data_Validation!$E$16:$E$29}, 2, FALSE), """"))
"),"Inno3D")</f>
        <v>Inno3D</v>
      </c>
      <c r="B760" s="265" t="s">
        <v>902</v>
      </c>
      <c r="D760" s="265" t="s">
        <v>47</v>
      </c>
      <c r="E760" s="265" t="s">
        <v>26</v>
      </c>
      <c r="F760" s="265" t="s">
        <v>41</v>
      </c>
      <c r="G760" s="265"/>
      <c r="H760" s="332">
        <v>45238.0</v>
      </c>
      <c r="I760" s="309">
        <v>1.0</v>
      </c>
      <c r="L760" s="311"/>
      <c r="M760" s="313"/>
      <c r="N760" s="313"/>
      <c r="O760" s="314"/>
      <c r="P760" s="314"/>
      <c r="Q760" s="319"/>
      <c r="R760" s="316"/>
      <c r="S760" s="317"/>
      <c r="T760" s="317"/>
      <c r="U760" s="317"/>
    </row>
    <row r="761" ht="20.25" customHeight="1" collapsed="1">
      <c r="A761" s="216" t="str">
        <f>IFERROR(__xludf.DUMMYFUNCTION("ARRAYFORMULA(IFERROR(VLOOKUP(REGEXEXTRACT(B761, ""-(\w+)-""), {Data_Validation!$F$16:$F$29, Data_Validation!$E$16:$E$29}, 2, FALSE), """"))
"),"Colorful Tech")</f>
        <v>Colorful Tech</v>
      </c>
      <c r="B761" s="265" t="s">
        <v>651</v>
      </c>
      <c r="C761" s="265" t="s">
        <v>652</v>
      </c>
      <c r="D761" s="265"/>
      <c r="E761" s="265" t="s">
        <v>21</v>
      </c>
      <c r="F761" s="265" t="s">
        <v>48</v>
      </c>
      <c r="G761" s="265" t="s">
        <v>89</v>
      </c>
      <c r="H761" s="332">
        <v>45239.0</v>
      </c>
      <c r="I761" s="308"/>
      <c r="J761" s="309">
        <v>4.0</v>
      </c>
      <c r="L761" s="311"/>
      <c r="M761" s="313">
        <v>45237.70040091436</v>
      </c>
      <c r="N761" s="313">
        <v>45239.730262094905</v>
      </c>
      <c r="O761" s="314"/>
      <c r="P761" s="314"/>
      <c r="Q761" s="319"/>
      <c r="R761" s="316">
        <v>0.16597222222117125</v>
      </c>
      <c r="S761" s="317" t="s">
        <v>1375</v>
      </c>
      <c r="T761" s="317">
        <v>12.0</v>
      </c>
      <c r="U761" s="317"/>
    </row>
    <row r="762" ht="20.25" hidden="1" customHeight="1" outlineLevel="1">
      <c r="A762" s="216" t="str">
        <f>IFERROR(__xludf.DUMMYFUNCTION("ARRAYFORMULA(IFERROR(VLOOKUP(REGEXEXTRACT(B762, ""-(\w+)-""), {Data_Validation!$F$16:$F$29, Data_Validation!$E$16:$E$29}, 2, FALSE), """"))
"),"Colorful Tech")</f>
        <v>Colorful Tech</v>
      </c>
      <c r="B762" s="265" t="s">
        <v>653</v>
      </c>
      <c r="D762" s="265" t="s">
        <v>25</v>
      </c>
      <c r="E762" s="265" t="s">
        <v>26</v>
      </c>
      <c r="F762" s="265" t="s">
        <v>41</v>
      </c>
      <c r="G762" s="265" t="s">
        <v>25</v>
      </c>
      <c r="H762" s="332">
        <v>45237.0</v>
      </c>
      <c r="I762" s="309">
        <v>1.0</v>
      </c>
      <c r="L762" s="311"/>
      <c r="M762" s="313">
        <v>45237.70040091436</v>
      </c>
      <c r="N762" s="313">
        <v>45237.75826923611</v>
      </c>
      <c r="O762" s="314" t="s">
        <v>654</v>
      </c>
      <c r="P762" s="314" t="s">
        <v>655</v>
      </c>
      <c r="Q762" s="319" t="s">
        <v>31</v>
      </c>
      <c r="R762" s="316">
        <v>0.05694444444452529</v>
      </c>
      <c r="S762" s="317"/>
      <c r="T762" s="317"/>
      <c r="U762" s="317"/>
    </row>
    <row r="763" ht="20.25" hidden="1" customHeight="1" outlineLevel="1">
      <c r="A763" s="216" t="str">
        <f>IFERROR(__xludf.DUMMYFUNCTION("ARRAYFORMULA(IFERROR(VLOOKUP(REGEXEXTRACT(B763, ""-(\w+)-""), {Data_Validation!$F$16:$F$29, Data_Validation!$E$16:$E$29}, 2, FALSE), """"))
"),"Colorful Tech")</f>
        <v>Colorful Tech</v>
      </c>
      <c r="B763" s="265" t="s">
        <v>656</v>
      </c>
      <c r="D763" s="265" t="s">
        <v>112</v>
      </c>
      <c r="E763" s="265" t="s">
        <v>26</v>
      </c>
      <c r="F763" s="265" t="s">
        <v>48</v>
      </c>
      <c r="G763" s="265"/>
      <c r="H763" s="332">
        <v>45238.0</v>
      </c>
      <c r="I763" s="309">
        <v>1.0</v>
      </c>
      <c r="L763" s="311"/>
      <c r="M763" s="313">
        <v>45238.60184971065</v>
      </c>
      <c r="N763" s="313">
        <v>45238.605449062496</v>
      </c>
      <c r="O763" s="314"/>
      <c r="P763" s="314"/>
      <c r="Q763" s="319" t="s">
        <v>31</v>
      </c>
      <c r="R763" s="316">
        <v>0.003472222222626442</v>
      </c>
      <c r="S763" s="317"/>
      <c r="T763" s="317"/>
      <c r="U763" s="317"/>
    </row>
    <row r="764" ht="20.25" hidden="1" customHeight="1" outlineLevel="1">
      <c r="A764" s="216" t="str">
        <f>IFERROR(__xludf.DUMMYFUNCTION("ARRAYFORMULA(IFERROR(VLOOKUP(REGEXEXTRACT(B764, ""-(\w+)-""), {Data_Validation!$F$16:$F$29, Data_Validation!$E$16:$E$29}, 2, FALSE), """"))
"),"Colorful Tech")</f>
        <v>Colorful Tech</v>
      </c>
      <c r="B764" s="265" t="s">
        <v>657</v>
      </c>
      <c r="D764" s="265" t="s">
        <v>40</v>
      </c>
      <c r="E764" s="265" t="s">
        <v>26</v>
      </c>
      <c r="F764" s="265" t="s">
        <v>48</v>
      </c>
      <c r="G764" s="265"/>
      <c r="H764" s="332">
        <v>45239.0</v>
      </c>
      <c r="I764" s="309">
        <v>1.0</v>
      </c>
      <c r="L764" s="311"/>
      <c r="M764" s="313">
        <v>45238.75933209491</v>
      </c>
      <c r="N764" s="313">
        <v>45239.71568774305</v>
      </c>
      <c r="O764" s="314" t="s">
        <v>658</v>
      </c>
      <c r="P764" s="314" t="s">
        <v>659</v>
      </c>
      <c r="Q764" s="319" t="s">
        <v>31</v>
      </c>
      <c r="R764" s="316">
        <v>0.05138888888905058</v>
      </c>
      <c r="S764" s="317"/>
      <c r="T764" s="317"/>
      <c r="U764" s="317"/>
    </row>
    <row r="765" ht="20.25" hidden="1" customHeight="1" outlineLevel="1">
      <c r="A765" s="216" t="str">
        <f>IFERROR(__xludf.DUMMYFUNCTION("ARRAYFORMULA(IFERROR(VLOOKUP(REGEXEXTRACT(B765, ""-(\w+)-""), {Data_Validation!$F$16:$F$29, Data_Validation!$E$16:$E$29}, 2, FALSE), """"))
"),"Colorful Tech")</f>
        <v>Colorful Tech</v>
      </c>
      <c r="B765" s="265" t="s">
        <v>660</v>
      </c>
      <c r="D765" s="265" t="s">
        <v>661</v>
      </c>
      <c r="E765" s="265" t="s">
        <v>26</v>
      </c>
      <c r="F765" s="265" t="s">
        <v>22</v>
      </c>
      <c r="G765" s="265"/>
      <c r="H765" s="332">
        <v>45239.0</v>
      </c>
      <c r="I765" s="309"/>
      <c r="L765" s="311"/>
      <c r="M765" s="313">
        <v>45239.5628125</v>
      </c>
      <c r="N765" s="313">
        <v>45239.6035546412</v>
      </c>
      <c r="O765" s="314" t="s">
        <v>662</v>
      </c>
      <c r="P765" s="314" t="s">
        <v>663</v>
      </c>
      <c r="Q765" s="319" t="s">
        <v>31</v>
      </c>
      <c r="R765" s="316">
        <v>0.040277777778101154</v>
      </c>
      <c r="S765" s="317"/>
      <c r="T765" s="317"/>
      <c r="U765" s="317"/>
    </row>
    <row r="766" ht="20.25" customHeight="1" collapsed="1">
      <c r="A766" s="216" t="str">
        <f>IFERROR(__xludf.DUMMYFUNCTION("ARRAYFORMULA(IFERROR(VLOOKUP(REGEXEXTRACT(B766, ""-(\w+)-""), {Data_Validation!$F$16:$F$29, Data_Validation!$E$16:$E$29}, 2, FALSE), """"))
"),"TheMVP")</f>
        <v>TheMVP</v>
      </c>
      <c r="B766" s="265" t="s">
        <v>207</v>
      </c>
      <c r="C766" s="265" t="s">
        <v>208</v>
      </c>
      <c r="D766" s="265"/>
      <c r="E766" s="265" t="s">
        <v>97</v>
      </c>
      <c r="F766" s="265" t="s">
        <v>22</v>
      </c>
      <c r="G766" s="265" t="s">
        <v>89</v>
      </c>
      <c r="H766" s="332">
        <v>45240.0</v>
      </c>
      <c r="I766" s="308"/>
      <c r="J766" s="309">
        <v>1.0</v>
      </c>
      <c r="L766" s="311"/>
      <c r="M766" s="313">
        <v>45240.00544357639</v>
      </c>
      <c r="N766" s="313">
        <v>45240.00891451389</v>
      </c>
      <c r="O766" s="314"/>
      <c r="P766" s="314"/>
      <c r="Q766" s="319"/>
      <c r="R766" s="316">
        <v>0.002777777779556345</v>
      </c>
      <c r="S766" s="317" t="s">
        <v>1368</v>
      </c>
      <c r="T766" s="317">
        <v>101.0</v>
      </c>
      <c r="U766" s="317"/>
    </row>
    <row r="767" ht="20.25" hidden="1" customHeight="1" outlineLevel="1">
      <c r="A767" s="216"/>
      <c r="B767" s="265" t="s">
        <v>209</v>
      </c>
      <c r="D767" s="265" t="s">
        <v>47</v>
      </c>
      <c r="E767" s="265" t="s">
        <v>26</v>
      </c>
      <c r="F767" s="265" t="s">
        <v>22</v>
      </c>
      <c r="G767" s="265" t="s">
        <v>210</v>
      </c>
      <c r="H767" s="332">
        <v>45240.0</v>
      </c>
      <c r="I767" s="309">
        <v>1.0</v>
      </c>
      <c r="L767" s="311"/>
      <c r="M767" s="313">
        <v>45240.00544357639</v>
      </c>
      <c r="N767" s="313">
        <v>45240.00891451389</v>
      </c>
      <c r="O767" s="314"/>
      <c r="P767" s="314"/>
      <c r="Q767" s="319" t="s">
        <v>31</v>
      </c>
      <c r="R767" s="316">
        <v>0.002777777779556345</v>
      </c>
      <c r="S767" s="317" t="s">
        <v>1368</v>
      </c>
      <c r="T767" s="317">
        <v>101.04</v>
      </c>
      <c r="U767" s="317"/>
    </row>
    <row r="768" ht="20.25" customHeight="1">
      <c r="A768" s="216" t="str">
        <f>IFERROR(__xludf.DUMMYFUNCTION("ARRAYFORMULA(IFERROR(VLOOKUP(REGEXEXTRACT(B768, ""-(\w+)-""), {Data_Validation!$F$16:$F$29, Data_Validation!$E$16:$E$29}, 2, FALSE), """"))
"),"")</f>
        <v/>
      </c>
      <c r="K768" s="318"/>
      <c r="L768" s="311"/>
      <c r="M768" s="312"/>
      <c r="N768" s="313"/>
      <c r="O768" s="314"/>
      <c r="P768" s="314"/>
      <c r="Q768" s="315"/>
      <c r="R768" s="316"/>
      <c r="S768" s="317"/>
      <c r="T768" s="317"/>
      <c r="U768" s="317"/>
    </row>
    <row r="769" ht="20.25" customHeight="1">
      <c r="A769" s="216" t="str">
        <f>IFERROR(__xludf.DUMMYFUNCTION("ARRAYFORMULA(IFERROR(VLOOKUP(REGEXEXTRACT(B769, ""-(\w+)-""), {Data_Validation!$F$16:$F$29, Data_Validation!$E$16:$E$29}, 2, FALSE), """"))
"),"")</f>
        <v/>
      </c>
      <c r="K769" s="318"/>
      <c r="L769" s="311"/>
      <c r="M769" s="312"/>
      <c r="N769" s="313"/>
      <c r="O769" s="314"/>
      <c r="P769" s="314"/>
      <c r="Q769" s="315"/>
      <c r="R769" s="316"/>
      <c r="S769" s="317"/>
      <c r="T769" s="317"/>
      <c r="U769" s="317"/>
    </row>
    <row r="770" ht="20.25" customHeight="1">
      <c r="A770" s="216" t="str">
        <f>IFERROR(__xludf.DUMMYFUNCTION("ARRAYFORMULA(IFERROR(VLOOKUP(REGEXEXTRACT(B770, ""-(\w+)-""), {Data_Validation!$F$16:$F$29, Data_Validation!$E$16:$E$29}, 2, FALSE), """"))
"),"")</f>
        <v/>
      </c>
      <c r="K770" s="318"/>
      <c r="L770" s="311"/>
      <c r="M770" s="312"/>
      <c r="N770" s="313"/>
      <c r="O770" s="314"/>
      <c r="P770" s="314"/>
      <c r="Q770" s="315"/>
      <c r="R770" s="316"/>
      <c r="S770" s="317"/>
      <c r="T770" s="317"/>
      <c r="U770" s="317"/>
    </row>
    <row r="771" ht="20.25" customHeight="1">
      <c r="A771" s="216" t="str">
        <f>IFERROR(__xludf.DUMMYFUNCTION("ARRAYFORMULA(IFERROR(VLOOKUP(REGEXEXTRACT(B771, ""-(\w+)-""), {Data_Validation!$F$16:$F$29, Data_Validation!$E$16:$E$29}, 2, FALSE), """"))
"),"")</f>
        <v/>
      </c>
      <c r="K771" s="318"/>
      <c r="L771" s="311"/>
      <c r="M771" s="312"/>
      <c r="N771" s="313"/>
      <c r="O771" s="314"/>
      <c r="P771" s="314"/>
      <c r="Q771" s="315"/>
      <c r="R771" s="316"/>
      <c r="S771" s="317"/>
      <c r="T771" s="317"/>
      <c r="U771" s="317"/>
    </row>
    <row r="772" ht="20.25" customHeight="1">
      <c r="A772" s="216" t="str">
        <f>IFERROR(__xludf.DUMMYFUNCTION("ARRAYFORMULA(IFERROR(VLOOKUP(REGEXEXTRACT(B772, ""-(\w+)-""), {Data_Validation!$F$16:$F$29, Data_Validation!$E$16:$E$29}, 2, FALSE), """"))
"),"")</f>
        <v/>
      </c>
      <c r="K772" s="318"/>
      <c r="L772" s="311"/>
      <c r="M772" s="312"/>
      <c r="N772" s="313"/>
      <c r="O772" s="314"/>
      <c r="P772" s="314"/>
      <c r="Q772" s="315"/>
      <c r="R772" s="316"/>
      <c r="S772" s="317"/>
      <c r="T772" s="317"/>
      <c r="U772" s="317"/>
    </row>
    <row r="773" ht="20.25" customHeight="1">
      <c r="A773" s="216" t="str">
        <f>IFERROR(__xludf.DUMMYFUNCTION("ARRAYFORMULA(IFERROR(VLOOKUP(REGEXEXTRACT(B773, ""-(\w+)-""), {Data_Validation!$F$16:$F$29, Data_Validation!$E$16:$E$29}, 2, FALSE), """"))
"),"")</f>
        <v/>
      </c>
      <c r="K773" s="318"/>
      <c r="L773" s="311"/>
      <c r="M773" s="312"/>
      <c r="N773" s="313"/>
      <c r="O773" s="314"/>
      <c r="P773" s="314"/>
      <c r="Q773" s="315"/>
      <c r="R773" s="316"/>
      <c r="S773" s="317"/>
      <c r="T773" s="317"/>
      <c r="U773" s="317"/>
    </row>
    <row r="774" ht="20.25" customHeight="1">
      <c r="A774" s="216" t="str">
        <f>IFERROR(__xludf.DUMMYFUNCTION("ARRAYFORMULA(IFERROR(VLOOKUP(REGEXEXTRACT(B774, ""-(\w+)-""), {Data_Validation!$F$16:$F$29, Data_Validation!$E$16:$E$29}, 2, FALSE), """"))
"),"")</f>
        <v/>
      </c>
      <c r="K774" s="318"/>
      <c r="L774" s="311"/>
      <c r="M774" s="312"/>
      <c r="N774" s="313"/>
      <c r="O774" s="314"/>
      <c r="P774" s="314"/>
      <c r="Q774" s="315"/>
      <c r="R774" s="316"/>
      <c r="S774" s="317"/>
      <c r="T774" s="317"/>
      <c r="U774" s="317"/>
    </row>
    <row r="775" ht="20.25" customHeight="1">
      <c r="A775" s="216" t="str">
        <f>IFERROR(__xludf.DUMMYFUNCTION("ARRAYFORMULA(IFERROR(VLOOKUP(REGEXEXTRACT(B775, ""-(\w+)-""), {Data_Validation!$F$16:$F$29, Data_Validation!$E$16:$E$29}, 2, FALSE), """"))
"),"")</f>
        <v/>
      </c>
      <c r="K775" s="318"/>
      <c r="L775" s="311"/>
      <c r="M775" s="312"/>
      <c r="N775" s="313"/>
      <c r="O775" s="314"/>
      <c r="P775" s="314"/>
      <c r="Q775" s="315"/>
      <c r="R775" s="316"/>
      <c r="S775" s="317"/>
      <c r="T775" s="317"/>
      <c r="U775" s="317"/>
    </row>
    <row r="776" ht="20.25" customHeight="1">
      <c r="A776" s="216" t="str">
        <f>IFERROR(__xludf.DUMMYFUNCTION("ARRAYFORMULA(IFERROR(VLOOKUP(REGEXEXTRACT(B776, ""-(\w+)-""), {Data_Validation!$F$16:$F$29, Data_Validation!$E$16:$E$29}, 2, FALSE), """"))
"),"")</f>
        <v/>
      </c>
      <c r="K776" s="318"/>
      <c r="L776" s="311"/>
      <c r="M776" s="312"/>
      <c r="N776" s="313"/>
      <c r="O776" s="314"/>
      <c r="P776" s="314"/>
      <c r="Q776" s="315"/>
      <c r="R776" s="316"/>
      <c r="S776" s="317"/>
      <c r="T776" s="317"/>
      <c r="U776" s="317"/>
    </row>
    <row r="777" ht="20.25" customHeight="1">
      <c r="A777" s="216" t="str">
        <f>IFERROR(__xludf.DUMMYFUNCTION("ARRAYFORMULA(IFERROR(VLOOKUP(REGEXEXTRACT(B777, ""-(\w+)-""), {Data_Validation!$F$16:$F$29, Data_Validation!$E$16:$E$29}, 2, FALSE), """"))
"),"")</f>
        <v/>
      </c>
      <c r="K777" s="318"/>
      <c r="L777" s="311"/>
      <c r="M777" s="312"/>
      <c r="N777" s="313"/>
      <c r="O777" s="314"/>
      <c r="P777" s="314"/>
      <c r="Q777" s="315"/>
      <c r="R777" s="316"/>
      <c r="S777" s="317"/>
      <c r="T777" s="317"/>
      <c r="U777" s="317"/>
    </row>
    <row r="778" ht="20.25" customHeight="1">
      <c r="A778" s="216" t="str">
        <f>IFERROR(__xludf.DUMMYFUNCTION("ARRAYFORMULA(IFERROR(VLOOKUP(REGEXEXTRACT(B778, ""-(\w+)-""), {Data_Validation!$F$16:$F$29, Data_Validation!$E$16:$E$29}, 2, FALSE), """"))
"),"")</f>
        <v/>
      </c>
      <c r="K778" s="318"/>
      <c r="L778" s="311"/>
      <c r="M778" s="312"/>
      <c r="N778" s="313"/>
      <c r="O778" s="314"/>
      <c r="P778" s="314"/>
      <c r="Q778" s="315"/>
      <c r="R778" s="316"/>
      <c r="S778" s="317"/>
      <c r="T778" s="317"/>
      <c r="U778" s="317"/>
    </row>
    <row r="779" ht="20.25" customHeight="1">
      <c r="A779" s="216" t="str">
        <f>IFERROR(__xludf.DUMMYFUNCTION("ARRAYFORMULA(IFERROR(VLOOKUP(REGEXEXTRACT(B779, ""-(\w+)-""), {Data_Validation!$F$16:$F$29, Data_Validation!$E$16:$E$29}, 2, FALSE), """"))
"),"")</f>
        <v/>
      </c>
      <c r="K779" s="318"/>
      <c r="L779" s="311"/>
      <c r="M779" s="312"/>
      <c r="N779" s="313"/>
      <c r="O779" s="314"/>
      <c r="P779" s="314"/>
      <c r="Q779" s="315"/>
      <c r="R779" s="316"/>
      <c r="S779" s="317"/>
      <c r="T779" s="317"/>
      <c r="U779" s="317"/>
    </row>
    <row r="780" ht="20.25" customHeight="1">
      <c r="A780" s="216" t="str">
        <f>IFERROR(__xludf.DUMMYFUNCTION("ARRAYFORMULA(IFERROR(VLOOKUP(REGEXEXTRACT(B780, ""-(\w+)-""), {Data_Validation!$F$16:$F$29, Data_Validation!$E$16:$E$29}, 2, FALSE), """"))
"),"")</f>
        <v/>
      </c>
      <c r="K780" s="318"/>
      <c r="L780" s="311"/>
      <c r="M780" s="312"/>
      <c r="N780" s="313"/>
      <c r="O780" s="314"/>
      <c r="P780" s="314"/>
      <c r="Q780" s="315"/>
      <c r="R780" s="316"/>
      <c r="S780" s="317"/>
      <c r="T780" s="317"/>
      <c r="U780" s="317"/>
    </row>
    <row r="781" ht="20.25" customHeight="1">
      <c r="A781" s="216" t="str">
        <f>IFERROR(__xludf.DUMMYFUNCTION("ARRAYFORMULA(IFERROR(VLOOKUP(REGEXEXTRACT(B781, ""-(\w+)-""), {Data_Validation!$F$16:$F$29, Data_Validation!$E$16:$E$29}, 2, FALSE), """"))
"),"")</f>
        <v/>
      </c>
      <c r="K781" s="318"/>
      <c r="L781" s="311"/>
      <c r="M781" s="312"/>
      <c r="N781" s="313"/>
      <c r="O781" s="314"/>
      <c r="P781" s="314"/>
      <c r="Q781" s="315"/>
      <c r="R781" s="316"/>
      <c r="S781" s="317"/>
      <c r="T781" s="317"/>
      <c r="U781" s="317"/>
    </row>
    <row r="782" ht="20.25" customHeight="1">
      <c r="A782" s="216" t="str">
        <f>IFERROR(__xludf.DUMMYFUNCTION("ARRAYFORMULA(IFERROR(VLOOKUP(REGEXEXTRACT(B782, ""-(\w+)-""), {Data_Validation!$F$16:$F$29, Data_Validation!$E$16:$E$29}, 2, FALSE), """"))
"),"")</f>
        <v/>
      </c>
      <c r="K782" s="318"/>
      <c r="L782" s="311"/>
      <c r="M782" s="312"/>
      <c r="N782" s="313"/>
      <c r="O782" s="314"/>
      <c r="P782" s="314"/>
      <c r="Q782" s="315"/>
      <c r="R782" s="316"/>
      <c r="S782" s="317"/>
      <c r="T782" s="317"/>
      <c r="U782" s="317"/>
    </row>
    <row r="783" ht="20.25" customHeight="1">
      <c r="A783" s="216" t="str">
        <f>IFERROR(__xludf.DUMMYFUNCTION("ARRAYFORMULA(IFERROR(VLOOKUP(REGEXEXTRACT(B783, ""-(\w+)-""), {Data_Validation!$F$16:$F$29, Data_Validation!$E$16:$E$29}, 2, FALSE), """"))
"),"")</f>
        <v/>
      </c>
      <c r="K783" s="318"/>
      <c r="L783" s="311"/>
      <c r="M783" s="312"/>
      <c r="N783" s="313"/>
      <c r="O783" s="314"/>
      <c r="P783" s="314"/>
      <c r="Q783" s="315"/>
      <c r="R783" s="316"/>
      <c r="S783" s="317"/>
      <c r="T783" s="317"/>
      <c r="U783" s="317"/>
    </row>
    <row r="784" ht="20.25" customHeight="1">
      <c r="A784" s="216" t="str">
        <f>IFERROR(__xludf.DUMMYFUNCTION("ARRAYFORMULA(IFERROR(VLOOKUP(REGEXEXTRACT(B784, ""-(\w+)-""), {Data_Validation!$F$16:$F$29, Data_Validation!$E$16:$E$29}, 2, FALSE), """"))
"),"")</f>
        <v/>
      </c>
      <c r="K784" s="318"/>
      <c r="L784" s="311"/>
      <c r="M784" s="312"/>
      <c r="N784" s="313"/>
      <c r="O784" s="314"/>
      <c r="P784" s="314"/>
      <c r="Q784" s="315"/>
      <c r="R784" s="316"/>
      <c r="S784" s="317"/>
      <c r="T784" s="317"/>
      <c r="U784" s="317"/>
    </row>
    <row r="785" ht="20.25" customHeight="1">
      <c r="A785" s="216" t="str">
        <f>IFERROR(__xludf.DUMMYFUNCTION("ARRAYFORMULA(IFERROR(VLOOKUP(REGEXEXTRACT(B785, ""-(\w+)-""), {Data_Validation!$F$16:$F$29, Data_Validation!$E$16:$E$29}, 2, FALSE), """"))
"),"")</f>
        <v/>
      </c>
      <c r="K785" s="318"/>
      <c r="L785" s="311"/>
      <c r="M785" s="312"/>
      <c r="N785" s="313"/>
      <c r="O785" s="314"/>
      <c r="P785" s="314"/>
      <c r="Q785" s="315"/>
      <c r="R785" s="316"/>
      <c r="S785" s="317"/>
      <c r="T785" s="317"/>
      <c r="U785" s="317"/>
    </row>
    <row r="786" ht="20.25" customHeight="1">
      <c r="A786" s="216" t="str">
        <f>IFERROR(__xludf.DUMMYFUNCTION("ARRAYFORMULA(IFERROR(VLOOKUP(REGEXEXTRACT(B786, ""-(\w+)-""), {Data_Validation!$F$16:$F$29, Data_Validation!$E$16:$E$29}, 2, FALSE), """"))
"),"")</f>
        <v/>
      </c>
      <c r="K786" s="318"/>
      <c r="L786" s="311"/>
      <c r="M786" s="312"/>
      <c r="N786" s="313"/>
      <c r="O786" s="314"/>
      <c r="P786" s="314"/>
      <c r="Q786" s="315"/>
      <c r="R786" s="316"/>
      <c r="S786" s="317"/>
      <c r="T786" s="317"/>
      <c r="U786" s="317"/>
    </row>
    <row r="787" ht="20.25" customHeight="1">
      <c r="A787" s="216" t="str">
        <f>IFERROR(__xludf.DUMMYFUNCTION("ARRAYFORMULA(IFERROR(VLOOKUP(REGEXEXTRACT(B787, ""-(\w+)-""), {Data_Validation!$F$16:$F$29, Data_Validation!$E$16:$E$29}, 2, FALSE), """"))
"),"")</f>
        <v/>
      </c>
      <c r="K787" s="318"/>
      <c r="L787" s="311"/>
      <c r="M787" s="312"/>
      <c r="N787" s="313"/>
      <c r="O787" s="314"/>
      <c r="P787" s="314"/>
      <c r="Q787" s="315"/>
      <c r="R787" s="316"/>
      <c r="S787" s="317"/>
      <c r="T787" s="317"/>
      <c r="U787" s="317"/>
    </row>
    <row r="788" ht="20.25" customHeight="1">
      <c r="A788" s="216" t="str">
        <f>IFERROR(__xludf.DUMMYFUNCTION("ARRAYFORMULA(IFERROR(VLOOKUP(REGEXEXTRACT(B788, ""-(\w+)-""), {Data_Validation!$F$16:$F$29, Data_Validation!$E$16:$E$29}, 2, FALSE), """"))
"),"")</f>
        <v/>
      </c>
      <c r="K788" s="318"/>
      <c r="L788" s="311"/>
      <c r="M788" s="312"/>
      <c r="N788" s="313"/>
      <c r="O788" s="314"/>
      <c r="P788" s="314"/>
      <c r="Q788" s="315"/>
      <c r="R788" s="316"/>
      <c r="S788" s="317"/>
      <c r="T788" s="317"/>
      <c r="U788" s="317"/>
    </row>
    <row r="789" ht="20.25" customHeight="1">
      <c r="A789" s="216" t="str">
        <f>IFERROR(__xludf.DUMMYFUNCTION("ARRAYFORMULA(IFERROR(VLOOKUP(REGEXEXTRACT(B789, ""-(\w+)-""), {Data_Validation!$F$16:$F$29, Data_Validation!$E$16:$E$29}, 2, FALSE), """"))
"),"")</f>
        <v/>
      </c>
      <c r="K789" s="318"/>
      <c r="L789" s="311"/>
      <c r="M789" s="312"/>
      <c r="N789" s="313"/>
      <c r="O789" s="314"/>
      <c r="P789" s="314"/>
      <c r="Q789" s="315"/>
      <c r="R789" s="316"/>
      <c r="S789" s="317"/>
      <c r="T789" s="317"/>
      <c r="U789" s="317"/>
    </row>
    <row r="790" ht="20.25" customHeight="1">
      <c r="A790" s="216" t="str">
        <f>IFERROR(__xludf.DUMMYFUNCTION("ARRAYFORMULA(IFERROR(VLOOKUP(REGEXEXTRACT(B790, ""-(\w+)-""), {Data_Validation!$F$16:$F$29, Data_Validation!$E$16:$E$29}, 2, FALSE), """"))
"),"")</f>
        <v/>
      </c>
      <c r="K790" s="318"/>
      <c r="L790" s="311"/>
      <c r="M790" s="312"/>
      <c r="N790" s="313"/>
      <c r="O790" s="314"/>
      <c r="P790" s="314"/>
      <c r="Q790" s="315"/>
      <c r="R790" s="316"/>
      <c r="S790" s="317"/>
      <c r="T790" s="317"/>
      <c r="U790" s="317"/>
    </row>
    <row r="791" ht="20.25" customHeight="1">
      <c r="A791" s="216" t="str">
        <f>IFERROR(__xludf.DUMMYFUNCTION("ARRAYFORMULA(IFERROR(VLOOKUP(REGEXEXTRACT(B791, ""-(\w+)-""), {Data_Validation!$F$16:$F$29, Data_Validation!$E$16:$E$29}, 2, FALSE), """"))
"),"")</f>
        <v/>
      </c>
      <c r="K791" s="318"/>
      <c r="L791" s="311"/>
      <c r="M791" s="312"/>
      <c r="N791" s="313"/>
      <c r="O791" s="314"/>
      <c r="P791" s="314"/>
      <c r="Q791" s="315"/>
      <c r="R791" s="316"/>
      <c r="S791" s="317"/>
      <c r="T791" s="317"/>
      <c r="U791" s="317"/>
    </row>
    <row r="792" ht="20.25" customHeight="1">
      <c r="A792" s="216" t="str">
        <f>IFERROR(__xludf.DUMMYFUNCTION("ARRAYFORMULA(IFERROR(VLOOKUP(REGEXEXTRACT(B792, ""-(\w+)-""), {Data_Validation!$F$16:$F$29, Data_Validation!$E$16:$E$29}, 2, FALSE), """"))
"),"")</f>
        <v/>
      </c>
      <c r="K792" s="318"/>
      <c r="L792" s="311"/>
      <c r="M792" s="312"/>
      <c r="N792" s="313"/>
      <c r="O792" s="314"/>
      <c r="P792" s="314"/>
      <c r="Q792" s="315"/>
      <c r="R792" s="316"/>
      <c r="S792" s="317"/>
      <c r="T792" s="317"/>
      <c r="U792" s="317"/>
    </row>
    <row r="793" ht="20.25" customHeight="1">
      <c r="A793" s="216" t="str">
        <f>IFERROR(__xludf.DUMMYFUNCTION("ARRAYFORMULA(IFERROR(VLOOKUP(REGEXEXTRACT(B793, ""-(\w+)-""), {Data_Validation!$F$16:$F$29, Data_Validation!$E$16:$E$29}, 2, FALSE), """"))
"),"")</f>
        <v/>
      </c>
      <c r="K793" s="318"/>
      <c r="L793" s="311"/>
      <c r="M793" s="312"/>
      <c r="N793" s="313"/>
      <c r="O793" s="314"/>
      <c r="P793" s="314"/>
      <c r="Q793" s="315"/>
      <c r="R793" s="316"/>
      <c r="S793" s="317"/>
      <c r="T793" s="317"/>
      <c r="U793" s="317"/>
    </row>
    <row r="794" ht="20.25" customHeight="1">
      <c r="A794" s="216" t="str">
        <f>IFERROR(__xludf.DUMMYFUNCTION("ARRAYFORMULA(IFERROR(VLOOKUP(REGEXEXTRACT(B794, ""-(\w+)-""), {Data_Validation!$F$16:$F$29, Data_Validation!$E$16:$E$29}, 2, FALSE), """"))
"),"")</f>
        <v/>
      </c>
      <c r="K794" s="318"/>
      <c r="L794" s="311"/>
      <c r="M794" s="312"/>
      <c r="N794" s="313"/>
      <c r="O794" s="314"/>
      <c r="P794" s="314"/>
      <c r="Q794" s="315"/>
      <c r="R794" s="316"/>
      <c r="S794" s="317"/>
      <c r="T794" s="317"/>
      <c r="U794" s="317"/>
    </row>
    <row r="795" ht="20.25" customHeight="1">
      <c r="A795" s="216" t="str">
        <f>IFERROR(__xludf.DUMMYFUNCTION("ARRAYFORMULA(IFERROR(VLOOKUP(REGEXEXTRACT(B795, ""-(\w+)-""), {Data_Validation!$F$16:$F$29, Data_Validation!$E$16:$E$29}, 2, FALSE), """"))
"),"")</f>
        <v/>
      </c>
      <c r="K795" s="318"/>
      <c r="L795" s="311"/>
      <c r="M795" s="312"/>
      <c r="N795" s="313"/>
      <c r="O795" s="314"/>
      <c r="P795" s="314"/>
      <c r="Q795" s="315"/>
      <c r="R795" s="316"/>
      <c r="S795" s="317"/>
      <c r="T795" s="317"/>
      <c r="U795" s="317"/>
    </row>
    <row r="796" ht="20.25" customHeight="1">
      <c r="A796" s="216" t="str">
        <f>IFERROR(__xludf.DUMMYFUNCTION("ARRAYFORMULA(IFERROR(VLOOKUP(REGEXEXTRACT(B796, ""-(\w+)-""), {Data_Validation!$F$16:$F$29, Data_Validation!$E$16:$E$29}, 2, FALSE), """"))
"),"")</f>
        <v/>
      </c>
      <c r="K796" s="318"/>
      <c r="L796" s="311"/>
      <c r="M796" s="312"/>
      <c r="N796" s="313"/>
      <c r="O796" s="314"/>
      <c r="P796" s="314"/>
      <c r="Q796" s="315"/>
      <c r="R796" s="316"/>
      <c r="S796" s="317"/>
      <c r="T796" s="317"/>
      <c r="U796" s="317"/>
    </row>
    <row r="797" ht="20.25" customHeight="1">
      <c r="A797" s="216" t="str">
        <f>IFERROR(__xludf.DUMMYFUNCTION("ARRAYFORMULA(IFERROR(VLOOKUP(REGEXEXTRACT(B797, ""-(\w+)-""), {Data_Validation!$F$16:$F$29, Data_Validation!$E$16:$E$29}, 2, FALSE), """"))
"),"")</f>
        <v/>
      </c>
      <c r="K797" s="318"/>
      <c r="L797" s="311"/>
      <c r="M797" s="312"/>
      <c r="N797" s="313"/>
      <c r="O797" s="314"/>
      <c r="P797" s="314"/>
      <c r="Q797" s="315"/>
      <c r="R797" s="316"/>
      <c r="S797" s="317"/>
      <c r="T797" s="317"/>
      <c r="U797" s="317"/>
    </row>
    <row r="798" ht="20.25" customHeight="1">
      <c r="A798" s="216" t="str">
        <f>IFERROR(__xludf.DUMMYFUNCTION("ARRAYFORMULA(IFERROR(VLOOKUP(REGEXEXTRACT(B798, ""-(\w+)-""), {Data_Validation!$F$16:$F$29, Data_Validation!$E$16:$E$29}, 2, FALSE), """"))
"),"")</f>
        <v/>
      </c>
      <c r="K798" s="318"/>
      <c r="L798" s="311"/>
      <c r="M798" s="312"/>
      <c r="N798" s="313"/>
      <c r="O798" s="314"/>
      <c r="P798" s="314"/>
      <c r="Q798" s="315"/>
      <c r="R798" s="316"/>
      <c r="S798" s="317"/>
      <c r="T798" s="317"/>
      <c r="U798" s="317"/>
    </row>
    <row r="799" ht="20.25" customHeight="1">
      <c r="A799" s="216" t="str">
        <f>IFERROR(__xludf.DUMMYFUNCTION("ARRAYFORMULA(IFERROR(VLOOKUP(REGEXEXTRACT(B799, ""-(\w+)-""), {Data_Validation!$F$16:$F$29, Data_Validation!$E$16:$E$29}, 2, FALSE), """"))
"),"")</f>
        <v/>
      </c>
      <c r="K799" s="318"/>
      <c r="L799" s="311"/>
      <c r="M799" s="312"/>
      <c r="N799" s="313"/>
      <c r="O799" s="314"/>
      <c r="P799" s="314"/>
      <c r="Q799" s="315"/>
      <c r="R799" s="316"/>
      <c r="S799" s="317"/>
      <c r="T799" s="317"/>
      <c r="U799" s="317"/>
    </row>
    <row r="800" ht="20.25" customHeight="1">
      <c r="A800" s="216" t="str">
        <f>IFERROR(__xludf.DUMMYFUNCTION("ARRAYFORMULA(IFERROR(VLOOKUP(REGEXEXTRACT(B800, ""-(\w+)-""), {Data_Validation!$F$16:$F$29, Data_Validation!$E$16:$E$29}, 2, FALSE), """"))
"),"")</f>
        <v/>
      </c>
      <c r="K800" s="318"/>
      <c r="L800" s="311"/>
      <c r="M800" s="312"/>
      <c r="N800" s="313"/>
      <c r="O800" s="314"/>
      <c r="P800" s="314"/>
      <c r="Q800" s="315"/>
      <c r="R800" s="316"/>
      <c r="S800" s="317"/>
      <c r="T800" s="317"/>
      <c r="U800" s="317"/>
    </row>
    <row r="801" ht="20.25" customHeight="1">
      <c r="A801" s="216" t="str">
        <f>IFERROR(__xludf.DUMMYFUNCTION("ARRAYFORMULA(IFERROR(VLOOKUP(REGEXEXTRACT(B801, ""-(\w+)-""), {Data_Validation!$F$16:$F$29, Data_Validation!$E$16:$E$29}, 2, FALSE), """"))
"),"")</f>
        <v/>
      </c>
      <c r="K801" s="318"/>
      <c r="L801" s="311"/>
      <c r="M801" s="312"/>
      <c r="N801" s="313"/>
      <c r="O801" s="314"/>
      <c r="P801" s="314"/>
      <c r="Q801" s="315"/>
      <c r="R801" s="316"/>
      <c r="S801" s="317"/>
      <c r="T801" s="317"/>
      <c r="U801" s="317"/>
    </row>
    <row r="802" ht="20.25" customHeight="1">
      <c r="A802" s="216" t="str">
        <f>IFERROR(__xludf.DUMMYFUNCTION("ARRAYFORMULA(IFERROR(VLOOKUP(REGEXEXTRACT(B802, ""-(\w+)-""), {Data_Validation!$F$16:$F$29, Data_Validation!$E$16:$E$29}, 2, FALSE), """"))
"),"")</f>
        <v/>
      </c>
      <c r="K802" s="318"/>
      <c r="L802" s="311"/>
      <c r="M802" s="312"/>
      <c r="N802" s="313"/>
      <c r="O802" s="314"/>
      <c r="P802" s="314"/>
      <c r="Q802" s="315"/>
      <c r="R802" s="316"/>
      <c r="S802" s="317"/>
      <c r="T802" s="317"/>
      <c r="U802" s="317"/>
    </row>
    <row r="803" ht="20.25" customHeight="1">
      <c r="A803" s="216" t="str">
        <f>IFERROR(__xludf.DUMMYFUNCTION("ARRAYFORMULA(IFERROR(VLOOKUP(REGEXEXTRACT(B803, ""-(\w+)-""), {Data_Validation!$F$16:$F$29, Data_Validation!$E$16:$E$29}, 2, FALSE), """"))
"),"")</f>
        <v/>
      </c>
      <c r="K803" s="318"/>
      <c r="L803" s="311"/>
      <c r="M803" s="312"/>
      <c r="N803" s="313"/>
      <c r="O803" s="314"/>
      <c r="P803" s="314"/>
      <c r="Q803" s="315"/>
      <c r="R803" s="316"/>
      <c r="S803" s="317"/>
      <c r="T803" s="317"/>
      <c r="U803" s="317"/>
    </row>
    <row r="804" ht="20.25" customHeight="1">
      <c r="A804" s="216" t="str">
        <f>IFERROR(__xludf.DUMMYFUNCTION("ARRAYFORMULA(IFERROR(VLOOKUP(REGEXEXTRACT(B804, ""-(\w+)-""), {Data_Validation!$F$16:$F$29, Data_Validation!$E$16:$E$29}, 2, FALSE), """"))
"),"")</f>
        <v/>
      </c>
      <c r="K804" s="318"/>
      <c r="L804" s="311"/>
      <c r="M804" s="312"/>
      <c r="N804" s="313"/>
      <c r="O804" s="314"/>
      <c r="P804" s="314"/>
      <c r="Q804" s="315"/>
      <c r="R804" s="316"/>
      <c r="S804" s="317"/>
      <c r="T804" s="317"/>
      <c r="U804" s="317"/>
    </row>
    <row r="805" ht="20.25" customHeight="1">
      <c r="A805" s="216" t="str">
        <f>IFERROR(__xludf.DUMMYFUNCTION("ARRAYFORMULA(IFERROR(VLOOKUP(REGEXEXTRACT(B805, ""-(\w+)-""), {Data_Validation!$F$16:$F$29, Data_Validation!$E$16:$E$29}, 2, FALSE), """"))
"),"")</f>
        <v/>
      </c>
      <c r="K805" s="318"/>
      <c r="L805" s="311"/>
      <c r="M805" s="312"/>
      <c r="N805" s="313"/>
      <c r="O805" s="314"/>
      <c r="P805" s="314"/>
      <c r="Q805" s="315"/>
      <c r="R805" s="316"/>
      <c r="S805" s="317"/>
      <c r="T805" s="317"/>
      <c r="U805" s="317"/>
    </row>
    <row r="806" ht="20.25" customHeight="1">
      <c r="A806" s="216" t="str">
        <f>IFERROR(__xludf.DUMMYFUNCTION("ARRAYFORMULA(IFERROR(VLOOKUP(REGEXEXTRACT(B806, ""-(\w+)-""), {Data_Validation!$F$16:$F$29, Data_Validation!$E$16:$E$29}, 2, FALSE), """"))
"),"")</f>
        <v/>
      </c>
      <c r="K806" s="318"/>
      <c r="L806" s="311"/>
      <c r="M806" s="312"/>
      <c r="N806" s="313"/>
      <c r="O806" s="314"/>
      <c r="P806" s="314"/>
      <c r="Q806" s="315"/>
      <c r="R806" s="316"/>
      <c r="S806" s="317"/>
      <c r="T806" s="317"/>
      <c r="U806" s="317"/>
    </row>
    <row r="807" ht="20.25" customHeight="1">
      <c r="A807" s="216" t="str">
        <f>IFERROR(__xludf.DUMMYFUNCTION("ARRAYFORMULA(IFERROR(VLOOKUP(REGEXEXTRACT(B807, ""-(\w+)-""), {Data_Validation!$F$16:$F$29, Data_Validation!$E$16:$E$29}, 2, FALSE), """"))
"),"")</f>
        <v/>
      </c>
      <c r="K807" s="318"/>
      <c r="L807" s="311"/>
      <c r="M807" s="312"/>
      <c r="N807" s="313"/>
      <c r="O807" s="314"/>
      <c r="P807" s="314"/>
      <c r="Q807" s="315"/>
      <c r="R807" s="316"/>
      <c r="S807" s="317"/>
      <c r="T807" s="317"/>
      <c r="U807" s="317"/>
    </row>
    <row r="808" ht="20.25" customHeight="1">
      <c r="A808" s="216" t="str">
        <f>IFERROR(__xludf.DUMMYFUNCTION("ARRAYFORMULA(IFERROR(VLOOKUP(REGEXEXTRACT(B808, ""-(\w+)-""), {Data_Validation!$F$16:$F$29, Data_Validation!$E$16:$E$29}, 2, FALSE), """"))
"),"")</f>
        <v/>
      </c>
      <c r="K808" s="318"/>
      <c r="L808" s="311"/>
      <c r="M808" s="312"/>
      <c r="N808" s="313"/>
      <c r="O808" s="314"/>
      <c r="P808" s="314"/>
      <c r="Q808" s="315"/>
      <c r="R808" s="316"/>
      <c r="S808" s="317"/>
      <c r="T808" s="317"/>
      <c r="U808" s="317"/>
    </row>
    <row r="809" ht="20.25" customHeight="1">
      <c r="A809" s="216" t="str">
        <f>IFERROR(__xludf.DUMMYFUNCTION("ARRAYFORMULA(IFERROR(VLOOKUP(REGEXEXTRACT(B809, ""-(\w+)-""), {Data_Validation!$F$16:$F$29, Data_Validation!$E$16:$E$29}, 2, FALSE), """"))
"),"")</f>
        <v/>
      </c>
      <c r="K809" s="318"/>
      <c r="L809" s="311"/>
      <c r="M809" s="312"/>
      <c r="N809" s="313"/>
      <c r="O809" s="314"/>
      <c r="P809" s="314"/>
      <c r="Q809" s="315"/>
      <c r="R809" s="316"/>
      <c r="S809" s="317"/>
      <c r="T809" s="317"/>
      <c r="U809" s="317"/>
    </row>
    <row r="810" ht="20.25" customHeight="1">
      <c r="A810" s="216" t="str">
        <f>IFERROR(__xludf.DUMMYFUNCTION("ARRAYFORMULA(IFERROR(VLOOKUP(REGEXEXTRACT(B810, ""-(\w+)-""), {Data_Validation!$F$16:$F$29, Data_Validation!$E$16:$E$29}, 2, FALSE), """"))
"),"")</f>
        <v/>
      </c>
      <c r="K810" s="318"/>
      <c r="L810" s="311"/>
      <c r="M810" s="312"/>
      <c r="N810" s="313"/>
      <c r="O810" s="314"/>
      <c r="P810" s="314"/>
      <c r="Q810" s="315"/>
      <c r="R810" s="316"/>
      <c r="S810" s="317"/>
      <c r="T810" s="317"/>
      <c r="U810" s="317"/>
    </row>
    <row r="811" ht="20.25" customHeight="1">
      <c r="A811" s="216" t="str">
        <f>IFERROR(__xludf.DUMMYFUNCTION("ARRAYFORMULA(IFERROR(VLOOKUP(REGEXEXTRACT(B811, ""-(\w+)-""), {Data_Validation!$F$16:$F$29, Data_Validation!$E$16:$E$29}, 2, FALSE), """"))
"),"")</f>
        <v/>
      </c>
      <c r="K811" s="318"/>
      <c r="L811" s="311"/>
      <c r="M811" s="312"/>
      <c r="N811" s="313"/>
      <c r="O811" s="314"/>
      <c r="P811" s="314"/>
      <c r="Q811" s="315"/>
      <c r="R811" s="316"/>
      <c r="S811" s="317"/>
      <c r="T811" s="317"/>
      <c r="U811" s="317"/>
    </row>
    <row r="812" ht="20.25" customHeight="1">
      <c r="A812" s="216" t="str">
        <f>IFERROR(__xludf.DUMMYFUNCTION("ARRAYFORMULA(IFERROR(VLOOKUP(REGEXEXTRACT(B812, ""-(\w+)-""), {Data_Validation!$F$16:$F$29, Data_Validation!$E$16:$E$29}, 2, FALSE), """"))
"),"")</f>
        <v/>
      </c>
      <c r="K812" s="318"/>
      <c r="L812" s="311"/>
      <c r="M812" s="312"/>
      <c r="N812" s="313"/>
      <c r="O812" s="314"/>
      <c r="P812" s="314"/>
      <c r="Q812" s="315"/>
      <c r="R812" s="316"/>
      <c r="S812" s="317"/>
      <c r="T812" s="317"/>
      <c r="U812" s="317"/>
    </row>
    <row r="813" ht="20.25" customHeight="1">
      <c r="A813" s="216" t="str">
        <f>IFERROR(__xludf.DUMMYFUNCTION("ARRAYFORMULA(IFERROR(VLOOKUP(REGEXEXTRACT(B813, ""-(\w+)-""), {Data_Validation!$F$16:$F$29, Data_Validation!$E$16:$E$29}, 2, FALSE), """"))
"),"")</f>
        <v/>
      </c>
      <c r="K813" s="318"/>
      <c r="L813" s="311"/>
      <c r="M813" s="312"/>
      <c r="N813" s="313"/>
      <c r="O813" s="314"/>
      <c r="P813" s="314"/>
      <c r="Q813" s="315"/>
      <c r="R813" s="316"/>
      <c r="S813" s="317"/>
      <c r="T813" s="317"/>
      <c r="U813" s="317"/>
    </row>
    <row r="814" ht="20.25" customHeight="1">
      <c r="A814" s="216" t="str">
        <f>IFERROR(__xludf.DUMMYFUNCTION("ARRAYFORMULA(IFERROR(VLOOKUP(REGEXEXTRACT(B814, ""-(\w+)-""), {Data_Validation!$F$16:$F$29, Data_Validation!$E$16:$E$29}, 2, FALSE), """"))
"),"")</f>
        <v/>
      </c>
      <c r="K814" s="318"/>
      <c r="L814" s="311"/>
      <c r="M814" s="312"/>
      <c r="N814" s="313"/>
      <c r="O814" s="314"/>
      <c r="P814" s="314"/>
      <c r="Q814" s="315"/>
      <c r="R814" s="316"/>
      <c r="S814" s="317"/>
      <c r="T814" s="317"/>
      <c r="U814" s="317"/>
    </row>
    <row r="815" ht="20.25" customHeight="1">
      <c r="A815" s="216" t="str">
        <f>IFERROR(__xludf.DUMMYFUNCTION("ARRAYFORMULA(IFERROR(VLOOKUP(REGEXEXTRACT(B815, ""-(\w+)-""), {Data_Validation!$F$16:$F$29, Data_Validation!$E$16:$E$29}, 2, FALSE), """"))
"),"")</f>
        <v/>
      </c>
      <c r="K815" s="318"/>
      <c r="L815" s="311"/>
      <c r="M815" s="312"/>
      <c r="N815" s="313"/>
      <c r="O815" s="314"/>
      <c r="P815" s="314"/>
      <c r="Q815" s="315"/>
      <c r="R815" s="316"/>
      <c r="S815" s="317"/>
      <c r="T815" s="317"/>
      <c r="U815" s="317"/>
    </row>
    <row r="816" ht="20.25" customHeight="1">
      <c r="A816" s="216" t="str">
        <f>IFERROR(__xludf.DUMMYFUNCTION("ARRAYFORMULA(IFERROR(VLOOKUP(REGEXEXTRACT(B816, ""-(\w+)-""), {Data_Validation!$F$16:$F$29, Data_Validation!$E$16:$E$29}, 2, FALSE), """"))
"),"")</f>
        <v/>
      </c>
      <c r="K816" s="318"/>
      <c r="L816" s="311"/>
      <c r="M816" s="312"/>
      <c r="N816" s="313"/>
      <c r="O816" s="314"/>
      <c r="P816" s="314"/>
      <c r="Q816" s="315"/>
      <c r="R816" s="316"/>
      <c r="S816" s="317"/>
      <c r="T816" s="317"/>
      <c r="U816" s="317"/>
    </row>
    <row r="817" ht="20.25" customHeight="1">
      <c r="A817" s="216" t="str">
        <f>IFERROR(__xludf.DUMMYFUNCTION("ARRAYFORMULA(IFERROR(VLOOKUP(REGEXEXTRACT(B817, ""-(\w+)-""), {Data_Validation!$F$16:$F$29, Data_Validation!$E$16:$E$29}, 2, FALSE), """"))
"),"")</f>
        <v/>
      </c>
      <c r="K817" s="318"/>
      <c r="L817" s="311"/>
      <c r="M817" s="312"/>
      <c r="N817" s="313"/>
      <c r="O817" s="314"/>
      <c r="P817" s="314"/>
      <c r="Q817" s="315"/>
      <c r="R817" s="316"/>
      <c r="S817" s="317"/>
      <c r="T817" s="317"/>
      <c r="U817" s="317"/>
    </row>
    <row r="818" ht="20.25" customHeight="1">
      <c r="A818" s="216" t="str">
        <f>IFERROR(__xludf.DUMMYFUNCTION("ARRAYFORMULA(IFERROR(VLOOKUP(REGEXEXTRACT(B818, ""-(\w+)-""), {Data_Validation!$F$16:$F$29, Data_Validation!$E$16:$E$29}, 2, FALSE), """"))
"),"")</f>
        <v/>
      </c>
      <c r="K818" s="318"/>
      <c r="L818" s="311"/>
      <c r="M818" s="312"/>
      <c r="N818" s="313"/>
      <c r="O818" s="314"/>
      <c r="P818" s="314"/>
      <c r="Q818" s="315"/>
      <c r="R818" s="316"/>
      <c r="S818" s="317"/>
      <c r="T818" s="317"/>
      <c r="U818" s="317"/>
    </row>
    <row r="819" ht="20.25" customHeight="1">
      <c r="A819" s="216" t="str">
        <f>IFERROR(__xludf.DUMMYFUNCTION("ARRAYFORMULA(IFERROR(VLOOKUP(REGEXEXTRACT(B819, ""-(\w+)-""), {Data_Validation!$F$16:$F$29, Data_Validation!$E$16:$E$29}, 2, FALSE), """"))
"),"")</f>
        <v/>
      </c>
      <c r="K819" s="318"/>
      <c r="L819" s="311"/>
      <c r="M819" s="312"/>
      <c r="N819" s="313"/>
      <c r="O819" s="314"/>
      <c r="P819" s="314"/>
      <c r="Q819" s="315"/>
      <c r="R819" s="316"/>
      <c r="S819" s="317"/>
      <c r="T819" s="317"/>
      <c r="U819" s="317"/>
    </row>
    <row r="820" ht="20.25" customHeight="1">
      <c r="A820" s="216" t="str">
        <f>IFERROR(__xludf.DUMMYFUNCTION("ARRAYFORMULA(IFERROR(VLOOKUP(REGEXEXTRACT(B820, ""-(\w+)-""), {Data_Validation!$F$16:$F$29, Data_Validation!$E$16:$E$29}, 2, FALSE), """"))
"),"")</f>
        <v/>
      </c>
      <c r="K820" s="318"/>
      <c r="L820" s="311"/>
      <c r="M820" s="312"/>
      <c r="N820" s="313"/>
      <c r="O820" s="314"/>
      <c r="P820" s="314"/>
      <c r="Q820" s="315"/>
      <c r="R820" s="316"/>
      <c r="S820" s="317"/>
      <c r="T820" s="317"/>
      <c r="U820" s="317"/>
    </row>
    <row r="821" ht="20.25" customHeight="1">
      <c r="A821" s="216" t="str">
        <f>IFERROR(__xludf.DUMMYFUNCTION("ARRAYFORMULA(IFERROR(VLOOKUP(REGEXEXTRACT(B821, ""-(\w+)-""), {Data_Validation!$F$16:$F$29, Data_Validation!$E$16:$E$29}, 2, FALSE), """"))
"),"")</f>
        <v/>
      </c>
      <c r="K821" s="318"/>
      <c r="L821" s="311"/>
      <c r="M821" s="312"/>
      <c r="N821" s="313"/>
      <c r="O821" s="314"/>
      <c r="P821" s="314"/>
      <c r="Q821" s="315"/>
      <c r="R821" s="316"/>
      <c r="S821" s="317"/>
      <c r="T821" s="317"/>
      <c r="U821" s="317"/>
    </row>
    <row r="822" ht="20.25" customHeight="1">
      <c r="A822" s="216" t="str">
        <f>IFERROR(__xludf.DUMMYFUNCTION("ARRAYFORMULA(IFERROR(VLOOKUP(REGEXEXTRACT(B822, ""-(\w+)-""), {Data_Validation!$F$16:$F$29, Data_Validation!$E$16:$E$29}, 2, FALSE), """"))
"),"")</f>
        <v/>
      </c>
      <c r="K822" s="318"/>
      <c r="L822" s="311"/>
      <c r="M822" s="312"/>
      <c r="N822" s="313"/>
      <c r="O822" s="314"/>
      <c r="P822" s="314"/>
      <c r="Q822" s="315"/>
      <c r="R822" s="316"/>
      <c r="S822" s="317"/>
      <c r="T822" s="317"/>
      <c r="U822" s="317"/>
    </row>
    <row r="823" ht="20.25" customHeight="1">
      <c r="A823" s="216" t="str">
        <f>IFERROR(__xludf.DUMMYFUNCTION("ARRAYFORMULA(IFERROR(VLOOKUP(REGEXEXTRACT(B823, ""-(\w+)-""), {Data_Validation!$F$16:$F$29, Data_Validation!$E$16:$E$29}, 2, FALSE), """"))
"),"")</f>
        <v/>
      </c>
      <c r="K823" s="318"/>
      <c r="L823" s="311"/>
      <c r="M823" s="312"/>
      <c r="N823" s="313"/>
      <c r="O823" s="314"/>
      <c r="P823" s="314"/>
      <c r="Q823" s="315"/>
      <c r="R823" s="316"/>
      <c r="S823" s="317"/>
      <c r="T823" s="317"/>
      <c r="U823" s="317"/>
    </row>
    <row r="824" ht="20.25" customHeight="1">
      <c r="A824" s="216" t="str">
        <f>IFERROR(__xludf.DUMMYFUNCTION("ARRAYFORMULA(IFERROR(VLOOKUP(REGEXEXTRACT(B824, ""-(\w+)-""), {Data_Validation!$F$16:$F$29, Data_Validation!$E$16:$E$29}, 2, FALSE), """"))
"),"")</f>
        <v/>
      </c>
      <c r="K824" s="318"/>
      <c r="L824" s="311"/>
      <c r="M824" s="312"/>
      <c r="N824" s="313"/>
      <c r="O824" s="314"/>
      <c r="P824" s="314"/>
      <c r="Q824" s="315"/>
      <c r="R824" s="316"/>
      <c r="S824" s="317"/>
      <c r="T824" s="317"/>
      <c r="U824" s="317"/>
    </row>
    <row r="825" ht="20.25" customHeight="1">
      <c r="A825" s="216" t="str">
        <f>IFERROR(__xludf.DUMMYFUNCTION("ARRAYFORMULA(IFERROR(VLOOKUP(REGEXEXTRACT(B825, ""-(\w+)-""), {Data_Validation!$F$16:$F$29, Data_Validation!$E$16:$E$29}, 2, FALSE), """"))
"),"")</f>
        <v/>
      </c>
      <c r="K825" s="318"/>
      <c r="L825" s="311"/>
      <c r="M825" s="312"/>
      <c r="N825" s="313"/>
      <c r="O825" s="314"/>
      <c r="P825" s="314"/>
      <c r="Q825" s="315"/>
      <c r="R825" s="316"/>
      <c r="S825" s="317"/>
      <c r="T825" s="317"/>
      <c r="U825" s="317"/>
    </row>
    <row r="826" ht="20.25" customHeight="1">
      <c r="A826" s="216" t="str">
        <f>IFERROR(__xludf.DUMMYFUNCTION("ARRAYFORMULA(IFERROR(VLOOKUP(REGEXEXTRACT(B826, ""-(\w+)-""), {Data_Validation!$F$16:$F$29, Data_Validation!$E$16:$E$29}, 2, FALSE), """"))
"),"")</f>
        <v/>
      </c>
      <c r="K826" s="318"/>
      <c r="L826" s="311"/>
      <c r="M826" s="312"/>
      <c r="N826" s="313"/>
      <c r="O826" s="314"/>
      <c r="P826" s="314"/>
      <c r="Q826" s="315"/>
      <c r="R826" s="316"/>
      <c r="S826" s="317"/>
      <c r="T826" s="317"/>
      <c r="U826" s="317"/>
    </row>
    <row r="827" ht="20.25" customHeight="1">
      <c r="A827" s="216" t="str">
        <f>IFERROR(__xludf.DUMMYFUNCTION("ARRAYFORMULA(IFERROR(VLOOKUP(REGEXEXTRACT(B827, ""-(\w+)-""), {Data_Validation!$F$16:$F$29, Data_Validation!$E$16:$E$29}, 2, FALSE), """"))
"),"")</f>
        <v/>
      </c>
      <c r="K827" s="318"/>
      <c r="L827" s="311"/>
      <c r="M827" s="312"/>
      <c r="N827" s="313"/>
      <c r="O827" s="314"/>
      <c r="P827" s="314"/>
      <c r="Q827" s="315"/>
      <c r="R827" s="316"/>
      <c r="S827" s="317"/>
      <c r="T827" s="317"/>
      <c r="U827" s="317"/>
    </row>
    <row r="828" ht="20.25" customHeight="1">
      <c r="A828" s="216" t="str">
        <f>IFERROR(__xludf.DUMMYFUNCTION("ARRAYFORMULA(IFERROR(VLOOKUP(REGEXEXTRACT(B828, ""-(\w+)-""), {Data_Validation!$F$16:$F$29, Data_Validation!$E$16:$E$29}, 2, FALSE), """"))
"),"")</f>
        <v/>
      </c>
      <c r="K828" s="318"/>
      <c r="L828" s="311"/>
      <c r="M828" s="312"/>
      <c r="N828" s="313"/>
      <c r="O828" s="314"/>
      <c r="P828" s="314"/>
      <c r="Q828" s="315"/>
      <c r="R828" s="316"/>
      <c r="S828" s="317"/>
      <c r="T828" s="317"/>
      <c r="U828" s="317"/>
    </row>
    <row r="829" ht="20.25" customHeight="1">
      <c r="A829" s="216" t="str">
        <f>IFERROR(__xludf.DUMMYFUNCTION("ARRAYFORMULA(IFERROR(VLOOKUP(REGEXEXTRACT(B829, ""-(\w+)-""), {Data_Validation!$F$16:$F$29, Data_Validation!$E$16:$E$29}, 2, FALSE), """"))
"),"")</f>
        <v/>
      </c>
      <c r="K829" s="318"/>
      <c r="L829" s="311"/>
      <c r="M829" s="312"/>
      <c r="N829" s="313"/>
      <c r="O829" s="314"/>
      <c r="P829" s="314"/>
      <c r="Q829" s="315"/>
      <c r="R829" s="316"/>
      <c r="S829" s="317"/>
      <c r="T829" s="317"/>
      <c r="U829" s="317"/>
    </row>
    <row r="830" ht="20.25" customHeight="1">
      <c r="A830" s="216" t="str">
        <f>IFERROR(__xludf.DUMMYFUNCTION("ARRAYFORMULA(IFERROR(VLOOKUP(REGEXEXTRACT(B830, ""-(\w+)-""), {Data_Validation!$F$16:$F$29, Data_Validation!$E$16:$E$29}, 2, FALSE), """"))
"),"")</f>
        <v/>
      </c>
      <c r="K830" s="318"/>
      <c r="L830" s="311"/>
      <c r="M830" s="312"/>
      <c r="N830" s="313"/>
      <c r="O830" s="314"/>
      <c r="P830" s="314"/>
      <c r="Q830" s="315"/>
      <c r="R830" s="316"/>
      <c r="S830" s="317"/>
      <c r="T830" s="317"/>
      <c r="U830" s="317"/>
    </row>
    <row r="831" ht="20.25" customHeight="1">
      <c r="A831" s="216" t="str">
        <f>IFERROR(__xludf.DUMMYFUNCTION("ARRAYFORMULA(IFERROR(VLOOKUP(REGEXEXTRACT(B831, ""-(\w+)-""), {Data_Validation!$F$16:$F$29, Data_Validation!$E$16:$E$29}, 2, FALSE), """"))
"),"")</f>
        <v/>
      </c>
      <c r="K831" s="318"/>
      <c r="L831" s="311"/>
      <c r="M831" s="312"/>
      <c r="N831" s="313"/>
      <c r="O831" s="314"/>
      <c r="P831" s="314"/>
      <c r="Q831" s="315"/>
      <c r="R831" s="316"/>
      <c r="S831" s="317"/>
      <c r="T831" s="317"/>
      <c r="U831" s="317"/>
    </row>
    <row r="832" ht="20.25" customHeight="1">
      <c r="A832" s="216" t="str">
        <f>IFERROR(__xludf.DUMMYFUNCTION("ARRAYFORMULA(IFERROR(VLOOKUP(REGEXEXTRACT(B832, ""-(\w+)-""), {Data_Validation!$F$16:$F$29, Data_Validation!$E$16:$E$29}, 2, FALSE), """"))
"),"")</f>
        <v/>
      </c>
      <c r="K832" s="318"/>
      <c r="L832" s="311"/>
      <c r="M832" s="312"/>
      <c r="N832" s="313"/>
      <c r="O832" s="314"/>
      <c r="P832" s="314"/>
      <c r="Q832" s="315"/>
      <c r="R832" s="316"/>
      <c r="S832" s="317"/>
      <c r="T832" s="317"/>
      <c r="U832" s="317"/>
    </row>
    <row r="833" ht="20.25" customHeight="1">
      <c r="A833" s="216" t="str">
        <f>IFERROR(__xludf.DUMMYFUNCTION("ARRAYFORMULA(IFERROR(VLOOKUP(REGEXEXTRACT(B833, ""-(\w+)-""), {Data_Validation!$F$16:$F$29, Data_Validation!$E$16:$E$29}, 2, FALSE), """"))
"),"")</f>
        <v/>
      </c>
      <c r="K833" s="318"/>
      <c r="L833" s="311"/>
      <c r="M833" s="312"/>
      <c r="N833" s="313"/>
      <c r="O833" s="314"/>
      <c r="P833" s="314"/>
      <c r="Q833" s="315"/>
      <c r="R833" s="316"/>
      <c r="S833" s="317"/>
      <c r="T833" s="317"/>
      <c r="U833" s="317"/>
    </row>
    <row r="834" ht="20.25" customHeight="1">
      <c r="A834" s="216" t="str">
        <f>IFERROR(__xludf.DUMMYFUNCTION("ARRAYFORMULA(IFERROR(VLOOKUP(REGEXEXTRACT(B834, ""-(\w+)-""), {Data_Validation!$F$16:$F$29, Data_Validation!$E$16:$E$29}, 2, FALSE), """"))
"),"")</f>
        <v/>
      </c>
      <c r="K834" s="318"/>
      <c r="L834" s="311"/>
      <c r="M834" s="312"/>
      <c r="N834" s="313"/>
      <c r="O834" s="314"/>
      <c r="P834" s="314"/>
      <c r="Q834" s="315"/>
      <c r="R834" s="316"/>
      <c r="S834" s="317"/>
      <c r="T834" s="317"/>
      <c r="U834" s="317"/>
    </row>
    <row r="835" ht="20.25" customHeight="1">
      <c r="A835" s="216" t="str">
        <f>IFERROR(__xludf.DUMMYFUNCTION("ARRAYFORMULA(IFERROR(VLOOKUP(REGEXEXTRACT(B835, ""-(\w+)-""), {Data_Validation!$F$16:$F$29, Data_Validation!$E$16:$E$29}, 2, FALSE), """"))
"),"")</f>
        <v/>
      </c>
      <c r="K835" s="318"/>
      <c r="L835" s="311"/>
      <c r="M835" s="312"/>
      <c r="N835" s="313"/>
      <c r="O835" s="314"/>
      <c r="P835" s="314"/>
      <c r="Q835" s="315"/>
      <c r="R835" s="316"/>
      <c r="S835" s="317"/>
      <c r="T835" s="317"/>
      <c r="U835" s="317"/>
    </row>
    <row r="836" ht="20.25" customHeight="1">
      <c r="A836" s="216" t="str">
        <f>IFERROR(__xludf.DUMMYFUNCTION("ARRAYFORMULA(IFERROR(VLOOKUP(REGEXEXTRACT(B836, ""-(\w+)-""), {Data_Validation!$F$16:$F$29, Data_Validation!$E$16:$E$29}, 2, FALSE), """"))
"),"")</f>
        <v/>
      </c>
      <c r="K836" s="318"/>
      <c r="L836" s="311"/>
      <c r="M836" s="312"/>
      <c r="N836" s="313"/>
      <c r="O836" s="314"/>
      <c r="P836" s="314"/>
      <c r="Q836" s="315"/>
      <c r="R836" s="316"/>
      <c r="S836" s="317"/>
      <c r="T836" s="317"/>
      <c r="U836" s="317"/>
    </row>
    <row r="837" ht="20.25" customHeight="1">
      <c r="A837" s="216" t="str">
        <f>IFERROR(__xludf.DUMMYFUNCTION("ARRAYFORMULA(IFERROR(VLOOKUP(REGEXEXTRACT(B837, ""-(\w+)-""), {Data_Validation!$F$16:$F$29, Data_Validation!$E$16:$E$29}, 2, FALSE), """"))
"),"")</f>
        <v/>
      </c>
      <c r="K837" s="318"/>
      <c r="L837" s="311"/>
      <c r="M837" s="312"/>
      <c r="N837" s="313"/>
      <c r="O837" s="314"/>
      <c r="P837" s="314"/>
      <c r="Q837" s="315"/>
      <c r="R837" s="316"/>
      <c r="S837" s="317"/>
      <c r="T837" s="317"/>
      <c r="U837" s="317"/>
    </row>
    <row r="838" ht="20.25" customHeight="1">
      <c r="A838" s="216" t="str">
        <f>IFERROR(__xludf.DUMMYFUNCTION("ARRAYFORMULA(IFERROR(VLOOKUP(REGEXEXTRACT(B838, ""-(\w+)-""), {Data_Validation!$F$16:$F$29, Data_Validation!$E$16:$E$29}, 2, FALSE), """"))
"),"")</f>
        <v/>
      </c>
      <c r="K838" s="318"/>
      <c r="L838" s="311"/>
      <c r="M838" s="312"/>
      <c r="N838" s="313"/>
      <c r="O838" s="314"/>
      <c r="P838" s="314"/>
      <c r="Q838" s="315"/>
      <c r="R838" s="316"/>
      <c r="S838" s="317"/>
      <c r="T838" s="317"/>
      <c r="U838" s="317"/>
    </row>
    <row r="839" ht="20.25" customHeight="1">
      <c r="A839" s="216" t="str">
        <f>IFERROR(__xludf.DUMMYFUNCTION("ARRAYFORMULA(IFERROR(VLOOKUP(REGEXEXTRACT(B839, ""-(\w+)-""), {Data_Validation!$F$16:$F$29, Data_Validation!$E$16:$E$29}, 2, FALSE), """"))
"),"")</f>
        <v/>
      </c>
      <c r="K839" s="318"/>
      <c r="L839" s="311"/>
      <c r="M839" s="312"/>
      <c r="N839" s="313"/>
      <c r="O839" s="314"/>
      <c r="P839" s="314"/>
      <c r="Q839" s="315"/>
      <c r="R839" s="316"/>
      <c r="S839" s="317"/>
      <c r="T839" s="317"/>
      <c r="U839" s="317"/>
    </row>
    <row r="840" ht="20.25" customHeight="1">
      <c r="A840" s="216" t="str">
        <f>IFERROR(__xludf.DUMMYFUNCTION("ARRAYFORMULA(IFERROR(VLOOKUP(REGEXEXTRACT(B840, ""-(\w+)-""), {Data_Validation!$F$16:$F$29, Data_Validation!$E$16:$E$29}, 2, FALSE), """"))
"),"")</f>
        <v/>
      </c>
      <c r="K840" s="318"/>
      <c r="L840" s="311"/>
      <c r="M840" s="312"/>
      <c r="N840" s="313"/>
      <c r="O840" s="314"/>
      <c r="P840" s="314"/>
      <c r="Q840" s="315"/>
      <c r="R840" s="316"/>
      <c r="S840" s="317"/>
      <c r="T840" s="317"/>
      <c r="U840" s="317"/>
    </row>
    <row r="841" ht="20.25" customHeight="1">
      <c r="A841" s="216" t="str">
        <f>IFERROR(__xludf.DUMMYFUNCTION("ARRAYFORMULA(IFERROR(VLOOKUP(REGEXEXTRACT(B841, ""-(\w+)-""), {Data_Validation!$F$16:$F$29, Data_Validation!$E$16:$E$29}, 2, FALSE), """"))
"),"")</f>
        <v/>
      </c>
      <c r="K841" s="318"/>
      <c r="L841" s="311"/>
      <c r="M841" s="312"/>
      <c r="N841" s="313"/>
      <c r="O841" s="314"/>
      <c r="P841" s="314"/>
      <c r="Q841" s="315"/>
      <c r="R841" s="316"/>
      <c r="S841" s="317"/>
      <c r="T841" s="317"/>
      <c r="U841" s="317"/>
    </row>
    <row r="842" ht="20.25" customHeight="1">
      <c r="A842" s="216" t="str">
        <f>IFERROR(__xludf.DUMMYFUNCTION("ARRAYFORMULA(IFERROR(VLOOKUP(REGEXEXTRACT(B842, ""-(\w+)-""), {Data_Validation!$F$16:$F$29, Data_Validation!$E$16:$E$29}, 2, FALSE), """"))
"),"")</f>
        <v/>
      </c>
      <c r="K842" s="318"/>
      <c r="L842" s="311"/>
      <c r="M842" s="312"/>
      <c r="N842" s="313"/>
      <c r="O842" s="314"/>
      <c r="P842" s="314"/>
      <c r="Q842" s="315"/>
      <c r="R842" s="316"/>
      <c r="S842" s="317"/>
      <c r="T842" s="317"/>
      <c r="U842" s="317"/>
    </row>
    <row r="843" ht="20.25" customHeight="1">
      <c r="A843" s="216" t="str">
        <f>IFERROR(__xludf.DUMMYFUNCTION("ARRAYFORMULA(IFERROR(VLOOKUP(REGEXEXTRACT(B843, ""-(\w+)-""), {Data_Validation!$F$16:$F$29, Data_Validation!$E$16:$E$29}, 2, FALSE), """"))
"),"")</f>
        <v/>
      </c>
      <c r="K843" s="318"/>
      <c r="L843" s="311"/>
      <c r="M843" s="312"/>
      <c r="N843" s="313"/>
      <c r="O843" s="314"/>
      <c r="P843" s="314"/>
      <c r="Q843" s="315"/>
      <c r="R843" s="316"/>
      <c r="S843" s="317"/>
      <c r="T843" s="317"/>
      <c r="U843" s="317"/>
    </row>
    <row r="844" ht="20.25" customHeight="1">
      <c r="A844" s="216" t="str">
        <f>IFERROR(__xludf.DUMMYFUNCTION("ARRAYFORMULA(IFERROR(VLOOKUP(REGEXEXTRACT(B844, ""-(\w+)-""), {Data_Validation!$F$16:$F$29, Data_Validation!$E$16:$E$29}, 2, FALSE), """"))
"),"")</f>
        <v/>
      </c>
      <c r="K844" s="318"/>
      <c r="L844" s="311"/>
      <c r="M844" s="312"/>
      <c r="N844" s="313"/>
      <c r="O844" s="314"/>
      <c r="P844" s="314"/>
      <c r="Q844" s="315"/>
      <c r="R844" s="316"/>
      <c r="S844" s="317"/>
      <c r="T844" s="317"/>
      <c r="U844" s="317"/>
    </row>
    <row r="845" ht="20.25" customHeight="1">
      <c r="A845" s="216" t="str">
        <f>IFERROR(__xludf.DUMMYFUNCTION("ARRAYFORMULA(IFERROR(VLOOKUP(REGEXEXTRACT(B845, ""-(\w+)-""), {Data_Validation!$F$16:$F$29, Data_Validation!$E$16:$E$29}, 2, FALSE), """"))
"),"")</f>
        <v/>
      </c>
      <c r="K845" s="318"/>
      <c r="L845" s="311"/>
      <c r="M845" s="312"/>
      <c r="N845" s="313"/>
      <c r="O845" s="314"/>
      <c r="P845" s="314"/>
      <c r="Q845" s="315"/>
      <c r="R845" s="316"/>
      <c r="S845" s="317"/>
      <c r="T845" s="317"/>
      <c r="U845" s="317"/>
    </row>
    <row r="846" ht="20.25" customHeight="1">
      <c r="A846" s="216" t="str">
        <f>IFERROR(__xludf.DUMMYFUNCTION("ARRAYFORMULA(IFERROR(VLOOKUP(REGEXEXTRACT(B846, ""-(\w+)-""), {Data_Validation!$F$16:$F$29, Data_Validation!$E$16:$E$29}, 2, FALSE), """"))
"),"")</f>
        <v/>
      </c>
      <c r="K846" s="318"/>
      <c r="L846" s="311"/>
      <c r="M846" s="312"/>
      <c r="N846" s="313"/>
      <c r="O846" s="314"/>
      <c r="P846" s="314"/>
      <c r="Q846" s="315"/>
      <c r="R846" s="316"/>
      <c r="S846" s="317"/>
      <c r="T846" s="317"/>
      <c r="U846" s="317"/>
    </row>
    <row r="847" ht="20.25" customHeight="1">
      <c r="A847" s="216" t="str">
        <f>IFERROR(__xludf.DUMMYFUNCTION("ARRAYFORMULA(IFERROR(VLOOKUP(REGEXEXTRACT(B847, ""-(\w+)-""), {Data_Validation!$F$16:$F$29, Data_Validation!$E$16:$E$29}, 2, FALSE), """"))
"),"")</f>
        <v/>
      </c>
      <c r="K847" s="318"/>
      <c r="L847" s="311"/>
      <c r="M847" s="312"/>
      <c r="N847" s="313"/>
      <c r="O847" s="314"/>
      <c r="P847" s="314"/>
      <c r="Q847" s="315"/>
      <c r="R847" s="316"/>
      <c r="S847" s="317"/>
      <c r="T847" s="317"/>
      <c r="U847" s="317"/>
    </row>
    <row r="848" ht="20.25" customHeight="1">
      <c r="A848" s="216" t="str">
        <f>IFERROR(__xludf.DUMMYFUNCTION("ARRAYFORMULA(IFERROR(VLOOKUP(REGEXEXTRACT(B848, ""-(\w+)-""), {Data_Validation!$F$16:$F$29, Data_Validation!$E$16:$E$29}, 2, FALSE), """"))
"),"")</f>
        <v/>
      </c>
      <c r="K848" s="318"/>
      <c r="L848" s="311"/>
      <c r="M848" s="312"/>
      <c r="N848" s="313"/>
      <c r="O848" s="314"/>
      <c r="P848" s="314"/>
      <c r="Q848" s="315"/>
      <c r="R848" s="316"/>
      <c r="S848" s="317"/>
      <c r="T848" s="317"/>
      <c r="U848" s="317"/>
    </row>
    <row r="849" ht="20.25" customHeight="1">
      <c r="A849" s="216" t="str">
        <f>IFERROR(__xludf.DUMMYFUNCTION("ARRAYFORMULA(IFERROR(VLOOKUP(REGEXEXTRACT(B849, ""-(\w+)-""), {Data_Validation!$F$16:$F$29, Data_Validation!$E$16:$E$29}, 2, FALSE), """"))
"),"")</f>
        <v/>
      </c>
      <c r="K849" s="318"/>
      <c r="L849" s="311"/>
      <c r="M849" s="312"/>
      <c r="N849" s="313"/>
      <c r="O849" s="314"/>
      <c r="P849" s="314"/>
      <c r="Q849" s="315"/>
      <c r="R849" s="316"/>
      <c r="S849" s="317"/>
      <c r="T849" s="317"/>
      <c r="U849" s="317"/>
    </row>
    <row r="850" ht="20.25" customHeight="1">
      <c r="A850" s="216" t="str">
        <f>IFERROR(__xludf.DUMMYFUNCTION("ARRAYFORMULA(IFERROR(VLOOKUP(REGEXEXTRACT(B850, ""-(\w+)-""), {Data_Validation!$F$16:$F$29, Data_Validation!$E$16:$E$29}, 2, FALSE), """"))
"),"")</f>
        <v/>
      </c>
      <c r="K850" s="318"/>
      <c r="L850" s="311"/>
      <c r="M850" s="312"/>
      <c r="N850" s="313"/>
      <c r="O850" s="314"/>
      <c r="P850" s="314"/>
      <c r="Q850" s="315"/>
      <c r="R850" s="316"/>
      <c r="S850" s="317"/>
      <c r="T850" s="317"/>
      <c r="U850" s="317"/>
    </row>
    <row r="851" ht="20.25" customHeight="1">
      <c r="A851" s="216" t="str">
        <f>IFERROR(__xludf.DUMMYFUNCTION("ARRAYFORMULA(IFERROR(VLOOKUP(REGEXEXTRACT(B851, ""-(\w+)-""), {Data_Validation!$F$16:$F$29, Data_Validation!$E$16:$E$29}, 2, FALSE), """"))
"),"")</f>
        <v/>
      </c>
      <c r="K851" s="318"/>
      <c r="L851" s="311"/>
      <c r="M851" s="312"/>
      <c r="N851" s="313"/>
      <c r="O851" s="314"/>
      <c r="P851" s="314"/>
      <c r="Q851" s="315"/>
      <c r="R851" s="316"/>
      <c r="S851" s="317"/>
      <c r="T851" s="317"/>
      <c r="U851" s="317"/>
    </row>
    <row r="852" ht="20.25" customHeight="1">
      <c r="A852" s="216" t="str">
        <f>IFERROR(__xludf.DUMMYFUNCTION("ARRAYFORMULA(IFERROR(VLOOKUP(REGEXEXTRACT(B852, ""-(\w+)-""), {Data_Validation!$F$16:$F$29, Data_Validation!$E$16:$E$29}, 2, FALSE), """"))
"),"")</f>
        <v/>
      </c>
      <c r="K852" s="318"/>
      <c r="L852" s="311"/>
      <c r="M852" s="312"/>
      <c r="N852" s="313"/>
      <c r="O852" s="314"/>
      <c r="P852" s="314"/>
      <c r="Q852" s="315"/>
      <c r="R852" s="316"/>
      <c r="S852" s="317"/>
      <c r="T852" s="317"/>
      <c r="U852" s="317"/>
    </row>
    <row r="853" ht="20.25" customHeight="1">
      <c r="A853" s="216" t="str">
        <f>IFERROR(__xludf.DUMMYFUNCTION("ARRAYFORMULA(IFERROR(VLOOKUP(REGEXEXTRACT(B853, ""-(\w+)-""), {Data_Validation!$F$16:$F$29, Data_Validation!$E$16:$E$29}, 2, FALSE), """"))
"),"")</f>
        <v/>
      </c>
      <c r="K853" s="318"/>
      <c r="L853" s="311"/>
      <c r="M853" s="312"/>
      <c r="N853" s="313"/>
      <c r="O853" s="314"/>
      <c r="P853" s="314"/>
      <c r="Q853" s="315"/>
      <c r="R853" s="316"/>
      <c r="S853" s="317"/>
      <c r="T853" s="317"/>
      <c r="U853" s="317"/>
    </row>
    <row r="854" ht="20.25" customHeight="1">
      <c r="A854" s="216" t="str">
        <f>IFERROR(__xludf.DUMMYFUNCTION("ARRAYFORMULA(IFERROR(VLOOKUP(REGEXEXTRACT(B854, ""-(\w+)-""), {Data_Validation!$F$16:$F$29, Data_Validation!$E$16:$E$29}, 2, FALSE), """"))
"),"")</f>
        <v/>
      </c>
      <c r="K854" s="318"/>
      <c r="L854" s="311"/>
      <c r="M854" s="312"/>
      <c r="N854" s="313"/>
      <c r="O854" s="314"/>
      <c r="P854" s="314"/>
      <c r="Q854" s="315"/>
      <c r="R854" s="316"/>
      <c r="S854" s="317"/>
      <c r="T854" s="317"/>
      <c r="U854" s="317"/>
    </row>
    <row r="855" ht="20.25" customHeight="1">
      <c r="A855" s="216" t="str">
        <f>IFERROR(__xludf.DUMMYFUNCTION("ARRAYFORMULA(IFERROR(VLOOKUP(REGEXEXTRACT(B855, ""-(\w+)-""), {Data_Validation!$F$16:$F$29, Data_Validation!$E$16:$E$29}, 2, FALSE), """"))
"),"")</f>
        <v/>
      </c>
      <c r="K855" s="318"/>
      <c r="L855" s="311"/>
      <c r="M855" s="312"/>
      <c r="N855" s="313"/>
      <c r="O855" s="314"/>
      <c r="P855" s="314"/>
      <c r="Q855" s="315"/>
      <c r="R855" s="316"/>
      <c r="S855" s="317"/>
      <c r="T855" s="317"/>
      <c r="U855" s="317"/>
    </row>
    <row r="856" ht="20.25" customHeight="1">
      <c r="A856" s="216" t="str">
        <f>IFERROR(__xludf.DUMMYFUNCTION("ARRAYFORMULA(IFERROR(VLOOKUP(REGEXEXTRACT(B856, ""-(\w+)-""), {Data_Validation!$F$16:$F$29, Data_Validation!$E$16:$E$29}, 2, FALSE), """"))
"),"")</f>
        <v/>
      </c>
      <c r="K856" s="318"/>
      <c r="L856" s="311"/>
      <c r="M856" s="312"/>
      <c r="N856" s="313"/>
      <c r="O856" s="314"/>
      <c r="P856" s="314"/>
      <c r="Q856" s="315"/>
      <c r="R856" s="316"/>
      <c r="S856" s="317"/>
      <c r="T856" s="317"/>
      <c r="U856" s="317"/>
    </row>
    <row r="857" ht="20.25" customHeight="1">
      <c r="A857" s="216" t="str">
        <f>IFERROR(__xludf.DUMMYFUNCTION("ARRAYFORMULA(IFERROR(VLOOKUP(REGEXEXTRACT(B857, ""-(\w+)-""), {Data_Validation!$F$16:$F$29, Data_Validation!$E$16:$E$29}, 2, FALSE), """"))
"),"")</f>
        <v/>
      </c>
      <c r="K857" s="318"/>
      <c r="L857" s="311"/>
      <c r="M857" s="312"/>
      <c r="N857" s="313"/>
      <c r="O857" s="314"/>
      <c r="P857" s="314"/>
      <c r="Q857" s="315"/>
      <c r="R857" s="316"/>
      <c r="S857" s="317"/>
      <c r="T857" s="317"/>
      <c r="U857" s="317"/>
    </row>
    <row r="858" ht="20.25" customHeight="1">
      <c r="A858" s="216" t="str">
        <f>IFERROR(__xludf.DUMMYFUNCTION("ARRAYFORMULA(IFERROR(VLOOKUP(REGEXEXTRACT(B858, ""-(\w+)-""), {Data_Validation!$F$16:$F$29, Data_Validation!$E$16:$E$29}, 2, FALSE), """"))
"),"")</f>
        <v/>
      </c>
      <c r="K858" s="318"/>
      <c r="L858" s="311"/>
      <c r="M858" s="312"/>
      <c r="N858" s="313"/>
      <c r="O858" s="314"/>
      <c r="P858" s="314"/>
      <c r="Q858" s="315"/>
      <c r="R858" s="316"/>
      <c r="S858" s="317"/>
      <c r="T858" s="317"/>
      <c r="U858" s="317"/>
    </row>
    <row r="859" ht="20.25" customHeight="1">
      <c r="A859" s="216" t="str">
        <f>IFERROR(__xludf.DUMMYFUNCTION("ARRAYFORMULA(IFERROR(VLOOKUP(REGEXEXTRACT(B859, ""-(\w+)-""), {Data_Validation!$F$16:$F$29, Data_Validation!$E$16:$E$29}, 2, FALSE), """"))
"),"")</f>
        <v/>
      </c>
      <c r="K859" s="318"/>
      <c r="L859" s="311"/>
      <c r="M859" s="312"/>
      <c r="N859" s="313"/>
      <c r="O859" s="314"/>
      <c r="P859" s="314"/>
      <c r="Q859" s="315"/>
      <c r="R859" s="316"/>
      <c r="S859" s="317"/>
      <c r="T859" s="317"/>
      <c r="U859" s="317"/>
    </row>
    <row r="860" ht="20.25" customHeight="1">
      <c r="A860" s="216" t="str">
        <f>IFERROR(__xludf.DUMMYFUNCTION("ARRAYFORMULA(IFERROR(VLOOKUP(REGEXEXTRACT(B860, ""-(\w+)-""), {Data_Validation!$F$16:$F$29, Data_Validation!$E$16:$E$29}, 2, FALSE), """"))
"),"")</f>
        <v/>
      </c>
      <c r="K860" s="318"/>
      <c r="L860" s="311"/>
      <c r="M860" s="312"/>
      <c r="N860" s="313"/>
      <c r="O860" s="314"/>
      <c r="P860" s="314"/>
      <c r="Q860" s="315"/>
      <c r="R860" s="316"/>
      <c r="S860" s="317"/>
      <c r="T860" s="317"/>
      <c r="U860" s="317"/>
    </row>
    <row r="861" ht="20.25" customHeight="1">
      <c r="A861" s="216" t="str">
        <f>IFERROR(__xludf.DUMMYFUNCTION("ARRAYFORMULA(IFERROR(VLOOKUP(REGEXEXTRACT(B861, ""-(\w+)-""), {Data_Validation!$F$16:$F$29, Data_Validation!$E$16:$E$29}, 2, FALSE), """"))
"),"")</f>
        <v/>
      </c>
      <c r="K861" s="318"/>
      <c r="L861" s="311"/>
      <c r="M861" s="312"/>
      <c r="N861" s="313"/>
      <c r="O861" s="314"/>
      <c r="P861" s="314"/>
      <c r="Q861" s="315"/>
      <c r="R861" s="316"/>
      <c r="S861" s="317"/>
      <c r="T861" s="317"/>
      <c r="U861" s="317"/>
    </row>
    <row r="862" ht="20.25" customHeight="1">
      <c r="A862" s="216" t="str">
        <f>IFERROR(__xludf.DUMMYFUNCTION("ARRAYFORMULA(IFERROR(VLOOKUP(REGEXEXTRACT(B862, ""-(\w+)-""), {Data_Validation!$F$16:$F$29, Data_Validation!$E$16:$E$29}, 2, FALSE), """"))
"),"")</f>
        <v/>
      </c>
      <c r="K862" s="318"/>
      <c r="L862" s="311"/>
      <c r="M862" s="312"/>
      <c r="N862" s="313"/>
      <c r="O862" s="314"/>
      <c r="P862" s="314"/>
      <c r="Q862" s="315"/>
      <c r="R862" s="316"/>
      <c r="S862" s="317"/>
      <c r="T862" s="317"/>
      <c r="U862" s="317"/>
    </row>
    <row r="863" ht="20.25" customHeight="1">
      <c r="A863" s="216" t="str">
        <f>IFERROR(__xludf.DUMMYFUNCTION("ARRAYFORMULA(IFERROR(VLOOKUP(REGEXEXTRACT(B863, ""-(\w+)-""), {Data_Validation!$F$16:$F$29, Data_Validation!$E$16:$E$29}, 2, FALSE), """"))
"),"")</f>
        <v/>
      </c>
      <c r="K863" s="318"/>
      <c r="L863" s="311"/>
      <c r="M863" s="312"/>
      <c r="N863" s="313"/>
      <c r="O863" s="314"/>
      <c r="P863" s="314"/>
      <c r="Q863" s="315"/>
      <c r="R863" s="316"/>
      <c r="S863" s="317"/>
      <c r="T863" s="317"/>
      <c r="U863" s="317"/>
    </row>
    <row r="864" ht="20.25" customHeight="1">
      <c r="A864" s="216" t="str">
        <f>IFERROR(__xludf.DUMMYFUNCTION("ARRAYFORMULA(IFERROR(VLOOKUP(REGEXEXTRACT(B864, ""-(\w+)-""), {Data_Validation!$F$16:$F$29, Data_Validation!$E$16:$E$29}, 2, FALSE), """"))
"),"")</f>
        <v/>
      </c>
      <c r="K864" s="318"/>
      <c r="L864" s="311"/>
      <c r="M864" s="312"/>
      <c r="N864" s="313"/>
      <c r="O864" s="314"/>
      <c r="P864" s="314"/>
      <c r="Q864" s="315"/>
      <c r="R864" s="316"/>
      <c r="S864" s="317"/>
      <c r="T864" s="317"/>
      <c r="U864" s="317"/>
    </row>
    <row r="865" ht="20.25" customHeight="1">
      <c r="A865" s="216" t="str">
        <f>IFERROR(__xludf.DUMMYFUNCTION("ARRAYFORMULA(IFERROR(VLOOKUP(REGEXEXTRACT(B865, ""-(\w+)-""), {Data_Validation!$F$16:$F$29, Data_Validation!$E$16:$E$29}, 2, FALSE), """"))
"),"")</f>
        <v/>
      </c>
      <c r="K865" s="318"/>
      <c r="L865" s="311"/>
      <c r="M865" s="312"/>
      <c r="N865" s="313"/>
      <c r="O865" s="314"/>
      <c r="P865" s="314"/>
      <c r="Q865" s="315"/>
      <c r="R865" s="316"/>
      <c r="S865" s="317"/>
      <c r="T865" s="317"/>
      <c r="U865" s="317"/>
    </row>
    <row r="866" ht="20.25" customHeight="1">
      <c r="A866" s="216" t="str">
        <f>IFERROR(__xludf.DUMMYFUNCTION("ARRAYFORMULA(IFERROR(VLOOKUP(REGEXEXTRACT(B866, ""-(\w+)-""), {Data_Validation!$F$16:$F$29, Data_Validation!$E$16:$E$29}, 2, FALSE), """"))
"),"")</f>
        <v/>
      </c>
      <c r="K866" s="318"/>
      <c r="L866" s="311"/>
      <c r="M866" s="312"/>
      <c r="N866" s="313"/>
      <c r="O866" s="314"/>
      <c r="P866" s="314"/>
      <c r="Q866" s="315"/>
      <c r="R866" s="316"/>
      <c r="S866" s="317"/>
      <c r="T866" s="317"/>
      <c r="U866" s="317"/>
    </row>
    <row r="867" ht="20.25" customHeight="1">
      <c r="A867" s="216" t="str">
        <f>IFERROR(__xludf.DUMMYFUNCTION("ARRAYFORMULA(IFERROR(VLOOKUP(REGEXEXTRACT(B867, ""-(\w+)-""), {Data_Validation!$F$16:$F$29, Data_Validation!$E$16:$E$29}, 2, FALSE), """"))
"),"")</f>
        <v/>
      </c>
      <c r="K867" s="318"/>
      <c r="L867" s="311"/>
      <c r="M867" s="312"/>
      <c r="N867" s="313"/>
      <c r="O867" s="314"/>
      <c r="P867" s="314"/>
      <c r="Q867" s="315"/>
      <c r="R867" s="316"/>
      <c r="S867" s="317"/>
      <c r="T867" s="317"/>
      <c r="U867" s="317"/>
    </row>
    <row r="868" ht="20.25" customHeight="1">
      <c r="A868" s="216" t="str">
        <f>IFERROR(__xludf.DUMMYFUNCTION("ARRAYFORMULA(IFERROR(VLOOKUP(REGEXEXTRACT(B868, ""-(\w+)-""), {Data_Validation!$F$16:$F$29, Data_Validation!$E$16:$E$29}, 2, FALSE), """"))
"),"")</f>
        <v/>
      </c>
      <c r="K868" s="318"/>
      <c r="L868" s="311"/>
      <c r="M868" s="312"/>
      <c r="N868" s="313"/>
      <c r="O868" s="314"/>
      <c r="P868" s="314"/>
      <c r="Q868" s="315"/>
      <c r="R868" s="316"/>
      <c r="S868" s="317"/>
      <c r="T868" s="317"/>
      <c r="U868" s="317"/>
    </row>
    <row r="869" ht="20.25" customHeight="1">
      <c r="A869" s="216" t="str">
        <f>IFERROR(__xludf.DUMMYFUNCTION("ARRAYFORMULA(IFERROR(VLOOKUP(REGEXEXTRACT(B869, ""-(\w+)-""), {Data_Validation!$F$16:$F$29, Data_Validation!$E$16:$E$29}, 2, FALSE), """"))
"),"")</f>
        <v/>
      </c>
      <c r="K869" s="318"/>
      <c r="L869" s="311"/>
      <c r="M869" s="312"/>
      <c r="N869" s="313"/>
      <c r="O869" s="314"/>
      <c r="P869" s="314"/>
      <c r="Q869" s="315"/>
      <c r="R869" s="316"/>
      <c r="S869" s="317"/>
      <c r="T869" s="317"/>
      <c r="U869" s="317"/>
    </row>
    <row r="870" ht="20.25" customHeight="1">
      <c r="A870" s="216" t="str">
        <f>IFERROR(__xludf.DUMMYFUNCTION("ARRAYFORMULA(IFERROR(VLOOKUP(REGEXEXTRACT(B870, ""-(\w+)-""), {Data_Validation!$F$16:$F$29, Data_Validation!$E$16:$E$29}, 2, FALSE), """"))
"),"")</f>
        <v/>
      </c>
      <c r="K870" s="318"/>
      <c r="L870" s="311"/>
      <c r="M870" s="312"/>
      <c r="N870" s="313"/>
      <c r="O870" s="314"/>
      <c r="P870" s="314"/>
      <c r="Q870" s="315"/>
      <c r="R870" s="316"/>
      <c r="S870" s="317"/>
      <c r="T870" s="317"/>
      <c r="U870" s="317"/>
    </row>
    <row r="871" ht="20.25" customHeight="1">
      <c r="A871" s="216" t="str">
        <f>IFERROR(__xludf.DUMMYFUNCTION("ARRAYFORMULA(IFERROR(VLOOKUP(REGEXEXTRACT(B871, ""-(\w+)-""), {Data_Validation!$F$16:$F$29, Data_Validation!$E$16:$E$29}, 2, FALSE), """"))
"),"")</f>
        <v/>
      </c>
      <c r="K871" s="318"/>
      <c r="L871" s="311"/>
      <c r="M871" s="312"/>
      <c r="N871" s="313"/>
      <c r="O871" s="314"/>
      <c r="P871" s="314"/>
      <c r="Q871" s="315"/>
      <c r="R871" s="316"/>
      <c r="S871" s="317"/>
      <c r="T871" s="317"/>
      <c r="U871" s="317"/>
    </row>
    <row r="872" ht="20.25" customHeight="1">
      <c r="A872" s="216" t="str">
        <f>IFERROR(__xludf.DUMMYFUNCTION("ARRAYFORMULA(IFERROR(VLOOKUP(REGEXEXTRACT(B872, ""-(\w+)-""), {Data_Validation!$F$16:$F$29, Data_Validation!$E$16:$E$29}, 2, FALSE), """"))
"),"")</f>
        <v/>
      </c>
      <c r="K872" s="318"/>
      <c r="L872" s="311"/>
      <c r="M872" s="312"/>
      <c r="N872" s="313"/>
      <c r="O872" s="314"/>
      <c r="P872" s="314"/>
      <c r="Q872" s="315"/>
      <c r="R872" s="316"/>
      <c r="S872" s="317"/>
      <c r="T872" s="317"/>
      <c r="U872" s="317"/>
    </row>
    <row r="873" ht="20.25" customHeight="1">
      <c r="A873" s="216" t="str">
        <f>IFERROR(__xludf.DUMMYFUNCTION("ARRAYFORMULA(IFERROR(VLOOKUP(REGEXEXTRACT(B873, ""-(\w+)-""), {Data_Validation!$F$16:$F$29, Data_Validation!$E$16:$E$29}, 2, FALSE), """"))
"),"")</f>
        <v/>
      </c>
      <c r="K873" s="318"/>
      <c r="L873" s="311"/>
      <c r="M873" s="312"/>
      <c r="N873" s="313"/>
      <c r="O873" s="314"/>
      <c r="P873" s="314"/>
      <c r="Q873" s="315"/>
      <c r="R873" s="316"/>
      <c r="S873" s="317"/>
      <c r="T873" s="317"/>
      <c r="U873" s="317"/>
    </row>
    <row r="874" ht="20.25" customHeight="1">
      <c r="A874" s="216" t="str">
        <f>IFERROR(__xludf.DUMMYFUNCTION("ARRAYFORMULA(IFERROR(VLOOKUP(REGEXEXTRACT(B874, ""-(\w+)-""), {Data_Validation!$F$16:$F$29, Data_Validation!$E$16:$E$29}, 2, FALSE), """"))
"),"")</f>
        <v/>
      </c>
      <c r="K874" s="318"/>
      <c r="L874" s="311"/>
      <c r="M874" s="312"/>
      <c r="N874" s="313"/>
      <c r="O874" s="314"/>
      <c r="P874" s="314"/>
      <c r="Q874" s="315"/>
      <c r="R874" s="316"/>
      <c r="S874" s="317"/>
      <c r="T874" s="317"/>
      <c r="U874" s="317"/>
    </row>
    <row r="875" ht="20.25" customHeight="1">
      <c r="A875" s="216" t="str">
        <f>IFERROR(__xludf.DUMMYFUNCTION("ARRAYFORMULA(IFERROR(VLOOKUP(REGEXEXTRACT(B875, ""-(\w+)-""), {Data_Validation!$F$16:$F$29, Data_Validation!$E$16:$E$29}, 2, FALSE), """"))
"),"")</f>
        <v/>
      </c>
      <c r="K875" s="318"/>
      <c r="L875" s="311"/>
      <c r="M875" s="312"/>
      <c r="N875" s="313"/>
      <c r="O875" s="314"/>
      <c r="P875" s="314"/>
      <c r="Q875" s="315"/>
      <c r="R875" s="316"/>
      <c r="S875" s="317"/>
      <c r="T875" s="317"/>
      <c r="U875" s="317"/>
    </row>
    <row r="876" ht="20.25" customHeight="1">
      <c r="A876" s="216" t="str">
        <f>IFERROR(__xludf.DUMMYFUNCTION("ARRAYFORMULA(IFERROR(VLOOKUP(REGEXEXTRACT(B876, ""-(\w+)-""), {Data_Validation!$F$16:$F$29, Data_Validation!$E$16:$E$29}, 2, FALSE), """"))
"),"")</f>
        <v/>
      </c>
      <c r="K876" s="318"/>
      <c r="L876" s="311"/>
      <c r="M876" s="312"/>
      <c r="N876" s="313"/>
      <c r="O876" s="314"/>
      <c r="P876" s="314"/>
      <c r="Q876" s="315"/>
      <c r="R876" s="316"/>
      <c r="S876" s="317"/>
      <c r="T876" s="317"/>
      <c r="U876" s="317"/>
    </row>
    <row r="877" ht="20.25" customHeight="1">
      <c r="A877" s="216" t="str">
        <f>IFERROR(__xludf.DUMMYFUNCTION("ARRAYFORMULA(IFERROR(VLOOKUP(REGEXEXTRACT(B877, ""-(\w+)-""), {Data_Validation!$F$16:$F$29, Data_Validation!$E$16:$E$29}, 2, FALSE), """"))
"),"")</f>
        <v/>
      </c>
      <c r="K877" s="318"/>
      <c r="L877" s="311"/>
      <c r="M877" s="312"/>
      <c r="N877" s="313"/>
      <c r="O877" s="314"/>
      <c r="P877" s="314"/>
      <c r="Q877" s="315"/>
      <c r="R877" s="316"/>
      <c r="S877" s="317"/>
      <c r="T877" s="317"/>
      <c r="U877" s="317"/>
    </row>
    <row r="878" ht="20.25" customHeight="1">
      <c r="A878" s="216" t="str">
        <f>IFERROR(__xludf.DUMMYFUNCTION("ARRAYFORMULA(IFERROR(VLOOKUP(REGEXEXTRACT(B878, ""-(\w+)-""), {Data_Validation!$F$16:$F$29, Data_Validation!$E$16:$E$29}, 2, FALSE), """"))
"),"")</f>
        <v/>
      </c>
      <c r="K878" s="318"/>
      <c r="L878" s="311"/>
      <c r="M878" s="312"/>
      <c r="N878" s="313"/>
      <c r="O878" s="314"/>
      <c r="P878" s="314"/>
      <c r="Q878" s="315"/>
      <c r="R878" s="316"/>
      <c r="S878" s="317"/>
      <c r="T878" s="317"/>
      <c r="U878" s="317"/>
    </row>
    <row r="879" ht="20.25" customHeight="1">
      <c r="A879" s="216" t="str">
        <f>IFERROR(__xludf.DUMMYFUNCTION("ARRAYFORMULA(IFERROR(VLOOKUP(REGEXEXTRACT(B879, ""-(\w+)-""), {Data_Validation!$F$16:$F$29, Data_Validation!$E$16:$E$29}, 2, FALSE), """"))
"),"")</f>
        <v/>
      </c>
      <c r="K879" s="318"/>
      <c r="L879" s="311"/>
      <c r="M879" s="312"/>
      <c r="N879" s="313"/>
      <c r="O879" s="314"/>
      <c r="P879" s="314"/>
      <c r="Q879" s="315"/>
      <c r="R879" s="316"/>
      <c r="S879" s="317"/>
      <c r="T879" s="317"/>
      <c r="U879" s="317"/>
    </row>
    <row r="880" ht="20.25" customHeight="1">
      <c r="A880" s="216" t="str">
        <f>IFERROR(__xludf.DUMMYFUNCTION("ARRAYFORMULA(IFERROR(VLOOKUP(REGEXEXTRACT(B880, ""-(\w+)-""), {Data_Validation!$F$16:$F$29, Data_Validation!$E$16:$E$29}, 2, FALSE), """"))
"),"")</f>
        <v/>
      </c>
      <c r="K880" s="318"/>
      <c r="L880" s="311"/>
      <c r="M880" s="312"/>
      <c r="N880" s="313"/>
      <c r="O880" s="314"/>
      <c r="P880" s="314"/>
      <c r="Q880" s="315"/>
      <c r="R880" s="316"/>
      <c r="S880" s="317"/>
      <c r="T880" s="317"/>
      <c r="U880" s="317"/>
    </row>
    <row r="881" ht="20.25" customHeight="1">
      <c r="A881" s="216" t="str">
        <f>IFERROR(__xludf.DUMMYFUNCTION("ARRAYFORMULA(IFERROR(VLOOKUP(REGEXEXTRACT(B881, ""-(\w+)-""), {Data_Validation!$F$16:$F$29, Data_Validation!$E$16:$E$29}, 2, FALSE), """"))
"),"")</f>
        <v/>
      </c>
      <c r="K881" s="318"/>
      <c r="L881" s="311"/>
      <c r="M881" s="312"/>
      <c r="N881" s="313"/>
      <c r="O881" s="314"/>
      <c r="P881" s="314"/>
      <c r="Q881" s="315"/>
      <c r="R881" s="316"/>
      <c r="S881" s="317"/>
      <c r="T881" s="317"/>
      <c r="U881" s="317"/>
    </row>
    <row r="882" ht="20.25" customHeight="1">
      <c r="A882" s="216" t="str">
        <f>IFERROR(__xludf.DUMMYFUNCTION("ARRAYFORMULA(IFERROR(VLOOKUP(REGEXEXTRACT(B882, ""-(\w+)-""), {Data_Validation!$F$16:$F$29, Data_Validation!$E$16:$E$29}, 2, FALSE), """"))
"),"")</f>
        <v/>
      </c>
      <c r="K882" s="318"/>
      <c r="L882" s="311"/>
      <c r="M882" s="312"/>
      <c r="N882" s="313"/>
      <c r="O882" s="314"/>
      <c r="P882" s="314"/>
      <c r="Q882" s="315"/>
      <c r="R882" s="316"/>
      <c r="S882" s="317"/>
      <c r="T882" s="317"/>
      <c r="U882" s="317"/>
    </row>
    <row r="883" ht="20.25" customHeight="1">
      <c r="A883" s="216" t="str">
        <f>IFERROR(__xludf.DUMMYFUNCTION("ARRAYFORMULA(IFERROR(VLOOKUP(REGEXEXTRACT(B883, ""-(\w+)-""), {Data_Validation!$F$16:$F$29, Data_Validation!$E$16:$E$29}, 2, FALSE), """"))
"),"")</f>
        <v/>
      </c>
      <c r="K883" s="318"/>
      <c r="L883" s="311"/>
      <c r="M883" s="312"/>
      <c r="N883" s="313"/>
      <c r="O883" s="314"/>
      <c r="P883" s="314"/>
      <c r="Q883" s="315"/>
      <c r="R883" s="316"/>
      <c r="S883" s="317"/>
      <c r="T883" s="317"/>
      <c r="U883" s="317"/>
    </row>
    <row r="884" ht="20.25" customHeight="1">
      <c r="A884" s="216" t="str">
        <f>IFERROR(__xludf.DUMMYFUNCTION("ARRAYFORMULA(IFERROR(VLOOKUP(REGEXEXTRACT(B884, ""-(\w+)-""), {Data_Validation!$F$16:$F$29, Data_Validation!$E$16:$E$29}, 2, FALSE), """"))
"),"")</f>
        <v/>
      </c>
      <c r="K884" s="318"/>
      <c r="L884" s="311"/>
      <c r="M884" s="312"/>
      <c r="N884" s="313"/>
      <c r="O884" s="314"/>
      <c r="P884" s="314"/>
      <c r="Q884" s="315"/>
      <c r="R884" s="316"/>
      <c r="S884" s="317"/>
      <c r="T884" s="317"/>
      <c r="U884" s="317"/>
    </row>
    <row r="885" ht="20.25" customHeight="1">
      <c r="A885" s="216" t="str">
        <f>IFERROR(__xludf.DUMMYFUNCTION("ARRAYFORMULA(IFERROR(VLOOKUP(REGEXEXTRACT(B885, ""-(\w+)-""), {Data_Validation!$F$16:$F$29, Data_Validation!$E$16:$E$29}, 2, FALSE), """"))
"),"")</f>
        <v/>
      </c>
      <c r="K885" s="318"/>
      <c r="L885" s="311"/>
      <c r="M885" s="312"/>
      <c r="N885" s="313"/>
      <c r="O885" s="314"/>
      <c r="P885" s="314"/>
      <c r="Q885" s="315"/>
      <c r="R885" s="316"/>
      <c r="S885" s="317"/>
      <c r="T885" s="317"/>
      <c r="U885" s="317"/>
    </row>
    <row r="886" ht="20.25" customHeight="1">
      <c r="A886" s="216" t="str">
        <f>IFERROR(__xludf.DUMMYFUNCTION("ARRAYFORMULA(IFERROR(VLOOKUP(REGEXEXTRACT(B886, ""-(\w+)-""), {Data_Validation!$F$16:$F$29, Data_Validation!$E$16:$E$29}, 2, FALSE), """"))
"),"")</f>
        <v/>
      </c>
      <c r="K886" s="318"/>
      <c r="L886" s="311"/>
      <c r="M886" s="312"/>
      <c r="N886" s="313"/>
      <c r="O886" s="314"/>
      <c r="P886" s="314"/>
      <c r="Q886" s="315"/>
      <c r="R886" s="316"/>
      <c r="S886" s="317"/>
      <c r="T886" s="317"/>
      <c r="U886" s="317"/>
    </row>
    <row r="887" ht="20.25" customHeight="1">
      <c r="A887" s="216" t="str">
        <f>IFERROR(__xludf.DUMMYFUNCTION("ARRAYFORMULA(IFERROR(VLOOKUP(REGEXEXTRACT(B887, ""-(\w+)-""), {Data_Validation!$F$16:$F$29, Data_Validation!$E$16:$E$29}, 2, FALSE), """"))
"),"")</f>
        <v/>
      </c>
      <c r="K887" s="318"/>
      <c r="L887" s="311"/>
      <c r="M887" s="312"/>
      <c r="N887" s="313"/>
      <c r="O887" s="314"/>
      <c r="P887" s="314"/>
      <c r="Q887" s="315"/>
      <c r="R887" s="316"/>
      <c r="S887" s="317"/>
      <c r="T887" s="317"/>
      <c r="U887" s="317"/>
    </row>
    <row r="888" ht="20.25" customHeight="1">
      <c r="A888" s="216" t="str">
        <f>IFERROR(__xludf.DUMMYFUNCTION("ARRAYFORMULA(IFERROR(VLOOKUP(REGEXEXTRACT(B888, ""-(\w+)-""), {Data_Validation!$F$16:$F$29, Data_Validation!$E$16:$E$29}, 2, FALSE), """"))
"),"")</f>
        <v/>
      </c>
      <c r="K888" s="318"/>
      <c r="L888" s="311"/>
      <c r="M888" s="312"/>
      <c r="N888" s="313"/>
      <c r="O888" s="314"/>
      <c r="P888" s="314"/>
      <c r="Q888" s="315"/>
      <c r="R888" s="316"/>
      <c r="S888" s="317"/>
      <c r="T888" s="317"/>
      <c r="U888" s="317"/>
    </row>
    <row r="889" ht="20.25" customHeight="1">
      <c r="A889" s="216" t="str">
        <f>IFERROR(__xludf.DUMMYFUNCTION("ARRAYFORMULA(IFERROR(VLOOKUP(REGEXEXTRACT(B889, ""-(\w+)-""), {Data_Validation!$F$16:$F$29, Data_Validation!$E$16:$E$29}, 2, FALSE), """"))
"),"")</f>
        <v/>
      </c>
      <c r="K889" s="318"/>
      <c r="L889" s="311"/>
      <c r="M889" s="312"/>
      <c r="N889" s="313"/>
      <c r="O889" s="314"/>
      <c r="P889" s="314"/>
      <c r="Q889" s="315"/>
      <c r="R889" s="316"/>
      <c r="S889" s="317"/>
      <c r="T889" s="317"/>
      <c r="U889" s="317"/>
    </row>
    <row r="890" ht="20.25" customHeight="1">
      <c r="A890" s="216" t="str">
        <f>IFERROR(__xludf.DUMMYFUNCTION("ARRAYFORMULA(IFERROR(VLOOKUP(REGEXEXTRACT(B890, ""-(\w+)-""), {Data_Validation!$F$16:$F$29, Data_Validation!$E$16:$E$29}, 2, FALSE), """"))
"),"")</f>
        <v/>
      </c>
      <c r="K890" s="318"/>
      <c r="L890" s="311"/>
      <c r="M890" s="312"/>
      <c r="N890" s="313"/>
      <c r="O890" s="314"/>
      <c r="P890" s="314"/>
      <c r="Q890" s="315"/>
      <c r="R890" s="316"/>
      <c r="S890" s="317"/>
      <c r="T890" s="317"/>
      <c r="U890" s="317"/>
    </row>
    <row r="891" ht="20.25" customHeight="1">
      <c r="A891" s="216" t="str">
        <f>IFERROR(__xludf.DUMMYFUNCTION("ARRAYFORMULA(IFERROR(VLOOKUP(REGEXEXTRACT(B891, ""-(\w+)-""), {Data_Validation!$F$16:$F$29, Data_Validation!$E$16:$E$29}, 2, FALSE), """"))
"),"")</f>
        <v/>
      </c>
      <c r="K891" s="318"/>
      <c r="L891" s="311"/>
      <c r="M891" s="312"/>
      <c r="N891" s="313"/>
      <c r="O891" s="314"/>
      <c r="P891" s="314"/>
      <c r="Q891" s="315"/>
      <c r="R891" s="316"/>
      <c r="S891" s="317"/>
      <c r="T891" s="317"/>
      <c r="U891" s="317"/>
    </row>
    <row r="892" ht="20.25" customHeight="1">
      <c r="A892" s="216" t="str">
        <f>IFERROR(__xludf.DUMMYFUNCTION("ARRAYFORMULA(IFERROR(VLOOKUP(REGEXEXTRACT(B892, ""-(\w+)-""), {Data_Validation!$F$16:$F$29, Data_Validation!$E$16:$E$29}, 2, FALSE), """"))
"),"")</f>
        <v/>
      </c>
      <c r="K892" s="318"/>
      <c r="L892" s="311"/>
      <c r="M892" s="312"/>
      <c r="N892" s="313"/>
      <c r="O892" s="314"/>
      <c r="P892" s="314"/>
      <c r="Q892" s="315"/>
      <c r="R892" s="316"/>
      <c r="S892" s="317"/>
      <c r="T892" s="317"/>
      <c r="U892" s="317"/>
    </row>
    <row r="893" ht="20.25" customHeight="1">
      <c r="A893" s="216" t="str">
        <f>IFERROR(__xludf.DUMMYFUNCTION("ARRAYFORMULA(IFERROR(VLOOKUP(REGEXEXTRACT(B893, ""-(\w+)-""), {Data_Validation!$F$16:$F$29, Data_Validation!$E$16:$E$29}, 2, FALSE), """"))
"),"")</f>
        <v/>
      </c>
      <c r="K893" s="318"/>
      <c r="L893" s="311"/>
      <c r="M893" s="312"/>
      <c r="N893" s="313"/>
      <c r="O893" s="314"/>
      <c r="P893" s="314"/>
      <c r="Q893" s="315"/>
      <c r="R893" s="316"/>
      <c r="S893" s="317"/>
      <c r="T893" s="317"/>
      <c r="U893" s="317"/>
    </row>
    <row r="894" ht="20.25" customHeight="1">
      <c r="A894" s="216" t="str">
        <f>IFERROR(__xludf.DUMMYFUNCTION("ARRAYFORMULA(IFERROR(VLOOKUP(REGEXEXTRACT(B894, ""-(\w+)-""), {Data_Validation!$F$16:$F$29, Data_Validation!$E$16:$E$29}, 2, FALSE), """"))
"),"")</f>
        <v/>
      </c>
      <c r="K894" s="318"/>
      <c r="L894" s="311"/>
      <c r="M894" s="312"/>
      <c r="N894" s="313"/>
      <c r="O894" s="314"/>
      <c r="P894" s="314"/>
      <c r="Q894" s="315"/>
      <c r="R894" s="316"/>
      <c r="S894" s="317"/>
      <c r="T894" s="317"/>
      <c r="U894" s="317"/>
    </row>
    <row r="895" ht="20.25" customHeight="1">
      <c r="A895" s="216" t="str">
        <f>IFERROR(__xludf.DUMMYFUNCTION("ARRAYFORMULA(IFERROR(VLOOKUP(REGEXEXTRACT(B895, ""-(\w+)-""), {Data_Validation!$F$16:$F$29, Data_Validation!$E$16:$E$29}, 2, FALSE), """"))
"),"")</f>
        <v/>
      </c>
      <c r="K895" s="318"/>
      <c r="L895" s="311"/>
      <c r="M895" s="312"/>
      <c r="N895" s="313"/>
      <c r="O895" s="314"/>
      <c r="P895" s="314"/>
      <c r="Q895" s="315"/>
      <c r="R895" s="316"/>
      <c r="S895" s="317"/>
      <c r="T895" s="317"/>
      <c r="U895" s="317"/>
    </row>
    <row r="896" ht="20.25" customHeight="1">
      <c r="A896" s="216" t="str">
        <f>IFERROR(__xludf.DUMMYFUNCTION("ARRAYFORMULA(IFERROR(VLOOKUP(REGEXEXTRACT(B896, ""-(\w+)-""), {Data_Validation!$F$16:$F$29, Data_Validation!$E$16:$E$29}, 2, FALSE), """"))
"),"")</f>
        <v/>
      </c>
      <c r="K896" s="318"/>
      <c r="L896" s="311"/>
      <c r="M896" s="312"/>
      <c r="N896" s="313"/>
      <c r="O896" s="314"/>
      <c r="P896" s="314"/>
      <c r="Q896" s="315"/>
      <c r="R896" s="316"/>
      <c r="S896" s="317"/>
      <c r="T896" s="317"/>
      <c r="U896" s="317"/>
    </row>
    <row r="897" ht="20.25" customHeight="1">
      <c r="A897" s="216" t="str">
        <f>IFERROR(__xludf.DUMMYFUNCTION("ARRAYFORMULA(IFERROR(VLOOKUP(REGEXEXTRACT(B897, ""-(\w+)-""), {Data_Validation!$F$16:$F$29, Data_Validation!$E$16:$E$29}, 2, FALSE), """"))
"),"")</f>
        <v/>
      </c>
      <c r="K897" s="318"/>
      <c r="L897" s="311"/>
      <c r="M897" s="312"/>
      <c r="N897" s="313"/>
      <c r="O897" s="314"/>
      <c r="P897" s="314"/>
      <c r="Q897" s="315"/>
      <c r="R897" s="316"/>
      <c r="S897" s="317"/>
      <c r="T897" s="317"/>
      <c r="U897" s="317"/>
    </row>
    <row r="898" ht="20.25" customHeight="1">
      <c r="A898" s="216" t="str">
        <f>IFERROR(__xludf.DUMMYFUNCTION("ARRAYFORMULA(IFERROR(VLOOKUP(REGEXEXTRACT(B898, ""-(\w+)-""), {Data_Validation!$F$16:$F$29, Data_Validation!$E$16:$E$29}, 2, FALSE), """"))
"),"")</f>
        <v/>
      </c>
      <c r="K898" s="318"/>
      <c r="L898" s="311"/>
      <c r="M898" s="312"/>
      <c r="N898" s="313"/>
      <c r="O898" s="314"/>
      <c r="P898" s="314"/>
      <c r="Q898" s="315"/>
      <c r="R898" s="316"/>
      <c r="S898" s="317"/>
      <c r="T898" s="317"/>
      <c r="U898" s="317"/>
    </row>
    <row r="899" ht="20.25" customHeight="1">
      <c r="A899" s="216" t="str">
        <f>IFERROR(__xludf.DUMMYFUNCTION("ARRAYFORMULA(IFERROR(VLOOKUP(REGEXEXTRACT(B899, ""-(\w+)-""), {Data_Validation!$F$16:$F$29, Data_Validation!$E$16:$E$29}, 2, FALSE), """"))
"),"")</f>
        <v/>
      </c>
      <c r="K899" s="318"/>
      <c r="L899" s="311"/>
      <c r="M899" s="312"/>
      <c r="N899" s="313"/>
      <c r="O899" s="314"/>
      <c r="P899" s="314"/>
      <c r="Q899" s="315"/>
      <c r="R899" s="316"/>
      <c r="S899" s="317"/>
      <c r="T899" s="317"/>
      <c r="U899" s="317"/>
    </row>
    <row r="900" ht="20.25" customHeight="1">
      <c r="A900" s="216" t="str">
        <f>IFERROR(__xludf.DUMMYFUNCTION("ARRAYFORMULA(IFERROR(VLOOKUP(REGEXEXTRACT(B900, ""-(\w+)-""), {Data_Validation!$F$16:$F$29, Data_Validation!$E$16:$E$29}, 2, FALSE), """"))
"),"")</f>
        <v/>
      </c>
      <c r="K900" s="318"/>
      <c r="L900" s="311"/>
      <c r="M900" s="312"/>
      <c r="N900" s="313"/>
      <c r="O900" s="314"/>
      <c r="P900" s="314"/>
      <c r="Q900" s="315"/>
      <c r="R900" s="316"/>
      <c r="S900" s="317"/>
      <c r="T900" s="317"/>
      <c r="U900" s="317"/>
    </row>
    <row r="901" ht="20.25" customHeight="1">
      <c r="A901" s="216" t="str">
        <f>IFERROR(__xludf.DUMMYFUNCTION("ARRAYFORMULA(IFERROR(VLOOKUP(REGEXEXTRACT(B901, ""-(\w+)-""), {Data_Validation!$F$16:$F$29, Data_Validation!$E$16:$E$29}, 2, FALSE), """"))
"),"")</f>
        <v/>
      </c>
      <c r="K901" s="318"/>
      <c r="L901" s="311"/>
      <c r="M901" s="312"/>
      <c r="N901" s="313"/>
      <c r="O901" s="314"/>
      <c r="P901" s="314"/>
      <c r="Q901" s="315"/>
      <c r="R901" s="316"/>
      <c r="S901" s="317"/>
      <c r="T901" s="317"/>
      <c r="U901" s="317"/>
    </row>
    <row r="902" ht="20.25" customHeight="1">
      <c r="A902" s="216" t="str">
        <f>IFERROR(__xludf.DUMMYFUNCTION("ARRAYFORMULA(IFERROR(VLOOKUP(REGEXEXTRACT(B902, ""-(\w+)-""), {Data_Validation!$F$16:$F$29, Data_Validation!$E$16:$E$29}, 2, FALSE), """"))
"),"")</f>
        <v/>
      </c>
      <c r="K902" s="318"/>
      <c r="L902" s="311"/>
      <c r="M902" s="312"/>
      <c r="N902" s="313"/>
      <c r="O902" s="314"/>
      <c r="P902" s="314"/>
      <c r="Q902" s="315"/>
      <c r="R902" s="316"/>
      <c r="S902" s="317"/>
      <c r="T902" s="317"/>
      <c r="U902" s="317"/>
    </row>
    <row r="903" ht="20.25" customHeight="1">
      <c r="A903" s="216" t="str">
        <f>IFERROR(__xludf.DUMMYFUNCTION("ARRAYFORMULA(IFERROR(VLOOKUP(REGEXEXTRACT(B903, ""-(\w+)-""), {Data_Validation!$F$16:$F$29, Data_Validation!$E$16:$E$29}, 2, FALSE), """"))
"),"")</f>
        <v/>
      </c>
      <c r="K903" s="318"/>
      <c r="L903" s="311"/>
      <c r="M903" s="312"/>
      <c r="N903" s="313"/>
      <c r="O903" s="314"/>
      <c r="P903" s="314"/>
      <c r="Q903" s="315"/>
      <c r="R903" s="316"/>
      <c r="S903" s="317"/>
      <c r="T903" s="317"/>
      <c r="U903" s="317"/>
    </row>
    <row r="904" ht="20.25" customHeight="1">
      <c r="A904" s="216" t="str">
        <f>IFERROR(__xludf.DUMMYFUNCTION("ARRAYFORMULA(IFERROR(VLOOKUP(REGEXEXTRACT(B904, ""-(\w+)-""), {Data_Validation!$F$16:$F$29, Data_Validation!$E$16:$E$29}, 2, FALSE), """"))
"),"")</f>
        <v/>
      </c>
      <c r="K904" s="318"/>
      <c r="L904" s="311"/>
      <c r="M904" s="312"/>
      <c r="N904" s="313"/>
      <c r="O904" s="314"/>
      <c r="P904" s="314"/>
      <c r="Q904" s="315"/>
      <c r="R904" s="316"/>
      <c r="S904" s="317"/>
      <c r="T904" s="317"/>
      <c r="U904" s="317"/>
    </row>
    <row r="905" ht="20.25" customHeight="1">
      <c r="A905" s="216" t="str">
        <f>IFERROR(__xludf.DUMMYFUNCTION("ARRAYFORMULA(IFERROR(VLOOKUP(REGEXEXTRACT(B905, ""-(\w+)-""), {Data_Validation!$F$16:$F$29, Data_Validation!$E$16:$E$29}, 2, FALSE), """"))
"),"")</f>
        <v/>
      </c>
      <c r="K905" s="318"/>
      <c r="L905" s="311"/>
      <c r="M905" s="312"/>
      <c r="N905" s="313"/>
      <c r="O905" s="314"/>
      <c r="P905" s="314"/>
      <c r="Q905" s="315"/>
      <c r="R905" s="316"/>
      <c r="S905" s="317"/>
      <c r="T905" s="317"/>
      <c r="U905" s="317"/>
    </row>
    <row r="906" ht="20.25" customHeight="1">
      <c r="A906" s="216" t="str">
        <f>IFERROR(__xludf.DUMMYFUNCTION("ARRAYFORMULA(IFERROR(VLOOKUP(REGEXEXTRACT(B906, ""-(\w+)-""), {Data_Validation!$F$16:$F$29, Data_Validation!$E$16:$E$29}, 2, FALSE), """"))
"),"")</f>
        <v/>
      </c>
      <c r="K906" s="318"/>
      <c r="L906" s="311"/>
      <c r="M906" s="312"/>
      <c r="N906" s="313"/>
      <c r="O906" s="314"/>
      <c r="P906" s="314"/>
      <c r="Q906" s="315"/>
      <c r="R906" s="316"/>
      <c r="S906" s="317"/>
      <c r="T906" s="317"/>
      <c r="U906" s="317"/>
    </row>
    <row r="907" ht="20.25" customHeight="1">
      <c r="A907" s="216" t="str">
        <f>IFERROR(__xludf.DUMMYFUNCTION("ARRAYFORMULA(IFERROR(VLOOKUP(REGEXEXTRACT(B907, ""-(\w+)-""), {Data_Validation!$F$16:$F$29, Data_Validation!$E$16:$E$29}, 2, FALSE), """"))
"),"")</f>
        <v/>
      </c>
      <c r="K907" s="318"/>
      <c r="L907" s="311"/>
      <c r="M907" s="312"/>
      <c r="N907" s="313"/>
      <c r="O907" s="314"/>
      <c r="P907" s="314"/>
      <c r="Q907" s="315"/>
      <c r="R907" s="316"/>
      <c r="S907" s="317"/>
      <c r="T907" s="317"/>
      <c r="U907" s="317"/>
    </row>
    <row r="908" ht="20.25" customHeight="1">
      <c r="A908" s="216" t="str">
        <f>IFERROR(__xludf.DUMMYFUNCTION("ARRAYFORMULA(IFERROR(VLOOKUP(REGEXEXTRACT(B908, ""-(\w+)-""), {Data_Validation!$F$16:$F$29, Data_Validation!$E$16:$E$29}, 2, FALSE), """"))
"),"")</f>
        <v/>
      </c>
      <c r="K908" s="318"/>
      <c r="L908" s="311"/>
      <c r="M908" s="312"/>
      <c r="N908" s="313"/>
      <c r="O908" s="314"/>
      <c r="P908" s="314"/>
      <c r="Q908" s="315"/>
      <c r="R908" s="316"/>
      <c r="S908" s="317"/>
      <c r="T908" s="317"/>
      <c r="U908" s="317"/>
    </row>
    <row r="909" ht="20.25" customHeight="1">
      <c r="A909" s="216" t="str">
        <f>IFERROR(__xludf.DUMMYFUNCTION("ARRAYFORMULA(IFERROR(VLOOKUP(REGEXEXTRACT(B909, ""-(\w+)-""), {Data_Validation!$F$16:$F$29, Data_Validation!$E$16:$E$29}, 2, FALSE), """"))
"),"")</f>
        <v/>
      </c>
      <c r="K909" s="318"/>
      <c r="L909" s="311"/>
      <c r="M909" s="312"/>
      <c r="N909" s="313"/>
      <c r="O909" s="314"/>
      <c r="P909" s="314"/>
      <c r="Q909" s="315"/>
      <c r="R909" s="316"/>
      <c r="S909" s="317"/>
      <c r="T909" s="317"/>
      <c r="U909" s="317"/>
    </row>
    <row r="910" ht="20.25" customHeight="1">
      <c r="A910" s="216" t="str">
        <f>IFERROR(__xludf.DUMMYFUNCTION("ARRAYFORMULA(IFERROR(VLOOKUP(REGEXEXTRACT(B910, ""-(\w+)-""), {Data_Validation!$F$16:$F$29, Data_Validation!$E$16:$E$29}, 2, FALSE), """"))
"),"")</f>
        <v/>
      </c>
      <c r="K910" s="318"/>
      <c r="L910" s="311"/>
      <c r="M910" s="312"/>
      <c r="N910" s="313"/>
      <c r="O910" s="314"/>
      <c r="P910" s="314"/>
      <c r="Q910" s="315"/>
      <c r="R910" s="316"/>
      <c r="S910" s="317"/>
      <c r="T910" s="317"/>
      <c r="U910" s="317"/>
    </row>
    <row r="911" ht="20.25" customHeight="1">
      <c r="A911" s="216" t="str">
        <f>IFERROR(__xludf.DUMMYFUNCTION("ARRAYFORMULA(IFERROR(VLOOKUP(REGEXEXTRACT(B911, ""-(\w+)-""), {Data_Validation!$F$16:$F$29, Data_Validation!$E$16:$E$29}, 2, FALSE), """"))
"),"")</f>
        <v/>
      </c>
      <c r="K911" s="318"/>
      <c r="L911" s="311"/>
      <c r="M911" s="312"/>
      <c r="N911" s="313"/>
      <c r="O911" s="314"/>
      <c r="P911" s="314"/>
      <c r="Q911" s="315"/>
      <c r="R911" s="316"/>
      <c r="S911" s="317"/>
      <c r="T911" s="317"/>
      <c r="U911" s="317"/>
    </row>
    <row r="912" ht="20.25" customHeight="1">
      <c r="A912" s="216" t="str">
        <f>IFERROR(__xludf.DUMMYFUNCTION("ARRAYFORMULA(IFERROR(VLOOKUP(REGEXEXTRACT(B912, ""-(\w+)-""), {Data_Validation!$F$16:$F$29, Data_Validation!$E$16:$E$29}, 2, FALSE), """"))
"),"")</f>
        <v/>
      </c>
      <c r="K912" s="318"/>
      <c r="L912" s="311"/>
      <c r="M912" s="312"/>
      <c r="N912" s="313"/>
      <c r="O912" s="314"/>
      <c r="P912" s="314"/>
      <c r="Q912" s="315"/>
      <c r="R912" s="316"/>
      <c r="S912" s="317"/>
      <c r="T912" s="317"/>
      <c r="U912" s="317"/>
    </row>
    <row r="913" ht="20.25" customHeight="1">
      <c r="A913" s="216" t="str">
        <f>IFERROR(__xludf.DUMMYFUNCTION("ARRAYFORMULA(IFERROR(VLOOKUP(REGEXEXTRACT(B913, ""-(\w+)-""), {Data_Validation!$F$16:$F$29, Data_Validation!$E$16:$E$29}, 2, FALSE), """"))
"),"")</f>
        <v/>
      </c>
      <c r="K913" s="318"/>
      <c r="L913" s="311"/>
      <c r="M913" s="312"/>
      <c r="N913" s="313"/>
      <c r="O913" s="314"/>
      <c r="P913" s="314"/>
      <c r="Q913" s="315"/>
      <c r="R913" s="316"/>
      <c r="S913" s="317"/>
      <c r="T913" s="317"/>
      <c r="U913" s="317"/>
    </row>
    <row r="914" ht="20.25" customHeight="1">
      <c r="A914" s="216" t="str">
        <f>IFERROR(__xludf.DUMMYFUNCTION("ARRAYFORMULA(IFERROR(VLOOKUP(REGEXEXTRACT(B914, ""-(\w+)-""), {Data_Validation!$F$16:$F$29, Data_Validation!$E$16:$E$29}, 2, FALSE), """"))
"),"")</f>
        <v/>
      </c>
      <c r="K914" s="318"/>
      <c r="L914" s="311"/>
      <c r="M914" s="312"/>
      <c r="N914" s="313"/>
      <c r="O914" s="314"/>
      <c r="P914" s="314"/>
      <c r="Q914" s="315"/>
      <c r="R914" s="316"/>
      <c r="S914" s="317"/>
      <c r="T914" s="317"/>
      <c r="U914" s="317"/>
    </row>
    <row r="915" ht="20.25" customHeight="1">
      <c r="A915" s="216" t="str">
        <f>IFERROR(__xludf.DUMMYFUNCTION("ARRAYFORMULA(IFERROR(VLOOKUP(REGEXEXTRACT(B915, ""-(\w+)-""), {Data_Validation!$F$16:$F$29, Data_Validation!$E$16:$E$29}, 2, FALSE), """"))
"),"")</f>
        <v/>
      </c>
      <c r="K915" s="318"/>
      <c r="L915" s="311"/>
      <c r="M915" s="312"/>
      <c r="N915" s="313"/>
      <c r="O915" s="314"/>
      <c r="P915" s="314"/>
      <c r="Q915" s="315"/>
      <c r="R915" s="316"/>
      <c r="S915" s="317"/>
      <c r="T915" s="317"/>
      <c r="U915" s="317"/>
    </row>
    <row r="916" ht="20.25" customHeight="1">
      <c r="A916" s="216" t="str">
        <f>IFERROR(__xludf.DUMMYFUNCTION("ARRAYFORMULA(IFERROR(VLOOKUP(REGEXEXTRACT(B916, ""-(\w+)-""), {Data_Validation!$F$16:$F$29, Data_Validation!$E$16:$E$29}, 2, FALSE), """"))
"),"")</f>
        <v/>
      </c>
      <c r="K916" s="318"/>
      <c r="L916" s="311"/>
      <c r="M916" s="312"/>
      <c r="N916" s="313"/>
      <c r="O916" s="314"/>
      <c r="P916" s="314"/>
      <c r="Q916" s="315"/>
      <c r="R916" s="316"/>
      <c r="S916" s="317"/>
      <c r="T916" s="317"/>
      <c r="U916" s="317"/>
    </row>
    <row r="917" ht="20.25" customHeight="1">
      <c r="A917" s="216" t="str">
        <f>IFERROR(__xludf.DUMMYFUNCTION("ARRAYFORMULA(IFERROR(VLOOKUP(REGEXEXTRACT(B917, ""-(\w+)-""), {Data_Validation!$F$16:$F$29, Data_Validation!$E$16:$E$29}, 2, FALSE), """"))
"),"")</f>
        <v/>
      </c>
      <c r="K917" s="318"/>
      <c r="L917" s="311"/>
      <c r="M917" s="312"/>
      <c r="N917" s="313"/>
      <c r="O917" s="314"/>
      <c r="P917" s="314"/>
      <c r="Q917" s="315"/>
      <c r="R917" s="316"/>
      <c r="S917" s="317"/>
      <c r="T917" s="317"/>
      <c r="U917" s="317"/>
    </row>
    <row r="918" ht="20.25" customHeight="1">
      <c r="A918" s="216" t="str">
        <f>IFERROR(__xludf.DUMMYFUNCTION("ARRAYFORMULA(IFERROR(VLOOKUP(REGEXEXTRACT(B918, ""-(\w+)-""), {Data_Validation!$F$16:$F$29, Data_Validation!$E$16:$E$29}, 2, FALSE), """"))
"),"")</f>
        <v/>
      </c>
      <c r="K918" s="318"/>
      <c r="L918" s="311"/>
      <c r="M918" s="312"/>
      <c r="N918" s="313"/>
      <c r="O918" s="314"/>
      <c r="P918" s="314"/>
      <c r="Q918" s="315"/>
      <c r="R918" s="316"/>
      <c r="S918" s="317"/>
      <c r="T918" s="317"/>
      <c r="U918" s="317"/>
    </row>
    <row r="919" ht="20.25" customHeight="1">
      <c r="A919" s="216" t="str">
        <f>IFERROR(__xludf.DUMMYFUNCTION("ARRAYFORMULA(IFERROR(VLOOKUP(REGEXEXTRACT(B919, ""-(\w+)-""), {Data_Validation!$F$16:$F$29, Data_Validation!$E$16:$E$29}, 2, FALSE), """"))
"),"")</f>
        <v/>
      </c>
      <c r="K919" s="318"/>
      <c r="L919" s="311"/>
      <c r="M919" s="312"/>
      <c r="N919" s="313"/>
      <c r="O919" s="314"/>
      <c r="P919" s="314"/>
      <c r="Q919" s="315"/>
      <c r="R919" s="316"/>
      <c r="S919" s="317"/>
      <c r="T919" s="317"/>
      <c r="U919" s="317"/>
    </row>
    <row r="920" ht="20.25" customHeight="1">
      <c r="A920" s="216" t="str">
        <f>IFERROR(__xludf.DUMMYFUNCTION("ARRAYFORMULA(IFERROR(VLOOKUP(REGEXEXTRACT(B920, ""-(\w+)-""), {Data_Validation!$F$16:$F$29, Data_Validation!$E$16:$E$29}, 2, FALSE), """"))
"),"")</f>
        <v/>
      </c>
      <c r="K920" s="318"/>
      <c r="L920" s="311"/>
      <c r="M920" s="312"/>
      <c r="N920" s="313"/>
      <c r="O920" s="314"/>
      <c r="P920" s="314"/>
      <c r="Q920" s="315"/>
      <c r="R920" s="316"/>
      <c r="S920" s="317"/>
      <c r="T920" s="317"/>
      <c r="U920" s="317"/>
    </row>
    <row r="921" ht="20.25" customHeight="1">
      <c r="A921" s="216" t="str">
        <f>IFERROR(__xludf.DUMMYFUNCTION("ARRAYFORMULA(IFERROR(VLOOKUP(REGEXEXTRACT(B921, ""-(\w+)-""), {Data_Validation!$F$16:$F$29, Data_Validation!$E$16:$E$29}, 2, FALSE), """"))
"),"")</f>
        <v/>
      </c>
      <c r="K921" s="318"/>
      <c r="L921" s="311"/>
      <c r="M921" s="312"/>
      <c r="N921" s="313"/>
      <c r="O921" s="314"/>
      <c r="P921" s="314"/>
      <c r="Q921" s="315"/>
      <c r="R921" s="316"/>
      <c r="S921" s="317"/>
      <c r="T921" s="317"/>
      <c r="U921" s="317"/>
    </row>
    <row r="922" ht="20.25" customHeight="1">
      <c r="A922" s="216" t="str">
        <f>IFERROR(__xludf.DUMMYFUNCTION("ARRAYFORMULA(IFERROR(VLOOKUP(REGEXEXTRACT(B922, ""-(\w+)-""), {Data_Validation!$F$16:$F$29, Data_Validation!$E$16:$E$29}, 2, FALSE), """"))
"),"")</f>
        <v/>
      </c>
      <c r="K922" s="318"/>
      <c r="L922" s="311"/>
      <c r="M922" s="312"/>
      <c r="N922" s="313"/>
      <c r="O922" s="314"/>
      <c r="P922" s="314"/>
      <c r="Q922" s="315"/>
      <c r="R922" s="316"/>
      <c r="S922" s="317"/>
      <c r="T922" s="317"/>
      <c r="U922" s="317"/>
    </row>
    <row r="923" ht="20.25" customHeight="1">
      <c r="A923" s="216" t="str">
        <f>IFERROR(__xludf.DUMMYFUNCTION("ARRAYFORMULA(IFERROR(VLOOKUP(REGEXEXTRACT(B923, ""-(\w+)-""), {Data_Validation!$F$16:$F$29, Data_Validation!$E$16:$E$29}, 2, FALSE), """"))
"),"")</f>
        <v/>
      </c>
      <c r="K923" s="318"/>
      <c r="L923" s="311"/>
      <c r="M923" s="312"/>
      <c r="N923" s="313"/>
      <c r="O923" s="314"/>
      <c r="P923" s="314"/>
      <c r="Q923" s="315"/>
      <c r="R923" s="316"/>
      <c r="S923" s="317"/>
      <c r="T923" s="317"/>
      <c r="U923" s="317"/>
    </row>
    <row r="924" ht="20.25" customHeight="1">
      <c r="A924" s="216" t="str">
        <f>IFERROR(__xludf.DUMMYFUNCTION("ARRAYFORMULA(IFERROR(VLOOKUP(REGEXEXTRACT(B924, ""-(\w+)-""), {Data_Validation!$F$16:$F$29, Data_Validation!$E$16:$E$29}, 2, FALSE), """"))
"),"")</f>
        <v/>
      </c>
      <c r="K924" s="318"/>
      <c r="L924" s="311"/>
      <c r="M924" s="312"/>
      <c r="N924" s="313"/>
      <c r="O924" s="314"/>
      <c r="P924" s="314"/>
      <c r="Q924" s="315"/>
      <c r="R924" s="316"/>
      <c r="S924" s="317"/>
      <c r="T924" s="317"/>
      <c r="U924" s="317"/>
    </row>
    <row r="925" ht="20.25" customHeight="1">
      <c r="A925" s="216" t="str">
        <f>IFERROR(__xludf.DUMMYFUNCTION("ARRAYFORMULA(IFERROR(VLOOKUP(REGEXEXTRACT(B925, ""-(\w+)-""), {Data_Validation!$F$16:$F$29, Data_Validation!$E$16:$E$29}, 2, FALSE), """"))
"),"")</f>
        <v/>
      </c>
      <c r="K925" s="318"/>
      <c r="L925" s="311"/>
      <c r="M925" s="312"/>
      <c r="N925" s="313"/>
      <c r="O925" s="314"/>
      <c r="P925" s="314"/>
      <c r="Q925" s="315"/>
      <c r="R925" s="316"/>
      <c r="S925" s="317"/>
      <c r="T925" s="317"/>
      <c r="U925" s="317"/>
    </row>
    <row r="926" ht="20.25" customHeight="1">
      <c r="A926" s="216" t="str">
        <f>IFERROR(__xludf.DUMMYFUNCTION("ARRAYFORMULA(IFERROR(VLOOKUP(REGEXEXTRACT(B926, ""-(\w+)-""), {Data_Validation!$F$16:$F$29, Data_Validation!$E$16:$E$29}, 2, FALSE), """"))
"),"")</f>
        <v/>
      </c>
      <c r="K926" s="318"/>
      <c r="L926" s="311"/>
      <c r="M926" s="312"/>
      <c r="N926" s="313"/>
      <c r="O926" s="314"/>
      <c r="P926" s="314"/>
      <c r="Q926" s="315"/>
      <c r="R926" s="316"/>
      <c r="S926" s="317"/>
      <c r="T926" s="317"/>
      <c r="U926" s="317"/>
    </row>
    <row r="927" ht="20.25" customHeight="1">
      <c r="A927" s="216" t="str">
        <f>IFERROR(__xludf.DUMMYFUNCTION("ARRAYFORMULA(IFERROR(VLOOKUP(REGEXEXTRACT(B927, ""-(\w+)-""), {Data_Validation!$F$16:$F$29, Data_Validation!$E$16:$E$29}, 2, FALSE), """"))
"),"")</f>
        <v/>
      </c>
      <c r="K927" s="318"/>
      <c r="L927" s="311"/>
      <c r="M927" s="312"/>
      <c r="N927" s="313"/>
      <c r="O927" s="314"/>
      <c r="P927" s="314"/>
      <c r="Q927" s="315"/>
      <c r="R927" s="316"/>
      <c r="S927" s="317"/>
      <c r="T927" s="317"/>
      <c r="U927" s="317"/>
    </row>
    <row r="928" ht="20.25" customHeight="1">
      <c r="A928" s="216" t="str">
        <f>IFERROR(__xludf.DUMMYFUNCTION("ARRAYFORMULA(IFERROR(VLOOKUP(REGEXEXTRACT(B928, ""-(\w+)-""), {Data_Validation!$F$16:$F$29, Data_Validation!$E$16:$E$29}, 2, FALSE), """"))
"),"")</f>
        <v/>
      </c>
      <c r="K928" s="318"/>
      <c r="L928" s="311"/>
      <c r="M928" s="312"/>
      <c r="N928" s="313"/>
      <c r="O928" s="314"/>
      <c r="P928" s="314"/>
      <c r="Q928" s="315"/>
      <c r="R928" s="316"/>
      <c r="S928" s="317"/>
      <c r="T928" s="317"/>
      <c r="U928" s="317"/>
    </row>
    <row r="929" ht="20.25" customHeight="1">
      <c r="A929" s="216" t="str">
        <f>IFERROR(__xludf.DUMMYFUNCTION("ARRAYFORMULA(IFERROR(VLOOKUP(REGEXEXTRACT(B929, ""-(\w+)-""), {Data_Validation!$F$16:$F$29, Data_Validation!$E$16:$E$29}, 2, FALSE), """"))
"),"")</f>
        <v/>
      </c>
      <c r="K929" s="318"/>
      <c r="L929" s="311"/>
      <c r="M929" s="312"/>
      <c r="N929" s="313"/>
      <c r="O929" s="314"/>
      <c r="P929" s="314"/>
      <c r="Q929" s="315"/>
      <c r="R929" s="316"/>
      <c r="S929" s="317"/>
      <c r="T929" s="317"/>
      <c r="U929" s="317"/>
    </row>
    <row r="930" ht="20.25" customHeight="1">
      <c r="A930" s="216" t="str">
        <f>IFERROR(__xludf.DUMMYFUNCTION("ARRAYFORMULA(IFERROR(VLOOKUP(REGEXEXTRACT(B930, ""-(\w+)-""), {Data_Validation!$F$16:$F$29, Data_Validation!$E$16:$E$29}, 2, FALSE), """"))
"),"")</f>
        <v/>
      </c>
      <c r="K930" s="318"/>
      <c r="L930" s="311"/>
      <c r="M930" s="312"/>
      <c r="N930" s="313"/>
      <c r="O930" s="314"/>
      <c r="P930" s="314"/>
      <c r="Q930" s="315"/>
      <c r="R930" s="316"/>
      <c r="S930" s="317"/>
      <c r="T930" s="317"/>
      <c r="U930" s="317"/>
    </row>
    <row r="931" ht="20.25" customHeight="1">
      <c r="A931" s="216" t="str">
        <f>IFERROR(__xludf.DUMMYFUNCTION("ARRAYFORMULA(IFERROR(VLOOKUP(REGEXEXTRACT(B931, ""-(\w+)-""), {Data_Validation!$F$16:$F$29, Data_Validation!$E$16:$E$29}, 2, FALSE), """"))
"),"")</f>
        <v/>
      </c>
      <c r="K931" s="318"/>
      <c r="L931" s="311"/>
      <c r="M931" s="312"/>
      <c r="N931" s="313"/>
      <c r="O931" s="314"/>
      <c r="P931" s="314"/>
      <c r="Q931" s="315"/>
      <c r="R931" s="316"/>
      <c r="S931" s="317"/>
      <c r="T931" s="317"/>
      <c r="U931" s="317"/>
    </row>
    <row r="932" ht="20.25" customHeight="1">
      <c r="A932" s="216" t="str">
        <f>IFERROR(__xludf.DUMMYFUNCTION("ARRAYFORMULA(IFERROR(VLOOKUP(REGEXEXTRACT(B932, ""-(\w+)-""), {Data_Validation!$F$16:$F$29, Data_Validation!$E$16:$E$29}, 2, FALSE), """"))
"),"")</f>
        <v/>
      </c>
      <c r="K932" s="318"/>
      <c r="L932" s="311"/>
      <c r="M932" s="312"/>
      <c r="N932" s="313"/>
      <c r="O932" s="314"/>
      <c r="P932" s="314"/>
      <c r="Q932" s="315"/>
      <c r="R932" s="316"/>
      <c r="S932" s="317"/>
      <c r="T932" s="317"/>
      <c r="U932" s="317"/>
    </row>
    <row r="933" ht="20.25" customHeight="1">
      <c r="A933" s="216" t="str">
        <f>IFERROR(__xludf.DUMMYFUNCTION("ARRAYFORMULA(IFERROR(VLOOKUP(REGEXEXTRACT(B933, ""-(\w+)-""), {Data_Validation!$F$16:$F$29, Data_Validation!$E$16:$E$29}, 2, FALSE), """"))
"),"")</f>
        <v/>
      </c>
      <c r="K933" s="318"/>
      <c r="L933" s="311"/>
      <c r="M933" s="312"/>
      <c r="N933" s="313"/>
      <c r="O933" s="314"/>
      <c r="P933" s="314"/>
      <c r="Q933" s="315"/>
      <c r="R933" s="316"/>
      <c r="S933" s="317"/>
      <c r="T933" s="317"/>
      <c r="U933" s="317"/>
    </row>
    <row r="934" ht="20.25" customHeight="1">
      <c r="A934" s="216" t="str">
        <f>IFERROR(__xludf.DUMMYFUNCTION("ARRAYFORMULA(IFERROR(VLOOKUP(REGEXEXTRACT(B934, ""-(\w+)-""), {Data_Validation!$F$16:$F$29, Data_Validation!$E$16:$E$29}, 2, FALSE), """"))
"),"")</f>
        <v/>
      </c>
      <c r="K934" s="318"/>
      <c r="L934" s="311"/>
      <c r="M934" s="312"/>
      <c r="N934" s="313"/>
      <c r="O934" s="314"/>
      <c r="P934" s="314"/>
      <c r="Q934" s="315"/>
      <c r="R934" s="316"/>
      <c r="S934" s="317"/>
      <c r="T934" s="317"/>
      <c r="U934" s="317"/>
    </row>
    <row r="935" ht="20.25" customHeight="1">
      <c r="A935" s="216" t="str">
        <f>IFERROR(__xludf.DUMMYFUNCTION("ARRAYFORMULA(IFERROR(VLOOKUP(REGEXEXTRACT(B935, ""-(\w+)-""), {Data_Validation!$F$16:$F$29, Data_Validation!$E$16:$E$29}, 2, FALSE), """"))
"),"")</f>
        <v/>
      </c>
      <c r="K935" s="318"/>
      <c r="L935" s="311"/>
      <c r="M935" s="312"/>
      <c r="N935" s="313"/>
      <c r="O935" s="314"/>
      <c r="P935" s="314"/>
      <c r="Q935" s="315"/>
      <c r="R935" s="316"/>
      <c r="S935" s="317"/>
      <c r="T935" s="317"/>
      <c r="U935" s="317"/>
    </row>
    <row r="936" ht="20.25" customHeight="1">
      <c r="A936" s="216" t="str">
        <f>IFERROR(__xludf.DUMMYFUNCTION("ARRAYFORMULA(IFERROR(VLOOKUP(REGEXEXTRACT(B936, ""-(\w+)-""), {Data_Validation!$F$16:$F$29, Data_Validation!$E$16:$E$29}, 2, FALSE), """"))
"),"")</f>
        <v/>
      </c>
      <c r="K936" s="318"/>
      <c r="L936" s="311"/>
      <c r="M936" s="312"/>
      <c r="N936" s="313"/>
      <c r="O936" s="314"/>
      <c r="P936" s="314"/>
      <c r="Q936" s="315"/>
      <c r="R936" s="316"/>
      <c r="S936" s="317"/>
      <c r="T936" s="317"/>
      <c r="U936" s="317"/>
    </row>
    <row r="937" ht="20.25" customHeight="1">
      <c r="A937" s="216" t="str">
        <f>IFERROR(__xludf.DUMMYFUNCTION("ARRAYFORMULA(IFERROR(VLOOKUP(REGEXEXTRACT(B937, ""-(\w+)-""), {Data_Validation!$F$16:$F$29, Data_Validation!$E$16:$E$29}, 2, FALSE), """"))
"),"")</f>
        <v/>
      </c>
      <c r="K937" s="318"/>
      <c r="L937" s="311"/>
      <c r="M937" s="312"/>
      <c r="N937" s="313"/>
      <c r="O937" s="314"/>
      <c r="P937" s="314"/>
      <c r="Q937" s="315"/>
      <c r="R937" s="316"/>
      <c r="S937" s="317"/>
      <c r="T937" s="317"/>
      <c r="U937" s="317"/>
    </row>
    <row r="938" ht="20.25" customHeight="1">
      <c r="A938" s="216" t="str">
        <f>IFERROR(__xludf.DUMMYFUNCTION("ARRAYFORMULA(IFERROR(VLOOKUP(REGEXEXTRACT(B938, ""-(\w+)-""), {Data_Validation!$F$16:$F$29, Data_Validation!$E$16:$E$29}, 2, FALSE), """"))
"),"")</f>
        <v/>
      </c>
      <c r="K938" s="318"/>
      <c r="L938" s="311"/>
      <c r="M938" s="312"/>
      <c r="N938" s="313"/>
      <c r="O938" s="314"/>
      <c r="P938" s="314"/>
      <c r="Q938" s="315"/>
      <c r="R938" s="316"/>
      <c r="S938" s="317"/>
      <c r="T938" s="317"/>
      <c r="U938" s="317"/>
    </row>
    <row r="939" ht="20.25" customHeight="1">
      <c r="A939" s="216" t="str">
        <f>IFERROR(__xludf.DUMMYFUNCTION("ARRAYFORMULA(IFERROR(VLOOKUP(REGEXEXTRACT(B939, ""-(\w+)-""), {Data_Validation!$F$16:$F$29, Data_Validation!$E$16:$E$29}, 2, FALSE), """"))
"),"")</f>
        <v/>
      </c>
      <c r="K939" s="318"/>
      <c r="L939" s="311"/>
      <c r="M939" s="312"/>
      <c r="N939" s="313"/>
      <c r="O939" s="314"/>
      <c r="P939" s="314"/>
      <c r="Q939" s="315"/>
      <c r="R939" s="316"/>
      <c r="S939" s="317"/>
      <c r="T939" s="317"/>
      <c r="U939" s="317"/>
    </row>
    <row r="940" ht="20.25" customHeight="1">
      <c r="A940" s="216" t="str">
        <f>IFERROR(__xludf.DUMMYFUNCTION("ARRAYFORMULA(IFERROR(VLOOKUP(REGEXEXTRACT(B940, ""-(\w+)-""), {Data_Validation!$F$16:$F$29, Data_Validation!$E$16:$E$29}, 2, FALSE), """"))
"),"")</f>
        <v/>
      </c>
      <c r="K940" s="318"/>
      <c r="L940" s="311"/>
      <c r="M940" s="312"/>
      <c r="N940" s="313"/>
      <c r="O940" s="314"/>
      <c r="P940" s="314"/>
      <c r="Q940" s="315"/>
      <c r="R940" s="316"/>
      <c r="S940" s="317"/>
      <c r="T940" s="317"/>
      <c r="U940" s="317"/>
    </row>
    <row r="941" ht="20.25" customHeight="1">
      <c r="A941" s="216" t="str">
        <f>IFERROR(__xludf.DUMMYFUNCTION("ARRAYFORMULA(IFERROR(VLOOKUP(REGEXEXTRACT(B941, ""-(\w+)-""), {Data_Validation!$F$16:$F$29, Data_Validation!$E$16:$E$29}, 2, FALSE), """"))
"),"")</f>
        <v/>
      </c>
      <c r="K941" s="318"/>
      <c r="L941" s="311"/>
      <c r="M941" s="312"/>
      <c r="N941" s="313"/>
      <c r="O941" s="314"/>
      <c r="P941" s="314"/>
      <c r="Q941" s="315"/>
      <c r="R941" s="316"/>
      <c r="S941" s="317"/>
      <c r="T941" s="317"/>
      <c r="U941" s="317"/>
    </row>
    <row r="942" ht="20.25" customHeight="1">
      <c r="A942" s="216" t="str">
        <f>IFERROR(__xludf.DUMMYFUNCTION("ARRAYFORMULA(IFERROR(VLOOKUP(REGEXEXTRACT(B942, ""-(\w+)-""), {Data_Validation!$F$16:$F$29, Data_Validation!$E$16:$E$29}, 2, FALSE), """"))
"),"")</f>
        <v/>
      </c>
      <c r="K942" s="318"/>
      <c r="L942" s="311"/>
      <c r="M942" s="312"/>
      <c r="N942" s="313"/>
      <c r="O942" s="314"/>
      <c r="P942" s="314"/>
      <c r="Q942" s="315"/>
      <c r="R942" s="316"/>
      <c r="S942" s="317"/>
      <c r="T942" s="317"/>
      <c r="U942" s="317"/>
    </row>
    <row r="943" ht="20.25" customHeight="1">
      <c r="A943" s="216" t="str">
        <f>IFERROR(__xludf.DUMMYFUNCTION("ARRAYFORMULA(IFERROR(VLOOKUP(REGEXEXTRACT(B943, ""-(\w+)-""), {Data_Validation!$F$16:$F$29, Data_Validation!$E$16:$E$29}, 2, FALSE), """"))
"),"")</f>
        <v/>
      </c>
      <c r="K943" s="318"/>
      <c r="L943" s="311"/>
      <c r="M943" s="312"/>
      <c r="N943" s="313"/>
      <c r="O943" s="314"/>
      <c r="P943" s="314"/>
      <c r="Q943" s="315"/>
      <c r="R943" s="316"/>
      <c r="S943" s="317"/>
      <c r="T943" s="317"/>
      <c r="U943" s="317"/>
    </row>
    <row r="944" ht="20.25" customHeight="1">
      <c r="A944" s="216" t="str">
        <f>IFERROR(__xludf.DUMMYFUNCTION("ARRAYFORMULA(IFERROR(VLOOKUP(REGEXEXTRACT(B944, ""-(\w+)-""), {Data_Validation!$F$16:$F$29, Data_Validation!$E$16:$E$29}, 2, FALSE), """"))
"),"")</f>
        <v/>
      </c>
      <c r="K944" s="318"/>
      <c r="L944" s="311"/>
      <c r="M944" s="312"/>
      <c r="N944" s="313"/>
      <c r="O944" s="314"/>
      <c r="P944" s="314"/>
      <c r="Q944" s="315"/>
      <c r="R944" s="316"/>
      <c r="S944" s="317"/>
      <c r="T944" s="317"/>
      <c r="U944" s="317"/>
    </row>
    <row r="945" ht="20.25" customHeight="1">
      <c r="A945" s="216" t="str">
        <f>IFERROR(__xludf.DUMMYFUNCTION("ARRAYFORMULA(IFERROR(VLOOKUP(REGEXEXTRACT(B945, ""-(\w+)-""), {Data_Validation!$F$16:$F$29, Data_Validation!$E$16:$E$29}, 2, FALSE), """"))
"),"")</f>
        <v/>
      </c>
      <c r="K945" s="318"/>
      <c r="L945" s="311"/>
      <c r="M945" s="312"/>
      <c r="N945" s="313"/>
      <c r="O945" s="314"/>
      <c r="P945" s="314"/>
      <c r="Q945" s="315"/>
      <c r="R945" s="316"/>
      <c r="S945" s="317"/>
      <c r="T945" s="317"/>
      <c r="U945" s="317"/>
    </row>
    <row r="946" ht="20.25" customHeight="1">
      <c r="A946" s="216" t="str">
        <f>IFERROR(__xludf.DUMMYFUNCTION("ARRAYFORMULA(IFERROR(VLOOKUP(REGEXEXTRACT(B946, ""-(\w+)-""), {Data_Validation!$F$16:$F$29, Data_Validation!$E$16:$E$29}, 2, FALSE), """"))
"),"")</f>
        <v/>
      </c>
      <c r="K946" s="318"/>
      <c r="L946" s="311"/>
      <c r="M946" s="312"/>
      <c r="N946" s="313"/>
      <c r="O946" s="314"/>
      <c r="P946" s="314"/>
      <c r="Q946" s="315"/>
      <c r="R946" s="316"/>
      <c r="S946" s="317"/>
      <c r="T946" s="317"/>
      <c r="U946" s="317"/>
    </row>
    <row r="947" ht="20.25" customHeight="1">
      <c r="A947" s="216" t="str">
        <f>IFERROR(__xludf.DUMMYFUNCTION("ARRAYFORMULA(IFERROR(VLOOKUP(REGEXEXTRACT(B947, ""-(\w+)-""), {Data_Validation!$F$16:$F$29, Data_Validation!$E$16:$E$29}, 2, FALSE), """"))
"),"")</f>
        <v/>
      </c>
      <c r="K947" s="318"/>
      <c r="L947" s="311"/>
      <c r="M947" s="312"/>
      <c r="N947" s="313"/>
      <c r="O947" s="314"/>
      <c r="P947" s="314"/>
      <c r="Q947" s="315"/>
      <c r="R947" s="316"/>
      <c r="S947" s="317"/>
      <c r="T947" s="317"/>
      <c r="U947" s="317"/>
    </row>
    <row r="948" ht="20.25" customHeight="1">
      <c r="A948" s="216" t="str">
        <f>IFERROR(__xludf.DUMMYFUNCTION("ARRAYFORMULA(IFERROR(VLOOKUP(REGEXEXTRACT(B948, ""-(\w+)-""), {Data_Validation!$F$16:$F$29, Data_Validation!$E$16:$E$29}, 2, FALSE), """"))
"),"")</f>
        <v/>
      </c>
      <c r="K948" s="318"/>
      <c r="L948" s="311"/>
      <c r="M948" s="312"/>
      <c r="N948" s="313"/>
      <c r="O948" s="314"/>
      <c r="P948" s="314"/>
      <c r="Q948" s="315"/>
      <c r="R948" s="316"/>
      <c r="S948" s="317"/>
      <c r="T948" s="317"/>
      <c r="U948" s="317"/>
    </row>
    <row r="949" ht="20.25" customHeight="1">
      <c r="A949" s="216" t="str">
        <f>IFERROR(__xludf.DUMMYFUNCTION("ARRAYFORMULA(IFERROR(VLOOKUP(REGEXEXTRACT(B949, ""-(\w+)-""), {Data_Validation!$F$16:$F$29, Data_Validation!$E$16:$E$29}, 2, FALSE), """"))
"),"")</f>
        <v/>
      </c>
      <c r="K949" s="318"/>
      <c r="L949" s="311"/>
      <c r="M949" s="312"/>
      <c r="N949" s="313"/>
      <c r="O949" s="314"/>
      <c r="P949" s="314"/>
      <c r="Q949" s="315"/>
      <c r="R949" s="316"/>
      <c r="S949" s="317"/>
      <c r="T949" s="317"/>
      <c r="U949" s="317"/>
    </row>
    <row r="950" ht="20.25" customHeight="1">
      <c r="A950" s="216" t="str">
        <f>IFERROR(__xludf.DUMMYFUNCTION("ARRAYFORMULA(IFERROR(VLOOKUP(REGEXEXTRACT(B950, ""-(\w+)-""), {Data_Validation!$F$16:$F$29, Data_Validation!$E$16:$E$29}, 2, FALSE), """"))
"),"")</f>
        <v/>
      </c>
      <c r="K950" s="318"/>
      <c r="L950" s="311"/>
      <c r="M950" s="312"/>
      <c r="N950" s="313"/>
      <c r="O950" s="314"/>
      <c r="P950" s="314"/>
      <c r="Q950" s="315"/>
      <c r="R950" s="316"/>
      <c r="S950" s="317"/>
      <c r="T950" s="317"/>
      <c r="U950" s="317"/>
    </row>
    <row r="951" ht="20.25" customHeight="1">
      <c r="A951" s="216" t="str">
        <f>IFERROR(__xludf.DUMMYFUNCTION("ARRAYFORMULA(IFERROR(VLOOKUP(REGEXEXTRACT(B951, ""-(\w+)-""), {Data_Validation!$F$16:$F$29, Data_Validation!$E$16:$E$29}, 2, FALSE), """"))
"),"")</f>
        <v/>
      </c>
      <c r="K951" s="318"/>
      <c r="L951" s="311"/>
      <c r="M951" s="312"/>
      <c r="N951" s="313"/>
      <c r="O951" s="314"/>
      <c r="P951" s="314"/>
      <c r="Q951" s="315"/>
      <c r="R951" s="316"/>
      <c r="S951" s="317"/>
      <c r="T951" s="317"/>
      <c r="U951" s="317"/>
    </row>
    <row r="952" ht="20.25" customHeight="1">
      <c r="A952" s="216" t="str">
        <f>IFERROR(__xludf.DUMMYFUNCTION("ARRAYFORMULA(IFERROR(VLOOKUP(REGEXEXTRACT(B952, ""-(\w+)-""), {Data_Validation!$F$16:$F$29, Data_Validation!$E$16:$E$29}, 2, FALSE), """"))
"),"")</f>
        <v/>
      </c>
      <c r="K952" s="318"/>
      <c r="L952" s="311"/>
      <c r="M952" s="312"/>
      <c r="N952" s="313"/>
      <c r="O952" s="314"/>
      <c r="P952" s="314"/>
      <c r="Q952" s="315"/>
      <c r="R952" s="316"/>
      <c r="S952" s="317"/>
      <c r="T952" s="317"/>
      <c r="U952" s="317"/>
    </row>
    <row r="953" ht="20.25" customHeight="1">
      <c r="A953" s="216" t="str">
        <f>IFERROR(__xludf.DUMMYFUNCTION("ARRAYFORMULA(IFERROR(VLOOKUP(REGEXEXTRACT(B953, ""-(\w+)-""), {Data_Validation!$F$16:$F$29, Data_Validation!$E$16:$E$29}, 2, FALSE), """"))
"),"")</f>
        <v/>
      </c>
      <c r="K953" s="318"/>
      <c r="L953" s="311"/>
      <c r="M953" s="312"/>
      <c r="N953" s="313"/>
      <c r="O953" s="314"/>
      <c r="P953" s="314"/>
      <c r="Q953" s="315"/>
      <c r="R953" s="316"/>
      <c r="S953" s="317"/>
      <c r="T953" s="317"/>
      <c r="U953" s="317"/>
    </row>
    <row r="954" ht="20.25" customHeight="1">
      <c r="A954" s="216" t="str">
        <f>IFERROR(__xludf.DUMMYFUNCTION("ARRAYFORMULA(IFERROR(VLOOKUP(REGEXEXTRACT(B954, ""-(\w+)-""), {Data_Validation!$F$16:$F$29, Data_Validation!$E$16:$E$29}, 2, FALSE), """"))
"),"")</f>
        <v/>
      </c>
      <c r="K954" s="318"/>
      <c r="L954" s="311"/>
      <c r="M954" s="312"/>
      <c r="N954" s="313"/>
      <c r="O954" s="314"/>
      <c r="P954" s="314"/>
      <c r="Q954" s="315"/>
      <c r="R954" s="316"/>
      <c r="S954" s="317"/>
      <c r="T954" s="317"/>
      <c r="U954" s="317"/>
    </row>
    <row r="955" ht="20.25" customHeight="1">
      <c r="A955" s="216" t="str">
        <f>IFERROR(__xludf.DUMMYFUNCTION("ARRAYFORMULA(IFERROR(VLOOKUP(REGEXEXTRACT(B955, ""-(\w+)-""), {Data_Validation!$F$16:$F$29, Data_Validation!$E$16:$E$29}, 2, FALSE), """"))
"),"")</f>
        <v/>
      </c>
      <c r="K955" s="318"/>
      <c r="L955" s="311"/>
      <c r="M955" s="312"/>
      <c r="N955" s="313"/>
      <c r="O955" s="314"/>
      <c r="P955" s="314"/>
      <c r="Q955" s="315"/>
      <c r="R955" s="316"/>
      <c r="S955" s="317"/>
      <c r="T955" s="317"/>
      <c r="U955" s="317"/>
    </row>
    <row r="956" ht="20.25" customHeight="1">
      <c r="A956" s="216" t="str">
        <f>IFERROR(__xludf.DUMMYFUNCTION("ARRAYFORMULA(IFERROR(VLOOKUP(REGEXEXTRACT(B956, ""-(\w+)-""), {Data_Validation!$F$16:$F$29, Data_Validation!$E$16:$E$29}, 2, FALSE), """"))
"),"")</f>
        <v/>
      </c>
      <c r="K956" s="318"/>
      <c r="L956" s="311"/>
      <c r="M956" s="312"/>
      <c r="N956" s="313"/>
      <c r="O956" s="314"/>
      <c r="P956" s="314"/>
      <c r="Q956" s="315"/>
      <c r="R956" s="316"/>
      <c r="S956" s="317"/>
      <c r="T956" s="317"/>
      <c r="U956" s="317"/>
    </row>
    <row r="957" ht="20.25" customHeight="1">
      <c r="A957" s="216" t="str">
        <f>IFERROR(__xludf.DUMMYFUNCTION("ARRAYFORMULA(IFERROR(VLOOKUP(REGEXEXTRACT(B957, ""-(\w+)-""), {Data_Validation!$F$16:$F$29, Data_Validation!$E$16:$E$29}, 2, FALSE), """"))
"),"")</f>
        <v/>
      </c>
      <c r="K957" s="318"/>
      <c r="L957" s="311"/>
      <c r="M957" s="312"/>
      <c r="N957" s="313"/>
      <c r="O957" s="314"/>
      <c r="P957" s="314"/>
      <c r="Q957" s="315"/>
      <c r="R957" s="316"/>
      <c r="S957" s="317"/>
      <c r="T957" s="317"/>
      <c r="U957" s="317"/>
    </row>
    <row r="958" ht="20.25" customHeight="1">
      <c r="A958" s="216" t="str">
        <f>IFERROR(__xludf.DUMMYFUNCTION("ARRAYFORMULA(IFERROR(VLOOKUP(REGEXEXTRACT(B958, ""-(\w+)-""), {Data_Validation!$F$16:$F$29, Data_Validation!$E$16:$E$29}, 2, FALSE), """"))
"),"")</f>
        <v/>
      </c>
      <c r="K958" s="318"/>
      <c r="L958" s="311"/>
      <c r="M958" s="312"/>
      <c r="N958" s="313"/>
      <c r="O958" s="314"/>
      <c r="P958" s="314"/>
      <c r="Q958" s="315"/>
      <c r="R958" s="316"/>
      <c r="S958" s="317"/>
      <c r="T958" s="317"/>
      <c r="U958" s="317"/>
    </row>
    <row r="959" ht="20.25" customHeight="1">
      <c r="A959" s="216" t="str">
        <f>IFERROR(__xludf.DUMMYFUNCTION("ARRAYFORMULA(IFERROR(VLOOKUP(REGEXEXTRACT(B959, ""-(\w+)-""), {Data_Validation!$F$16:$F$29, Data_Validation!$E$16:$E$29}, 2, FALSE), """"))
"),"")</f>
        <v/>
      </c>
      <c r="K959" s="318"/>
      <c r="L959" s="311"/>
      <c r="M959" s="312"/>
      <c r="N959" s="313"/>
      <c r="O959" s="314"/>
      <c r="P959" s="314"/>
      <c r="Q959" s="315"/>
      <c r="R959" s="316"/>
      <c r="S959" s="317"/>
      <c r="T959" s="317"/>
      <c r="U959" s="317"/>
    </row>
    <row r="960" ht="20.25" customHeight="1">
      <c r="A960" s="216" t="str">
        <f>IFERROR(__xludf.DUMMYFUNCTION("ARRAYFORMULA(IFERROR(VLOOKUP(REGEXEXTRACT(B960, ""-(\w+)-""), {Data_Validation!$F$16:$F$29, Data_Validation!$E$16:$E$29}, 2, FALSE), """"))
"),"")</f>
        <v/>
      </c>
      <c r="K960" s="318"/>
      <c r="L960" s="311"/>
      <c r="M960" s="312"/>
      <c r="N960" s="313"/>
      <c r="O960" s="314"/>
      <c r="P960" s="314"/>
      <c r="Q960" s="315"/>
      <c r="R960" s="316"/>
      <c r="S960" s="317"/>
      <c r="T960" s="317"/>
      <c r="U960" s="317"/>
    </row>
    <row r="961" ht="20.25" customHeight="1">
      <c r="A961" s="216" t="str">
        <f>IFERROR(__xludf.DUMMYFUNCTION("ARRAYFORMULA(IFERROR(VLOOKUP(REGEXEXTRACT(B961, ""-(\w+)-""), {Data_Validation!$F$16:$F$29, Data_Validation!$E$16:$E$29}, 2, FALSE), """"))
"),"")</f>
        <v/>
      </c>
      <c r="K961" s="318"/>
      <c r="L961" s="311"/>
      <c r="M961" s="312"/>
      <c r="N961" s="313"/>
      <c r="O961" s="314"/>
      <c r="P961" s="314"/>
      <c r="Q961" s="315"/>
      <c r="R961" s="316"/>
      <c r="S961" s="317"/>
      <c r="T961" s="317"/>
      <c r="U961" s="317"/>
    </row>
    <row r="962" ht="20.25" customHeight="1">
      <c r="A962" s="216" t="str">
        <f>IFERROR(__xludf.DUMMYFUNCTION("ARRAYFORMULA(IFERROR(VLOOKUP(REGEXEXTRACT(B962, ""-(\w+)-""), {Data_Validation!$F$16:$F$29, Data_Validation!$E$16:$E$29}, 2, FALSE), """"))
"),"")</f>
        <v/>
      </c>
      <c r="K962" s="318"/>
      <c r="L962" s="311"/>
      <c r="M962" s="312"/>
      <c r="N962" s="313"/>
      <c r="O962" s="314"/>
      <c r="P962" s="314"/>
      <c r="Q962" s="315"/>
      <c r="R962" s="316"/>
      <c r="S962" s="317"/>
      <c r="T962" s="317"/>
      <c r="U962" s="317"/>
    </row>
    <row r="963" ht="20.25" customHeight="1">
      <c r="A963" s="216" t="str">
        <f>IFERROR(__xludf.DUMMYFUNCTION("ARRAYFORMULA(IFERROR(VLOOKUP(REGEXEXTRACT(B963, ""-(\w+)-""), {Data_Validation!$F$16:$F$29, Data_Validation!$E$16:$E$29}, 2, FALSE), """"))
"),"")</f>
        <v/>
      </c>
      <c r="K963" s="318"/>
      <c r="L963" s="311"/>
      <c r="M963" s="312"/>
      <c r="N963" s="313"/>
      <c r="O963" s="314"/>
      <c r="P963" s="314"/>
      <c r="Q963" s="315"/>
      <c r="R963" s="316"/>
      <c r="S963" s="317"/>
      <c r="T963" s="317"/>
      <c r="U963" s="317"/>
    </row>
    <row r="964" ht="20.25" customHeight="1">
      <c r="A964" s="216" t="str">
        <f>IFERROR(__xludf.DUMMYFUNCTION("ARRAYFORMULA(IFERROR(VLOOKUP(REGEXEXTRACT(B964, ""-(\w+)-""), {Data_Validation!$F$16:$F$29, Data_Validation!$E$16:$E$29}, 2, FALSE), """"))
"),"")</f>
        <v/>
      </c>
      <c r="K964" s="318"/>
      <c r="L964" s="311"/>
      <c r="M964" s="312"/>
      <c r="N964" s="313"/>
      <c r="O964" s="314"/>
      <c r="P964" s="314"/>
      <c r="Q964" s="315"/>
      <c r="R964" s="316"/>
      <c r="S964" s="317"/>
      <c r="T964" s="317"/>
      <c r="U964" s="317"/>
    </row>
    <row r="965" ht="20.25" customHeight="1">
      <c r="A965" s="216" t="str">
        <f>IFERROR(__xludf.DUMMYFUNCTION("ARRAYFORMULA(IFERROR(VLOOKUP(REGEXEXTRACT(B965, ""-(\w+)-""), {Data_Validation!$F$16:$F$29, Data_Validation!$E$16:$E$29}, 2, FALSE), """"))
"),"")</f>
        <v/>
      </c>
      <c r="K965" s="318"/>
      <c r="L965" s="311"/>
      <c r="M965" s="312"/>
      <c r="N965" s="313"/>
      <c r="O965" s="314"/>
      <c r="P965" s="314"/>
      <c r="Q965" s="315"/>
      <c r="R965" s="316"/>
      <c r="S965" s="317"/>
      <c r="T965" s="317"/>
      <c r="U965" s="317"/>
    </row>
    <row r="966" ht="20.25" customHeight="1">
      <c r="A966" s="216" t="str">
        <f>IFERROR(__xludf.DUMMYFUNCTION("ARRAYFORMULA(IFERROR(VLOOKUP(REGEXEXTRACT(B966, ""-(\w+)-""), {Data_Validation!$F$16:$F$29, Data_Validation!$E$16:$E$29}, 2, FALSE), """"))
"),"")</f>
        <v/>
      </c>
      <c r="K966" s="318"/>
      <c r="L966" s="311"/>
      <c r="M966" s="312"/>
      <c r="N966" s="313"/>
      <c r="O966" s="314"/>
      <c r="P966" s="314"/>
      <c r="Q966" s="315"/>
      <c r="R966" s="316"/>
      <c r="S966" s="317"/>
      <c r="T966" s="317"/>
      <c r="U966" s="317"/>
    </row>
    <row r="967" ht="20.25" customHeight="1">
      <c r="A967" s="216" t="str">
        <f>IFERROR(__xludf.DUMMYFUNCTION("ARRAYFORMULA(IFERROR(VLOOKUP(REGEXEXTRACT(B967, ""-(\w+)-""), {Data_Validation!$F$16:$F$29, Data_Validation!$E$16:$E$29}, 2, FALSE), """"))
"),"")</f>
        <v/>
      </c>
      <c r="K967" s="318"/>
      <c r="L967" s="311"/>
      <c r="M967" s="312"/>
      <c r="N967" s="313"/>
      <c r="O967" s="314"/>
      <c r="P967" s="314"/>
      <c r="Q967" s="315"/>
      <c r="R967" s="316"/>
      <c r="S967" s="317"/>
      <c r="T967" s="317"/>
      <c r="U967" s="317"/>
    </row>
    <row r="968" ht="20.25" customHeight="1">
      <c r="A968" s="216" t="str">
        <f>IFERROR(__xludf.DUMMYFUNCTION("ARRAYFORMULA(IFERROR(VLOOKUP(REGEXEXTRACT(B968, ""-(\w+)-""), {Data_Validation!$F$16:$F$29, Data_Validation!$E$16:$E$29}, 2, FALSE), """"))
"),"")</f>
        <v/>
      </c>
      <c r="K968" s="318"/>
      <c r="L968" s="311"/>
      <c r="M968" s="312"/>
      <c r="N968" s="313"/>
      <c r="O968" s="314"/>
      <c r="P968" s="314"/>
      <c r="Q968" s="315"/>
      <c r="R968" s="316"/>
      <c r="S968" s="317"/>
      <c r="T968" s="317"/>
      <c r="U968" s="317"/>
    </row>
    <row r="969" ht="20.25" customHeight="1">
      <c r="A969" s="216" t="str">
        <f>IFERROR(__xludf.DUMMYFUNCTION("ARRAYFORMULA(IFERROR(VLOOKUP(REGEXEXTRACT(B969, ""-(\w+)-""), {Data_Validation!$F$16:$F$29, Data_Validation!$E$16:$E$29}, 2, FALSE), """"))
"),"")</f>
        <v/>
      </c>
      <c r="K969" s="318"/>
      <c r="L969" s="311"/>
      <c r="M969" s="312"/>
      <c r="N969" s="313"/>
      <c r="O969" s="314"/>
      <c r="P969" s="314"/>
      <c r="Q969" s="315"/>
      <c r="R969" s="316"/>
      <c r="S969" s="317"/>
      <c r="T969" s="317"/>
      <c r="U969" s="317"/>
    </row>
    <row r="970" ht="20.25" customHeight="1">
      <c r="A970" s="216" t="str">
        <f>IFERROR(__xludf.DUMMYFUNCTION("ARRAYFORMULA(IFERROR(VLOOKUP(REGEXEXTRACT(B970, ""-(\w+)-""), {Data_Validation!$F$16:$F$29, Data_Validation!$E$16:$E$29}, 2, FALSE), """"))
"),"")</f>
        <v/>
      </c>
      <c r="K970" s="318"/>
      <c r="L970" s="311"/>
      <c r="M970" s="312"/>
      <c r="N970" s="313"/>
      <c r="O970" s="314"/>
      <c r="P970" s="314"/>
      <c r="Q970" s="315"/>
      <c r="R970" s="316"/>
      <c r="S970" s="317"/>
      <c r="T970" s="317"/>
      <c r="U970" s="317"/>
    </row>
    <row r="971" ht="20.25" customHeight="1">
      <c r="A971" s="216" t="str">
        <f>IFERROR(__xludf.DUMMYFUNCTION("ARRAYFORMULA(IFERROR(VLOOKUP(REGEXEXTRACT(B971, ""-(\w+)-""), {Data_Validation!$F$16:$F$29, Data_Validation!$E$16:$E$29}, 2, FALSE), """"))
"),"")</f>
        <v/>
      </c>
      <c r="K971" s="318"/>
      <c r="L971" s="311"/>
      <c r="M971" s="312"/>
      <c r="N971" s="313"/>
      <c r="O971" s="314"/>
      <c r="P971" s="314"/>
      <c r="Q971" s="315"/>
      <c r="R971" s="316"/>
      <c r="S971" s="317"/>
      <c r="T971" s="317"/>
      <c r="U971" s="317"/>
    </row>
    <row r="972" ht="20.25" customHeight="1">
      <c r="A972" s="216" t="str">
        <f>IFERROR(__xludf.DUMMYFUNCTION("ARRAYFORMULA(IFERROR(VLOOKUP(REGEXEXTRACT(B972, ""-(\w+)-""), {Data_Validation!$F$16:$F$29, Data_Validation!$E$16:$E$29}, 2, FALSE), """"))
"),"")</f>
        <v/>
      </c>
      <c r="K972" s="318"/>
      <c r="L972" s="311"/>
      <c r="M972" s="312"/>
      <c r="N972" s="313"/>
      <c r="O972" s="314"/>
      <c r="P972" s="314"/>
      <c r="Q972" s="315"/>
      <c r="R972" s="316"/>
      <c r="S972" s="317"/>
      <c r="T972" s="317"/>
      <c r="U972" s="317"/>
    </row>
    <row r="973" ht="20.25" customHeight="1">
      <c r="A973" s="216" t="str">
        <f>IFERROR(__xludf.DUMMYFUNCTION("ARRAYFORMULA(IFERROR(VLOOKUP(REGEXEXTRACT(B973, ""-(\w+)-""), {Data_Validation!$F$16:$F$29, Data_Validation!$E$16:$E$29}, 2, FALSE), """"))
"),"")</f>
        <v/>
      </c>
      <c r="K973" s="318"/>
      <c r="L973" s="311"/>
      <c r="M973" s="312"/>
      <c r="N973" s="313"/>
      <c r="O973" s="314"/>
      <c r="P973" s="314"/>
      <c r="Q973" s="315"/>
      <c r="R973" s="316"/>
      <c r="S973" s="317"/>
      <c r="T973" s="317"/>
      <c r="U973" s="317"/>
    </row>
    <row r="974" ht="20.25" customHeight="1">
      <c r="A974" s="216" t="str">
        <f>IFERROR(__xludf.DUMMYFUNCTION("ARRAYFORMULA(IFERROR(VLOOKUP(REGEXEXTRACT(B974, ""-(\w+)-""), {Data_Validation!$F$16:$F$29, Data_Validation!$E$16:$E$29}, 2, FALSE), """"))
"),"")</f>
        <v/>
      </c>
      <c r="K974" s="318"/>
      <c r="L974" s="311"/>
      <c r="M974" s="312"/>
      <c r="N974" s="313"/>
      <c r="O974" s="314"/>
      <c r="P974" s="314"/>
      <c r="Q974" s="315"/>
      <c r="R974" s="316"/>
      <c r="S974" s="317"/>
      <c r="T974" s="317"/>
      <c r="U974" s="317"/>
    </row>
    <row r="975" ht="20.25" customHeight="1">
      <c r="A975" s="216" t="str">
        <f>IFERROR(__xludf.DUMMYFUNCTION("ARRAYFORMULA(IFERROR(VLOOKUP(REGEXEXTRACT(B975, ""-(\w+)-""), {Data_Validation!$F$16:$F$29, Data_Validation!$E$16:$E$29}, 2, FALSE), """"))
"),"")</f>
        <v/>
      </c>
      <c r="K975" s="318"/>
      <c r="L975" s="311"/>
      <c r="M975" s="312"/>
      <c r="N975" s="313"/>
      <c r="O975" s="314"/>
      <c r="P975" s="314"/>
      <c r="Q975" s="315"/>
      <c r="R975" s="316"/>
      <c r="S975" s="317"/>
      <c r="T975" s="317"/>
      <c r="U975" s="317"/>
    </row>
    <row r="976" ht="20.25" customHeight="1">
      <c r="A976" s="216" t="str">
        <f>IFERROR(__xludf.DUMMYFUNCTION("ARRAYFORMULA(IFERROR(VLOOKUP(REGEXEXTRACT(B976, ""-(\w+)-""), {Data_Validation!$F$16:$F$29, Data_Validation!$E$16:$E$29}, 2, FALSE), """"))
"),"")</f>
        <v/>
      </c>
      <c r="K976" s="318"/>
      <c r="L976" s="311"/>
      <c r="M976" s="312"/>
      <c r="N976" s="313"/>
      <c r="O976" s="314"/>
      <c r="P976" s="314"/>
      <c r="Q976" s="315"/>
      <c r="R976" s="316"/>
      <c r="S976" s="317"/>
      <c r="T976" s="317"/>
      <c r="U976" s="317"/>
    </row>
    <row r="977" ht="20.25" customHeight="1">
      <c r="A977" s="216" t="str">
        <f>IFERROR(__xludf.DUMMYFUNCTION("ARRAYFORMULA(IFERROR(VLOOKUP(REGEXEXTRACT(B977, ""-(\w+)-""), {Data_Validation!$F$16:$F$29, Data_Validation!$E$16:$E$29}, 2, FALSE), """"))
"),"")</f>
        <v/>
      </c>
      <c r="K977" s="318"/>
      <c r="L977" s="311"/>
      <c r="M977" s="312"/>
      <c r="N977" s="313"/>
      <c r="O977" s="314"/>
      <c r="P977" s="314"/>
      <c r="Q977" s="315"/>
      <c r="R977" s="316"/>
      <c r="S977" s="317"/>
      <c r="T977" s="317"/>
      <c r="U977" s="317"/>
    </row>
    <row r="978" ht="20.25" customHeight="1">
      <c r="A978" s="216" t="str">
        <f>IFERROR(__xludf.DUMMYFUNCTION("ARRAYFORMULA(IFERROR(VLOOKUP(REGEXEXTRACT(B978, ""-(\w+)-""), {Data_Validation!$F$16:$F$29, Data_Validation!$E$16:$E$29}, 2, FALSE), """"))
"),"")</f>
        <v/>
      </c>
      <c r="K978" s="318"/>
      <c r="L978" s="311"/>
      <c r="M978" s="312"/>
      <c r="N978" s="313"/>
      <c r="O978" s="314"/>
      <c r="P978" s="314"/>
      <c r="Q978" s="315"/>
      <c r="R978" s="316"/>
      <c r="S978" s="317"/>
      <c r="T978" s="317"/>
      <c r="U978" s="317"/>
    </row>
    <row r="979" ht="20.25" customHeight="1">
      <c r="A979" s="216" t="str">
        <f>IFERROR(__xludf.DUMMYFUNCTION("ARRAYFORMULA(IFERROR(VLOOKUP(REGEXEXTRACT(B979, ""-(\w+)-""), {Data_Validation!$F$16:$F$29, Data_Validation!$E$16:$E$29}, 2, FALSE), """"))
"),"")</f>
        <v/>
      </c>
      <c r="K979" s="318"/>
      <c r="L979" s="311"/>
      <c r="M979" s="312"/>
      <c r="N979" s="313"/>
      <c r="O979" s="314"/>
      <c r="P979" s="314"/>
      <c r="Q979" s="315"/>
      <c r="R979" s="316"/>
      <c r="S979" s="317"/>
      <c r="T979" s="317"/>
      <c r="U979" s="317"/>
    </row>
    <row r="980" ht="20.25" customHeight="1">
      <c r="A980" s="216" t="str">
        <f>IFERROR(__xludf.DUMMYFUNCTION("ARRAYFORMULA(IFERROR(VLOOKUP(REGEXEXTRACT(B980, ""-(\w+)-""), {Data_Validation!$F$16:$F$29, Data_Validation!$E$16:$E$29}, 2, FALSE), """"))
"),"")</f>
        <v/>
      </c>
      <c r="K980" s="318"/>
      <c r="L980" s="311"/>
      <c r="M980" s="312"/>
      <c r="N980" s="313"/>
      <c r="O980" s="314"/>
      <c r="P980" s="314"/>
      <c r="Q980" s="315"/>
      <c r="R980" s="316"/>
      <c r="S980" s="317"/>
      <c r="T980" s="317"/>
      <c r="U980" s="317"/>
    </row>
    <row r="981" ht="20.25" customHeight="1">
      <c r="A981" s="216" t="str">
        <f>IFERROR(__xludf.DUMMYFUNCTION("ARRAYFORMULA(IFERROR(VLOOKUP(REGEXEXTRACT(B981, ""-(\w+)-""), {Data_Validation!$F$16:$F$29, Data_Validation!$E$16:$E$29}, 2, FALSE), """"))
"),"")</f>
        <v/>
      </c>
      <c r="K981" s="318"/>
      <c r="L981" s="311"/>
      <c r="M981" s="312"/>
      <c r="N981" s="313"/>
      <c r="O981" s="314"/>
      <c r="P981" s="314"/>
      <c r="Q981" s="315"/>
      <c r="R981" s="316"/>
      <c r="S981" s="317"/>
      <c r="T981" s="317"/>
      <c r="U981" s="317"/>
    </row>
    <row r="982" ht="20.25" customHeight="1">
      <c r="A982" s="216" t="str">
        <f>IFERROR(__xludf.DUMMYFUNCTION("ARRAYFORMULA(IFERROR(VLOOKUP(REGEXEXTRACT(B982, ""-(\w+)-""), {Data_Validation!$F$16:$F$29, Data_Validation!$E$16:$E$29}, 2, FALSE), """"))
"),"")</f>
        <v/>
      </c>
      <c r="K982" s="318"/>
      <c r="L982" s="311"/>
      <c r="M982" s="312"/>
      <c r="N982" s="313"/>
      <c r="O982" s="314"/>
      <c r="P982" s="314"/>
      <c r="Q982" s="315"/>
      <c r="R982" s="316"/>
      <c r="S982" s="317"/>
      <c r="T982" s="317"/>
      <c r="U982" s="317"/>
    </row>
    <row r="983" ht="20.25" customHeight="1">
      <c r="A983" s="216" t="str">
        <f>IFERROR(__xludf.DUMMYFUNCTION("ARRAYFORMULA(IFERROR(VLOOKUP(REGEXEXTRACT(B983, ""-(\w+)-""), {Data_Validation!$F$16:$F$29, Data_Validation!$E$16:$E$29}, 2, FALSE), """"))
"),"")</f>
        <v/>
      </c>
      <c r="K983" s="318"/>
      <c r="L983" s="311"/>
      <c r="M983" s="312"/>
      <c r="N983" s="313"/>
      <c r="O983" s="314"/>
      <c r="P983" s="314"/>
      <c r="Q983" s="315"/>
      <c r="R983" s="316"/>
      <c r="S983" s="317"/>
      <c r="T983" s="317"/>
      <c r="U983" s="317"/>
    </row>
    <row r="984" ht="20.25" customHeight="1">
      <c r="A984" s="216" t="str">
        <f>IFERROR(__xludf.DUMMYFUNCTION("ARRAYFORMULA(IFERROR(VLOOKUP(REGEXEXTRACT(B984, ""-(\w+)-""), {Data_Validation!$F$16:$F$29, Data_Validation!$E$16:$E$29}, 2, FALSE), """"))
"),"")</f>
        <v/>
      </c>
      <c r="K984" s="318"/>
      <c r="L984" s="311"/>
      <c r="M984" s="312"/>
      <c r="N984" s="313"/>
      <c r="O984" s="314"/>
      <c r="P984" s="314"/>
      <c r="Q984" s="315"/>
      <c r="R984" s="316"/>
      <c r="S984" s="317"/>
      <c r="T984" s="317"/>
      <c r="U984" s="317"/>
    </row>
    <row r="985" ht="20.25" customHeight="1">
      <c r="A985" s="216" t="str">
        <f>IFERROR(__xludf.DUMMYFUNCTION("ARRAYFORMULA(IFERROR(VLOOKUP(REGEXEXTRACT(B985, ""-(\w+)-""), {Data_Validation!$F$16:$F$29, Data_Validation!$E$16:$E$29}, 2, FALSE), """"))
"),"")</f>
        <v/>
      </c>
      <c r="K985" s="318"/>
      <c r="L985" s="311"/>
      <c r="M985" s="312"/>
      <c r="N985" s="313"/>
      <c r="O985" s="314"/>
      <c r="P985" s="314"/>
      <c r="Q985" s="315"/>
      <c r="R985" s="316"/>
      <c r="S985" s="317"/>
      <c r="T985" s="317"/>
      <c r="U985" s="317"/>
    </row>
    <row r="986" ht="20.25" customHeight="1">
      <c r="A986" s="216" t="str">
        <f>IFERROR(__xludf.DUMMYFUNCTION("ARRAYFORMULA(IFERROR(VLOOKUP(REGEXEXTRACT(B986, ""-(\w+)-""), {Data_Validation!$F$16:$F$29, Data_Validation!$E$16:$E$29}, 2, FALSE), """"))
"),"")</f>
        <v/>
      </c>
      <c r="K986" s="318"/>
      <c r="L986" s="311"/>
      <c r="M986" s="312"/>
      <c r="N986" s="313"/>
      <c r="O986" s="314"/>
      <c r="P986" s="314"/>
      <c r="Q986" s="315"/>
      <c r="R986" s="316"/>
      <c r="S986" s="317"/>
      <c r="T986" s="317"/>
      <c r="U986" s="317"/>
    </row>
    <row r="987" ht="20.25" customHeight="1">
      <c r="A987" s="216" t="str">
        <f>IFERROR(__xludf.DUMMYFUNCTION("ARRAYFORMULA(IFERROR(VLOOKUP(REGEXEXTRACT(B987, ""-(\w+)-""), {Data_Validation!$F$16:$F$29, Data_Validation!$E$16:$E$29}, 2, FALSE), """"))
"),"")</f>
        <v/>
      </c>
      <c r="K987" s="318"/>
      <c r="L987" s="311"/>
      <c r="M987" s="312"/>
      <c r="N987" s="313"/>
      <c r="O987" s="314"/>
      <c r="P987" s="314"/>
      <c r="Q987" s="315"/>
      <c r="R987" s="316"/>
      <c r="S987" s="317"/>
      <c r="T987" s="317"/>
      <c r="U987" s="317"/>
    </row>
    <row r="988" ht="20.25" customHeight="1">
      <c r="A988" s="216" t="str">
        <f>IFERROR(__xludf.DUMMYFUNCTION("ARRAYFORMULA(IFERROR(VLOOKUP(REGEXEXTRACT(B988, ""-(\w+)-""), {Data_Validation!$F$16:$F$29, Data_Validation!$E$16:$E$29}, 2, FALSE), """"))
"),"")</f>
        <v/>
      </c>
      <c r="K988" s="318"/>
      <c r="L988" s="311"/>
      <c r="M988" s="312"/>
      <c r="N988" s="313"/>
      <c r="O988" s="314"/>
      <c r="P988" s="314"/>
      <c r="Q988" s="315"/>
      <c r="R988" s="316"/>
      <c r="S988" s="317"/>
      <c r="T988" s="317"/>
      <c r="U988" s="317"/>
    </row>
    <row r="989" ht="20.25" customHeight="1">
      <c r="A989" s="216" t="str">
        <f>IFERROR(__xludf.DUMMYFUNCTION("ARRAYFORMULA(IFERROR(VLOOKUP(REGEXEXTRACT(B989, ""-(\w+)-""), {Data_Validation!$F$16:$F$29, Data_Validation!$E$16:$E$29}, 2, FALSE), """"))
"),"")</f>
        <v/>
      </c>
      <c r="K989" s="318"/>
      <c r="L989" s="311"/>
      <c r="M989" s="312"/>
      <c r="N989" s="313"/>
      <c r="O989" s="314"/>
      <c r="P989" s="314"/>
      <c r="Q989" s="315"/>
      <c r="R989" s="316"/>
      <c r="S989" s="317"/>
      <c r="T989" s="317"/>
      <c r="U989" s="317"/>
    </row>
    <row r="990" ht="20.25" customHeight="1">
      <c r="A990" s="216" t="str">
        <f>IFERROR(__xludf.DUMMYFUNCTION("ARRAYFORMULA(IFERROR(VLOOKUP(REGEXEXTRACT(B990, ""-(\w+)-""), {Data_Validation!$F$16:$F$29, Data_Validation!$E$16:$E$29}, 2, FALSE), """"))
"),"")</f>
        <v/>
      </c>
      <c r="K990" s="318"/>
      <c r="L990" s="311"/>
      <c r="M990" s="312"/>
      <c r="N990" s="313"/>
      <c r="O990" s="314"/>
      <c r="P990" s="314"/>
      <c r="Q990" s="315"/>
      <c r="R990" s="316"/>
      <c r="S990" s="317"/>
      <c r="T990" s="317"/>
      <c r="U990" s="317"/>
    </row>
    <row r="991" ht="20.25" customHeight="1">
      <c r="A991" s="216" t="str">
        <f>IFERROR(__xludf.DUMMYFUNCTION("ARRAYFORMULA(IFERROR(VLOOKUP(REGEXEXTRACT(B991, ""-(\w+)-""), {Data_Validation!$F$16:$F$29, Data_Validation!$E$16:$E$29}, 2, FALSE), """"))
"),"")</f>
        <v/>
      </c>
      <c r="K991" s="318"/>
      <c r="L991" s="311"/>
      <c r="M991" s="312"/>
      <c r="N991" s="313"/>
      <c r="O991" s="314"/>
      <c r="P991" s="314"/>
      <c r="Q991" s="315"/>
      <c r="R991" s="316"/>
      <c r="S991" s="317"/>
      <c r="T991" s="317"/>
      <c r="U991" s="317"/>
    </row>
    <row r="992" ht="20.25" customHeight="1">
      <c r="A992" s="216" t="str">
        <f>IFERROR(__xludf.DUMMYFUNCTION("ARRAYFORMULA(IFERROR(VLOOKUP(REGEXEXTRACT(B992, ""-(\w+)-""), {Data_Validation!$F$16:$F$29, Data_Validation!$E$16:$E$29}, 2, FALSE), """"))
"),"")</f>
        <v/>
      </c>
      <c r="K992" s="318"/>
      <c r="L992" s="311"/>
      <c r="M992" s="312"/>
      <c r="N992" s="313"/>
      <c r="O992" s="314"/>
      <c r="P992" s="314"/>
      <c r="Q992" s="315"/>
      <c r="R992" s="316"/>
      <c r="S992" s="317"/>
      <c r="T992" s="317"/>
      <c r="U992" s="317"/>
    </row>
    <row r="993" ht="20.25" customHeight="1">
      <c r="A993" s="216" t="str">
        <f>IFERROR(__xludf.DUMMYFUNCTION("ARRAYFORMULA(IFERROR(VLOOKUP(REGEXEXTRACT(B993, ""-(\w+)-""), {Data_Validation!$F$16:$F$29, Data_Validation!$E$16:$E$29}, 2, FALSE), """"))
"),"")</f>
        <v/>
      </c>
      <c r="K993" s="318"/>
      <c r="L993" s="311"/>
      <c r="M993" s="312"/>
      <c r="N993" s="313"/>
      <c r="O993" s="314"/>
      <c r="P993" s="314"/>
      <c r="Q993" s="315"/>
      <c r="R993" s="316"/>
      <c r="S993" s="317"/>
      <c r="T993" s="317"/>
      <c r="U993" s="317"/>
    </row>
    <row r="994" ht="20.25" customHeight="1">
      <c r="A994" s="216" t="str">
        <f>IFERROR(__xludf.DUMMYFUNCTION("ARRAYFORMULA(IFERROR(VLOOKUP(REGEXEXTRACT(B994, ""-(\w+)-""), {Data_Validation!$F$16:$F$29, Data_Validation!$E$16:$E$29}, 2, FALSE), """"))
"),"")</f>
        <v/>
      </c>
      <c r="K994" s="318"/>
      <c r="L994" s="311"/>
      <c r="M994" s="312"/>
      <c r="N994" s="313"/>
      <c r="O994" s="314"/>
      <c r="P994" s="314"/>
      <c r="Q994" s="315"/>
      <c r="R994" s="316"/>
      <c r="S994" s="317"/>
      <c r="T994" s="317"/>
      <c r="U994" s="317"/>
    </row>
    <row r="995" ht="20.25" customHeight="1">
      <c r="A995" s="216" t="str">
        <f>IFERROR(__xludf.DUMMYFUNCTION("ARRAYFORMULA(IFERROR(VLOOKUP(REGEXEXTRACT(B995, ""-(\w+)-""), {Data_Validation!$F$16:$F$29, Data_Validation!$E$16:$E$29}, 2, FALSE), """"))
"),"")</f>
        <v/>
      </c>
      <c r="K995" s="318"/>
      <c r="L995" s="311"/>
      <c r="M995" s="312"/>
      <c r="N995" s="313"/>
      <c r="O995" s="314"/>
      <c r="P995" s="314"/>
      <c r="Q995" s="315"/>
      <c r="R995" s="316"/>
      <c r="S995" s="317"/>
      <c r="T995" s="317"/>
      <c r="U995" s="317"/>
    </row>
    <row r="996" ht="20.25" customHeight="1">
      <c r="A996" s="216" t="str">
        <f>IFERROR(__xludf.DUMMYFUNCTION("ARRAYFORMULA(IFERROR(VLOOKUP(REGEXEXTRACT(B996, ""-(\w+)-""), {Data_Validation!$F$16:$F$29, Data_Validation!$E$16:$E$29}, 2, FALSE), """"))
"),"")</f>
        <v/>
      </c>
      <c r="K996" s="318"/>
      <c r="L996" s="311"/>
      <c r="M996" s="312"/>
      <c r="N996" s="313"/>
      <c r="O996" s="314"/>
      <c r="P996" s="314"/>
      <c r="Q996" s="315"/>
      <c r="R996" s="316"/>
      <c r="S996" s="317"/>
      <c r="T996" s="317"/>
      <c r="U996" s="317"/>
    </row>
    <row r="997" ht="20.25" customHeight="1">
      <c r="A997" s="216" t="str">
        <f>IFERROR(__xludf.DUMMYFUNCTION("ARRAYFORMULA(IFERROR(VLOOKUP(REGEXEXTRACT(B997, ""-(\w+)-""), {Data_Validation!$F$16:$F$29, Data_Validation!$E$16:$E$29}, 2, FALSE), """"))
"),"")</f>
        <v/>
      </c>
      <c r="K997" s="318"/>
      <c r="L997" s="311"/>
      <c r="M997" s="312"/>
      <c r="N997" s="313"/>
      <c r="O997" s="314"/>
      <c r="P997" s="314"/>
      <c r="Q997" s="315"/>
      <c r="R997" s="316"/>
      <c r="S997" s="317"/>
      <c r="T997" s="317"/>
      <c r="U997" s="317"/>
    </row>
    <row r="998" ht="20.25" customHeight="1">
      <c r="A998" s="216" t="str">
        <f>IFERROR(__xludf.DUMMYFUNCTION("ARRAYFORMULA(IFERROR(VLOOKUP(REGEXEXTRACT(B998, ""-(\w+)-""), {Data_Validation!$F$16:$F$29, Data_Validation!$E$16:$E$29}, 2, FALSE), """"))
"),"")</f>
        <v/>
      </c>
      <c r="K998" s="318"/>
      <c r="L998" s="311"/>
      <c r="M998" s="312"/>
      <c r="N998" s="313"/>
      <c r="O998" s="314"/>
      <c r="P998" s="314"/>
      <c r="Q998" s="315"/>
      <c r="R998" s="316"/>
      <c r="S998" s="317"/>
      <c r="T998" s="317"/>
      <c r="U998" s="317"/>
    </row>
    <row r="999" ht="20.25" customHeight="1">
      <c r="A999" s="216" t="str">
        <f>IFERROR(__xludf.DUMMYFUNCTION("ARRAYFORMULA(IFERROR(VLOOKUP(REGEXEXTRACT(B999, ""-(\w+)-""), {Data_Validation!$F$16:$F$29, Data_Validation!$E$16:$E$29}, 2, FALSE), """"))
"),"")</f>
        <v/>
      </c>
      <c r="K999" s="318"/>
      <c r="L999" s="311"/>
      <c r="M999" s="312"/>
      <c r="N999" s="313"/>
      <c r="O999" s="314"/>
      <c r="P999" s="314"/>
      <c r="Q999" s="315"/>
      <c r="R999" s="316"/>
      <c r="S999" s="317"/>
      <c r="T999" s="317"/>
      <c r="U999" s="317"/>
    </row>
    <row r="1000" ht="20.25" customHeight="1">
      <c r="A1000" s="216" t="str">
        <f>IFERROR(__xludf.DUMMYFUNCTION("ARRAYFORMULA(IFERROR(VLOOKUP(REGEXEXTRACT(B1000, ""-(\w+)-""), {Data_Validation!$F$16:$F$29, Data_Validation!$E$16:$E$29}, 2, FALSE), """"))
"),"")</f>
        <v/>
      </c>
      <c r="K1000" s="318"/>
      <c r="L1000" s="311"/>
      <c r="M1000" s="312"/>
      <c r="N1000" s="313"/>
      <c r="O1000" s="314"/>
      <c r="P1000" s="314"/>
      <c r="Q1000" s="315"/>
      <c r="R1000" s="316"/>
      <c r="S1000" s="317"/>
      <c r="T1000" s="317"/>
      <c r="U1000" s="317"/>
    </row>
    <row r="1001" ht="20.25" customHeight="1">
      <c r="A1001" s="216" t="str">
        <f>IFERROR(__xludf.DUMMYFUNCTION("ARRAYFORMULA(IFERROR(VLOOKUP(REGEXEXTRACT(B1001, ""-(\w+)-""), {Data_Validation!$F$16:$F$29, Data_Validation!$E$16:$E$29}, 2, FALSE), """"))
"),"")</f>
        <v/>
      </c>
      <c r="K1001" s="318"/>
      <c r="L1001" s="311"/>
      <c r="M1001" s="312"/>
      <c r="N1001" s="313"/>
      <c r="O1001" s="314"/>
      <c r="P1001" s="314"/>
      <c r="Q1001" s="315"/>
      <c r="R1001" s="316"/>
      <c r="S1001" s="317"/>
      <c r="T1001" s="317"/>
      <c r="U1001" s="317"/>
    </row>
    <row r="1002" ht="20.25" customHeight="1">
      <c r="A1002" s="216" t="str">
        <f>IFERROR(__xludf.DUMMYFUNCTION("ARRAYFORMULA(IFERROR(VLOOKUP(REGEXEXTRACT(B1002, ""-(\w+)-""), {Data_Validation!$F$16:$F$29, Data_Validation!$E$16:$E$29}, 2, FALSE), """"))
"),"")</f>
        <v/>
      </c>
      <c r="K1002" s="318"/>
      <c r="L1002" s="311"/>
      <c r="M1002" s="312"/>
      <c r="N1002" s="313"/>
      <c r="O1002" s="314"/>
      <c r="P1002" s="314"/>
      <c r="Q1002" s="315"/>
      <c r="R1002" s="316"/>
      <c r="S1002" s="317"/>
      <c r="T1002" s="317"/>
      <c r="U1002" s="317"/>
    </row>
    <row r="1003" ht="20.25" customHeight="1">
      <c r="A1003" s="216" t="str">
        <f>IFERROR(__xludf.DUMMYFUNCTION("ARRAYFORMULA(IFERROR(VLOOKUP(REGEXEXTRACT(B1003, ""-(\w+)-""), {Data_Validation!$F$16:$F$29, Data_Validation!$E$16:$E$29}, 2, FALSE), """"))
"),"")</f>
        <v/>
      </c>
      <c r="K1003" s="318"/>
      <c r="L1003" s="311"/>
      <c r="M1003" s="312"/>
      <c r="N1003" s="313"/>
      <c r="O1003" s="314"/>
      <c r="P1003" s="314"/>
      <c r="Q1003" s="315"/>
      <c r="R1003" s="316"/>
      <c r="S1003" s="317"/>
      <c r="T1003" s="317"/>
      <c r="U1003" s="317"/>
    </row>
    <row r="1004" ht="20.25" customHeight="1">
      <c r="A1004" s="216" t="str">
        <f>IFERROR(__xludf.DUMMYFUNCTION("ARRAYFORMULA(IFERROR(VLOOKUP(REGEXEXTRACT(B1004, ""-(\w+)-""), {Data_Validation!$F$16:$F$29, Data_Validation!$E$16:$E$29}, 2, FALSE), """"))
"),"")</f>
        <v/>
      </c>
      <c r="K1004" s="318"/>
      <c r="L1004" s="311"/>
      <c r="M1004" s="312"/>
      <c r="N1004" s="313"/>
      <c r="O1004" s="314"/>
      <c r="P1004" s="314"/>
      <c r="Q1004" s="315"/>
      <c r="R1004" s="316"/>
      <c r="S1004" s="317"/>
      <c r="T1004" s="317"/>
      <c r="U1004" s="317"/>
    </row>
    <row r="1005" ht="20.25" customHeight="1">
      <c r="A1005" s="216" t="str">
        <f>IFERROR(__xludf.DUMMYFUNCTION("ARRAYFORMULA(IFERROR(VLOOKUP(REGEXEXTRACT(B1005, ""-(\w+)-""), {Data_Validation!$F$16:$F$29, Data_Validation!$E$16:$E$29}, 2, FALSE), """"))
"),"")</f>
        <v/>
      </c>
      <c r="K1005" s="318"/>
      <c r="L1005" s="311"/>
      <c r="M1005" s="312"/>
      <c r="N1005" s="313"/>
      <c r="O1005" s="314"/>
      <c r="P1005" s="314"/>
      <c r="Q1005" s="315"/>
      <c r="R1005" s="316"/>
      <c r="S1005" s="317"/>
      <c r="T1005" s="317"/>
      <c r="U1005" s="317"/>
    </row>
    <row r="1006" ht="20.25" customHeight="1">
      <c r="A1006" s="216" t="str">
        <f>IFERROR(__xludf.DUMMYFUNCTION("ARRAYFORMULA(IFERROR(VLOOKUP(REGEXEXTRACT(B1006, ""-(\w+)-""), {Data_Validation!$F$16:$F$29, Data_Validation!$E$16:$E$29}, 2, FALSE), """"))
"),"")</f>
        <v/>
      </c>
      <c r="K1006" s="318"/>
      <c r="L1006" s="311"/>
      <c r="M1006" s="312"/>
      <c r="N1006" s="313"/>
      <c r="O1006" s="314"/>
      <c r="P1006" s="314"/>
      <c r="Q1006" s="315"/>
      <c r="R1006" s="316"/>
      <c r="S1006" s="317"/>
      <c r="T1006" s="317"/>
      <c r="U1006" s="317"/>
    </row>
    <row r="1007" ht="20.25" customHeight="1">
      <c r="A1007" s="216" t="str">
        <f>IFERROR(__xludf.DUMMYFUNCTION("ARRAYFORMULA(IFERROR(VLOOKUP(REGEXEXTRACT(B1007, ""-(\w+)-""), {Data_Validation!$F$16:$F$29, Data_Validation!$E$16:$E$29}, 2, FALSE), """"))
"),"")</f>
        <v/>
      </c>
      <c r="K1007" s="318"/>
      <c r="L1007" s="311"/>
      <c r="M1007" s="312"/>
      <c r="N1007" s="313"/>
      <c r="O1007" s="314"/>
      <c r="P1007" s="314"/>
      <c r="Q1007" s="315"/>
      <c r="R1007" s="316"/>
      <c r="S1007" s="317"/>
      <c r="T1007" s="317"/>
      <c r="U1007" s="317"/>
    </row>
    <row r="1008" ht="20.25" customHeight="1">
      <c r="A1008" s="216" t="str">
        <f>IFERROR(__xludf.DUMMYFUNCTION("ARRAYFORMULA(IFERROR(VLOOKUP(REGEXEXTRACT(B1008, ""-(\w+)-""), {Data_Validation!$F$16:$F$29, Data_Validation!$E$16:$E$29}, 2, FALSE), """"))
"),"")</f>
        <v/>
      </c>
      <c r="K1008" s="318"/>
      <c r="L1008" s="311"/>
      <c r="M1008" s="312"/>
      <c r="N1008" s="313"/>
      <c r="O1008" s="314"/>
      <c r="P1008" s="314"/>
      <c r="Q1008" s="315"/>
      <c r="R1008" s="316"/>
      <c r="S1008" s="317"/>
      <c r="T1008" s="317"/>
      <c r="U1008" s="317"/>
    </row>
    <row r="1009" ht="20.25" customHeight="1">
      <c r="A1009" s="216" t="str">
        <f>IFERROR(__xludf.DUMMYFUNCTION("ARRAYFORMULA(IFERROR(VLOOKUP(REGEXEXTRACT(B1009, ""-(\w+)-""), {Data_Validation!$F$16:$F$29, Data_Validation!$E$16:$E$29}, 2, FALSE), """"))
"),"")</f>
        <v/>
      </c>
      <c r="K1009" s="318"/>
      <c r="L1009" s="311"/>
      <c r="M1009" s="312"/>
      <c r="N1009" s="313"/>
      <c r="O1009" s="314"/>
      <c r="P1009" s="314"/>
      <c r="Q1009" s="315"/>
      <c r="R1009" s="316"/>
      <c r="S1009" s="317"/>
      <c r="T1009" s="317"/>
      <c r="U1009" s="317"/>
    </row>
    <row r="1010" ht="20.25" customHeight="1">
      <c r="A1010" s="216" t="str">
        <f>IFERROR(__xludf.DUMMYFUNCTION("ARRAYFORMULA(IFERROR(VLOOKUP(REGEXEXTRACT(B1010, ""-(\w+)-""), {Data_Validation!$F$16:$F$29, Data_Validation!$E$16:$E$29}, 2, FALSE), """"))
"),"")</f>
        <v/>
      </c>
      <c r="K1010" s="318"/>
      <c r="L1010" s="311"/>
      <c r="M1010" s="312"/>
      <c r="N1010" s="313"/>
      <c r="O1010" s="314"/>
      <c r="P1010" s="314"/>
      <c r="Q1010" s="315"/>
      <c r="R1010" s="316"/>
      <c r="S1010" s="317"/>
      <c r="T1010" s="317"/>
      <c r="U1010" s="317"/>
    </row>
    <row r="1011" ht="20.25" customHeight="1">
      <c r="A1011" s="216" t="str">
        <f>IFERROR(__xludf.DUMMYFUNCTION("ARRAYFORMULA(IFERROR(VLOOKUP(REGEXEXTRACT(B1011, ""-(\w+)-""), {Data_Validation!$F$16:$F$29, Data_Validation!$E$16:$E$29}, 2, FALSE), """"))
"),"")</f>
        <v/>
      </c>
      <c r="K1011" s="318"/>
      <c r="L1011" s="311"/>
      <c r="M1011" s="312"/>
      <c r="N1011" s="313"/>
      <c r="O1011" s="314"/>
      <c r="P1011" s="314"/>
      <c r="Q1011" s="315"/>
      <c r="R1011" s="316"/>
      <c r="S1011" s="317"/>
      <c r="T1011" s="317"/>
      <c r="U1011" s="317"/>
    </row>
    <row r="1012" ht="20.25" customHeight="1">
      <c r="A1012" s="216" t="str">
        <f>IFERROR(__xludf.DUMMYFUNCTION("ARRAYFORMULA(IFERROR(VLOOKUP(REGEXEXTRACT(B1012, ""-(\w+)-""), {Data_Validation!$F$16:$F$29, Data_Validation!$E$16:$E$29}, 2, FALSE), """"))
"),"")</f>
        <v/>
      </c>
      <c r="K1012" s="318"/>
      <c r="L1012" s="311"/>
      <c r="M1012" s="312"/>
      <c r="N1012" s="313"/>
      <c r="O1012" s="314"/>
      <c r="P1012" s="314"/>
      <c r="Q1012" s="315"/>
      <c r="R1012" s="316"/>
      <c r="S1012" s="317"/>
      <c r="T1012" s="317"/>
      <c r="U1012" s="317"/>
    </row>
    <row r="1013" ht="20.25" customHeight="1">
      <c r="A1013" s="216" t="str">
        <f>IFERROR(__xludf.DUMMYFUNCTION("ARRAYFORMULA(IFERROR(VLOOKUP(REGEXEXTRACT(B1013, ""-(\w+)-""), {Data_Validation!$F$16:$F$29, Data_Validation!$E$16:$E$29}, 2, FALSE), """"))
"),"")</f>
        <v/>
      </c>
      <c r="K1013" s="318"/>
      <c r="L1013" s="311"/>
      <c r="M1013" s="312"/>
      <c r="N1013" s="313"/>
      <c r="O1013" s="314"/>
      <c r="P1013" s="314"/>
      <c r="Q1013" s="315"/>
      <c r="R1013" s="316"/>
      <c r="S1013" s="317"/>
      <c r="T1013" s="317"/>
      <c r="U1013" s="317"/>
    </row>
    <row r="1014" ht="20.25" customHeight="1">
      <c r="A1014" s="216" t="str">
        <f>IFERROR(__xludf.DUMMYFUNCTION("ARRAYFORMULA(IFERROR(VLOOKUP(REGEXEXTRACT(B1014, ""-(\w+)-""), {Data_Validation!$F$16:$F$29, Data_Validation!$E$16:$E$29}, 2, FALSE), """"))
"),"")</f>
        <v/>
      </c>
      <c r="K1014" s="318"/>
      <c r="L1014" s="311"/>
      <c r="M1014" s="312"/>
      <c r="N1014" s="313"/>
      <c r="O1014" s="314"/>
      <c r="P1014" s="314"/>
      <c r="Q1014" s="315"/>
      <c r="R1014" s="316"/>
      <c r="S1014" s="317"/>
      <c r="T1014" s="317"/>
      <c r="U1014" s="317"/>
    </row>
    <row r="1015" ht="20.25" customHeight="1">
      <c r="A1015" s="216" t="str">
        <f>IFERROR(__xludf.DUMMYFUNCTION("ARRAYFORMULA(IFERROR(VLOOKUP(REGEXEXTRACT(B1015, ""-(\w+)-""), {Data_Validation!$F$16:$F$29, Data_Validation!$E$16:$E$29}, 2, FALSE), """"))
"),"")</f>
        <v/>
      </c>
      <c r="K1015" s="318"/>
      <c r="L1015" s="311"/>
      <c r="M1015" s="312"/>
      <c r="N1015" s="313"/>
      <c r="O1015" s="314"/>
      <c r="P1015" s="314"/>
      <c r="Q1015" s="315"/>
      <c r="R1015" s="316"/>
      <c r="S1015" s="317"/>
      <c r="T1015" s="317"/>
      <c r="U1015" s="317"/>
    </row>
    <row r="1016" ht="20.25" customHeight="1">
      <c r="A1016" s="216" t="str">
        <f>IFERROR(__xludf.DUMMYFUNCTION("ARRAYFORMULA(IFERROR(VLOOKUP(REGEXEXTRACT(B1016, ""-(\w+)-""), {Data_Validation!$F$16:$F$29, Data_Validation!$E$16:$E$29}, 2, FALSE), """"))
"),"")</f>
        <v/>
      </c>
      <c r="K1016" s="318"/>
      <c r="L1016" s="311"/>
      <c r="M1016" s="312"/>
      <c r="N1016" s="313"/>
      <c r="O1016" s="314"/>
      <c r="P1016" s="314"/>
      <c r="Q1016" s="315"/>
      <c r="R1016" s="316"/>
      <c r="S1016" s="317"/>
      <c r="T1016" s="317"/>
      <c r="U1016" s="317"/>
    </row>
    <row r="1017" ht="20.25" customHeight="1">
      <c r="A1017" s="216" t="str">
        <f>IFERROR(__xludf.DUMMYFUNCTION("ARRAYFORMULA(IFERROR(VLOOKUP(REGEXEXTRACT(B1017, ""-(\w+)-""), {Data_Validation!$F$16:$F$29, Data_Validation!$E$16:$E$29}, 2, FALSE), """"))
"),"")</f>
        <v/>
      </c>
      <c r="K1017" s="318"/>
      <c r="L1017" s="311"/>
      <c r="M1017" s="312"/>
      <c r="N1017" s="313"/>
      <c r="O1017" s="314"/>
      <c r="P1017" s="314"/>
      <c r="Q1017" s="315"/>
      <c r="R1017" s="316"/>
      <c r="S1017" s="317"/>
      <c r="T1017" s="317"/>
      <c r="U1017" s="317"/>
    </row>
    <row r="1018" ht="20.25" customHeight="1">
      <c r="A1018" s="216" t="str">
        <f>IFERROR(__xludf.DUMMYFUNCTION("ARRAYFORMULA(IFERROR(VLOOKUP(REGEXEXTRACT(B1018, ""-(\w+)-""), {Data_Validation!$F$16:$F$29, Data_Validation!$E$16:$E$29}, 2, FALSE), """"))
"),"")</f>
        <v/>
      </c>
      <c r="K1018" s="318"/>
      <c r="L1018" s="311"/>
      <c r="M1018" s="312"/>
      <c r="N1018" s="313"/>
      <c r="O1018" s="314"/>
      <c r="P1018" s="314"/>
      <c r="Q1018" s="315"/>
      <c r="R1018" s="316"/>
      <c r="S1018" s="317"/>
      <c r="T1018" s="317"/>
      <c r="U1018" s="317"/>
    </row>
    <row r="1019" ht="20.25" customHeight="1">
      <c r="A1019" s="216" t="str">
        <f>IFERROR(__xludf.DUMMYFUNCTION("ARRAYFORMULA(IFERROR(VLOOKUP(REGEXEXTRACT(B1019, ""-(\w+)-""), {Data_Validation!$F$16:$F$29, Data_Validation!$E$16:$E$29}, 2, FALSE), """"))
"),"")</f>
        <v/>
      </c>
      <c r="K1019" s="318"/>
      <c r="L1019" s="311"/>
      <c r="M1019" s="312"/>
      <c r="N1019" s="313"/>
      <c r="O1019" s="314"/>
      <c r="P1019" s="314"/>
      <c r="Q1019" s="315"/>
      <c r="R1019" s="316"/>
      <c r="S1019" s="317"/>
      <c r="T1019" s="317"/>
      <c r="U1019" s="317"/>
    </row>
    <row r="1020" ht="20.25" customHeight="1">
      <c r="A1020" s="216" t="str">
        <f>IFERROR(__xludf.DUMMYFUNCTION("ARRAYFORMULA(IFERROR(VLOOKUP(REGEXEXTRACT(B1020, ""-(\w+)-""), {Data_Validation!$F$16:$F$29, Data_Validation!$E$16:$E$29}, 2, FALSE), """"))
"),"")</f>
        <v/>
      </c>
      <c r="K1020" s="318"/>
      <c r="L1020" s="311"/>
      <c r="M1020" s="312"/>
      <c r="N1020" s="313"/>
      <c r="O1020" s="314"/>
      <c r="P1020" s="314"/>
      <c r="Q1020" s="315"/>
      <c r="R1020" s="316"/>
      <c r="S1020" s="317"/>
      <c r="T1020" s="317"/>
      <c r="U1020" s="317"/>
    </row>
    <row r="1021" ht="20.25" customHeight="1">
      <c r="A1021" s="216" t="str">
        <f>IFERROR(__xludf.DUMMYFUNCTION("ARRAYFORMULA(IFERROR(VLOOKUP(REGEXEXTRACT(B1021, ""-(\w+)-""), {Data_Validation!$F$16:$F$29, Data_Validation!$E$16:$E$29}, 2, FALSE), """"))
"),"")</f>
        <v/>
      </c>
      <c r="K1021" s="318"/>
      <c r="L1021" s="311"/>
      <c r="M1021" s="312"/>
      <c r="N1021" s="313"/>
      <c r="O1021" s="314"/>
      <c r="P1021" s="314"/>
      <c r="Q1021" s="315"/>
      <c r="R1021" s="316"/>
      <c r="S1021" s="317"/>
      <c r="T1021" s="317"/>
      <c r="U1021" s="317"/>
    </row>
    <row r="1022" ht="20.25" customHeight="1">
      <c r="A1022" s="216" t="str">
        <f>IFERROR(__xludf.DUMMYFUNCTION("ARRAYFORMULA(IFERROR(VLOOKUP(REGEXEXTRACT(B1022, ""-(\w+)-""), {Data_Validation!$F$16:$F$29, Data_Validation!$E$16:$E$29}, 2, FALSE), """"))
"),"")</f>
        <v/>
      </c>
      <c r="K1022" s="318"/>
      <c r="L1022" s="311"/>
      <c r="M1022" s="312"/>
      <c r="N1022" s="313"/>
      <c r="O1022" s="314"/>
      <c r="P1022" s="314"/>
      <c r="Q1022" s="315"/>
      <c r="R1022" s="316"/>
      <c r="S1022" s="317"/>
      <c r="T1022" s="317"/>
      <c r="U1022" s="317"/>
    </row>
    <row r="1023" ht="20.25" customHeight="1">
      <c r="A1023" s="216" t="str">
        <f>IFERROR(__xludf.DUMMYFUNCTION("ARRAYFORMULA(IFERROR(VLOOKUP(REGEXEXTRACT(B1023, ""-(\w+)-""), {Data_Validation!$F$16:$F$29, Data_Validation!$E$16:$E$29}, 2, FALSE), """"))
"),"")</f>
        <v/>
      </c>
      <c r="K1023" s="318"/>
      <c r="L1023" s="311"/>
      <c r="M1023" s="312"/>
      <c r="N1023" s="313"/>
      <c r="O1023" s="314"/>
      <c r="P1023" s="314"/>
      <c r="Q1023" s="315"/>
      <c r="R1023" s="316"/>
      <c r="S1023" s="317"/>
      <c r="T1023" s="317"/>
      <c r="U1023" s="317"/>
    </row>
    <row r="1024" ht="20.25" customHeight="1">
      <c r="A1024" s="216" t="str">
        <f>IFERROR(__xludf.DUMMYFUNCTION("ARRAYFORMULA(IFERROR(VLOOKUP(REGEXEXTRACT(B1024, ""-(\w+)-""), {Data_Validation!$F$16:$F$29, Data_Validation!$E$16:$E$29}, 2, FALSE), """"))
"),"")</f>
        <v/>
      </c>
      <c r="K1024" s="318"/>
      <c r="L1024" s="311"/>
      <c r="M1024" s="312"/>
      <c r="N1024" s="313"/>
      <c r="O1024" s="314"/>
      <c r="P1024" s="314"/>
      <c r="Q1024" s="315"/>
      <c r="R1024" s="316"/>
      <c r="S1024" s="317"/>
      <c r="T1024" s="317"/>
      <c r="U1024" s="317"/>
    </row>
    <row r="1025" ht="20.25" customHeight="1">
      <c r="A1025" s="216" t="str">
        <f>IFERROR(__xludf.DUMMYFUNCTION("ARRAYFORMULA(IFERROR(VLOOKUP(REGEXEXTRACT(B1025, ""-(\w+)-""), {Data_Validation!$F$16:$F$29, Data_Validation!$E$16:$E$29}, 2, FALSE), """"))
"),"")</f>
        <v/>
      </c>
      <c r="K1025" s="318"/>
      <c r="L1025" s="311"/>
      <c r="M1025" s="312"/>
      <c r="N1025" s="313"/>
      <c r="O1025" s="314"/>
      <c r="P1025" s="314"/>
      <c r="Q1025" s="315"/>
      <c r="R1025" s="316"/>
      <c r="S1025" s="317"/>
      <c r="T1025" s="317"/>
      <c r="U1025" s="317"/>
    </row>
    <row r="1026" ht="20.25" customHeight="1">
      <c r="A1026" s="216" t="str">
        <f>IFERROR(__xludf.DUMMYFUNCTION("ARRAYFORMULA(IFERROR(VLOOKUP(REGEXEXTRACT(B1026, ""-(\w+)-""), {Data_Validation!$F$16:$F$29, Data_Validation!$E$16:$E$29}, 2, FALSE), """"))
"),"")</f>
        <v/>
      </c>
      <c r="K1026" s="318"/>
      <c r="L1026" s="311"/>
      <c r="M1026" s="312"/>
      <c r="N1026" s="313"/>
      <c r="O1026" s="314"/>
      <c r="P1026" s="314"/>
      <c r="Q1026" s="315"/>
      <c r="R1026" s="316"/>
      <c r="S1026" s="317"/>
      <c r="T1026" s="317"/>
      <c r="U1026" s="317"/>
    </row>
    <row r="1027" ht="20.25" customHeight="1">
      <c r="A1027" s="216" t="str">
        <f>IFERROR(__xludf.DUMMYFUNCTION("ARRAYFORMULA(IFERROR(VLOOKUP(REGEXEXTRACT(B1027, ""-(\w+)-""), {Data_Validation!$F$16:$F$29, Data_Validation!$E$16:$E$29}, 2, FALSE), """"))
"),"")</f>
        <v/>
      </c>
      <c r="K1027" s="318"/>
      <c r="L1027" s="311"/>
      <c r="M1027" s="312"/>
      <c r="N1027" s="313"/>
      <c r="O1027" s="314"/>
      <c r="P1027" s="314"/>
      <c r="Q1027" s="315"/>
      <c r="R1027" s="316"/>
      <c r="S1027" s="317"/>
      <c r="T1027" s="317"/>
      <c r="U1027" s="317"/>
    </row>
    <row r="1028" ht="20.25" customHeight="1">
      <c r="A1028" s="216" t="str">
        <f>IFERROR(__xludf.DUMMYFUNCTION("ARRAYFORMULA(IFERROR(VLOOKUP(REGEXEXTRACT(B1028, ""-(\w+)-""), {Data_Validation!$F$16:$F$29, Data_Validation!$E$16:$E$29}, 2, FALSE), """"))
"),"")</f>
        <v/>
      </c>
      <c r="K1028" s="318"/>
      <c r="L1028" s="311"/>
      <c r="M1028" s="312"/>
      <c r="N1028" s="313"/>
      <c r="O1028" s="314"/>
      <c r="P1028" s="314"/>
      <c r="Q1028" s="315"/>
      <c r="R1028" s="316"/>
      <c r="S1028" s="317"/>
      <c r="T1028" s="317"/>
      <c r="U1028" s="317"/>
    </row>
    <row r="1029" ht="20.25" customHeight="1">
      <c r="A1029" s="216" t="str">
        <f>IFERROR(__xludf.DUMMYFUNCTION("ARRAYFORMULA(IFERROR(VLOOKUP(REGEXEXTRACT(B1029, ""-(\w+)-""), {Data_Validation!$F$16:$F$29, Data_Validation!$E$16:$E$29}, 2, FALSE), """"))
"),"")</f>
        <v/>
      </c>
      <c r="K1029" s="318"/>
      <c r="L1029" s="311"/>
      <c r="M1029" s="312"/>
      <c r="N1029" s="313"/>
      <c r="O1029" s="314"/>
      <c r="P1029" s="314"/>
      <c r="Q1029" s="315"/>
      <c r="R1029" s="316"/>
      <c r="S1029" s="317"/>
      <c r="T1029" s="317"/>
      <c r="U1029" s="317"/>
    </row>
    <row r="1030" ht="20.25" customHeight="1">
      <c r="A1030" s="216" t="str">
        <f>IFERROR(__xludf.DUMMYFUNCTION("ARRAYFORMULA(IFERROR(VLOOKUP(REGEXEXTRACT(B1030, ""-(\w+)-""), {Data_Validation!$F$16:$F$29, Data_Validation!$E$16:$E$29}, 2, FALSE), """"))
"),"")</f>
        <v/>
      </c>
      <c r="K1030" s="318"/>
      <c r="L1030" s="311"/>
      <c r="M1030" s="312"/>
      <c r="N1030" s="313"/>
      <c r="O1030" s="314"/>
      <c r="P1030" s="314"/>
      <c r="Q1030" s="315"/>
      <c r="R1030" s="316"/>
      <c r="S1030" s="317"/>
      <c r="T1030" s="317"/>
      <c r="U1030" s="317"/>
    </row>
    <row r="1031" ht="20.25" customHeight="1">
      <c r="A1031" s="216" t="str">
        <f>IFERROR(__xludf.DUMMYFUNCTION("ARRAYFORMULA(IFERROR(VLOOKUP(REGEXEXTRACT(B1031, ""-(\w+)-""), {Data_Validation!$F$16:$F$29, Data_Validation!$E$16:$E$29}, 2, FALSE), """"))
"),"")</f>
        <v/>
      </c>
      <c r="K1031" s="318"/>
      <c r="L1031" s="311"/>
      <c r="M1031" s="312"/>
      <c r="N1031" s="313"/>
      <c r="O1031" s="314"/>
      <c r="P1031" s="314"/>
      <c r="Q1031" s="315"/>
      <c r="R1031" s="316"/>
      <c r="S1031" s="317"/>
      <c r="T1031" s="317"/>
      <c r="U1031" s="317"/>
    </row>
    <row r="1032" ht="20.25" customHeight="1">
      <c r="A1032" s="216" t="str">
        <f>IFERROR(__xludf.DUMMYFUNCTION("ARRAYFORMULA(IFERROR(VLOOKUP(REGEXEXTRACT(B1032, ""-(\w+)-""), {Data_Validation!$F$16:$F$29, Data_Validation!$E$16:$E$29}, 2, FALSE), """"))
"),"")</f>
        <v/>
      </c>
      <c r="K1032" s="318"/>
      <c r="L1032" s="311"/>
      <c r="M1032" s="312"/>
      <c r="N1032" s="313"/>
      <c r="O1032" s="314"/>
      <c r="P1032" s="314"/>
      <c r="Q1032" s="315"/>
      <c r="R1032" s="316"/>
      <c r="S1032" s="317"/>
      <c r="T1032" s="317"/>
      <c r="U1032" s="317"/>
    </row>
    <row r="1033" ht="20.25" customHeight="1">
      <c r="A1033" s="216" t="str">
        <f>IFERROR(__xludf.DUMMYFUNCTION("ARRAYFORMULA(IFERROR(VLOOKUP(REGEXEXTRACT(B1033, ""-(\w+)-""), {Data_Validation!$F$16:$F$29, Data_Validation!$E$16:$E$29}, 2, FALSE), """"))
"),"")</f>
        <v/>
      </c>
      <c r="K1033" s="318"/>
      <c r="L1033" s="311"/>
      <c r="M1033" s="312"/>
      <c r="N1033" s="313"/>
      <c r="O1033" s="314"/>
      <c r="P1033" s="314"/>
      <c r="Q1033" s="315"/>
      <c r="R1033" s="316"/>
      <c r="S1033" s="317"/>
      <c r="T1033" s="317"/>
      <c r="U1033" s="317"/>
    </row>
    <row r="1034" ht="20.25" customHeight="1">
      <c r="A1034" s="216" t="str">
        <f>IFERROR(__xludf.DUMMYFUNCTION("ARRAYFORMULA(IFERROR(VLOOKUP(REGEXEXTRACT(B1034, ""-(\w+)-""), {Data_Validation!$F$16:$F$29, Data_Validation!$E$16:$E$29}, 2, FALSE), """"))
"),"")</f>
        <v/>
      </c>
      <c r="K1034" s="318"/>
      <c r="L1034" s="311"/>
      <c r="M1034" s="312"/>
      <c r="N1034" s="313"/>
      <c r="O1034" s="314"/>
      <c r="P1034" s="314"/>
      <c r="Q1034" s="315"/>
      <c r="R1034" s="316"/>
      <c r="S1034" s="317"/>
      <c r="T1034" s="317"/>
      <c r="U1034" s="317"/>
    </row>
    <row r="1035" ht="20.25" customHeight="1">
      <c r="A1035" s="216" t="str">
        <f>IFERROR(__xludf.DUMMYFUNCTION("ARRAYFORMULA(IFERROR(VLOOKUP(REGEXEXTRACT(B1035, ""-(\w+)-""), {Data_Validation!$F$16:$F$29, Data_Validation!$E$16:$E$29}, 2, FALSE), """"))
"),"")</f>
        <v/>
      </c>
      <c r="K1035" s="318"/>
      <c r="L1035" s="311"/>
      <c r="M1035" s="312"/>
      <c r="N1035" s="313"/>
      <c r="O1035" s="314"/>
      <c r="P1035" s="314"/>
      <c r="Q1035" s="315"/>
      <c r="R1035" s="316"/>
      <c r="S1035" s="317"/>
      <c r="T1035" s="317"/>
      <c r="U1035" s="317"/>
    </row>
    <row r="1036" ht="20.25" customHeight="1">
      <c r="A1036" s="216" t="str">
        <f>IFERROR(__xludf.DUMMYFUNCTION("ARRAYFORMULA(IFERROR(VLOOKUP(REGEXEXTRACT(B1036, ""-(\w+)-""), {Data_Validation!$F$16:$F$29, Data_Validation!$E$16:$E$29}, 2, FALSE), """"))
"),"")</f>
        <v/>
      </c>
      <c r="K1036" s="318"/>
      <c r="L1036" s="311"/>
      <c r="M1036" s="312"/>
      <c r="N1036" s="313"/>
      <c r="O1036" s="314"/>
      <c r="P1036" s="314"/>
      <c r="Q1036" s="315"/>
      <c r="R1036" s="316"/>
      <c r="S1036" s="317"/>
      <c r="T1036" s="317"/>
      <c r="U1036" s="317"/>
    </row>
    <row r="1037" ht="20.25" customHeight="1">
      <c r="A1037" s="216" t="str">
        <f>IFERROR(__xludf.DUMMYFUNCTION("ARRAYFORMULA(IFERROR(VLOOKUP(REGEXEXTRACT(B1037, ""-(\w+)-""), {Data_Validation!$F$16:$F$29, Data_Validation!$E$16:$E$29}, 2, FALSE), """"))
"),"")</f>
        <v/>
      </c>
      <c r="K1037" s="318"/>
      <c r="L1037" s="311"/>
      <c r="M1037" s="312"/>
      <c r="N1037" s="313"/>
      <c r="O1037" s="314"/>
      <c r="P1037" s="314"/>
      <c r="Q1037" s="315"/>
      <c r="R1037" s="316"/>
      <c r="S1037" s="317"/>
      <c r="T1037" s="317"/>
      <c r="U1037" s="317"/>
    </row>
    <row r="1038" ht="20.25" customHeight="1">
      <c r="A1038" s="216" t="str">
        <f>IFERROR(__xludf.DUMMYFUNCTION("ARRAYFORMULA(IFERROR(VLOOKUP(REGEXEXTRACT(B1038, ""-(\w+)-""), {Data_Validation!$F$16:$F$29, Data_Validation!$E$16:$E$29}, 2, FALSE), """"))
"),"")</f>
        <v/>
      </c>
      <c r="K1038" s="318"/>
      <c r="L1038" s="311"/>
      <c r="M1038" s="312"/>
      <c r="N1038" s="313"/>
      <c r="O1038" s="314"/>
      <c r="P1038" s="314"/>
      <c r="Q1038" s="315"/>
      <c r="R1038" s="316"/>
      <c r="S1038" s="317"/>
      <c r="T1038" s="317"/>
      <c r="U1038" s="317"/>
    </row>
    <row r="1039" ht="20.25" customHeight="1">
      <c r="A1039" s="216" t="str">
        <f>IFERROR(__xludf.DUMMYFUNCTION("ARRAYFORMULA(IFERROR(VLOOKUP(REGEXEXTRACT(B1039, ""-(\w+)-""), {Data_Validation!$F$16:$F$29, Data_Validation!$E$16:$E$29}, 2, FALSE), """"))
"),"")</f>
        <v/>
      </c>
      <c r="K1039" s="318"/>
      <c r="L1039" s="311"/>
      <c r="M1039" s="312"/>
      <c r="N1039" s="313"/>
      <c r="O1039" s="314"/>
      <c r="P1039" s="314"/>
      <c r="Q1039" s="315"/>
      <c r="R1039" s="316"/>
      <c r="S1039" s="317"/>
      <c r="T1039" s="317"/>
      <c r="U1039" s="317"/>
    </row>
    <row r="1040" ht="20.25" customHeight="1">
      <c r="A1040" s="216" t="str">
        <f>IFERROR(__xludf.DUMMYFUNCTION("ARRAYFORMULA(IFERROR(VLOOKUP(REGEXEXTRACT(B1040, ""-(\w+)-""), {Data_Validation!$F$16:$F$29, Data_Validation!$E$16:$E$29}, 2, FALSE), """"))
"),"")</f>
        <v/>
      </c>
      <c r="K1040" s="318"/>
      <c r="L1040" s="311"/>
      <c r="M1040" s="312"/>
      <c r="N1040" s="313"/>
      <c r="O1040" s="314"/>
      <c r="P1040" s="314"/>
      <c r="Q1040" s="315"/>
      <c r="R1040" s="316"/>
      <c r="S1040" s="317"/>
      <c r="T1040" s="317"/>
      <c r="U1040" s="317"/>
    </row>
    <row r="1041" ht="20.25" customHeight="1">
      <c r="A1041" s="216" t="str">
        <f>IFERROR(__xludf.DUMMYFUNCTION("ARRAYFORMULA(IFERROR(VLOOKUP(REGEXEXTRACT(B1041, ""-(\w+)-""), {Data_Validation!$F$16:$F$29, Data_Validation!$E$16:$E$29}, 2, FALSE), """"))
"),"")</f>
        <v/>
      </c>
      <c r="K1041" s="318"/>
      <c r="L1041" s="311"/>
      <c r="M1041" s="312"/>
      <c r="N1041" s="313"/>
      <c r="O1041" s="314"/>
      <c r="P1041" s="314"/>
      <c r="Q1041" s="315"/>
      <c r="R1041" s="316"/>
      <c r="S1041" s="317"/>
      <c r="T1041" s="317"/>
      <c r="U1041" s="317"/>
    </row>
    <row r="1042" ht="20.25" customHeight="1">
      <c r="A1042" s="216" t="str">
        <f>IFERROR(__xludf.DUMMYFUNCTION("ARRAYFORMULA(IFERROR(VLOOKUP(REGEXEXTRACT(B1042, ""-(\w+)-""), {Data_Validation!$F$16:$F$29, Data_Validation!$E$16:$E$29}, 2, FALSE), """"))
"),"")</f>
        <v/>
      </c>
      <c r="K1042" s="318"/>
      <c r="L1042" s="311"/>
      <c r="M1042" s="312"/>
      <c r="N1042" s="313"/>
      <c r="O1042" s="314"/>
      <c r="P1042" s="314"/>
      <c r="Q1042" s="315"/>
      <c r="R1042" s="316"/>
      <c r="S1042" s="317"/>
      <c r="T1042" s="317"/>
      <c r="U1042" s="317"/>
    </row>
    <row r="1043" ht="20.25" customHeight="1">
      <c r="A1043" s="216" t="str">
        <f>IFERROR(__xludf.DUMMYFUNCTION("ARRAYFORMULA(IFERROR(VLOOKUP(REGEXEXTRACT(B1043, ""-(\w+)-""), {Data_Validation!$F$16:$F$29, Data_Validation!$E$16:$E$29}, 2, FALSE), """"))
"),"")</f>
        <v/>
      </c>
      <c r="K1043" s="318"/>
      <c r="L1043" s="311"/>
      <c r="M1043" s="312"/>
      <c r="N1043" s="313"/>
      <c r="O1043" s="314"/>
      <c r="P1043" s="314"/>
      <c r="Q1043" s="315"/>
      <c r="R1043" s="316"/>
      <c r="S1043" s="317"/>
      <c r="T1043" s="317"/>
      <c r="U1043" s="317"/>
    </row>
    <row r="1044" ht="20.25" customHeight="1">
      <c r="A1044" s="216" t="str">
        <f>IFERROR(__xludf.DUMMYFUNCTION("ARRAYFORMULA(IFERROR(VLOOKUP(REGEXEXTRACT(B1044, ""-(\w+)-""), {Data_Validation!$F$16:$F$29, Data_Validation!$E$16:$E$29}, 2, FALSE), """"))
"),"")</f>
        <v/>
      </c>
      <c r="K1044" s="318"/>
      <c r="L1044" s="311"/>
      <c r="M1044" s="312"/>
      <c r="N1044" s="313"/>
      <c r="O1044" s="314"/>
      <c r="P1044" s="314"/>
      <c r="Q1044" s="315"/>
      <c r="R1044" s="316"/>
      <c r="S1044" s="317"/>
      <c r="T1044" s="317"/>
      <c r="U1044" s="317"/>
    </row>
    <row r="1045" ht="20.25" customHeight="1">
      <c r="A1045" s="216" t="str">
        <f>IFERROR(__xludf.DUMMYFUNCTION("ARRAYFORMULA(IFERROR(VLOOKUP(REGEXEXTRACT(B1045, ""-(\w+)-""), {Data_Validation!$F$16:$F$29, Data_Validation!$E$16:$E$29}, 2, FALSE), """"))
"),"")</f>
        <v/>
      </c>
      <c r="K1045" s="318"/>
      <c r="L1045" s="311"/>
      <c r="M1045" s="312"/>
      <c r="N1045" s="313"/>
      <c r="O1045" s="314"/>
      <c r="P1045" s="314"/>
      <c r="Q1045" s="315"/>
      <c r="R1045" s="316"/>
      <c r="S1045" s="317"/>
      <c r="T1045" s="317"/>
      <c r="U1045" s="317"/>
    </row>
    <row r="1046" ht="20.25" customHeight="1">
      <c r="A1046" s="216" t="str">
        <f>IFERROR(__xludf.DUMMYFUNCTION("ARRAYFORMULA(IFERROR(VLOOKUP(REGEXEXTRACT(B1046, ""-(\w+)-""), {Data_Validation!$F$16:$F$29, Data_Validation!$E$16:$E$29}, 2, FALSE), """"))
"),"")</f>
        <v/>
      </c>
      <c r="K1046" s="318"/>
      <c r="L1046" s="311"/>
      <c r="M1046" s="312"/>
      <c r="N1046" s="313"/>
      <c r="O1046" s="314"/>
      <c r="P1046" s="314"/>
      <c r="Q1046" s="315"/>
      <c r="R1046" s="316"/>
      <c r="S1046" s="317"/>
      <c r="T1046" s="317"/>
      <c r="U1046" s="317"/>
    </row>
    <row r="1047" ht="20.25" customHeight="1">
      <c r="A1047" s="216" t="str">
        <f>IFERROR(__xludf.DUMMYFUNCTION("ARRAYFORMULA(IFERROR(VLOOKUP(REGEXEXTRACT(B1047, ""-(\w+)-""), {Data_Validation!$F$16:$F$29, Data_Validation!$E$16:$E$29}, 2, FALSE), """"))
"),"")</f>
        <v/>
      </c>
      <c r="K1047" s="318"/>
      <c r="L1047" s="311"/>
      <c r="M1047" s="312"/>
      <c r="N1047" s="313"/>
      <c r="O1047" s="314"/>
      <c r="P1047" s="314"/>
      <c r="Q1047" s="315"/>
      <c r="R1047" s="316"/>
      <c r="S1047" s="317"/>
      <c r="T1047" s="317"/>
      <c r="U1047" s="317"/>
    </row>
    <row r="1048" ht="20.25" customHeight="1">
      <c r="A1048" s="216" t="str">
        <f>IFERROR(__xludf.DUMMYFUNCTION("ARRAYFORMULA(IFERROR(VLOOKUP(REGEXEXTRACT(B1048, ""-(\w+)-""), {Data_Validation!$F$16:$F$29, Data_Validation!$E$16:$E$29}, 2, FALSE), """"))
"),"")</f>
        <v/>
      </c>
      <c r="K1048" s="318"/>
      <c r="L1048" s="311"/>
      <c r="M1048" s="312"/>
      <c r="N1048" s="313"/>
      <c r="O1048" s="314"/>
      <c r="P1048" s="314"/>
      <c r="Q1048" s="315"/>
      <c r="R1048" s="316"/>
      <c r="S1048" s="317"/>
      <c r="T1048" s="317"/>
      <c r="U1048" s="317"/>
    </row>
    <row r="1049" ht="20.25" customHeight="1">
      <c r="A1049" s="216" t="str">
        <f>IFERROR(__xludf.DUMMYFUNCTION("ARRAYFORMULA(IFERROR(VLOOKUP(REGEXEXTRACT(B1049, ""-(\w+)-""), {Data_Validation!$F$16:$F$29, Data_Validation!$E$16:$E$29}, 2, FALSE), """"))
"),"")</f>
        <v/>
      </c>
      <c r="K1049" s="318"/>
      <c r="L1049" s="311"/>
      <c r="M1049" s="312"/>
      <c r="N1049" s="313"/>
      <c r="O1049" s="314"/>
      <c r="P1049" s="314"/>
      <c r="Q1049" s="315"/>
      <c r="R1049" s="316"/>
      <c r="S1049" s="317"/>
      <c r="T1049" s="317"/>
      <c r="U1049" s="317"/>
    </row>
    <row r="1050" ht="20.25" customHeight="1">
      <c r="A1050" s="216" t="str">
        <f>IFERROR(__xludf.DUMMYFUNCTION("ARRAYFORMULA(IFERROR(VLOOKUP(REGEXEXTRACT(B1050, ""-(\w+)-""), {Data_Validation!$F$16:$F$29, Data_Validation!$E$16:$E$29}, 2, FALSE), """"))
"),"")</f>
        <v/>
      </c>
      <c r="K1050" s="318"/>
      <c r="L1050" s="311"/>
      <c r="M1050" s="312"/>
      <c r="N1050" s="313"/>
      <c r="O1050" s="314"/>
      <c r="P1050" s="314"/>
      <c r="Q1050" s="315"/>
      <c r="R1050" s="316"/>
      <c r="S1050" s="317"/>
      <c r="T1050" s="317"/>
      <c r="U1050" s="317"/>
    </row>
    <row r="1051" ht="20.25" customHeight="1">
      <c r="A1051" s="216" t="str">
        <f>IFERROR(__xludf.DUMMYFUNCTION("ARRAYFORMULA(IFERROR(VLOOKUP(REGEXEXTRACT(B1051, ""-(\w+)-""), {Data_Validation!$F$16:$F$29, Data_Validation!$E$16:$E$29}, 2, FALSE), """"))
"),"")</f>
        <v/>
      </c>
      <c r="K1051" s="318"/>
      <c r="L1051" s="311"/>
      <c r="M1051" s="312"/>
      <c r="N1051" s="313"/>
      <c r="O1051" s="314"/>
      <c r="P1051" s="314"/>
      <c r="Q1051" s="315"/>
      <c r="R1051" s="316"/>
      <c r="S1051" s="317"/>
      <c r="T1051" s="317"/>
      <c r="U1051" s="317"/>
    </row>
    <row r="1052" ht="20.25" customHeight="1">
      <c r="A1052" s="216" t="str">
        <f>IFERROR(__xludf.DUMMYFUNCTION("ARRAYFORMULA(IFERROR(VLOOKUP(REGEXEXTRACT(B1052, ""-(\w+)-""), {Data_Validation!$F$16:$F$29, Data_Validation!$E$16:$E$29}, 2, FALSE), """"))
"),"")</f>
        <v/>
      </c>
      <c r="K1052" s="318"/>
      <c r="L1052" s="311"/>
      <c r="M1052" s="312"/>
      <c r="N1052" s="313"/>
      <c r="O1052" s="314"/>
      <c r="P1052" s="314"/>
      <c r="Q1052" s="315"/>
      <c r="R1052" s="316"/>
      <c r="S1052" s="317"/>
      <c r="T1052" s="317"/>
      <c r="U1052" s="317"/>
    </row>
    <row r="1053" ht="20.25" customHeight="1">
      <c r="A1053" s="216" t="str">
        <f>IFERROR(__xludf.DUMMYFUNCTION("ARRAYFORMULA(IFERROR(VLOOKUP(REGEXEXTRACT(B1053, ""-(\w+)-""), {Data_Validation!$F$16:$F$29, Data_Validation!$E$16:$E$29}, 2, FALSE), """"))
"),"")</f>
        <v/>
      </c>
      <c r="K1053" s="318"/>
      <c r="L1053" s="311"/>
      <c r="M1053" s="312"/>
      <c r="N1053" s="313"/>
      <c r="O1053" s="314"/>
      <c r="P1053" s="314"/>
      <c r="Q1053" s="315"/>
      <c r="R1053" s="316"/>
      <c r="S1053" s="317"/>
      <c r="T1053" s="317"/>
      <c r="U1053" s="317"/>
    </row>
    <row r="1054" ht="20.25" customHeight="1">
      <c r="A1054" s="216" t="str">
        <f>IFERROR(__xludf.DUMMYFUNCTION("ARRAYFORMULA(IFERROR(VLOOKUP(REGEXEXTRACT(B1054, ""-(\w+)-""), {Data_Validation!$F$16:$F$29, Data_Validation!$E$16:$E$29}, 2, FALSE), """"))
"),"")</f>
        <v/>
      </c>
      <c r="K1054" s="318"/>
      <c r="L1054" s="311"/>
      <c r="M1054" s="312"/>
      <c r="N1054" s="313"/>
      <c r="O1054" s="314"/>
      <c r="P1054" s="314"/>
      <c r="Q1054" s="315"/>
      <c r="R1054" s="316"/>
      <c r="S1054" s="317"/>
      <c r="T1054" s="317"/>
      <c r="U1054" s="317"/>
    </row>
    <row r="1055" ht="20.25" customHeight="1">
      <c r="A1055" s="216" t="str">
        <f>IFERROR(__xludf.DUMMYFUNCTION("ARRAYFORMULA(IFERROR(VLOOKUP(REGEXEXTRACT(B1055, ""-(\w+)-""), {Data_Validation!$F$16:$F$29, Data_Validation!$E$16:$E$29}, 2, FALSE), """"))
"),"")</f>
        <v/>
      </c>
      <c r="K1055" s="318"/>
      <c r="L1055" s="311"/>
      <c r="M1055" s="312"/>
      <c r="N1055" s="313"/>
      <c r="O1055" s="314"/>
      <c r="P1055" s="314"/>
      <c r="Q1055" s="315"/>
      <c r="R1055" s="316"/>
      <c r="S1055" s="317"/>
      <c r="T1055" s="317"/>
      <c r="U1055" s="317"/>
    </row>
    <row r="1056" ht="20.25" customHeight="1">
      <c r="A1056" s="216" t="str">
        <f>IFERROR(__xludf.DUMMYFUNCTION("ARRAYFORMULA(IFERROR(VLOOKUP(REGEXEXTRACT(B1056, ""-(\w+)-""), {Data_Validation!$F$16:$F$29, Data_Validation!$E$16:$E$29}, 2, FALSE), """"))
"),"")</f>
        <v/>
      </c>
      <c r="K1056" s="318"/>
      <c r="L1056" s="311"/>
      <c r="M1056" s="312"/>
      <c r="N1056" s="313"/>
      <c r="O1056" s="314"/>
      <c r="P1056" s="314"/>
      <c r="Q1056" s="315"/>
      <c r="R1056" s="316"/>
      <c r="S1056" s="317"/>
      <c r="T1056" s="317"/>
      <c r="U1056" s="317"/>
    </row>
    <row r="1057" ht="20.25" customHeight="1">
      <c r="A1057" s="216" t="str">
        <f>IFERROR(__xludf.DUMMYFUNCTION("ARRAYFORMULA(IFERROR(VLOOKUP(REGEXEXTRACT(B1057, ""-(\w+)-""), {Data_Validation!$F$16:$F$29, Data_Validation!$E$16:$E$29}, 2, FALSE), """"))
"),"")</f>
        <v/>
      </c>
      <c r="K1057" s="318"/>
      <c r="L1057" s="311"/>
      <c r="M1057" s="312"/>
      <c r="N1057" s="313"/>
      <c r="O1057" s="314"/>
      <c r="P1057" s="314"/>
      <c r="Q1057" s="315"/>
      <c r="R1057" s="316"/>
      <c r="S1057" s="317"/>
      <c r="T1057" s="317"/>
      <c r="U1057" s="317"/>
    </row>
    <row r="1058" ht="20.25" customHeight="1">
      <c r="A1058" s="216" t="str">
        <f>IFERROR(__xludf.DUMMYFUNCTION("ARRAYFORMULA(IFERROR(VLOOKUP(REGEXEXTRACT(B1058, ""-(\w+)-""), {Data_Validation!$F$16:$F$29, Data_Validation!$E$16:$E$29}, 2, FALSE), """"))
"),"")</f>
        <v/>
      </c>
      <c r="K1058" s="318"/>
      <c r="L1058" s="311"/>
      <c r="M1058" s="312"/>
      <c r="N1058" s="313"/>
      <c r="O1058" s="314"/>
      <c r="P1058" s="314"/>
      <c r="Q1058" s="315"/>
      <c r="R1058" s="316"/>
      <c r="S1058" s="317"/>
      <c r="T1058" s="317"/>
      <c r="U1058" s="317"/>
    </row>
    <row r="1059" ht="20.25" customHeight="1">
      <c r="A1059" s="216" t="str">
        <f>IFERROR(__xludf.DUMMYFUNCTION("ARRAYFORMULA(IFERROR(VLOOKUP(REGEXEXTRACT(B1059, ""-(\w+)-""), {Data_Validation!$F$16:$F$29, Data_Validation!$E$16:$E$29}, 2, FALSE), """"))
"),"")</f>
        <v/>
      </c>
      <c r="K1059" s="318"/>
      <c r="L1059" s="311"/>
      <c r="M1059" s="312"/>
      <c r="N1059" s="313"/>
      <c r="O1059" s="314"/>
      <c r="P1059" s="314"/>
      <c r="Q1059" s="315"/>
      <c r="R1059" s="316"/>
      <c r="S1059" s="317"/>
      <c r="T1059" s="317"/>
      <c r="U1059" s="317"/>
    </row>
    <row r="1060" ht="20.25" customHeight="1">
      <c r="A1060" s="216" t="str">
        <f>IFERROR(__xludf.DUMMYFUNCTION("ARRAYFORMULA(IFERROR(VLOOKUP(REGEXEXTRACT(B1060, ""-(\w+)-""), {Data_Validation!$F$16:$F$29, Data_Validation!$E$16:$E$29}, 2, FALSE), """"))
"),"")</f>
        <v/>
      </c>
      <c r="K1060" s="318"/>
      <c r="L1060" s="311"/>
      <c r="M1060" s="312"/>
      <c r="N1060" s="313"/>
      <c r="O1060" s="314"/>
      <c r="P1060" s="314"/>
      <c r="Q1060" s="315"/>
      <c r="R1060" s="316"/>
      <c r="S1060" s="317"/>
      <c r="T1060" s="317"/>
      <c r="U1060" s="317"/>
    </row>
    <row r="1061" ht="20.25" customHeight="1">
      <c r="A1061" s="216" t="str">
        <f>IFERROR(__xludf.DUMMYFUNCTION("ARRAYFORMULA(IFERROR(VLOOKUP(REGEXEXTRACT(B1061, ""-(\w+)-""), {Data_Validation!$F$16:$F$29, Data_Validation!$E$16:$E$29}, 2, FALSE), """"))
"),"")</f>
        <v/>
      </c>
      <c r="K1061" s="318"/>
      <c r="L1061" s="311"/>
      <c r="M1061" s="312"/>
      <c r="N1061" s="313"/>
      <c r="O1061" s="314"/>
      <c r="P1061" s="314"/>
      <c r="Q1061" s="315"/>
      <c r="R1061" s="316"/>
      <c r="S1061" s="317"/>
      <c r="T1061" s="317"/>
      <c r="U1061" s="317"/>
    </row>
    <row r="1062" ht="20.25" customHeight="1">
      <c r="A1062" s="216" t="str">
        <f>IFERROR(__xludf.DUMMYFUNCTION("ARRAYFORMULA(IFERROR(VLOOKUP(REGEXEXTRACT(B1062, ""-(\w+)-""), {Data_Validation!$F$16:$F$29, Data_Validation!$E$16:$E$29}, 2, FALSE), """"))
"),"")</f>
        <v/>
      </c>
      <c r="K1062" s="318"/>
      <c r="L1062" s="311"/>
      <c r="M1062" s="312"/>
      <c r="N1062" s="313"/>
      <c r="O1062" s="314"/>
      <c r="P1062" s="314"/>
      <c r="Q1062" s="315"/>
      <c r="R1062" s="316"/>
      <c r="S1062" s="317"/>
      <c r="T1062" s="317"/>
      <c r="U1062" s="317"/>
    </row>
    <row r="1063" ht="20.25" customHeight="1">
      <c r="A1063" s="216" t="str">
        <f>IFERROR(__xludf.DUMMYFUNCTION("ARRAYFORMULA(IFERROR(VLOOKUP(REGEXEXTRACT(B1063, ""-(\w+)-""), {Data_Validation!$F$16:$F$29, Data_Validation!$E$16:$E$29}, 2, FALSE), """"))
"),"")</f>
        <v/>
      </c>
      <c r="K1063" s="318"/>
      <c r="L1063" s="311"/>
      <c r="M1063" s="312"/>
      <c r="N1063" s="313"/>
      <c r="O1063" s="314"/>
      <c r="P1063" s="314"/>
      <c r="Q1063" s="315"/>
      <c r="R1063" s="316"/>
      <c r="S1063" s="317"/>
      <c r="T1063" s="317"/>
      <c r="U1063" s="317"/>
    </row>
    <row r="1064" ht="20.25" customHeight="1">
      <c r="A1064" s="216" t="str">
        <f>IFERROR(__xludf.DUMMYFUNCTION("ARRAYFORMULA(IFERROR(VLOOKUP(REGEXEXTRACT(B1064, ""-(\w+)-""), {Data_Validation!$F$16:$F$29, Data_Validation!$E$16:$E$29}, 2, FALSE), """"))
"),"")</f>
        <v/>
      </c>
      <c r="K1064" s="318"/>
      <c r="L1064" s="311"/>
      <c r="M1064" s="312"/>
      <c r="N1064" s="313"/>
      <c r="O1064" s="314"/>
      <c r="P1064" s="314"/>
      <c r="Q1064" s="315"/>
      <c r="R1064" s="316"/>
      <c r="S1064" s="317"/>
      <c r="T1064" s="317"/>
      <c r="U1064" s="317"/>
    </row>
    <row r="1065" ht="20.25" customHeight="1">
      <c r="A1065" s="216" t="str">
        <f>IFERROR(__xludf.DUMMYFUNCTION("ARRAYFORMULA(IFERROR(VLOOKUP(REGEXEXTRACT(B1065, ""-(\w+)-""), {Data_Validation!$F$16:$F$29, Data_Validation!$E$16:$E$29}, 2, FALSE), """"))
"),"")</f>
        <v/>
      </c>
      <c r="K1065" s="318"/>
      <c r="L1065" s="311"/>
      <c r="M1065" s="312"/>
      <c r="N1065" s="313"/>
      <c r="O1065" s="314"/>
      <c r="P1065" s="314"/>
      <c r="Q1065" s="315"/>
      <c r="R1065" s="316"/>
      <c r="S1065" s="317"/>
      <c r="T1065" s="317"/>
      <c r="U1065" s="317"/>
    </row>
    <row r="1066" ht="20.25" customHeight="1">
      <c r="A1066" s="216" t="str">
        <f>IFERROR(__xludf.DUMMYFUNCTION("ARRAYFORMULA(IFERROR(VLOOKUP(REGEXEXTRACT(B1066, ""-(\w+)-""), {Data_Validation!$F$16:$F$29, Data_Validation!$E$16:$E$29}, 2, FALSE), """"))
"),"")</f>
        <v/>
      </c>
      <c r="K1066" s="318"/>
      <c r="L1066" s="311"/>
      <c r="M1066" s="312"/>
      <c r="N1066" s="313"/>
      <c r="O1066" s="314"/>
      <c r="P1066" s="314"/>
      <c r="Q1066" s="315"/>
      <c r="R1066" s="316"/>
      <c r="S1066" s="317"/>
      <c r="T1066" s="317"/>
      <c r="U1066" s="317"/>
    </row>
    <row r="1067" ht="20.25" customHeight="1">
      <c r="A1067" s="216" t="str">
        <f>IFERROR(__xludf.DUMMYFUNCTION("ARRAYFORMULA(IFERROR(VLOOKUP(REGEXEXTRACT(B1067, ""-(\w+)-""), {Data_Validation!$F$16:$F$29, Data_Validation!$E$16:$E$29}, 2, FALSE), """"))
"),"")</f>
        <v/>
      </c>
      <c r="K1067" s="318"/>
      <c r="L1067" s="311"/>
      <c r="M1067" s="312"/>
      <c r="N1067" s="313"/>
      <c r="O1067" s="314"/>
      <c r="P1067" s="314"/>
      <c r="Q1067" s="315"/>
      <c r="R1067" s="316"/>
      <c r="S1067" s="317"/>
      <c r="T1067" s="317"/>
      <c r="U1067" s="317"/>
    </row>
    <row r="1068" ht="20.25" customHeight="1">
      <c r="A1068" s="216" t="str">
        <f>IFERROR(__xludf.DUMMYFUNCTION("ARRAYFORMULA(IFERROR(VLOOKUP(REGEXEXTRACT(B1068, ""-(\w+)-""), {Data_Validation!$F$16:$F$29, Data_Validation!$E$16:$E$29}, 2, FALSE), """"))
"),"")</f>
        <v/>
      </c>
      <c r="K1068" s="318"/>
      <c r="L1068" s="311"/>
      <c r="M1068" s="312"/>
      <c r="N1068" s="313"/>
      <c r="O1068" s="314"/>
      <c r="P1068" s="314"/>
      <c r="Q1068" s="315"/>
      <c r="R1068" s="316"/>
      <c r="S1068" s="317"/>
      <c r="T1068" s="317"/>
      <c r="U1068" s="317"/>
    </row>
    <row r="1069" ht="20.25" customHeight="1">
      <c r="A1069" s="216" t="str">
        <f>IFERROR(__xludf.DUMMYFUNCTION("ARRAYFORMULA(IFERROR(VLOOKUP(REGEXEXTRACT(B1069, ""-(\w+)-""), {Data_Validation!$F$16:$F$29, Data_Validation!$E$16:$E$29}, 2, FALSE), """"))
"),"")</f>
        <v/>
      </c>
      <c r="K1069" s="318"/>
      <c r="L1069" s="311"/>
      <c r="M1069" s="312"/>
      <c r="N1069" s="313"/>
      <c r="O1069" s="314"/>
      <c r="P1069" s="314"/>
      <c r="Q1069" s="315"/>
      <c r="R1069" s="316"/>
      <c r="S1069" s="317"/>
      <c r="T1069" s="317"/>
      <c r="U1069" s="317"/>
    </row>
    <row r="1070" ht="20.25" customHeight="1">
      <c r="A1070" s="216" t="str">
        <f>IFERROR(__xludf.DUMMYFUNCTION("ARRAYFORMULA(IFERROR(VLOOKUP(REGEXEXTRACT(B1070, ""-(\w+)-""), {Data_Validation!$F$16:$F$29, Data_Validation!$E$16:$E$29}, 2, FALSE), """"))
"),"")</f>
        <v/>
      </c>
      <c r="K1070" s="318"/>
      <c r="L1070" s="311"/>
      <c r="M1070" s="312"/>
      <c r="N1070" s="313"/>
      <c r="O1070" s="314"/>
      <c r="P1070" s="314"/>
      <c r="Q1070" s="315"/>
      <c r="R1070" s="316"/>
      <c r="S1070" s="317"/>
      <c r="T1070" s="317"/>
      <c r="U1070" s="317"/>
    </row>
    <row r="1071" ht="20.25" customHeight="1">
      <c r="A1071" s="216" t="str">
        <f>IFERROR(__xludf.DUMMYFUNCTION("ARRAYFORMULA(IFERROR(VLOOKUP(REGEXEXTRACT(B1071, ""-(\w+)-""), {Data_Validation!$F$16:$F$29, Data_Validation!$E$16:$E$29}, 2, FALSE), """"))
"),"")</f>
        <v/>
      </c>
      <c r="K1071" s="318"/>
      <c r="L1071" s="311"/>
      <c r="M1071" s="312"/>
      <c r="N1071" s="313"/>
      <c r="O1071" s="314"/>
      <c r="P1071" s="314"/>
      <c r="Q1071" s="315"/>
      <c r="R1071" s="316"/>
      <c r="S1071" s="317"/>
      <c r="T1071" s="317"/>
      <c r="U1071" s="317"/>
    </row>
    <row r="1072" ht="20.25" customHeight="1">
      <c r="A1072" s="216" t="str">
        <f>IFERROR(__xludf.DUMMYFUNCTION("ARRAYFORMULA(IFERROR(VLOOKUP(REGEXEXTRACT(B1072, ""-(\w+)-""), {Data_Validation!$F$16:$F$29, Data_Validation!$E$16:$E$29}, 2, FALSE), """"))
"),"")</f>
        <v/>
      </c>
      <c r="K1072" s="318"/>
      <c r="L1072" s="311"/>
      <c r="M1072" s="312"/>
      <c r="N1072" s="313"/>
      <c r="O1072" s="314"/>
      <c r="P1072" s="314"/>
      <c r="Q1072" s="315"/>
      <c r="R1072" s="316"/>
      <c r="S1072" s="317"/>
      <c r="T1072" s="317"/>
      <c r="U1072" s="317"/>
    </row>
    <row r="1073" ht="20.25" customHeight="1">
      <c r="A1073" s="216" t="str">
        <f>IFERROR(__xludf.DUMMYFUNCTION("ARRAYFORMULA(IFERROR(VLOOKUP(REGEXEXTRACT(B1073, ""-(\w+)-""), {Data_Validation!$F$16:$F$29, Data_Validation!$E$16:$E$29}, 2, FALSE), """"))
"),"")</f>
        <v/>
      </c>
      <c r="K1073" s="318"/>
      <c r="L1073" s="311"/>
      <c r="M1073" s="312"/>
      <c r="N1073" s="313"/>
      <c r="O1073" s="314"/>
      <c r="P1073" s="314"/>
      <c r="Q1073" s="315"/>
      <c r="R1073" s="316"/>
      <c r="S1073" s="317"/>
      <c r="T1073" s="317"/>
      <c r="U1073" s="317"/>
    </row>
    <row r="1074" ht="20.25" customHeight="1">
      <c r="A1074" s="216" t="str">
        <f>IFERROR(__xludf.DUMMYFUNCTION("ARRAYFORMULA(IFERROR(VLOOKUP(REGEXEXTRACT(B1074, ""-(\w+)-""), {Data_Validation!$F$16:$F$29, Data_Validation!$E$16:$E$29}, 2, FALSE), """"))
"),"")</f>
        <v/>
      </c>
      <c r="K1074" s="318"/>
      <c r="L1074" s="311"/>
      <c r="M1074" s="312"/>
      <c r="N1074" s="313"/>
      <c r="O1074" s="314"/>
      <c r="P1074" s="314"/>
      <c r="Q1074" s="315"/>
      <c r="R1074" s="316"/>
      <c r="S1074" s="317"/>
      <c r="T1074" s="317"/>
      <c r="U1074" s="317"/>
    </row>
    <row r="1075" ht="20.25" customHeight="1">
      <c r="A1075" s="216" t="str">
        <f>IFERROR(__xludf.DUMMYFUNCTION("ARRAYFORMULA(IFERROR(VLOOKUP(REGEXEXTRACT(B1075, ""-(\w+)-""), {Data_Validation!$F$16:$F$29, Data_Validation!$E$16:$E$29}, 2, FALSE), """"))
"),"")</f>
        <v/>
      </c>
      <c r="K1075" s="318"/>
      <c r="L1075" s="311"/>
      <c r="M1075" s="312"/>
      <c r="N1075" s="313"/>
      <c r="O1075" s="314"/>
      <c r="P1075" s="314"/>
      <c r="Q1075" s="315"/>
      <c r="R1075" s="316"/>
      <c r="S1075" s="317"/>
      <c r="T1075" s="317"/>
      <c r="U1075" s="317"/>
    </row>
    <row r="1076" ht="20.25" customHeight="1">
      <c r="A1076" s="216" t="str">
        <f>IFERROR(__xludf.DUMMYFUNCTION("ARRAYFORMULA(IFERROR(VLOOKUP(REGEXEXTRACT(B1076, ""-(\w+)-""), {Data_Validation!$F$16:$F$29, Data_Validation!$E$16:$E$29}, 2, FALSE), """"))
"),"")</f>
        <v/>
      </c>
      <c r="K1076" s="318"/>
      <c r="L1076" s="311"/>
      <c r="M1076" s="312"/>
      <c r="N1076" s="313"/>
      <c r="O1076" s="314"/>
      <c r="P1076" s="314"/>
      <c r="Q1076" s="315"/>
      <c r="R1076" s="316"/>
      <c r="S1076" s="317"/>
      <c r="T1076" s="317"/>
      <c r="U1076" s="317"/>
    </row>
    <row r="1077" ht="20.25" customHeight="1">
      <c r="A1077" s="216" t="str">
        <f>IFERROR(__xludf.DUMMYFUNCTION("ARRAYFORMULA(IFERROR(VLOOKUP(REGEXEXTRACT(B1077, ""-(\w+)-""), {Data_Validation!$F$16:$F$29, Data_Validation!$E$16:$E$29}, 2, FALSE), """"))
"),"")</f>
        <v/>
      </c>
      <c r="K1077" s="318"/>
      <c r="L1077" s="311"/>
      <c r="M1077" s="312"/>
      <c r="N1077" s="313"/>
      <c r="O1077" s="314"/>
      <c r="P1077" s="314"/>
      <c r="Q1077" s="315"/>
      <c r="R1077" s="316"/>
      <c r="S1077" s="317"/>
      <c r="T1077" s="317"/>
      <c r="U1077" s="317"/>
    </row>
    <row r="1078" ht="20.25" customHeight="1">
      <c r="A1078" s="216" t="str">
        <f>IFERROR(__xludf.DUMMYFUNCTION("ARRAYFORMULA(IFERROR(VLOOKUP(REGEXEXTRACT(B1078, ""-(\w+)-""), {Data_Validation!$F$16:$F$29, Data_Validation!$E$16:$E$29}, 2, FALSE), """"))
"),"")</f>
        <v/>
      </c>
      <c r="K1078" s="318"/>
      <c r="L1078" s="311"/>
      <c r="M1078" s="312"/>
      <c r="N1078" s="313"/>
      <c r="O1078" s="314"/>
      <c r="P1078" s="314"/>
      <c r="Q1078" s="315"/>
      <c r="R1078" s="316"/>
      <c r="S1078" s="317"/>
      <c r="T1078" s="317"/>
      <c r="U1078" s="317"/>
    </row>
    <row r="1079" ht="20.25" customHeight="1">
      <c r="A1079" s="216" t="str">
        <f>IFERROR(__xludf.DUMMYFUNCTION("ARRAYFORMULA(IFERROR(VLOOKUP(REGEXEXTRACT(B1079, ""-(\w+)-""), {Data_Validation!$F$16:$F$29, Data_Validation!$E$16:$E$29}, 2, FALSE), """"))
"),"")</f>
        <v/>
      </c>
      <c r="K1079" s="318"/>
      <c r="L1079" s="311"/>
      <c r="M1079" s="312"/>
      <c r="N1079" s="313"/>
      <c r="O1079" s="314"/>
      <c r="P1079" s="314"/>
      <c r="Q1079" s="315"/>
      <c r="R1079" s="316"/>
      <c r="S1079" s="317"/>
      <c r="T1079" s="317"/>
      <c r="U1079" s="317"/>
    </row>
    <row r="1080" ht="20.25" customHeight="1">
      <c r="A1080" s="216" t="str">
        <f>IFERROR(__xludf.DUMMYFUNCTION("ARRAYFORMULA(IFERROR(VLOOKUP(REGEXEXTRACT(B1080, ""-(\w+)-""), {Data_Validation!$F$16:$F$29, Data_Validation!$E$16:$E$29}, 2, FALSE), """"))
"),"")</f>
        <v/>
      </c>
      <c r="K1080" s="318"/>
      <c r="L1080" s="311"/>
      <c r="M1080" s="312"/>
      <c r="N1080" s="313"/>
      <c r="O1080" s="314"/>
      <c r="P1080" s="314"/>
      <c r="Q1080" s="315"/>
      <c r="R1080" s="316"/>
      <c r="S1080" s="317"/>
      <c r="T1080" s="317"/>
      <c r="U1080" s="317"/>
    </row>
    <row r="1081" ht="20.25" customHeight="1">
      <c r="A1081" s="216" t="str">
        <f>IFERROR(__xludf.DUMMYFUNCTION("ARRAYFORMULA(IFERROR(VLOOKUP(REGEXEXTRACT(B1081, ""-(\w+)-""), {Data_Validation!$F$16:$F$29, Data_Validation!$E$16:$E$29}, 2, FALSE), """"))
"),"")</f>
        <v/>
      </c>
      <c r="K1081" s="318"/>
      <c r="L1081" s="311"/>
      <c r="M1081" s="312"/>
      <c r="N1081" s="313"/>
      <c r="O1081" s="314"/>
      <c r="P1081" s="314"/>
      <c r="Q1081" s="315"/>
      <c r="R1081" s="316"/>
      <c r="S1081" s="317"/>
      <c r="T1081" s="317"/>
      <c r="U1081" s="317"/>
    </row>
    <row r="1082" ht="20.25" customHeight="1">
      <c r="A1082" s="216" t="str">
        <f>IFERROR(__xludf.DUMMYFUNCTION("ARRAYFORMULA(IFERROR(VLOOKUP(REGEXEXTRACT(B1082, ""-(\w+)-""), {Data_Validation!$F$16:$F$29, Data_Validation!$E$16:$E$29}, 2, FALSE), """"))
"),"")</f>
        <v/>
      </c>
      <c r="K1082" s="318"/>
      <c r="L1082" s="311"/>
      <c r="M1082" s="312"/>
      <c r="N1082" s="313"/>
      <c r="O1082" s="314"/>
      <c r="P1082" s="314"/>
      <c r="Q1082" s="315"/>
      <c r="R1082" s="316"/>
      <c r="S1082" s="317"/>
      <c r="T1082" s="317"/>
      <c r="U1082" s="317"/>
    </row>
    <row r="1083" ht="20.25" customHeight="1">
      <c r="A1083" s="216" t="str">
        <f>IFERROR(__xludf.DUMMYFUNCTION("ARRAYFORMULA(IFERROR(VLOOKUP(REGEXEXTRACT(B1083, ""-(\w+)-""), {Data_Validation!$F$16:$F$29, Data_Validation!$E$16:$E$29}, 2, FALSE), """"))
"),"")</f>
        <v/>
      </c>
      <c r="K1083" s="318"/>
      <c r="L1083" s="311"/>
      <c r="M1083" s="312"/>
      <c r="N1083" s="313"/>
      <c r="O1083" s="314"/>
      <c r="P1083" s="314"/>
      <c r="Q1083" s="315"/>
      <c r="R1083" s="316"/>
      <c r="S1083" s="317"/>
      <c r="T1083" s="317"/>
      <c r="U1083" s="317"/>
    </row>
    <row r="1084" ht="20.25" customHeight="1">
      <c r="A1084" s="216" t="str">
        <f>IFERROR(__xludf.DUMMYFUNCTION("ARRAYFORMULA(IFERROR(VLOOKUP(REGEXEXTRACT(B1084, ""-(\w+)-""), {Data_Validation!$F$16:$F$29, Data_Validation!$E$16:$E$29}, 2, FALSE), """"))
"),"")</f>
        <v/>
      </c>
      <c r="K1084" s="318"/>
      <c r="L1084" s="311"/>
      <c r="M1084" s="312"/>
      <c r="N1084" s="313"/>
      <c r="O1084" s="314"/>
      <c r="P1084" s="314"/>
      <c r="Q1084" s="315"/>
      <c r="R1084" s="316"/>
      <c r="S1084" s="317"/>
      <c r="T1084" s="317"/>
      <c r="U1084" s="317"/>
    </row>
    <row r="1085" ht="20.25" customHeight="1">
      <c r="A1085" s="216" t="str">
        <f>IFERROR(__xludf.DUMMYFUNCTION("ARRAYFORMULA(IFERROR(VLOOKUP(REGEXEXTRACT(B1085, ""-(\w+)-""), {Data_Validation!$F$16:$F$29, Data_Validation!$E$16:$E$29}, 2, FALSE), """"))
"),"")</f>
        <v/>
      </c>
      <c r="K1085" s="318"/>
      <c r="L1085" s="311"/>
      <c r="M1085" s="312"/>
      <c r="N1085" s="313"/>
      <c r="O1085" s="314"/>
      <c r="P1085" s="314"/>
      <c r="Q1085" s="315"/>
      <c r="R1085" s="316"/>
      <c r="S1085" s="317"/>
      <c r="T1085" s="317"/>
      <c r="U1085" s="317"/>
    </row>
    <row r="1086" ht="20.25" customHeight="1">
      <c r="A1086" s="216" t="str">
        <f>IFERROR(__xludf.DUMMYFUNCTION("ARRAYFORMULA(IFERROR(VLOOKUP(REGEXEXTRACT(B1086, ""-(\w+)-""), {Data_Validation!$F$16:$F$29, Data_Validation!$E$16:$E$29}, 2, FALSE), """"))
"),"")</f>
        <v/>
      </c>
      <c r="K1086" s="318"/>
      <c r="L1086" s="311"/>
      <c r="M1086" s="312"/>
      <c r="N1086" s="313"/>
      <c r="O1086" s="314"/>
      <c r="P1086" s="314"/>
      <c r="Q1086" s="315"/>
      <c r="R1086" s="316"/>
      <c r="S1086" s="317"/>
      <c r="T1086" s="317"/>
      <c r="U1086" s="317"/>
    </row>
    <row r="1087" ht="20.25" customHeight="1">
      <c r="A1087" s="216" t="str">
        <f>IFERROR(__xludf.DUMMYFUNCTION("ARRAYFORMULA(IFERROR(VLOOKUP(REGEXEXTRACT(B1087, ""-(\w+)-""), {Data_Validation!$F$16:$F$29, Data_Validation!$E$16:$E$29}, 2, FALSE), """"))
"),"")</f>
        <v/>
      </c>
      <c r="K1087" s="318"/>
      <c r="L1087" s="311"/>
      <c r="M1087" s="312"/>
      <c r="N1087" s="313"/>
      <c r="O1087" s="314"/>
      <c r="P1087" s="314"/>
      <c r="Q1087" s="315"/>
      <c r="R1087" s="316"/>
      <c r="S1087" s="317"/>
      <c r="T1087" s="317"/>
      <c r="U1087" s="317"/>
    </row>
    <row r="1088" ht="20.25" customHeight="1">
      <c r="A1088" s="216" t="str">
        <f>IFERROR(__xludf.DUMMYFUNCTION("ARRAYFORMULA(IFERROR(VLOOKUP(REGEXEXTRACT(B1088, ""-(\w+)-""), {Data_Validation!$F$16:$F$29, Data_Validation!$E$16:$E$29}, 2, FALSE), """"))
"),"")</f>
        <v/>
      </c>
      <c r="K1088" s="318"/>
      <c r="L1088" s="311"/>
      <c r="M1088" s="312"/>
      <c r="N1088" s="313"/>
      <c r="O1088" s="314"/>
      <c r="P1088" s="314"/>
      <c r="Q1088" s="315"/>
      <c r="R1088" s="316"/>
      <c r="S1088" s="317"/>
      <c r="T1088" s="317"/>
      <c r="U1088" s="317"/>
    </row>
    <row r="1089" ht="20.25" customHeight="1">
      <c r="A1089" s="216" t="str">
        <f>IFERROR(__xludf.DUMMYFUNCTION("ARRAYFORMULA(IFERROR(VLOOKUP(REGEXEXTRACT(B1089, ""-(\w+)-""), {Data_Validation!$F$16:$F$29, Data_Validation!$E$16:$E$29}, 2, FALSE), """"))
"),"")</f>
        <v/>
      </c>
      <c r="K1089" s="318"/>
      <c r="L1089" s="311"/>
      <c r="M1089" s="312"/>
      <c r="N1089" s="313"/>
      <c r="O1089" s="314"/>
      <c r="P1089" s="314"/>
      <c r="Q1089" s="315"/>
      <c r="R1089" s="316"/>
      <c r="S1089" s="317"/>
      <c r="T1089" s="317"/>
      <c r="U1089" s="317"/>
    </row>
    <row r="1090" ht="20.25" customHeight="1">
      <c r="A1090" s="216" t="str">
        <f>IFERROR(__xludf.DUMMYFUNCTION("ARRAYFORMULA(IFERROR(VLOOKUP(REGEXEXTRACT(B1090, ""-(\w+)-""), {Data_Validation!$F$16:$F$29, Data_Validation!$E$16:$E$29}, 2, FALSE), """"))
"),"")</f>
        <v/>
      </c>
      <c r="K1090" s="318"/>
      <c r="L1090" s="311"/>
      <c r="M1090" s="312"/>
      <c r="N1090" s="313"/>
      <c r="O1090" s="314"/>
      <c r="P1090" s="314"/>
      <c r="Q1090" s="315"/>
      <c r="R1090" s="316"/>
      <c r="S1090" s="317"/>
      <c r="T1090" s="317"/>
      <c r="U1090" s="317"/>
    </row>
    <row r="1091" ht="20.25" customHeight="1">
      <c r="A1091" s="216" t="str">
        <f>IFERROR(__xludf.DUMMYFUNCTION("ARRAYFORMULA(IFERROR(VLOOKUP(REGEXEXTRACT(B1091, ""-(\w+)-""), {Data_Validation!$F$16:$F$29, Data_Validation!$E$16:$E$29}, 2, FALSE), """"))
"),"")</f>
        <v/>
      </c>
      <c r="K1091" s="318"/>
      <c r="L1091" s="311"/>
      <c r="M1091" s="312"/>
      <c r="N1091" s="313"/>
      <c r="O1091" s="314"/>
      <c r="P1091" s="314"/>
      <c r="Q1091" s="315"/>
      <c r="R1091" s="316"/>
      <c r="S1091" s="317"/>
      <c r="T1091" s="317"/>
      <c r="U1091" s="317"/>
    </row>
    <row r="1092" ht="20.25" customHeight="1">
      <c r="A1092" s="216" t="str">
        <f>IFERROR(__xludf.DUMMYFUNCTION("ARRAYFORMULA(IFERROR(VLOOKUP(REGEXEXTRACT(B1092, ""-(\w+)-""), {Data_Validation!$F$16:$F$29, Data_Validation!$E$16:$E$29}, 2, FALSE), """"))
"),"")</f>
        <v/>
      </c>
      <c r="K1092" s="318"/>
      <c r="L1092" s="311"/>
      <c r="M1092" s="312"/>
      <c r="N1092" s="313"/>
      <c r="O1092" s="314"/>
      <c r="P1092" s="314"/>
      <c r="Q1092" s="315"/>
      <c r="R1092" s="316"/>
      <c r="S1092" s="317"/>
      <c r="T1092" s="317"/>
      <c r="U1092" s="317"/>
    </row>
    <row r="1093" ht="20.25" customHeight="1">
      <c r="A1093" s="216" t="str">
        <f>IFERROR(__xludf.DUMMYFUNCTION("ARRAYFORMULA(IFERROR(VLOOKUP(REGEXEXTRACT(B1093, ""-(\w+)-""), {Data_Validation!$F$16:$F$29, Data_Validation!$E$16:$E$29}, 2, FALSE), """"))
"),"")</f>
        <v/>
      </c>
      <c r="K1093" s="318"/>
      <c r="L1093" s="311"/>
      <c r="M1093" s="312"/>
      <c r="N1093" s="313"/>
      <c r="O1093" s="314"/>
      <c r="P1093" s="314"/>
      <c r="Q1093" s="315"/>
      <c r="R1093" s="316"/>
      <c r="S1093" s="317"/>
      <c r="T1093" s="317"/>
      <c r="U1093" s="317"/>
    </row>
    <row r="1094" ht="20.25" customHeight="1">
      <c r="A1094" s="216" t="str">
        <f>IFERROR(__xludf.DUMMYFUNCTION("ARRAYFORMULA(IFERROR(VLOOKUP(REGEXEXTRACT(B1094, ""-(\w+)-""), {Data_Validation!$F$16:$F$29, Data_Validation!$E$16:$E$29}, 2, FALSE), """"))
"),"")</f>
        <v/>
      </c>
      <c r="K1094" s="318"/>
      <c r="L1094" s="311"/>
      <c r="M1094" s="312"/>
      <c r="N1094" s="313"/>
      <c r="O1094" s="314"/>
      <c r="P1094" s="314"/>
      <c r="Q1094" s="315"/>
      <c r="R1094" s="316"/>
      <c r="S1094" s="317"/>
      <c r="T1094" s="317"/>
      <c r="U1094" s="317"/>
    </row>
    <row r="1095" ht="20.25" customHeight="1">
      <c r="A1095" s="216" t="str">
        <f>IFERROR(__xludf.DUMMYFUNCTION("ARRAYFORMULA(IFERROR(VLOOKUP(REGEXEXTRACT(B1095, ""-(\w+)-""), {Data_Validation!$F$16:$F$29, Data_Validation!$E$16:$E$29}, 2, FALSE), """"))
"),"")</f>
        <v/>
      </c>
      <c r="K1095" s="318"/>
      <c r="L1095" s="311"/>
      <c r="M1095" s="312"/>
      <c r="N1095" s="313"/>
      <c r="O1095" s="314"/>
      <c r="P1095" s="314"/>
      <c r="Q1095" s="315"/>
      <c r="R1095" s="316"/>
      <c r="S1095" s="317"/>
      <c r="T1095" s="317"/>
      <c r="U1095" s="317"/>
    </row>
    <row r="1096" ht="20.25" customHeight="1">
      <c r="A1096" s="216" t="str">
        <f>IFERROR(__xludf.DUMMYFUNCTION("ARRAYFORMULA(IFERROR(VLOOKUP(REGEXEXTRACT(B1096, ""-(\w+)-""), {Data_Validation!$F$16:$F$29, Data_Validation!$E$16:$E$29}, 2, FALSE), """"))
"),"")</f>
        <v/>
      </c>
      <c r="K1096" s="318"/>
      <c r="L1096" s="311"/>
      <c r="M1096" s="312"/>
      <c r="N1096" s="313"/>
      <c r="O1096" s="314"/>
      <c r="P1096" s="314"/>
      <c r="Q1096" s="315"/>
      <c r="R1096" s="316"/>
      <c r="S1096" s="317"/>
      <c r="T1096" s="317"/>
      <c r="U1096" s="317"/>
    </row>
    <row r="1097" ht="20.25" customHeight="1">
      <c r="A1097" s="216" t="str">
        <f>IFERROR(__xludf.DUMMYFUNCTION("ARRAYFORMULA(IFERROR(VLOOKUP(REGEXEXTRACT(B1097, ""-(\w+)-""), {Data_Validation!$F$16:$F$29, Data_Validation!$E$16:$E$29}, 2, FALSE), """"))
"),"")</f>
        <v/>
      </c>
      <c r="K1097" s="318"/>
      <c r="L1097" s="311"/>
      <c r="M1097" s="312"/>
      <c r="N1097" s="313"/>
      <c r="O1097" s="314"/>
      <c r="P1097" s="314"/>
      <c r="Q1097" s="315"/>
      <c r="R1097" s="316"/>
      <c r="S1097" s="317"/>
      <c r="T1097" s="317"/>
      <c r="U1097" s="317"/>
    </row>
    <row r="1098" ht="20.25" customHeight="1">
      <c r="A1098" s="216" t="str">
        <f>IFERROR(__xludf.DUMMYFUNCTION("ARRAYFORMULA(IFERROR(VLOOKUP(REGEXEXTRACT(B1098, ""-(\w+)-""), {Data_Validation!$F$16:$F$29, Data_Validation!$E$16:$E$29}, 2, FALSE), """"))
"),"")</f>
        <v/>
      </c>
      <c r="K1098" s="318"/>
      <c r="L1098" s="311"/>
      <c r="M1098" s="312"/>
      <c r="N1098" s="313"/>
      <c r="O1098" s="314"/>
      <c r="P1098" s="314"/>
      <c r="Q1098" s="315"/>
      <c r="R1098" s="316"/>
      <c r="S1098" s="317"/>
      <c r="T1098" s="317"/>
      <c r="U1098" s="317"/>
    </row>
    <row r="1099" ht="20.25" customHeight="1">
      <c r="A1099" s="216" t="str">
        <f>IFERROR(__xludf.DUMMYFUNCTION("ARRAYFORMULA(IFERROR(VLOOKUP(REGEXEXTRACT(B1099, ""-(\w+)-""), {Data_Validation!$F$16:$F$29, Data_Validation!$E$16:$E$29}, 2, FALSE), """"))
"),"")</f>
        <v/>
      </c>
      <c r="K1099" s="318"/>
      <c r="L1099" s="311"/>
      <c r="M1099" s="312"/>
      <c r="N1099" s="313"/>
      <c r="O1099" s="314"/>
      <c r="P1099" s="314"/>
      <c r="Q1099" s="315"/>
      <c r="R1099" s="316"/>
      <c r="S1099" s="317"/>
      <c r="T1099" s="317"/>
      <c r="U1099" s="317"/>
    </row>
    <row r="1100" ht="20.25" customHeight="1">
      <c r="A1100" s="216" t="str">
        <f>IFERROR(__xludf.DUMMYFUNCTION("ARRAYFORMULA(IFERROR(VLOOKUP(REGEXEXTRACT(B1100, ""-(\w+)-""), {Data_Validation!$F$16:$F$29, Data_Validation!$E$16:$E$29}, 2, FALSE), """"))
"),"")</f>
        <v/>
      </c>
      <c r="K1100" s="318"/>
      <c r="L1100" s="311"/>
      <c r="M1100" s="312"/>
      <c r="N1100" s="313"/>
      <c r="O1100" s="314"/>
      <c r="P1100" s="314"/>
      <c r="Q1100" s="315"/>
      <c r="R1100" s="316"/>
      <c r="S1100" s="317"/>
      <c r="T1100" s="317"/>
      <c r="U1100" s="317"/>
    </row>
    <row r="1101" ht="20.25" customHeight="1">
      <c r="A1101" s="216" t="str">
        <f>IFERROR(__xludf.DUMMYFUNCTION("ARRAYFORMULA(IFERROR(VLOOKUP(REGEXEXTRACT(B1101, ""-(\w+)-""), {Data_Validation!$F$16:$F$29, Data_Validation!$E$16:$E$29}, 2, FALSE), """"))
"),"")</f>
        <v/>
      </c>
      <c r="K1101" s="318"/>
      <c r="L1101" s="311"/>
      <c r="M1101" s="312"/>
      <c r="N1101" s="313"/>
      <c r="O1101" s="314"/>
      <c r="P1101" s="314"/>
      <c r="Q1101" s="315"/>
      <c r="R1101" s="316"/>
      <c r="S1101" s="317"/>
      <c r="T1101" s="317"/>
      <c r="U1101" s="317"/>
    </row>
    <row r="1102" ht="20.25" customHeight="1">
      <c r="A1102" s="216" t="str">
        <f>IFERROR(__xludf.DUMMYFUNCTION("ARRAYFORMULA(IFERROR(VLOOKUP(REGEXEXTRACT(B1102, ""-(\w+)-""), {Data_Validation!$F$16:$F$29, Data_Validation!$E$16:$E$29}, 2, FALSE), """"))
"),"")</f>
        <v/>
      </c>
      <c r="K1102" s="318"/>
      <c r="L1102" s="311"/>
      <c r="M1102" s="312"/>
      <c r="N1102" s="313"/>
      <c r="O1102" s="314"/>
      <c r="P1102" s="314"/>
      <c r="Q1102" s="315"/>
      <c r="R1102" s="316"/>
      <c r="S1102" s="317"/>
      <c r="T1102" s="317"/>
      <c r="U1102" s="317"/>
    </row>
    <row r="1103" ht="20.25" customHeight="1">
      <c r="A1103" s="216" t="str">
        <f>IFERROR(__xludf.DUMMYFUNCTION("ARRAYFORMULA(IFERROR(VLOOKUP(REGEXEXTRACT(B1103, ""-(\w+)-""), {Data_Validation!$F$16:$F$29, Data_Validation!$E$16:$E$29}, 2, FALSE), """"))
"),"")</f>
        <v/>
      </c>
      <c r="K1103" s="318"/>
      <c r="L1103" s="311"/>
      <c r="M1103" s="312"/>
      <c r="N1103" s="313"/>
      <c r="O1103" s="314"/>
      <c r="P1103" s="314"/>
      <c r="Q1103" s="315"/>
      <c r="R1103" s="316"/>
      <c r="S1103" s="317"/>
      <c r="T1103" s="317"/>
      <c r="U1103" s="317"/>
    </row>
    <row r="1104" ht="20.25" customHeight="1">
      <c r="A1104" s="216" t="str">
        <f>IFERROR(__xludf.DUMMYFUNCTION("ARRAYFORMULA(IFERROR(VLOOKUP(REGEXEXTRACT(B1104, ""-(\w+)-""), {Data_Validation!$F$16:$F$29, Data_Validation!$E$16:$E$29}, 2, FALSE), """"))
"),"")</f>
        <v/>
      </c>
      <c r="K1104" s="318"/>
      <c r="L1104" s="311"/>
      <c r="M1104" s="312"/>
      <c r="N1104" s="313"/>
      <c r="O1104" s="314"/>
      <c r="P1104" s="314"/>
      <c r="Q1104" s="315"/>
      <c r="R1104" s="316"/>
      <c r="S1104" s="317"/>
      <c r="T1104" s="317"/>
      <c r="U1104" s="317"/>
    </row>
    <row r="1105" ht="20.25" customHeight="1">
      <c r="A1105" s="216" t="str">
        <f>IFERROR(__xludf.DUMMYFUNCTION("ARRAYFORMULA(IFERROR(VLOOKUP(REGEXEXTRACT(B1105, ""-(\w+)-""), {Data_Validation!$F$16:$F$29, Data_Validation!$E$16:$E$29}, 2, FALSE), """"))
"),"")</f>
        <v/>
      </c>
      <c r="K1105" s="318"/>
      <c r="L1105" s="311"/>
      <c r="M1105" s="312"/>
      <c r="N1105" s="313"/>
      <c r="O1105" s="314"/>
      <c r="P1105" s="314"/>
      <c r="Q1105" s="315"/>
      <c r="R1105" s="316"/>
      <c r="S1105" s="317"/>
      <c r="T1105" s="317"/>
      <c r="U1105" s="317"/>
    </row>
    <row r="1106" ht="20.25" customHeight="1">
      <c r="A1106" s="216" t="str">
        <f>IFERROR(__xludf.DUMMYFUNCTION("ARRAYFORMULA(IFERROR(VLOOKUP(REGEXEXTRACT(B1106, ""-(\w+)-""), {Data_Validation!$F$16:$F$29, Data_Validation!$E$16:$E$29}, 2, FALSE), """"))
"),"")</f>
        <v/>
      </c>
      <c r="K1106" s="318"/>
      <c r="L1106" s="311"/>
      <c r="M1106" s="312"/>
      <c r="N1106" s="313"/>
      <c r="O1106" s="314"/>
      <c r="P1106" s="314"/>
      <c r="Q1106" s="315"/>
      <c r="R1106" s="316"/>
      <c r="S1106" s="317"/>
      <c r="T1106" s="317"/>
      <c r="U1106" s="317"/>
    </row>
    <row r="1107" ht="20.25" customHeight="1">
      <c r="A1107" s="216" t="str">
        <f>IFERROR(__xludf.DUMMYFUNCTION("ARRAYFORMULA(IFERROR(VLOOKUP(REGEXEXTRACT(B1107, ""-(\w+)-""), {Data_Validation!$F$16:$F$29, Data_Validation!$E$16:$E$29}, 2, FALSE), """"))
"),"")</f>
        <v/>
      </c>
      <c r="K1107" s="318"/>
      <c r="L1107" s="311"/>
      <c r="M1107" s="312"/>
      <c r="N1107" s="313"/>
      <c r="O1107" s="314"/>
      <c r="P1107" s="314"/>
      <c r="Q1107" s="315"/>
      <c r="R1107" s="316"/>
      <c r="S1107" s="317"/>
      <c r="T1107" s="317"/>
      <c r="U1107" s="317"/>
    </row>
    <row r="1108" ht="20.25" customHeight="1">
      <c r="A1108" s="216" t="str">
        <f>IFERROR(__xludf.DUMMYFUNCTION("ARRAYFORMULA(IFERROR(VLOOKUP(REGEXEXTRACT(B1108, ""-(\w+)-""), {Data_Validation!$F$16:$F$29, Data_Validation!$E$16:$E$29}, 2, FALSE), """"))
"),"")</f>
        <v/>
      </c>
      <c r="K1108" s="318"/>
      <c r="L1108" s="311"/>
      <c r="M1108" s="312"/>
      <c r="N1108" s="313"/>
      <c r="O1108" s="314"/>
      <c r="P1108" s="314"/>
      <c r="Q1108" s="315"/>
      <c r="R1108" s="316"/>
      <c r="S1108" s="317"/>
      <c r="T1108" s="317"/>
      <c r="U1108" s="317"/>
    </row>
    <row r="1109" ht="20.25" customHeight="1">
      <c r="A1109" s="216" t="str">
        <f>IFERROR(__xludf.DUMMYFUNCTION("ARRAYFORMULA(IFERROR(VLOOKUP(REGEXEXTRACT(B1109, ""-(\w+)-""), {Data_Validation!$F$16:$F$29, Data_Validation!$E$16:$E$29}, 2, FALSE), """"))
"),"")</f>
        <v/>
      </c>
      <c r="K1109" s="318"/>
      <c r="L1109" s="311"/>
      <c r="M1109" s="312"/>
      <c r="N1109" s="313"/>
      <c r="O1109" s="314"/>
      <c r="P1109" s="314"/>
      <c r="Q1109" s="315"/>
      <c r="R1109" s="316"/>
      <c r="S1109" s="317"/>
      <c r="T1109" s="317"/>
      <c r="U1109" s="317"/>
    </row>
    <row r="1110" ht="20.25" customHeight="1">
      <c r="A1110" s="216" t="str">
        <f>IFERROR(__xludf.DUMMYFUNCTION("ARRAYFORMULA(IFERROR(VLOOKUP(REGEXEXTRACT(B1110, ""-(\w+)-""), {Data_Validation!$F$16:$F$29, Data_Validation!$E$16:$E$29}, 2, FALSE), """"))
"),"")</f>
        <v/>
      </c>
      <c r="K1110" s="318"/>
      <c r="L1110" s="311"/>
      <c r="M1110" s="312"/>
      <c r="N1110" s="313"/>
      <c r="O1110" s="314"/>
      <c r="P1110" s="314"/>
      <c r="Q1110" s="315"/>
      <c r="R1110" s="316"/>
      <c r="S1110" s="317"/>
      <c r="T1110" s="317"/>
      <c r="U1110" s="317"/>
    </row>
    <row r="1111" ht="20.25" customHeight="1">
      <c r="A1111" s="216" t="str">
        <f>IFERROR(__xludf.DUMMYFUNCTION("ARRAYFORMULA(IFERROR(VLOOKUP(REGEXEXTRACT(B1111, ""-(\w+)-""), {Data_Validation!$F$16:$F$29, Data_Validation!$E$16:$E$29}, 2, FALSE), """"))
"),"")</f>
        <v/>
      </c>
      <c r="K1111" s="318"/>
      <c r="L1111" s="311"/>
      <c r="M1111" s="312"/>
      <c r="N1111" s="313"/>
      <c r="O1111" s="314"/>
      <c r="P1111" s="314"/>
      <c r="Q1111" s="315"/>
      <c r="R1111" s="316"/>
      <c r="S1111" s="317"/>
      <c r="T1111" s="317"/>
      <c r="U1111" s="317"/>
    </row>
    <row r="1112" ht="20.25" customHeight="1">
      <c r="A1112" s="216" t="str">
        <f>IFERROR(__xludf.DUMMYFUNCTION("ARRAYFORMULA(IFERROR(VLOOKUP(REGEXEXTRACT(B1112, ""-(\w+)-""), {Data_Validation!$F$16:$F$29, Data_Validation!$E$16:$E$29}, 2, FALSE), """"))
"),"")</f>
        <v/>
      </c>
      <c r="K1112" s="318"/>
      <c r="L1112" s="311"/>
      <c r="M1112" s="312"/>
      <c r="N1112" s="313"/>
      <c r="O1112" s="314"/>
      <c r="P1112" s="314"/>
      <c r="Q1112" s="315"/>
      <c r="R1112" s="316"/>
      <c r="S1112" s="317"/>
      <c r="T1112" s="317"/>
      <c r="U1112" s="317"/>
    </row>
    <row r="1113" ht="20.25" customHeight="1">
      <c r="A1113" s="216" t="str">
        <f>IFERROR(__xludf.DUMMYFUNCTION("ARRAYFORMULA(IFERROR(VLOOKUP(REGEXEXTRACT(B1113, ""-(\w+)-""), {Data_Validation!$F$16:$F$29, Data_Validation!$E$16:$E$29}, 2, FALSE), """"))
"),"")</f>
        <v/>
      </c>
      <c r="K1113" s="318"/>
      <c r="L1113" s="311"/>
      <c r="M1113" s="312"/>
      <c r="N1113" s="313"/>
      <c r="O1113" s="314"/>
      <c r="P1113" s="314"/>
      <c r="Q1113" s="315"/>
      <c r="R1113" s="316"/>
      <c r="S1113" s="317"/>
      <c r="T1113" s="317"/>
      <c r="U1113" s="317"/>
    </row>
    <row r="1114" ht="20.25" customHeight="1">
      <c r="A1114" s="216" t="str">
        <f>IFERROR(__xludf.DUMMYFUNCTION("ARRAYFORMULA(IFERROR(VLOOKUP(REGEXEXTRACT(B1114, ""-(\w+)-""), {Data_Validation!$F$16:$F$29, Data_Validation!$E$16:$E$29}, 2, FALSE), """"))
"),"")</f>
        <v/>
      </c>
      <c r="K1114" s="318"/>
      <c r="L1114" s="311"/>
      <c r="M1114" s="312"/>
      <c r="N1114" s="313"/>
      <c r="O1114" s="314"/>
      <c r="P1114" s="314"/>
      <c r="Q1114" s="315"/>
      <c r="R1114" s="316"/>
      <c r="S1114" s="317"/>
      <c r="T1114" s="317"/>
      <c r="U1114" s="317"/>
    </row>
    <row r="1115" ht="20.25" customHeight="1">
      <c r="A1115" s="216" t="str">
        <f>IFERROR(__xludf.DUMMYFUNCTION("ARRAYFORMULA(IFERROR(VLOOKUP(REGEXEXTRACT(B1115, ""-(\w+)-""), {Data_Validation!$F$16:$F$29, Data_Validation!$E$16:$E$29}, 2, FALSE), """"))
"),"")</f>
        <v/>
      </c>
      <c r="K1115" s="318"/>
      <c r="L1115" s="311"/>
      <c r="M1115" s="312"/>
      <c r="N1115" s="313"/>
      <c r="O1115" s="314"/>
      <c r="P1115" s="314"/>
      <c r="Q1115" s="315"/>
      <c r="R1115" s="316"/>
      <c r="S1115" s="317"/>
      <c r="T1115" s="317"/>
      <c r="U1115" s="317"/>
    </row>
    <row r="1116" ht="20.25" customHeight="1">
      <c r="A1116" s="216" t="str">
        <f>IFERROR(__xludf.DUMMYFUNCTION("ARRAYFORMULA(IFERROR(VLOOKUP(REGEXEXTRACT(B1116, ""-(\w+)-""), {Data_Validation!$F$16:$F$29, Data_Validation!$E$16:$E$29}, 2, FALSE), """"))
"),"")</f>
        <v/>
      </c>
      <c r="K1116" s="318"/>
      <c r="L1116" s="311"/>
      <c r="M1116" s="312"/>
      <c r="N1116" s="313"/>
      <c r="O1116" s="314"/>
      <c r="P1116" s="314"/>
      <c r="Q1116" s="315"/>
      <c r="R1116" s="316"/>
      <c r="S1116" s="317"/>
      <c r="T1116" s="317"/>
      <c r="U1116" s="317"/>
    </row>
    <row r="1117" ht="20.25" customHeight="1">
      <c r="A1117" s="216" t="str">
        <f>IFERROR(__xludf.DUMMYFUNCTION("ARRAYFORMULA(IFERROR(VLOOKUP(REGEXEXTRACT(B1117, ""-(\w+)-""), {Data_Validation!$F$16:$F$29, Data_Validation!$E$16:$E$29}, 2, FALSE), """"))
"),"")</f>
        <v/>
      </c>
      <c r="K1117" s="318"/>
      <c r="L1117" s="311"/>
      <c r="M1117" s="312"/>
      <c r="N1117" s="313"/>
      <c r="O1117" s="314"/>
      <c r="P1117" s="314"/>
      <c r="Q1117" s="315"/>
      <c r="R1117" s="316"/>
      <c r="S1117" s="317"/>
      <c r="T1117" s="317"/>
      <c r="U1117" s="317"/>
    </row>
    <row r="1118" ht="20.25" customHeight="1">
      <c r="A1118" s="216" t="str">
        <f>IFERROR(__xludf.DUMMYFUNCTION("ARRAYFORMULA(IFERROR(VLOOKUP(REGEXEXTRACT(B1118, ""-(\w+)-""), {Data_Validation!$F$16:$F$29, Data_Validation!$E$16:$E$29}, 2, FALSE), """"))
"),"")</f>
        <v/>
      </c>
      <c r="K1118" s="318"/>
      <c r="L1118" s="311"/>
      <c r="M1118" s="312"/>
      <c r="N1118" s="313"/>
      <c r="O1118" s="314"/>
      <c r="P1118" s="314"/>
      <c r="Q1118" s="315"/>
      <c r="R1118" s="316"/>
      <c r="S1118" s="317"/>
      <c r="T1118" s="317"/>
      <c r="U1118" s="317"/>
    </row>
    <row r="1119" ht="20.25" customHeight="1">
      <c r="A1119" s="216" t="str">
        <f>IFERROR(__xludf.DUMMYFUNCTION("ARRAYFORMULA(IFERROR(VLOOKUP(REGEXEXTRACT(B1119, ""-(\w+)-""), {Data_Validation!$F$16:$F$29, Data_Validation!$E$16:$E$29}, 2, FALSE), """"))
"),"")</f>
        <v/>
      </c>
      <c r="K1119" s="318"/>
      <c r="L1119" s="311"/>
      <c r="M1119" s="312"/>
      <c r="N1119" s="313"/>
      <c r="O1119" s="314"/>
      <c r="P1119" s="314"/>
      <c r="Q1119" s="315"/>
      <c r="R1119" s="316"/>
      <c r="S1119" s="317"/>
      <c r="T1119" s="317"/>
      <c r="U1119" s="317"/>
    </row>
    <row r="1120" ht="20.25" customHeight="1">
      <c r="A1120" s="216" t="str">
        <f>IFERROR(__xludf.DUMMYFUNCTION("ARRAYFORMULA(IFERROR(VLOOKUP(REGEXEXTRACT(B1120, ""-(\w+)-""), {Data_Validation!$F$16:$F$29, Data_Validation!$E$16:$E$29}, 2, FALSE), """"))
"),"")</f>
        <v/>
      </c>
      <c r="K1120" s="318"/>
      <c r="L1120" s="311"/>
      <c r="M1120" s="312"/>
      <c r="N1120" s="313"/>
      <c r="O1120" s="314"/>
      <c r="P1120" s="314"/>
      <c r="Q1120" s="315"/>
      <c r="R1120" s="316"/>
      <c r="S1120" s="317"/>
      <c r="T1120" s="317"/>
      <c r="U1120" s="317"/>
    </row>
    <row r="1121" ht="20.25" customHeight="1">
      <c r="A1121" s="216" t="str">
        <f>IFERROR(__xludf.DUMMYFUNCTION("ARRAYFORMULA(IFERROR(VLOOKUP(REGEXEXTRACT(B1121, ""-(\w+)-""), {Data_Validation!$F$16:$F$29, Data_Validation!$E$16:$E$29}, 2, FALSE), """"))
"),"")</f>
        <v/>
      </c>
      <c r="K1121" s="318"/>
      <c r="L1121" s="311"/>
      <c r="M1121" s="312"/>
      <c r="N1121" s="313"/>
      <c r="O1121" s="314"/>
      <c r="P1121" s="314"/>
      <c r="Q1121" s="315"/>
      <c r="R1121" s="316"/>
      <c r="S1121" s="317"/>
      <c r="T1121" s="317"/>
      <c r="U1121" s="317"/>
    </row>
    <row r="1122" ht="20.25" customHeight="1">
      <c r="A1122" s="216" t="str">
        <f>IFERROR(__xludf.DUMMYFUNCTION("ARRAYFORMULA(IFERROR(VLOOKUP(REGEXEXTRACT(B1122, ""-(\w+)-""), {Data_Validation!$F$16:$F$29, Data_Validation!$E$16:$E$29}, 2, FALSE), """"))
"),"")</f>
        <v/>
      </c>
      <c r="K1122" s="318"/>
      <c r="L1122" s="311"/>
      <c r="M1122" s="312"/>
      <c r="N1122" s="313"/>
      <c r="O1122" s="314"/>
      <c r="P1122" s="314"/>
      <c r="Q1122" s="315"/>
      <c r="R1122" s="316"/>
      <c r="S1122" s="317"/>
      <c r="T1122" s="317"/>
      <c r="U1122" s="317"/>
    </row>
    <row r="1123" ht="20.25" customHeight="1">
      <c r="A1123" s="216" t="str">
        <f>IFERROR(__xludf.DUMMYFUNCTION("ARRAYFORMULA(IFERROR(VLOOKUP(REGEXEXTRACT(B1123, ""-(\w+)-""), {Data_Validation!$F$16:$F$29, Data_Validation!$E$16:$E$29}, 2, FALSE), """"))
"),"")</f>
        <v/>
      </c>
      <c r="K1123" s="318"/>
      <c r="L1123" s="311"/>
      <c r="M1123" s="312"/>
      <c r="N1123" s="313"/>
      <c r="O1123" s="314"/>
      <c r="P1123" s="314"/>
      <c r="Q1123" s="315"/>
      <c r="R1123" s="316"/>
      <c r="S1123" s="317"/>
      <c r="T1123" s="317"/>
      <c r="U1123" s="317"/>
    </row>
    <row r="1124" ht="20.25" customHeight="1">
      <c r="A1124" s="216" t="str">
        <f>IFERROR(__xludf.DUMMYFUNCTION("ARRAYFORMULA(IFERROR(VLOOKUP(REGEXEXTRACT(B1124, ""-(\w+)-""), {Data_Validation!$F$16:$F$29, Data_Validation!$E$16:$E$29}, 2, FALSE), """"))
"),"")</f>
        <v/>
      </c>
      <c r="K1124" s="318"/>
      <c r="L1124" s="311"/>
      <c r="M1124" s="312"/>
      <c r="N1124" s="313"/>
      <c r="O1124" s="314"/>
      <c r="P1124" s="314"/>
      <c r="Q1124" s="315"/>
      <c r="R1124" s="316"/>
      <c r="S1124" s="317"/>
      <c r="T1124" s="317"/>
      <c r="U1124" s="317"/>
    </row>
    <row r="1125" ht="20.25" customHeight="1">
      <c r="A1125" s="216" t="str">
        <f>IFERROR(__xludf.DUMMYFUNCTION("ARRAYFORMULA(IFERROR(VLOOKUP(REGEXEXTRACT(B1125, ""-(\w+)-""), {Data_Validation!$F$16:$F$29, Data_Validation!$E$16:$E$29}, 2, FALSE), """"))
"),"")</f>
        <v/>
      </c>
      <c r="K1125" s="318"/>
      <c r="L1125" s="311"/>
      <c r="M1125" s="312"/>
      <c r="N1125" s="313"/>
      <c r="O1125" s="314"/>
      <c r="P1125" s="314"/>
      <c r="Q1125" s="315"/>
      <c r="R1125" s="316"/>
      <c r="S1125" s="317"/>
      <c r="T1125" s="317"/>
      <c r="U1125" s="317"/>
    </row>
    <row r="1126" ht="20.25" customHeight="1">
      <c r="A1126" s="216" t="str">
        <f>IFERROR(__xludf.DUMMYFUNCTION("ARRAYFORMULA(IFERROR(VLOOKUP(REGEXEXTRACT(B1126, ""-(\w+)-""), {Data_Validation!$F$16:$F$29, Data_Validation!$E$16:$E$29}, 2, FALSE), """"))
"),"")</f>
        <v/>
      </c>
      <c r="K1126" s="318"/>
      <c r="L1126" s="311"/>
      <c r="M1126" s="312"/>
      <c r="N1126" s="313"/>
      <c r="O1126" s="314"/>
      <c r="P1126" s="314"/>
      <c r="Q1126" s="315"/>
      <c r="R1126" s="316"/>
      <c r="S1126" s="317"/>
      <c r="T1126" s="317"/>
      <c r="U1126" s="317"/>
    </row>
    <row r="1127" ht="20.25" customHeight="1">
      <c r="A1127" s="216" t="str">
        <f>IFERROR(__xludf.DUMMYFUNCTION("ARRAYFORMULA(IFERROR(VLOOKUP(REGEXEXTRACT(B1127, ""-(\w+)-""), {Data_Validation!$F$16:$F$29, Data_Validation!$E$16:$E$29}, 2, FALSE), """"))
"),"")</f>
        <v/>
      </c>
      <c r="K1127" s="318"/>
      <c r="L1127" s="311"/>
      <c r="M1127" s="312"/>
      <c r="N1127" s="313"/>
      <c r="O1127" s="314"/>
      <c r="P1127" s="314"/>
      <c r="Q1127" s="315"/>
      <c r="R1127" s="316"/>
      <c r="S1127" s="317"/>
      <c r="T1127" s="317"/>
      <c r="U1127" s="317"/>
    </row>
    <row r="1128" ht="20.25" customHeight="1">
      <c r="A1128" s="216" t="str">
        <f>IFERROR(__xludf.DUMMYFUNCTION("ARRAYFORMULA(IFERROR(VLOOKUP(REGEXEXTRACT(B1128, ""-(\w+)-""), {Data_Validation!$F$16:$F$29, Data_Validation!$E$16:$E$29}, 2, FALSE), """"))
"),"")</f>
        <v/>
      </c>
      <c r="K1128" s="318"/>
      <c r="L1128" s="311"/>
      <c r="M1128" s="312"/>
      <c r="N1128" s="313"/>
      <c r="O1128" s="314"/>
      <c r="P1128" s="314"/>
      <c r="Q1128" s="315"/>
      <c r="R1128" s="316"/>
      <c r="S1128" s="317"/>
      <c r="T1128" s="317"/>
      <c r="U1128" s="317"/>
    </row>
    <row r="1129" ht="20.25" customHeight="1">
      <c r="A1129" s="216" t="str">
        <f>IFERROR(__xludf.DUMMYFUNCTION("ARRAYFORMULA(IFERROR(VLOOKUP(REGEXEXTRACT(B1129, ""-(\w+)-""), {Data_Validation!$F$16:$F$29, Data_Validation!$E$16:$E$29}, 2, FALSE), """"))
"),"")</f>
        <v/>
      </c>
      <c r="K1129" s="318"/>
      <c r="L1129" s="311"/>
      <c r="M1129" s="312"/>
      <c r="N1129" s="313"/>
      <c r="O1129" s="314"/>
      <c r="P1129" s="314"/>
      <c r="Q1129" s="315"/>
      <c r="R1129" s="316"/>
      <c r="S1129" s="317"/>
      <c r="T1129" s="317"/>
      <c r="U1129" s="317"/>
    </row>
    <row r="1130" ht="20.25" customHeight="1">
      <c r="A1130" s="216" t="str">
        <f>IFERROR(__xludf.DUMMYFUNCTION("ARRAYFORMULA(IFERROR(VLOOKUP(REGEXEXTRACT(B1130, ""-(\w+)-""), {Data_Validation!$F$16:$F$29, Data_Validation!$E$16:$E$29}, 2, FALSE), """"))
"),"")</f>
        <v/>
      </c>
      <c r="K1130" s="318"/>
      <c r="L1130" s="311"/>
      <c r="M1130" s="312"/>
      <c r="N1130" s="313"/>
      <c r="O1130" s="314"/>
      <c r="P1130" s="314"/>
      <c r="Q1130" s="315"/>
      <c r="R1130" s="316"/>
      <c r="S1130" s="317"/>
      <c r="T1130" s="317"/>
      <c r="U1130" s="317"/>
    </row>
    <row r="1131" ht="20.25" customHeight="1">
      <c r="A1131" s="216" t="str">
        <f>IFERROR(__xludf.DUMMYFUNCTION("ARRAYFORMULA(IFERROR(VLOOKUP(REGEXEXTRACT(B1131, ""-(\w+)-""), {Data_Validation!$F$16:$F$29, Data_Validation!$E$16:$E$29}, 2, FALSE), """"))
"),"")</f>
        <v/>
      </c>
      <c r="K1131" s="318"/>
      <c r="L1131" s="311"/>
      <c r="M1131" s="312"/>
      <c r="N1131" s="313"/>
      <c r="O1131" s="314"/>
      <c r="P1131" s="314"/>
      <c r="Q1131" s="315"/>
      <c r="R1131" s="316"/>
      <c r="S1131" s="317"/>
      <c r="T1131" s="317"/>
      <c r="U1131" s="317"/>
    </row>
    <row r="1132" ht="20.25" customHeight="1">
      <c r="A1132" s="216" t="str">
        <f>IFERROR(__xludf.DUMMYFUNCTION("ARRAYFORMULA(IFERROR(VLOOKUP(REGEXEXTRACT(B1132, ""-(\w+)-""), {Data_Validation!$F$16:$F$29, Data_Validation!$E$16:$E$29}, 2, FALSE), """"))
"),"")</f>
        <v/>
      </c>
      <c r="K1132" s="318"/>
      <c r="L1132" s="311"/>
      <c r="M1132" s="312"/>
      <c r="N1132" s="313"/>
      <c r="O1132" s="314"/>
      <c r="P1132" s="314"/>
      <c r="Q1132" s="315"/>
      <c r="R1132" s="316"/>
      <c r="S1132" s="317"/>
      <c r="T1132" s="317"/>
      <c r="U1132" s="317"/>
    </row>
    <row r="1133" ht="20.25" customHeight="1">
      <c r="A1133" s="216" t="str">
        <f>IFERROR(__xludf.DUMMYFUNCTION("ARRAYFORMULA(IFERROR(VLOOKUP(REGEXEXTRACT(B1133, ""-(\w+)-""), {Data_Validation!$F$16:$F$29, Data_Validation!$E$16:$E$29}, 2, FALSE), """"))
"),"")</f>
        <v/>
      </c>
      <c r="K1133" s="318"/>
      <c r="L1133" s="311"/>
      <c r="M1133" s="312"/>
      <c r="N1133" s="313"/>
      <c r="O1133" s="314"/>
      <c r="P1133" s="314"/>
      <c r="Q1133" s="315"/>
      <c r="R1133" s="316"/>
      <c r="S1133" s="317"/>
      <c r="T1133" s="317"/>
      <c r="U1133" s="317"/>
    </row>
    <row r="1134" ht="20.25" customHeight="1">
      <c r="A1134" s="216" t="str">
        <f>IFERROR(__xludf.DUMMYFUNCTION("ARRAYFORMULA(IFERROR(VLOOKUP(REGEXEXTRACT(B1134, ""-(\w+)-""), {Data_Validation!$F$16:$F$29, Data_Validation!$E$16:$E$29}, 2, FALSE), """"))
"),"")</f>
        <v/>
      </c>
      <c r="K1134" s="318"/>
      <c r="L1134" s="311"/>
      <c r="M1134" s="312"/>
      <c r="N1134" s="313"/>
      <c r="O1134" s="314"/>
      <c r="P1134" s="314"/>
      <c r="Q1134" s="315"/>
      <c r="R1134" s="316"/>
      <c r="S1134" s="317"/>
      <c r="T1134" s="317"/>
      <c r="U1134" s="317"/>
    </row>
    <row r="1135" ht="20.25" customHeight="1">
      <c r="A1135" s="216" t="str">
        <f>IFERROR(__xludf.DUMMYFUNCTION("ARRAYFORMULA(IFERROR(VLOOKUP(REGEXEXTRACT(B1135, ""-(\w+)-""), {Data_Validation!$F$16:$F$29, Data_Validation!$E$16:$E$29}, 2, FALSE), """"))
"),"")</f>
        <v/>
      </c>
      <c r="K1135" s="318"/>
      <c r="L1135" s="311"/>
      <c r="M1135" s="312"/>
      <c r="N1135" s="313"/>
      <c r="O1135" s="314"/>
      <c r="P1135" s="314"/>
      <c r="Q1135" s="315"/>
      <c r="R1135" s="316"/>
      <c r="S1135" s="317"/>
      <c r="T1135" s="317"/>
      <c r="U1135" s="317"/>
    </row>
    <row r="1136" ht="20.25" customHeight="1">
      <c r="A1136" s="216" t="str">
        <f>IFERROR(__xludf.DUMMYFUNCTION("ARRAYFORMULA(IFERROR(VLOOKUP(REGEXEXTRACT(B1136, ""-(\w+)-""), {Data_Validation!$F$16:$F$29, Data_Validation!$E$16:$E$29}, 2, FALSE), """"))
"),"")</f>
        <v/>
      </c>
      <c r="K1136" s="318"/>
      <c r="L1136" s="311"/>
      <c r="M1136" s="312"/>
      <c r="N1136" s="313"/>
      <c r="O1136" s="314"/>
      <c r="P1136" s="314"/>
      <c r="Q1136" s="315"/>
      <c r="R1136" s="316"/>
      <c r="S1136" s="317"/>
      <c r="T1136" s="317"/>
      <c r="U1136" s="317"/>
    </row>
    <row r="1137" ht="20.25" customHeight="1">
      <c r="A1137" s="216" t="str">
        <f>IFERROR(__xludf.DUMMYFUNCTION("ARRAYFORMULA(IFERROR(VLOOKUP(REGEXEXTRACT(B1137, ""-(\w+)-""), {Data_Validation!$F$16:$F$29, Data_Validation!$E$16:$E$29}, 2, FALSE), """"))
"),"")</f>
        <v/>
      </c>
      <c r="K1137" s="318"/>
      <c r="L1137" s="311"/>
      <c r="M1137" s="312"/>
      <c r="N1137" s="313"/>
      <c r="O1137" s="314"/>
      <c r="P1137" s="314"/>
      <c r="Q1137" s="315"/>
      <c r="R1137" s="316"/>
      <c r="S1137" s="317"/>
      <c r="T1137" s="317"/>
      <c r="U1137" s="317"/>
    </row>
    <row r="1138" ht="20.25" customHeight="1">
      <c r="A1138" s="216" t="str">
        <f>IFERROR(__xludf.DUMMYFUNCTION("ARRAYFORMULA(IFERROR(VLOOKUP(REGEXEXTRACT(B1138, ""-(\w+)-""), {Data_Validation!$F$16:$F$29, Data_Validation!$E$16:$E$29}, 2, FALSE), """"))
"),"")</f>
        <v/>
      </c>
      <c r="K1138" s="318"/>
      <c r="L1138" s="311"/>
      <c r="M1138" s="312"/>
      <c r="N1138" s="313"/>
      <c r="O1138" s="314"/>
      <c r="P1138" s="314"/>
      <c r="Q1138" s="315"/>
      <c r="R1138" s="316"/>
      <c r="S1138" s="317"/>
      <c r="T1138" s="317"/>
      <c r="U1138" s="317"/>
    </row>
    <row r="1139" ht="20.25" customHeight="1">
      <c r="A1139" s="216" t="str">
        <f>IFERROR(__xludf.DUMMYFUNCTION("ARRAYFORMULA(IFERROR(VLOOKUP(REGEXEXTRACT(B1139, ""-(\w+)-""), {Data_Validation!$F$16:$F$29, Data_Validation!$E$16:$E$29}, 2, FALSE), """"))
"),"")</f>
        <v/>
      </c>
      <c r="K1139" s="318"/>
      <c r="L1139" s="311"/>
      <c r="M1139" s="312"/>
      <c r="N1139" s="313"/>
      <c r="O1139" s="314"/>
      <c r="P1139" s="314"/>
      <c r="Q1139" s="315"/>
      <c r="R1139" s="316"/>
      <c r="S1139" s="317"/>
      <c r="T1139" s="317"/>
      <c r="U1139" s="317"/>
    </row>
    <row r="1140" ht="20.25" customHeight="1">
      <c r="A1140" s="216" t="str">
        <f>IFERROR(__xludf.DUMMYFUNCTION("ARRAYFORMULA(IFERROR(VLOOKUP(REGEXEXTRACT(B1140, ""-(\w+)-""), {Data_Validation!$F$16:$F$29, Data_Validation!$E$16:$E$29}, 2, FALSE), """"))
"),"")</f>
        <v/>
      </c>
      <c r="K1140" s="318"/>
      <c r="L1140" s="311"/>
      <c r="M1140" s="312"/>
      <c r="N1140" s="313"/>
      <c r="O1140" s="314"/>
      <c r="P1140" s="314"/>
      <c r="Q1140" s="315"/>
      <c r="R1140" s="316"/>
      <c r="S1140" s="317"/>
      <c r="T1140" s="317"/>
      <c r="U1140" s="317"/>
    </row>
    <row r="1141" ht="20.25" customHeight="1">
      <c r="A1141" s="216" t="str">
        <f>IFERROR(__xludf.DUMMYFUNCTION("ARRAYFORMULA(IFERROR(VLOOKUP(REGEXEXTRACT(B1141, ""-(\w+)-""), {Data_Validation!$F$16:$F$29, Data_Validation!$E$16:$E$29}, 2, FALSE), """"))
"),"")</f>
        <v/>
      </c>
      <c r="K1141" s="318"/>
      <c r="L1141" s="311"/>
      <c r="M1141" s="312"/>
      <c r="N1141" s="313"/>
      <c r="O1141" s="314"/>
      <c r="P1141" s="314"/>
      <c r="Q1141" s="315"/>
      <c r="R1141" s="316"/>
      <c r="S1141" s="317"/>
      <c r="T1141" s="317"/>
      <c r="U1141" s="317"/>
    </row>
    <row r="1142" ht="20.25" customHeight="1">
      <c r="A1142" s="216" t="str">
        <f>IFERROR(__xludf.DUMMYFUNCTION("ARRAYFORMULA(IFERROR(VLOOKUP(REGEXEXTRACT(B1142, ""-(\w+)-""), {Data_Validation!$F$16:$F$29, Data_Validation!$E$16:$E$29}, 2, FALSE), """"))
"),"")</f>
        <v/>
      </c>
      <c r="K1142" s="318"/>
      <c r="L1142" s="311"/>
      <c r="M1142" s="312"/>
      <c r="N1142" s="313"/>
      <c r="O1142" s="314"/>
      <c r="P1142" s="314"/>
      <c r="Q1142" s="315"/>
      <c r="R1142" s="316"/>
      <c r="S1142" s="317"/>
      <c r="T1142" s="317"/>
      <c r="U1142" s="317"/>
    </row>
    <row r="1143" ht="20.25" customHeight="1">
      <c r="A1143" s="216" t="str">
        <f>IFERROR(__xludf.DUMMYFUNCTION("ARRAYFORMULA(IFERROR(VLOOKUP(REGEXEXTRACT(B1143, ""-(\w+)-""), {Data_Validation!$F$16:$F$29, Data_Validation!$E$16:$E$29}, 2, FALSE), """"))
"),"")</f>
        <v/>
      </c>
      <c r="K1143" s="318"/>
      <c r="L1143" s="311"/>
      <c r="M1143" s="312"/>
      <c r="N1143" s="313"/>
      <c r="O1143" s="314"/>
      <c r="P1143" s="314"/>
      <c r="Q1143" s="315"/>
      <c r="R1143" s="316"/>
      <c r="S1143" s="317"/>
      <c r="T1143" s="317"/>
      <c r="U1143" s="317"/>
    </row>
    <row r="1144" ht="20.25" customHeight="1">
      <c r="A1144" s="216" t="str">
        <f>IFERROR(__xludf.DUMMYFUNCTION("ARRAYFORMULA(IFERROR(VLOOKUP(REGEXEXTRACT(B1144, ""-(\w+)-""), {Data_Validation!$F$16:$F$29, Data_Validation!$E$16:$E$29}, 2, FALSE), """"))
"),"")</f>
        <v/>
      </c>
      <c r="K1144" s="318"/>
      <c r="L1144" s="311"/>
      <c r="M1144" s="312"/>
      <c r="N1144" s="313"/>
      <c r="O1144" s="314"/>
      <c r="P1144" s="314"/>
      <c r="Q1144" s="315"/>
      <c r="R1144" s="316"/>
      <c r="S1144" s="317"/>
      <c r="T1144" s="317"/>
      <c r="U1144" s="317"/>
    </row>
    <row r="1145" ht="20.25" customHeight="1">
      <c r="A1145" s="216" t="str">
        <f>IFERROR(__xludf.DUMMYFUNCTION("ARRAYFORMULA(IFERROR(VLOOKUP(REGEXEXTRACT(B1145, ""-(\w+)-""), {Data_Validation!$F$16:$F$29, Data_Validation!$E$16:$E$29}, 2, FALSE), """"))
"),"")</f>
        <v/>
      </c>
      <c r="K1145" s="318"/>
      <c r="L1145" s="311"/>
      <c r="M1145" s="312"/>
      <c r="N1145" s="313"/>
      <c r="O1145" s="314"/>
      <c r="P1145" s="314"/>
      <c r="Q1145" s="315"/>
      <c r="R1145" s="316"/>
      <c r="S1145" s="317"/>
      <c r="T1145" s="317"/>
      <c r="U1145" s="317"/>
    </row>
    <row r="1146" ht="20.25" customHeight="1">
      <c r="A1146" s="216" t="str">
        <f>IFERROR(__xludf.DUMMYFUNCTION("ARRAYFORMULA(IFERROR(VLOOKUP(REGEXEXTRACT(B1146, ""-(\w+)-""), {Data_Validation!$F$16:$F$29, Data_Validation!$E$16:$E$29}, 2, FALSE), """"))
"),"")</f>
        <v/>
      </c>
      <c r="K1146" s="318"/>
      <c r="L1146" s="311"/>
      <c r="M1146" s="312"/>
      <c r="N1146" s="313"/>
      <c r="O1146" s="314"/>
      <c r="P1146" s="314"/>
      <c r="Q1146" s="315"/>
      <c r="R1146" s="316"/>
      <c r="S1146" s="317"/>
      <c r="T1146" s="317"/>
      <c r="U1146" s="317"/>
    </row>
    <row r="1147" ht="20.25" customHeight="1">
      <c r="A1147" s="216" t="str">
        <f>IFERROR(__xludf.DUMMYFUNCTION("ARRAYFORMULA(IFERROR(VLOOKUP(REGEXEXTRACT(B1147, ""-(\w+)-""), {Data_Validation!$F$16:$F$29, Data_Validation!$E$16:$E$29}, 2, FALSE), """"))
"),"")</f>
        <v/>
      </c>
      <c r="K1147" s="318"/>
      <c r="L1147" s="311"/>
      <c r="M1147" s="312"/>
      <c r="N1147" s="313"/>
      <c r="O1147" s="314"/>
      <c r="P1147" s="314"/>
      <c r="Q1147" s="315"/>
      <c r="R1147" s="316"/>
      <c r="S1147" s="317"/>
      <c r="T1147" s="317"/>
      <c r="U1147" s="317"/>
    </row>
    <row r="1148" ht="20.25" customHeight="1">
      <c r="A1148" s="216" t="str">
        <f>IFERROR(__xludf.DUMMYFUNCTION("ARRAYFORMULA(IFERROR(VLOOKUP(REGEXEXTRACT(B1148, ""-(\w+)-""), {Data_Validation!$F$16:$F$29, Data_Validation!$E$16:$E$29}, 2, FALSE), """"))
"),"")</f>
        <v/>
      </c>
      <c r="K1148" s="318"/>
      <c r="L1148" s="311"/>
      <c r="M1148" s="312"/>
      <c r="N1148" s="313"/>
      <c r="O1148" s="314"/>
      <c r="P1148" s="314"/>
      <c r="Q1148" s="315"/>
      <c r="R1148" s="316"/>
      <c r="S1148" s="317"/>
      <c r="T1148" s="317"/>
      <c r="U1148" s="317"/>
    </row>
    <row r="1149" ht="20.25" customHeight="1">
      <c r="A1149" s="216" t="str">
        <f>IFERROR(__xludf.DUMMYFUNCTION("ARRAYFORMULA(IFERROR(VLOOKUP(REGEXEXTRACT(B1149, ""-(\w+)-""), {Data_Validation!$F$16:$F$29, Data_Validation!$E$16:$E$29}, 2, FALSE), """"))
"),"")</f>
        <v/>
      </c>
      <c r="K1149" s="318"/>
      <c r="L1149" s="311"/>
      <c r="M1149" s="312"/>
      <c r="N1149" s="313"/>
      <c r="O1149" s="314"/>
      <c r="P1149" s="314"/>
      <c r="Q1149" s="315"/>
      <c r="R1149" s="316"/>
      <c r="S1149" s="317"/>
      <c r="T1149" s="317"/>
      <c r="U1149" s="317"/>
    </row>
    <row r="1150" ht="20.25" customHeight="1">
      <c r="A1150" s="216" t="str">
        <f>IFERROR(__xludf.DUMMYFUNCTION("ARRAYFORMULA(IFERROR(VLOOKUP(REGEXEXTRACT(B1150, ""-(\w+)-""), {Data_Validation!$F$16:$F$29, Data_Validation!$E$16:$E$29}, 2, FALSE), """"))
"),"")</f>
        <v/>
      </c>
      <c r="K1150" s="318"/>
      <c r="L1150" s="311"/>
      <c r="M1150" s="312"/>
      <c r="N1150" s="313"/>
      <c r="O1150" s="314"/>
      <c r="P1150" s="314"/>
      <c r="Q1150" s="315"/>
      <c r="R1150" s="316"/>
      <c r="S1150" s="317"/>
      <c r="T1150" s="317"/>
      <c r="U1150" s="317"/>
    </row>
    <row r="1151" ht="20.25" customHeight="1">
      <c r="A1151" s="216" t="str">
        <f>IFERROR(__xludf.DUMMYFUNCTION("ARRAYFORMULA(IFERROR(VLOOKUP(REGEXEXTRACT(B1151, ""-(\w+)-""), {Data_Validation!$F$16:$F$29, Data_Validation!$E$16:$E$29}, 2, FALSE), """"))
"),"")</f>
        <v/>
      </c>
      <c r="K1151" s="318"/>
      <c r="L1151" s="311"/>
      <c r="M1151" s="312"/>
      <c r="N1151" s="313"/>
      <c r="O1151" s="314"/>
      <c r="P1151" s="314"/>
      <c r="Q1151" s="315"/>
      <c r="R1151" s="316"/>
      <c r="S1151" s="317"/>
      <c r="T1151" s="317"/>
      <c r="U1151" s="317"/>
    </row>
    <row r="1152" ht="20.25" customHeight="1">
      <c r="A1152" s="216" t="str">
        <f>IFERROR(__xludf.DUMMYFUNCTION("ARRAYFORMULA(IFERROR(VLOOKUP(REGEXEXTRACT(B1152, ""-(\w+)-""), {Data_Validation!$F$16:$F$29, Data_Validation!$E$16:$E$29}, 2, FALSE), """"))
"),"")</f>
        <v/>
      </c>
      <c r="K1152" s="318"/>
      <c r="L1152" s="311"/>
      <c r="M1152" s="312"/>
      <c r="N1152" s="313"/>
      <c r="O1152" s="314"/>
      <c r="P1152" s="314"/>
      <c r="Q1152" s="315"/>
      <c r="R1152" s="316"/>
      <c r="S1152" s="317"/>
      <c r="T1152" s="317"/>
      <c r="U1152" s="317"/>
    </row>
    <row r="1153" ht="20.25" customHeight="1">
      <c r="A1153" s="216" t="str">
        <f>IFERROR(__xludf.DUMMYFUNCTION("ARRAYFORMULA(IFERROR(VLOOKUP(REGEXEXTRACT(B1153, ""-(\w+)-""), {Data_Validation!$F$16:$F$29, Data_Validation!$E$16:$E$29}, 2, FALSE), """"))
"),"")</f>
        <v/>
      </c>
      <c r="K1153" s="318"/>
      <c r="L1153" s="311"/>
      <c r="M1153" s="312"/>
      <c r="N1153" s="313"/>
      <c r="O1153" s="314"/>
      <c r="P1153" s="314"/>
      <c r="Q1153" s="315"/>
      <c r="R1153" s="316"/>
      <c r="S1153" s="317"/>
      <c r="T1153" s="317"/>
      <c r="U1153" s="317"/>
    </row>
    <row r="1154" ht="20.25" customHeight="1">
      <c r="A1154" s="216" t="str">
        <f>IFERROR(__xludf.DUMMYFUNCTION("ARRAYFORMULA(IFERROR(VLOOKUP(REGEXEXTRACT(B1154, ""-(\w+)-""), {Data_Validation!$F$16:$F$29, Data_Validation!$E$16:$E$29}, 2, FALSE), """"))
"),"")</f>
        <v/>
      </c>
      <c r="K1154" s="318"/>
      <c r="L1154" s="311"/>
      <c r="M1154" s="312"/>
      <c r="N1154" s="313"/>
      <c r="O1154" s="314"/>
      <c r="P1154" s="314"/>
      <c r="Q1154" s="315"/>
      <c r="R1154" s="316"/>
      <c r="S1154" s="317"/>
      <c r="T1154" s="317"/>
      <c r="U1154" s="317"/>
    </row>
    <row r="1155" ht="20.25" customHeight="1">
      <c r="A1155" s="216" t="str">
        <f>IFERROR(__xludf.DUMMYFUNCTION("ARRAYFORMULA(IFERROR(VLOOKUP(REGEXEXTRACT(B1155, ""-(\w+)-""), {Data_Validation!$F$16:$F$29, Data_Validation!$E$16:$E$29}, 2, FALSE), """"))
"),"")</f>
        <v/>
      </c>
      <c r="K1155" s="318"/>
      <c r="L1155" s="311"/>
      <c r="M1155" s="312"/>
      <c r="N1155" s="313"/>
      <c r="O1155" s="314"/>
      <c r="P1155" s="314"/>
      <c r="Q1155" s="315"/>
      <c r="R1155" s="316"/>
      <c r="S1155" s="317"/>
      <c r="T1155" s="317"/>
      <c r="U1155" s="317"/>
    </row>
    <row r="1156" ht="20.25" customHeight="1">
      <c r="A1156" s="216" t="str">
        <f>IFERROR(__xludf.DUMMYFUNCTION("ARRAYFORMULA(IFERROR(VLOOKUP(REGEXEXTRACT(B1156, ""-(\w+)-""), {Data_Validation!$F$16:$F$29, Data_Validation!$E$16:$E$29}, 2, FALSE), """"))
"),"")</f>
        <v/>
      </c>
      <c r="K1156" s="318"/>
      <c r="L1156" s="311"/>
      <c r="M1156" s="312"/>
      <c r="N1156" s="313"/>
      <c r="O1156" s="314"/>
      <c r="P1156" s="314"/>
      <c r="Q1156" s="315"/>
      <c r="R1156" s="316"/>
      <c r="S1156" s="317"/>
      <c r="T1156" s="317"/>
      <c r="U1156" s="317"/>
    </row>
    <row r="1157" ht="20.25" customHeight="1">
      <c r="A1157" s="216" t="str">
        <f>IFERROR(__xludf.DUMMYFUNCTION("ARRAYFORMULA(IFERROR(VLOOKUP(REGEXEXTRACT(B1157, ""-(\w+)-""), {Data_Validation!$F$16:$F$29, Data_Validation!$E$16:$E$29}, 2, FALSE), """"))
"),"")</f>
        <v/>
      </c>
      <c r="K1157" s="318"/>
      <c r="L1157" s="311"/>
      <c r="M1157" s="312"/>
      <c r="N1157" s="313"/>
      <c r="O1157" s="314"/>
      <c r="P1157" s="314"/>
      <c r="Q1157" s="315"/>
      <c r="R1157" s="316"/>
      <c r="S1157" s="317"/>
      <c r="T1157" s="317"/>
      <c r="U1157" s="317"/>
    </row>
    <row r="1158" ht="20.25" customHeight="1">
      <c r="A1158" s="216" t="str">
        <f>IFERROR(__xludf.DUMMYFUNCTION("ARRAYFORMULA(IFERROR(VLOOKUP(REGEXEXTRACT(B1158, ""-(\w+)-""), {Data_Validation!$F$16:$F$29, Data_Validation!$E$16:$E$29}, 2, FALSE), """"))
"),"")</f>
        <v/>
      </c>
      <c r="K1158" s="318"/>
      <c r="L1158" s="311"/>
      <c r="M1158" s="312"/>
      <c r="N1158" s="313"/>
      <c r="O1158" s="314"/>
      <c r="P1158" s="314"/>
      <c r="Q1158" s="315"/>
      <c r="R1158" s="316"/>
      <c r="S1158" s="317"/>
      <c r="T1158" s="317"/>
      <c r="U1158" s="317"/>
    </row>
    <row r="1159" ht="20.25" customHeight="1">
      <c r="A1159" s="216" t="str">
        <f>IFERROR(__xludf.DUMMYFUNCTION("ARRAYFORMULA(IFERROR(VLOOKUP(REGEXEXTRACT(B1159, ""-(\w+)-""), {Data_Validation!$F$16:$F$29, Data_Validation!$E$16:$E$29}, 2, FALSE), """"))
"),"")</f>
        <v/>
      </c>
      <c r="K1159" s="318"/>
      <c r="L1159" s="311"/>
      <c r="M1159" s="312"/>
      <c r="N1159" s="313"/>
      <c r="O1159" s="314"/>
      <c r="P1159" s="314"/>
      <c r="Q1159" s="315"/>
      <c r="R1159" s="316"/>
      <c r="S1159" s="317"/>
      <c r="T1159" s="317"/>
      <c r="U1159" s="317"/>
    </row>
    <row r="1160" ht="20.25" customHeight="1">
      <c r="A1160" s="216" t="str">
        <f>IFERROR(__xludf.DUMMYFUNCTION("ARRAYFORMULA(IFERROR(VLOOKUP(REGEXEXTRACT(B1160, ""-(\w+)-""), {Data_Validation!$F$16:$F$29, Data_Validation!$E$16:$E$29}, 2, FALSE), """"))
"),"")</f>
        <v/>
      </c>
      <c r="K1160" s="318"/>
      <c r="L1160" s="311"/>
      <c r="M1160" s="312"/>
      <c r="N1160" s="313"/>
      <c r="O1160" s="314"/>
      <c r="P1160" s="314"/>
      <c r="Q1160" s="315"/>
      <c r="R1160" s="316"/>
      <c r="S1160" s="317"/>
      <c r="T1160" s="317"/>
      <c r="U1160" s="317"/>
    </row>
    <row r="1161" ht="20.25" customHeight="1">
      <c r="A1161" s="216" t="str">
        <f>IFERROR(__xludf.DUMMYFUNCTION("ARRAYFORMULA(IFERROR(VLOOKUP(REGEXEXTRACT(B1161, ""-(\w+)-""), {Data_Validation!$F$16:$F$29, Data_Validation!$E$16:$E$29}, 2, FALSE), """"))
"),"")</f>
        <v/>
      </c>
      <c r="K1161" s="318"/>
      <c r="L1161" s="311"/>
      <c r="M1161" s="312"/>
      <c r="N1161" s="313"/>
      <c r="O1161" s="314"/>
      <c r="P1161" s="314"/>
      <c r="Q1161" s="315"/>
      <c r="R1161" s="316"/>
      <c r="S1161" s="317"/>
      <c r="T1161" s="317"/>
      <c r="U1161" s="317"/>
    </row>
    <row r="1162" ht="20.25" customHeight="1">
      <c r="A1162" s="216" t="str">
        <f>IFERROR(__xludf.DUMMYFUNCTION("ARRAYFORMULA(IFERROR(VLOOKUP(REGEXEXTRACT(B1162, ""-(\w+)-""), {Data_Validation!$F$16:$F$29, Data_Validation!$E$16:$E$29}, 2, FALSE), """"))
"),"")</f>
        <v/>
      </c>
      <c r="K1162" s="318"/>
      <c r="L1162" s="311"/>
      <c r="M1162" s="312"/>
      <c r="N1162" s="313"/>
      <c r="O1162" s="314"/>
      <c r="P1162" s="314"/>
      <c r="Q1162" s="315"/>
      <c r="R1162" s="316"/>
      <c r="S1162" s="317"/>
      <c r="T1162" s="317"/>
      <c r="U1162" s="317"/>
    </row>
    <row r="1163" ht="20.25" customHeight="1">
      <c r="A1163" s="216" t="str">
        <f>IFERROR(__xludf.DUMMYFUNCTION("ARRAYFORMULA(IFERROR(VLOOKUP(REGEXEXTRACT(B1163, ""-(\w+)-""), {Data_Validation!$F$16:$F$29, Data_Validation!$E$16:$E$29}, 2, FALSE), """"))
"),"")</f>
        <v/>
      </c>
      <c r="K1163" s="318"/>
      <c r="L1163" s="311"/>
      <c r="M1163" s="312"/>
      <c r="N1163" s="313"/>
      <c r="O1163" s="314"/>
      <c r="P1163" s="314"/>
      <c r="Q1163" s="315"/>
      <c r="R1163" s="316"/>
      <c r="S1163" s="317"/>
      <c r="T1163" s="317"/>
      <c r="U1163" s="317"/>
    </row>
    <row r="1164" ht="20.25" customHeight="1">
      <c r="A1164" s="216" t="str">
        <f>IFERROR(__xludf.DUMMYFUNCTION("ARRAYFORMULA(IFERROR(VLOOKUP(REGEXEXTRACT(B1164, ""-(\w+)-""), {Data_Validation!$F$16:$F$29, Data_Validation!$E$16:$E$29}, 2, FALSE), """"))
"),"")</f>
        <v/>
      </c>
      <c r="K1164" s="318"/>
      <c r="L1164" s="311"/>
      <c r="M1164" s="312"/>
      <c r="N1164" s="313"/>
      <c r="O1164" s="314"/>
      <c r="P1164" s="314"/>
      <c r="Q1164" s="315"/>
      <c r="R1164" s="316"/>
      <c r="S1164" s="317"/>
      <c r="T1164" s="317"/>
      <c r="U1164" s="317"/>
    </row>
    <row r="1165" ht="20.25" customHeight="1">
      <c r="A1165" s="216" t="str">
        <f>IFERROR(__xludf.DUMMYFUNCTION("ARRAYFORMULA(IFERROR(VLOOKUP(REGEXEXTRACT(B1165, ""-(\w+)-""), {Data_Validation!$F$16:$F$29, Data_Validation!$E$16:$E$29}, 2, FALSE), """"))
"),"")</f>
        <v/>
      </c>
      <c r="K1165" s="318"/>
      <c r="L1165" s="311"/>
      <c r="M1165" s="312"/>
      <c r="N1165" s="313"/>
      <c r="O1165" s="314"/>
      <c r="P1165" s="314"/>
      <c r="Q1165" s="315"/>
      <c r="R1165" s="316"/>
      <c r="S1165" s="317"/>
      <c r="T1165" s="317"/>
      <c r="U1165" s="317"/>
    </row>
    <row r="1166" ht="20.25" customHeight="1">
      <c r="A1166" s="216" t="str">
        <f>IFERROR(__xludf.DUMMYFUNCTION("ARRAYFORMULA(IFERROR(VLOOKUP(REGEXEXTRACT(B1166, ""-(\w+)-""), {Data_Validation!$F$16:$F$29, Data_Validation!$E$16:$E$29}, 2, FALSE), """"))
"),"")</f>
        <v/>
      </c>
      <c r="K1166" s="318"/>
      <c r="L1166" s="311"/>
      <c r="M1166" s="312"/>
      <c r="N1166" s="313"/>
      <c r="O1166" s="314"/>
      <c r="P1166" s="314"/>
      <c r="Q1166" s="315"/>
      <c r="R1166" s="316"/>
      <c r="S1166" s="317"/>
      <c r="T1166" s="317"/>
      <c r="U1166" s="317"/>
    </row>
    <row r="1167" ht="20.25" customHeight="1">
      <c r="A1167" s="216" t="str">
        <f>IFERROR(__xludf.DUMMYFUNCTION("ARRAYFORMULA(IFERROR(VLOOKUP(REGEXEXTRACT(B1167, ""-(\w+)-""), {Data_Validation!$F$16:$F$29, Data_Validation!$E$16:$E$29}, 2, FALSE), """"))
"),"")</f>
        <v/>
      </c>
      <c r="K1167" s="318"/>
      <c r="L1167" s="311"/>
      <c r="M1167" s="312"/>
      <c r="N1167" s="313"/>
      <c r="O1167" s="314"/>
      <c r="P1167" s="314"/>
      <c r="Q1167" s="315"/>
      <c r="R1167" s="316"/>
      <c r="S1167" s="317"/>
      <c r="T1167" s="317"/>
      <c r="U1167" s="317"/>
    </row>
    <row r="1168" ht="20.25" customHeight="1">
      <c r="A1168" s="216" t="str">
        <f>IFERROR(__xludf.DUMMYFUNCTION("ARRAYFORMULA(IFERROR(VLOOKUP(REGEXEXTRACT(B1168, ""-(\w+)-""), {Data_Validation!$F$16:$F$29, Data_Validation!$E$16:$E$29}, 2, FALSE), """"))
"),"")</f>
        <v/>
      </c>
      <c r="K1168" s="318"/>
      <c r="L1168" s="311"/>
      <c r="M1168" s="312"/>
      <c r="N1168" s="313"/>
      <c r="O1168" s="314"/>
      <c r="P1168" s="314"/>
      <c r="Q1168" s="315"/>
      <c r="R1168" s="316"/>
      <c r="S1168" s="317"/>
      <c r="T1168" s="317"/>
      <c r="U1168" s="317"/>
    </row>
    <row r="1169" ht="20.25" customHeight="1">
      <c r="A1169" s="216" t="str">
        <f>IFERROR(__xludf.DUMMYFUNCTION("ARRAYFORMULA(IFERROR(VLOOKUP(REGEXEXTRACT(B1169, ""-(\w+)-""), {Data_Validation!$F$16:$F$29, Data_Validation!$E$16:$E$29}, 2, FALSE), """"))
"),"")</f>
        <v/>
      </c>
      <c r="K1169" s="318"/>
      <c r="L1169" s="311"/>
      <c r="M1169" s="312"/>
      <c r="N1169" s="313"/>
      <c r="O1169" s="314"/>
      <c r="P1169" s="314"/>
      <c r="Q1169" s="315"/>
      <c r="R1169" s="316"/>
      <c r="S1169" s="317"/>
      <c r="T1169" s="317"/>
      <c r="U1169" s="317"/>
    </row>
    <row r="1170" ht="20.25" customHeight="1">
      <c r="A1170" s="216" t="str">
        <f>IFERROR(__xludf.DUMMYFUNCTION("ARRAYFORMULA(IFERROR(VLOOKUP(REGEXEXTRACT(B1170, ""-(\w+)-""), {Data_Validation!$F$16:$F$29, Data_Validation!$E$16:$E$29}, 2, FALSE), """"))
"),"")</f>
        <v/>
      </c>
      <c r="K1170" s="318"/>
      <c r="L1170" s="311"/>
      <c r="M1170" s="312"/>
      <c r="N1170" s="313"/>
      <c r="O1170" s="314"/>
      <c r="P1170" s="314"/>
      <c r="Q1170" s="315"/>
      <c r="R1170" s="316"/>
      <c r="S1170" s="317"/>
      <c r="T1170" s="317"/>
      <c r="U1170" s="317"/>
    </row>
    <row r="1171" ht="20.25" customHeight="1">
      <c r="A1171" s="216" t="str">
        <f>IFERROR(__xludf.DUMMYFUNCTION("ARRAYFORMULA(IFERROR(VLOOKUP(REGEXEXTRACT(B1171, ""-(\w+)-""), {Data_Validation!$F$16:$F$29, Data_Validation!$E$16:$E$29}, 2, FALSE), """"))
"),"")</f>
        <v/>
      </c>
      <c r="K1171" s="318"/>
      <c r="L1171" s="311"/>
      <c r="M1171" s="312"/>
      <c r="N1171" s="313"/>
      <c r="O1171" s="314"/>
      <c r="P1171" s="314"/>
      <c r="Q1171" s="315"/>
      <c r="R1171" s="316"/>
      <c r="S1171" s="317"/>
      <c r="T1171" s="317"/>
      <c r="U1171" s="317"/>
    </row>
    <row r="1172" ht="20.25" customHeight="1">
      <c r="A1172" s="216" t="str">
        <f>IFERROR(__xludf.DUMMYFUNCTION("ARRAYFORMULA(IFERROR(VLOOKUP(REGEXEXTRACT(B1172, ""-(\w+)-""), {Data_Validation!$F$16:$F$29, Data_Validation!$E$16:$E$29}, 2, FALSE), """"))
"),"")</f>
        <v/>
      </c>
      <c r="K1172" s="318"/>
      <c r="L1172" s="311"/>
      <c r="M1172" s="312"/>
      <c r="N1172" s="313"/>
      <c r="O1172" s="314"/>
      <c r="P1172" s="314"/>
      <c r="Q1172" s="315"/>
      <c r="R1172" s="316"/>
      <c r="S1172" s="317"/>
      <c r="T1172" s="317"/>
      <c r="U1172" s="317"/>
    </row>
    <row r="1173" ht="20.25" customHeight="1">
      <c r="A1173" s="216" t="str">
        <f>IFERROR(__xludf.DUMMYFUNCTION("ARRAYFORMULA(IFERROR(VLOOKUP(REGEXEXTRACT(B1173, ""-(\w+)-""), {Data_Validation!$F$16:$F$29, Data_Validation!$E$16:$E$29}, 2, FALSE), """"))
"),"")</f>
        <v/>
      </c>
      <c r="K1173" s="318"/>
      <c r="L1173" s="311"/>
      <c r="M1173" s="312"/>
      <c r="N1173" s="313"/>
      <c r="O1173" s="314"/>
      <c r="P1173" s="314"/>
      <c r="Q1173" s="315"/>
      <c r="R1173" s="316"/>
      <c r="S1173" s="317"/>
      <c r="T1173" s="317"/>
      <c r="U1173" s="317"/>
    </row>
    <row r="1174" ht="20.25" customHeight="1">
      <c r="A1174" s="216" t="str">
        <f>IFERROR(__xludf.DUMMYFUNCTION("ARRAYFORMULA(IFERROR(VLOOKUP(REGEXEXTRACT(B1174, ""-(\w+)-""), {Data_Validation!$F$16:$F$29, Data_Validation!$E$16:$E$29}, 2, FALSE), """"))
"),"")</f>
        <v/>
      </c>
      <c r="K1174" s="318"/>
      <c r="L1174" s="311"/>
      <c r="M1174" s="312"/>
      <c r="N1174" s="313"/>
      <c r="O1174" s="314"/>
      <c r="P1174" s="314"/>
      <c r="Q1174" s="315"/>
      <c r="R1174" s="316"/>
      <c r="S1174" s="317"/>
      <c r="T1174" s="317"/>
      <c r="U1174" s="317"/>
    </row>
    <row r="1175" ht="20.25" customHeight="1">
      <c r="A1175" s="216" t="str">
        <f>IFERROR(__xludf.DUMMYFUNCTION("ARRAYFORMULA(IFERROR(VLOOKUP(REGEXEXTRACT(B1175, ""-(\w+)-""), {Data_Validation!$F$16:$F$29, Data_Validation!$E$16:$E$29}, 2, FALSE), """"))
"),"")</f>
        <v/>
      </c>
      <c r="K1175" s="318"/>
      <c r="L1175" s="311"/>
      <c r="M1175" s="312"/>
      <c r="N1175" s="313"/>
      <c r="O1175" s="314"/>
      <c r="P1175" s="314"/>
      <c r="Q1175" s="315"/>
      <c r="R1175" s="316"/>
      <c r="S1175" s="317"/>
      <c r="T1175" s="317"/>
      <c r="U1175" s="317"/>
    </row>
    <row r="1176" ht="20.25" customHeight="1">
      <c r="A1176" s="216" t="str">
        <f>IFERROR(__xludf.DUMMYFUNCTION("ARRAYFORMULA(IFERROR(VLOOKUP(REGEXEXTRACT(B1176, ""-(\w+)-""), {Data_Validation!$F$16:$F$29, Data_Validation!$E$16:$E$29}, 2, FALSE), """"))
"),"")</f>
        <v/>
      </c>
      <c r="K1176" s="318"/>
      <c r="L1176" s="311"/>
      <c r="M1176" s="312"/>
      <c r="N1176" s="313"/>
      <c r="O1176" s="314"/>
      <c r="P1176" s="314"/>
      <c r="Q1176" s="315"/>
      <c r="R1176" s="316"/>
      <c r="S1176" s="317"/>
      <c r="T1176" s="317"/>
      <c r="U1176" s="317"/>
    </row>
    <row r="1177" ht="20.25" customHeight="1">
      <c r="A1177" s="216" t="str">
        <f>IFERROR(__xludf.DUMMYFUNCTION("ARRAYFORMULA(IFERROR(VLOOKUP(REGEXEXTRACT(B1177, ""-(\w+)-""), {Data_Validation!$F$16:$F$29, Data_Validation!$E$16:$E$29}, 2, FALSE), """"))
"),"")</f>
        <v/>
      </c>
      <c r="K1177" s="318"/>
      <c r="L1177" s="311"/>
      <c r="M1177" s="312"/>
      <c r="N1177" s="313"/>
      <c r="O1177" s="314"/>
      <c r="P1177" s="314"/>
      <c r="Q1177" s="315"/>
      <c r="R1177" s="316"/>
      <c r="S1177" s="317"/>
      <c r="T1177" s="317"/>
      <c r="U1177" s="317"/>
    </row>
    <row r="1178" ht="20.25" customHeight="1">
      <c r="A1178" s="216" t="str">
        <f>IFERROR(__xludf.DUMMYFUNCTION("ARRAYFORMULA(IFERROR(VLOOKUP(REGEXEXTRACT(B1178, ""-(\w+)-""), {Data_Validation!$F$16:$F$29, Data_Validation!$E$16:$E$29}, 2, FALSE), """"))
"),"")</f>
        <v/>
      </c>
      <c r="K1178" s="318"/>
      <c r="L1178" s="311"/>
      <c r="M1178" s="312"/>
      <c r="N1178" s="313"/>
      <c r="O1178" s="314"/>
      <c r="P1178" s="314"/>
      <c r="Q1178" s="315"/>
      <c r="R1178" s="316"/>
      <c r="S1178" s="317"/>
      <c r="T1178" s="317"/>
      <c r="U1178" s="317"/>
    </row>
    <row r="1179" ht="20.25" customHeight="1">
      <c r="A1179" s="216" t="str">
        <f>IFERROR(__xludf.DUMMYFUNCTION("ARRAYFORMULA(IFERROR(VLOOKUP(REGEXEXTRACT(B1179, ""-(\w+)-""), {Data_Validation!$F$16:$F$29, Data_Validation!$E$16:$E$29}, 2, FALSE), """"))
"),"")</f>
        <v/>
      </c>
      <c r="K1179" s="318"/>
      <c r="L1179" s="311"/>
      <c r="M1179" s="312"/>
      <c r="N1179" s="313"/>
      <c r="O1179" s="314"/>
      <c r="P1179" s="314"/>
      <c r="Q1179" s="315"/>
      <c r="R1179" s="316"/>
      <c r="S1179" s="317"/>
      <c r="T1179" s="317"/>
      <c r="U1179" s="317"/>
    </row>
    <row r="1180" ht="20.25" customHeight="1">
      <c r="A1180" s="216" t="str">
        <f>IFERROR(__xludf.DUMMYFUNCTION("ARRAYFORMULA(IFERROR(VLOOKUP(REGEXEXTRACT(B1180, ""-(\w+)-""), {Data_Validation!$F$16:$F$29, Data_Validation!$E$16:$E$29}, 2, FALSE), """"))
"),"")</f>
        <v/>
      </c>
      <c r="K1180" s="318"/>
      <c r="L1180" s="311"/>
      <c r="M1180" s="312"/>
      <c r="N1180" s="313"/>
      <c r="O1180" s="314"/>
      <c r="P1180" s="314"/>
      <c r="Q1180" s="315"/>
      <c r="R1180" s="316"/>
      <c r="S1180" s="317"/>
      <c r="T1180" s="317"/>
      <c r="U1180" s="317"/>
    </row>
    <row r="1181" ht="20.25" customHeight="1">
      <c r="A1181" s="216" t="str">
        <f>IFERROR(__xludf.DUMMYFUNCTION("ARRAYFORMULA(IFERROR(VLOOKUP(REGEXEXTRACT(B1181, ""-(\w+)-""), {Data_Validation!$F$16:$F$29, Data_Validation!$E$16:$E$29}, 2, FALSE), """"))
"),"")</f>
        <v/>
      </c>
      <c r="K1181" s="318"/>
      <c r="L1181" s="311"/>
      <c r="M1181" s="312"/>
      <c r="N1181" s="313"/>
      <c r="O1181" s="314"/>
      <c r="P1181" s="314"/>
      <c r="Q1181" s="315"/>
      <c r="R1181" s="316"/>
      <c r="S1181" s="317"/>
      <c r="T1181" s="317"/>
      <c r="U1181" s="317"/>
    </row>
    <row r="1182" ht="20.25" customHeight="1">
      <c r="A1182" s="216" t="str">
        <f>IFERROR(__xludf.DUMMYFUNCTION("ARRAYFORMULA(IFERROR(VLOOKUP(REGEXEXTRACT(B1182, ""-(\w+)-""), {Data_Validation!$F$16:$F$29, Data_Validation!$E$16:$E$29}, 2, FALSE), """"))
"),"")</f>
        <v/>
      </c>
      <c r="K1182" s="318"/>
      <c r="L1182" s="311"/>
      <c r="M1182" s="312"/>
      <c r="N1182" s="313"/>
      <c r="O1182" s="314"/>
      <c r="P1182" s="314"/>
      <c r="Q1182" s="315"/>
      <c r="R1182" s="316"/>
      <c r="S1182" s="317"/>
      <c r="T1182" s="317"/>
      <c r="U1182" s="317"/>
    </row>
    <row r="1183" ht="20.25" customHeight="1">
      <c r="A1183" s="216" t="str">
        <f>IFERROR(__xludf.DUMMYFUNCTION("ARRAYFORMULA(IFERROR(VLOOKUP(REGEXEXTRACT(B1183, ""-(\w+)-""), {Data_Validation!$F$16:$F$29, Data_Validation!$E$16:$E$29}, 2, FALSE), """"))
"),"")</f>
        <v/>
      </c>
      <c r="K1183" s="318"/>
      <c r="L1183" s="311"/>
      <c r="M1183" s="312"/>
      <c r="N1183" s="313"/>
      <c r="O1183" s="314"/>
      <c r="P1183" s="314"/>
      <c r="Q1183" s="315"/>
      <c r="R1183" s="316"/>
      <c r="S1183" s="317"/>
      <c r="T1183" s="317"/>
      <c r="U1183" s="317"/>
    </row>
    <row r="1184" ht="20.25" customHeight="1">
      <c r="A1184" s="216" t="str">
        <f>IFERROR(__xludf.DUMMYFUNCTION("ARRAYFORMULA(IFERROR(VLOOKUP(REGEXEXTRACT(B1184, ""-(\w+)-""), {Data_Validation!$F$16:$F$29, Data_Validation!$E$16:$E$29}, 2, FALSE), """"))
"),"")</f>
        <v/>
      </c>
      <c r="K1184" s="318"/>
      <c r="L1184" s="311"/>
      <c r="M1184" s="312"/>
      <c r="N1184" s="313"/>
      <c r="O1184" s="314"/>
      <c r="P1184" s="314"/>
      <c r="Q1184" s="315"/>
      <c r="R1184" s="316"/>
      <c r="S1184" s="317"/>
      <c r="T1184" s="317"/>
      <c r="U1184" s="317"/>
    </row>
    <row r="1185" ht="20.25" customHeight="1">
      <c r="A1185" s="216" t="str">
        <f>IFERROR(__xludf.DUMMYFUNCTION("ARRAYFORMULA(IFERROR(VLOOKUP(REGEXEXTRACT(B1185, ""-(\w+)-""), {Data_Validation!$F$16:$F$29, Data_Validation!$E$16:$E$29}, 2, FALSE), """"))
"),"")</f>
        <v/>
      </c>
      <c r="K1185" s="318"/>
      <c r="L1185" s="311"/>
      <c r="M1185" s="312"/>
      <c r="N1185" s="313"/>
      <c r="O1185" s="314"/>
      <c r="P1185" s="314"/>
      <c r="Q1185" s="315"/>
      <c r="R1185" s="316"/>
      <c r="S1185" s="317"/>
      <c r="T1185" s="317"/>
      <c r="U1185" s="317"/>
    </row>
    <row r="1186" ht="20.25" customHeight="1">
      <c r="A1186" s="216" t="str">
        <f>IFERROR(__xludf.DUMMYFUNCTION("ARRAYFORMULA(IFERROR(VLOOKUP(REGEXEXTRACT(B1186, ""-(\w+)-""), {Data_Validation!$F$16:$F$29, Data_Validation!$E$16:$E$29}, 2, FALSE), """"))
"),"")</f>
        <v/>
      </c>
      <c r="K1186" s="318"/>
      <c r="L1186" s="311"/>
      <c r="M1186" s="312"/>
      <c r="N1186" s="313"/>
      <c r="O1186" s="314"/>
      <c r="P1186" s="314"/>
      <c r="Q1186" s="315"/>
      <c r="R1186" s="316"/>
      <c r="S1186" s="317"/>
      <c r="T1186" s="317"/>
      <c r="U1186" s="317"/>
    </row>
    <row r="1187" ht="20.25" customHeight="1">
      <c r="A1187" s="216" t="str">
        <f>IFERROR(__xludf.DUMMYFUNCTION("ARRAYFORMULA(IFERROR(VLOOKUP(REGEXEXTRACT(B1187, ""-(\w+)-""), {Data_Validation!$F$16:$F$29, Data_Validation!$E$16:$E$29}, 2, FALSE), """"))
"),"")</f>
        <v/>
      </c>
      <c r="K1187" s="318"/>
      <c r="L1187" s="311"/>
      <c r="M1187" s="312"/>
      <c r="N1187" s="313"/>
      <c r="O1187" s="314"/>
      <c r="P1187" s="314"/>
      <c r="Q1187" s="315"/>
      <c r="R1187" s="316"/>
      <c r="S1187" s="317"/>
      <c r="T1187" s="317"/>
      <c r="U1187" s="317"/>
    </row>
    <row r="1188" ht="20.25" customHeight="1">
      <c r="A1188" s="216" t="str">
        <f>IFERROR(__xludf.DUMMYFUNCTION("ARRAYFORMULA(IFERROR(VLOOKUP(REGEXEXTRACT(B1188, ""-(\w+)-""), {Data_Validation!$F$16:$F$29, Data_Validation!$E$16:$E$29}, 2, FALSE), """"))
"),"")</f>
        <v/>
      </c>
      <c r="K1188" s="318"/>
      <c r="L1188" s="311"/>
      <c r="M1188" s="312"/>
      <c r="N1188" s="313"/>
      <c r="O1188" s="314"/>
      <c r="P1188" s="314"/>
      <c r="Q1188" s="315"/>
      <c r="R1188" s="316"/>
      <c r="S1188" s="317"/>
      <c r="T1188" s="317"/>
      <c r="U1188" s="317"/>
    </row>
    <row r="1189" ht="20.25" customHeight="1">
      <c r="A1189" s="216" t="str">
        <f>IFERROR(__xludf.DUMMYFUNCTION("ARRAYFORMULA(IFERROR(VLOOKUP(REGEXEXTRACT(B1189, ""-(\w+)-""), {Data_Validation!$F$16:$F$29, Data_Validation!$E$16:$E$29}, 2, FALSE), """"))
"),"")</f>
        <v/>
      </c>
      <c r="K1189" s="318"/>
      <c r="L1189" s="311"/>
      <c r="M1189" s="312"/>
      <c r="N1189" s="313"/>
      <c r="O1189" s="314"/>
      <c r="P1189" s="314"/>
      <c r="Q1189" s="315"/>
      <c r="R1189" s="316"/>
      <c r="S1189" s="317"/>
      <c r="T1189" s="317"/>
      <c r="U1189" s="317"/>
    </row>
    <row r="1190" ht="20.25" customHeight="1">
      <c r="A1190" s="216" t="str">
        <f>IFERROR(__xludf.DUMMYFUNCTION("ARRAYFORMULA(IFERROR(VLOOKUP(REGEXEXTRACT(B1190, ""-(\w+)-""), {Data_Validation!$F$16:$F$29, Data_Validation!$E$16:$E$29}, 2, FALSE), """"))
"),"")</f>
        <v/>
      </c>
      <c r="K1190" s="318"/>
      <c r="L1190" s="311"/>
      <c r="M1190" s="312"/>
      <c r="N1190" s="313"/>
      <c r="O1190" s="314"/>
      <c r="P1190" s="314"/>
      <c r="Q1190" s="315"/>
      <c r="R1190" s="316"/>
      <c r="S1190" s="317"/>
      <c r="T1190" s="317"/>
      <c r="U1190" s="317"/>
    </row>
    <row r="1191" ht="20.25" customHeight="1">
      <c r="A1191" s="216" t="str">
        <f>IFERROR(__xludf.DUMMYFUNCTION("ARRAYFORMULA(IFERROR(VLOOKUP(REGEXEXTRACT(B1191, ""-(\w+)-""), {Data_Validation!$F$16:$F$29, Data_Validation!$E$16:$E$29}, 2, FALSE), """"))
"),"")</f>
        <v/>
      </c>
      <c r="K1191" s="318"/>
      <c r="L1191" s="311"/>
      <c r="M1191" s="312"/>
      <c r="N1191" s="313"/>
      <c r="O1191" s="314"/>
      <c r="P1191" s="314"/>
      <c r="Q1191" s="315"/>
      <c r="R1191" s="316"/>
      <c r="S1191" s="317"/>
      <c r="T1191" s="317"/>
      <c r="U1191" s="317"/>
    </row>
    <row r="1192" ht="20.25" customHeight="1">
      <c r="A1192" s="216" t="str">
        <f>IFERROR(__xludf.DUMMYFUNCTION("ARRAYFORMULA(IFERROR(VLOOKUP(REGEXEXTRACT(B1192, ""-(\w+)-""), {Data_Validation!$F$16:$F$29, Data_Validation!$E$16:$E$29}, 2, FALSE), """"))
"),"")</f>
        <v/>
      </c>
      <c r="K1192" s="318"/>
      <c r="L1192" s="311"/>
      <c r="M1192" s="312"/>
      <c r="N1192" s="313"/>
      <c r="O1192" s="314"/>
      <c r="P1192" s="314"/>
      <c r="Q1192" s="315"/>
      <c r="R1192" s="316"/>
      <c r="S1192" s="317"/>
      <c r="T1192" s="317"/>
      <c r="U1192" s="317"/>
    </row>
    <row r="1193" ht="20.25" customHeight="1">
      <c r="A1193" s="216" t="str">
        <f>IFERROR(__xludf.DUMMYFUNCTION("ARRAYFORMULA(IFERROR(VLOOKUP(REGEXEXTRACT(B1193, ""-(\w+)-""), {Data_Validation!$F$16:$F$29, Data_Validation!$E$16:$E$29}, 2, FALSE), """"))
"),"")</f>
        <v/>
      </c>
      <c r="K1193" s="318"/>
      <c r="L1193" s="311"/>
      <c r="M1193" s="312"/>
      <c r="N1193" s="313"/>
      <c r="O1193" s="314"/>
      <c r="P1193" s="314"/>
      <c r="Q1193" s="315"/>
      <c r="R1193" s="316"/>
      <c r="S1193" s="317"/>
      <c r="T1193" s="317"/>
      <c r="U1193" s="317"/>
    </row>
    <row r="1194" ht="20.25" customHeight="1">
      <c r="A1194" s="216" t="str">
        <f>IFERROR(__xludf.DUMMYFUNCTION("ARRAYFORMULA(IFERROR(VLOOKUP(REGEXEXTRACT(B1194, ""-(\w+)-""), {Data_Validation!$F$16:$F$29, Data_Validation!$E$16:$E$29}, 2, FALSE), """"))
"),"")</f>
        <v/>
      </c>
      <c r="K1194" s="318"/>
      <c r="L1194" s="311"/>
      <c r="M1194" s="312"/>
      <c r="N1194" s="313"/>
      <c r="O1194" s="314"/>
      <c r="P1194" s="314"/>
      <c r="Q1194" s="315"/>
      <c r="R1194" s="316"/>
      <c r="S1194" s="317"/>
      <c r="T1194" s="317"/>
      <c r="U1194" s="317"/>
    </row>
    <row r="1195" ht="20.25" customHeight="1">
      <c r="A1195" s="216" t="str">
        <f>IFERROR(__xludf.DUMMYFUNCTION("ARRAYFORMULA(IFERROR(VLOOKUP(REGEXEXTRACT(B1195, ""-(\w+)-""), {Data_Validation!$F$16:$F$29, Data_Validation!$E$16:$E$29}, 2, FALSE), """"))
"),"")</f>
        <v/>
      </c>
      <c r="K1195" s="318"/>
      <c r="L1195" s="311"/>
      <c r="M1195" s="312"/>
      <c r="N1195" s="313"/>
      <c r="O1195" s="314"/>
      <c r="P1195" s="314"/>
      <c r="Q1195" s="315"/>
      <c r="R1195" s="316"/>
      <c r="S1195" s="317"/>
      <c r="T1195" s="317"/>
      <c r="U1195" s="317"/>
    </row>
    <row r="1196" ht="20.25" customHeight="1">
      <c r="A1196" s="216" t="str">
        <f>IFERROR(__xludf.DUMMYFUNCTION("ARRAYFORMULA(IFERROR(VLOOKUP(REGEXEXTRACT(B1196, ""-(\w+)-""), {Data_Validation!$F$16:$F$29, Data_Validation!$E$16:$E$29}, 2, FALSE), """"))
"),"")</f>
        <v/>
      </c>
      <c r="K1196" s="318"/>
      <c r="L1196" s="311"/>
      <c r="M1196" s="312"/>
      <c r="N1196" s="313"/>
      <c r="O1196" s="314"/>
      <c r="P1196" s="314"/>
      <c r="Q1196" s="315"/>
      <c r="R1196" s="316"/>
      <c r="S1196" s="317"/>
      <c r="T1196" s="317"/>
      <c r="U1196" s="317"/>
    </row>
    <row r="1197" ht="20.25" customHeight="1">
      <c r="A1197" s="216" t="str">
        <f>IFERROR(__xludf.DUMMYFUNCTION("ARRAYFORMULA(IFERROR(VLOOKUP(REGEXEXTRACT(B1197, ""-(\w+)-""), {Data_Validation!$F$16:$F$29, Data_Validation!$E$16:$E$29}, 2, FALSE), """"))
"),"")</f>
        <v/>
      </c>
      <c r="K1197" s="318"/>
      <c r="L1197" s="311"/>
      <c r="M1197" s="312"/>
      <c r="N1197" s="313"/>
      <c r="O1197" s="314"/>
      <c r="P1197" s="314"/>
      <c r="Q1197" s="315"/>
      <c r="R1197" s="316"/>
      <c r="S1197" s="317"/>
      <c r="T1197" s="317"/>
      <c r="U1197" s="317"/>
    </row>
    <row r="1198" ht="20.25" customHeight="1">
      <c r="A1198" s="216" t="str">
        <f>IFERROR(__xludf.DUMMYFUNCTION("ARRAYFORMULA(IFERROR(VLOOKUP(REGEXEXTRACT(B1198, ""-(\w+)-""), {Data_Validation!$F$16:$F$29, Data_Validation!$E$16:$E$29}, 2, FALSE), """"))
"),"")</f>
        <v/>
      </c>
      <c r="K1198" s="318"/>
      <c r="L1198" s="311"/>
      <c r="M1198" s="312"/>
      <c r="N1198" s="313"/>
      <c r="O1198" s="314"/>
      <c r="P1198" s="314"/>
      <c r="Q1198" s="315"/>
      <c r="R1198" s="316"/>
      <c r="S1198" s="317"/>
      <c r="T1198" s="317"/>
      <c r="U1198" s="317"/>
    </row>
    <row r="1199" ht="20.25" customHeight="1">
      <c r="A1199" s="216" t="str">
        <f>IFERROR(__xludf.DUMMYFUNCTION("ARRAYFORMULA(IFERROR(VLOOKUP(REGEXEXTRACT(B1199, ""-(\w+)-""), {Data_Validation!$F$16:$F$29, Data_Validation!$E$16:$E$29}, 2, FALSE), """"))
"),"")</f>
        <v/>
      </c>
      <c r="K1199" s="318"/>
      <c r="L1199" s="311"/>
      <c r="M1199" s="312"/>
      <c r="N1199" s="313"/>
      <c r="O1199" s="314"/>
      <c r="P1199" s="314"/>
      <c r="Q1199" s="315"/>
      <c r="R1199" s="316"/>
      <c r="S1199" s="317"/>
      <c r="T1199" s="317"/>
      <c r="U1199" s="317"/>
    </row>
    <row r="1200" ht="20.25" customHeight="1">
      <c r="A1200" s="216" t="str">
        <f>IFERROR(__xludf.DUMMYFUNCTION("ARRAYFORMULA(IFERROR(VLOOKUP(REGEXEXTRACT(B1200, ""-(\w+)-""), {Data_Validation!$F$16:$F$29, Data_Validation!$E$16:$E$29}, 2, FALSE), """"))
"),"")</f>
        <v/>
      </c>
      <c r="K1200" s="318"/>
      <c r="L1200" s="311"/>
      <c r="M1200" s="312"/>
      <c r="N1200" s="313"/>
      <c r="O1200" s="314"/>
      <c r="P1200" s="314"/>
      <c r="Q1200" s="315"/>
      <c r="R1200" s="316"/>
      <c r="S1200" s="317"/>
      <c r="T1200" s="317"/>
      <c r="U1200" s="317"/>
    </row>
    <row r="1201" ht="20.25" customHeight="1">
      <c r="A1201" s="216" t="str">
        <f>IFERROR(__xludf.DUMMYFUNCTION("ARRAYFORMULA(IFERROR(VLOOKUP(REGEXEXTRACT(B1201, ""-(\w+)-""), {Data_Validation!$F$16:$F$29, Data_Validation!$E$16:$E$29}, 2, FALSE), """"))
"),"")</f>
        <v/>
      </c>
      <c r="K1201" s="318"/>
      <c r="L1201" s="311"/>
      <c r="M1201" s="312"/>
      <c r="N1201" s="313"/>
      <c r="O1201" s="314"/>
      <c r="P1201" s="314"/>
      <c r="Q1201" s="315"/>
      <c r="R1201" s="316"/>
      <c r="S1201" s="317"/>
      <c r="T1201" s="317"/>
      <c r="U1201" s="317"/>
    </row>
    <row r="1202" ht="20.25" customHeight="1">
      <c r="A1202" s="216" t="str">
        <f>IFERROR(__xludf.DUMMYFUNCTION("ARRAYFORMULA(IFERROR(VLOOKUP(REGEXEXTRACT(B1202, ""-(\w+)-""), {Data_Validation!$F$16:$F$29, Data_Validation!$E$16:$E$29}, 2, FALSE), """"))
"),"")</f>
        <v/>
      </c>
      <c r="K1202" s="318"/>
      <c r="L1202" s="311"/>
      <c r="M1202" s="312"/>
      <c r="N1202" s="313"/>
      <c r="O1202" s="314"/>
      <c r="P1202" s="314"/>
      <c r="Q1202" s="315"/>
      <c r="R1202" s="316"/>
      <c r="S1202" s="317"/>
      <c r="T1202" s="317"/>
      <c r="U1202" s="317"/>
    </row>
    <row r="1203" ht="20.25" customHeight="1">
      <c r="A1203" s="216" t="str">
        <f>IFERROR(__xludf.DUMMYFUNCTION("ARRAYFORMULA(IFERROR(VLOOKUP(REGEXEXTRACT(B1203, ""-(\w+)-""), {Data_Validation!$F$16:$F$29, Data_Validation!$E$16:$E$29}, 2, FALSE), """"))
"),"")</f>
        <v/>
      </c>
      <c r="K1203" s="318"/>
      <c r="L1203" s="311"/>
      <c r="M1203" s="312"/>
      <c r="N1203" s="313"/>
      <c r="O1203" s="314"/>
      <c r="P1203" s="314"/>
      <c r="Q1203" s="315"/>
      <c r="R1203" s="316"/>
      <c r="S1203" s="317"/>
      <c r="T1203" s="317"/>
      <c r="U1203" s="317"/>
    </row>
    <row r="1204" ht="20.25" customHeight="1">
      <c r="A1204" s="216" t="str">
        <f>IFERROR(__xludf.DUMMYFUNCTION("ARRAYFORMULA(IFERROR(VLOOKUP(REGEXEXTRACT(B1204, ""-(\w+)-""), {Data_Validation!$F$16:$F$29, Data_Validation!$E$16:$E$29}, 2, FALSE), """"))
"),"")</f>
        <v/>
      </c>
      <c r="K1204" s="318"/>
      <c r="L1204" s="311"/>
      <c r="M1204" s="312"/>
      <c r="N1204" s="313"/>
      <c r="O1204" s="314"/>
      <c r="P1204" s="314"/>
      <c r="Q1204" s="315"/>
      <c r="R1204" s="316"/>
      <c r="S1204" s="317"/>
      <c r="T1204" s="317"/>
      <c r="U1204" s="317"/>
    </row>
    <row r="1205" ht="20.25" customHeight="1">
      <c r="A1205" s="216" t="str">
        <f>IFERROR(__xludf.DUMMYFUNCTION("ARRAYFORMULA(IFERROR(VLOOKUP(REGEXEXTRACT(B1205, ""-(\w+)-""), {Data_Validation!$F$16:$F$29, Data_Validation!$E$16:$E$29}, 2, FALSE), """"))
"),"")</f>
        <v/>
      </c>
      <c r="K1205" s="318"/>
      <c r="L1205" s="311"/>
      <c r="M1205" s="312"/>
      <c r="N1205" s="313"/>
      <c r="O1205" s="314"/>
      <c r="P1205" s="314"/>
      <c r="Q1205" s="315"/>
      <c r="R1205" s="316"/>
      <c r="S1205" s="317"/>
      <c r="T1205" s="317"/>
      <c r="U1205" s="317"/>
    </row>
    <row r="1206" ht="20.25" customHeight="1">
      <c r="A1206" s="216" t="str">
        <f>IFERROR(__xludf.DUMMYFUNCTION("ARRAYFORMULA(IFERROR(VLOOKUP(REGEXEXTRACT(B1206, ""-(\w+)-""), {Data_Validation!$F$16:$F$29, Data_Validation!$E$16:$E$29}, 2, FALSE), """"))
"),"")</f>
        <v/>
      </c>
      <c r="K1206" s="318"/>
      <c r="L1206" s="311"/>
      <c r="M1206" s="312"/>
      <c r="N1206" s="313"/>
      <c r="O1206" s="314"/>
      <c r="P1206" s="314"/>
      <c r="Q1206" s="315"/>
      <c r="R1206" s="316"/>
      <c r="S1206" s="317"/>
      <c r="T1206" s="317"/>
      <c r="U1206" s="317"/>
    </row>
    <row r="1207" ht="20.25" customHeight="1">
      <c r="A1207" s="216" t="str">
        <f>IFERROR(__xludf.DUMMYFUNCTION("ARRAYFORMULA(IFERROR(VLOOKUP(REGEXEXTRACT(B1207, ""-(\w+)-""), {Data_Validation!$F$16:$F$29, Data_Validation!$E$16:$E$29}, 2, FALSE), """"))
"),"")</f>
        <v/>
      </c>
      <c r="K1207" s="318"/>
      <c r="L1207" s="311"/>
      <c r="M1207" s="312"/>
      <c r="N1207" s="313"/>
      <c r="O1207" s="314"/>
      <c r="P1207" s="314"/>
      <c r="Q1207" s="315"/>
      <c r="R1207" s="316"/>
      <c r="S1207" s="317"/>
      <c r="T1207" s="317"/>
      <c r="U1207" s="317"/>
    </row>
    <row r="1208" ht="20.25" customHeight="1">
      <c r="A1208" s="216" t="str">
        <f>IFERROR(__xludf.DUMMYFUNCTION("ARRAYFORMULA(IFERROR(VLOOKUP(REGEXEXTRACT(B1208, ""-(\w+)-""), {Data_Validation!$F$16:$F$29, Data_Validation!$E$16:$E$29}, 2, FALSE), """"))
"),"")</f>
        <v/>
      </c>
      <c r="K1208" s="318"/>
      <c r="L1208" s="311"/>
      <c r="M1208" s="312"/>
      <c r="N1208" s="313"/>
      <c r="O1208" s="314"/>
      <c r="P1208" s="314"/>
      <c r="Q1208" s="315"/>
      <c r="R1208" s="316"/>
      <c r="S1208" s="317"/>
      <c r="T1208" s="317"/>
      <c r="U1208" s="317"/>
    </row>
    <row r="1209" ht="20.25" customHeight="1">
      <c r="A1209" s="216" t="str">
        <f>IFERROR(__xludf.DUMMYFUNCTION("ARRAYFORMULA(IFERROR(VLOOKUP(REGEXEXTRACT(B1209, ""-(\w+)-""), {Data_Validation!$F$16:$F$29, Data_Validation!$E$16:$E$29}, 2, FALSE), """"))
"),"")</f>
        <v/>
      </c>
      <c r="K1209" s="318"/>
      <c r="L1209" s="311"/>
      <c r="M1209" s="312"/>
      <c r="N1209" s="313"/>
      <c r="O1209" s="314"/>
      <c r="P1209" s="314"/>
      <c r="Q1209" s="315"/>
      <c r="R1209" s="316"/>
      <c r="S1209" s="317"/>
      <c r="T1209" s="317"/>
      <c r="U1209" s="317"/>
    </row>
    <row r="1210" ht="20.25" customHeight="1">
      <c r="A1210" s="216" t="str">
        <f>IFERROR(__xludf.DUMMYFUNCTION("ARRAYFORMULA(IFERROR(VLOOKUP(REGEXEXTRACT(B1210, ""-(\w+)-""), {Data_Validation!$F$16:$F$29, Data_Validation!$E$16:$E$29}, 2, FALSE), """"))
"),"")</f>
        <v/>
      </c>
      <c r="K1210" s="318"/>
      <c r="L1210" s="311"/>
      <c r="M1210" s="312"/>
      <c r="N1210" s="313"/>
      <c r="O1210" s="314"/>
      <c r="P1210" s="314"/>
      <c r="Q1210" s="315"/>
      <c r="R1210" s="316"/>
      <c r="S1210" s="317"/>
      <c r="T1210" s="317"/>
      <c r="U1210" s="317"/>
    </row>
    <row r="1211" ht="20.25" customHeight="1">
      <c r="A1211" s="216" t="str">
        <f>IFERROR(__xludf.DUMMYFUNCTION("ARRAYFORMULA(IFERROR(VLOOKUP(REGEXEXTRACT(B1211, ""-(\w+)-""), {Data_Validation!$F$16:$F$29, Data_Validation!$E$16:$E$29}, 2, FALSE), """"))
"),"")</f>
        <v/>
      </c>
      <c r="K1211" s="318"/>
      <c r="L1211" s="311"/>
      <c r="M1211" s="312"/>
      <c r="N1211" s="313"/>
      <c r="O1211" s="314"/>
      <c r="P1211" s="314"/>
      <c r="Q1211" s="315"/>
      <c r="R1211" s="316"/>
      <c r="S1211" s="317"/>
      <c r="T1211" s="317"/>
      <c r="U1211" s="317"/>
    </row>
    <row r="1212" ht="20.25" customHeight="1">
      <c r="A1212" s="216" t="str">
        <f>IFERROR(__xludf.DUMMYFUNCTION("ARRAYFORMULA(IFERROR(VLOOKUP(REGEXEXTRACT(B1212, ""-(\w+)-""), {Data_Validation!$F$16:$F$29, Data_Validation!$E$16:$E$29}, 2, FALSE), """"))
"),"")</f>
        <v/>
      </c>
      <c r="K1212" s="318"/>
      <c r="L1212" s="311"/>
      <c r="M1212" s="312"/>
      <c r="N1212" s="313"/>
      <c r="O1212" s="314"/>
      <c r="P1212" s="314"/>
      <c r="Q1212" s="315"/>
      <c r="R1212" s="316"/>
      <c r="S1212" s="317"/>
      <c r="T1212" s="317"/>
      <c r="U1212" s="317"/>
    </row>
    <row r="1213" ht="20.25" customHeight="1">
      <c r="A1213" s="216" t="str">
        <f>IFERROR(__xludf.DUMMYFUNCTION("ARRAYFORMULA(IFERROR(VLOOKUP(REGEXEXTRACT(B1213, ""-(\w+)-""), {Data_Validation!$F$16:$F$29, Data_Validation!$E$16:$E$29}, 2, FALSE), """"))
"),"")</f>
        <v/>
      </c>
      <c r="K1213" s="318"/>
      <c r="L1213" s="311"/>
      <c r="M1213" s="312"/>
      <c r="N1213" s="313"/>
      <c r="O1213" s="314"/>
      <c r="P1213" s="314"/>
      <c r="Q1213" s="315"/>
      <c r="R1213" s="316"/>
      <c r="S1213" s="317"/>
      <c r="T1213" s="317"/>
      <c r="U1213" s="317"/>
    </row>
    <row r="1214" ht="20.25" customHeight="1">
      <c r="A1214" s="216" t="str">
        <f>IFERROR(__xludf.DUMMYFUNCTION("ARRAYFORMULA(IFERROR(VLOOKUP(REGEXEXTRACT(B1214, ""-(\w+)-""), {Data_Validation!$F$16:$F$29, Data_Validation!$E$16:$E$29}, 2, FALSE), """"))
"),"")</f>
        <v/>
      </c>
      <c r="K1214" s="318"/>
      <c r="L1214" s="311"/>
      <c r="M1214" s="312"/>
      <c r="N1214" s="313"/>
      <c r="O1214" s="314"/>
      <c r="P1214" s="314"/>
      <c r="Q1214" s="315"/>
      <c r="R1214" s="316"/>
      <c r="S1214" s="317"/>
      <c r="T1214" s="317"/>
      <c r="U1214" s="317"/>
    </row>
    <row r="1215" ht="20.25" customHeight="1">
      <c r="A1215" s="216" t="str">
        <f>IFERROR(__xludf.DUMMYFUNCTION("ARRAYFORMULA(IFERROR(VLOOKUP(REGEXEXTRACT(B1215, ""-(\w+)-""), {Data_Validation!$F$16:$F$29, Data_Validation!$E$16:$E$29}, 2, FALSE), """"))
"),"")</f>
        <v/>
      </c>
      <c r="K1215" s="318"/>
      <c r="L1215" s="311"/>
      <c r="M1215" s="312"/>
      <c r="N1215" s="313"/>
      <c r="O1215" s="314"/>
      <c r="P1215" s="314"/>
      <c r="Q1215" s="315"/>
      <c r="R1215" s="316"/>
      <c r="S1215" s="317"/>
      <c r="T1215" s="317"/>
      <c r="U1215" s="317"/>
    </row>
    <row r="1216" ht="20.25" customHeight="1">
      <c r="A1216" s="216" t="str">
        <f>IFERROR(__xludf.DUMMYFUNCTION("ARRAYFORMULA(IFERROR(VLOOKUP(REGEXEXTRACT(B1216, ""-(\w+)-""), {Data_Validation!$F$16:$F$29, Data_Validation!$E$16:$E$29}, 2, FALSE), """"))
"),"")</f>
        <v/>
      </c>
      <c r="K1216" s="318"/>
      <c r="L1216" s="311"/>
      <c r="M1216" s="312"/>
      <c r="N1216" s="313"/>
      <c r="O1216" s="314"/>
      <c r="P1216" s="314"/>
      <c r="Q1216" s="315"/>
      <c r="R1216" s="316"/>
      <c r="S1216" s="317"/>
      <c r="T1216" s="317"/>
      <c r="U1216" s="317"/>
    </row>
    <row r="1217" ht="20.25" customHeight="1">
      <c r="A1217" s="216" t="str">
        <f>IFERROR(__xludf.DUMMYFUNCTION("ARRAYFORMULA(IFERROR(VLOOKUP(REGEXEXTRACT(B1217, ""-(\w+)-""), {Data_Validation!$F$16:$F$29, Data_Validation!$E$16:$E$29}, 2, FALSE), """"))
"),"")</f>
        <v/>
      </c>
      <c r="K1217" s="318"/>
      <c r="L1217" s="311"/>
      <c r="M1217" s="312"/>
      <c r="N1217" s="313"/>
      <c r="O1217" s="314"/>
      <c r="P1217" s="314"/>
      <c r="Q1217" s="315"/>
      <c r="R1217" s="316"/>
      <c r="S1217" s="317"/>
      <c r="T1217" s="317"/>
      <c r="U1217" s="317"/>
    </row>
    <row r="1218" ht="20.25" customHeight="1">
      <c r="A1218" s="216" t="str">
        <f>IFERROR(__xludf.DUMMYFUNCTION("ARRAYFORMULA(IFERROR(VLOOKUP(REGEXEXTRACT(B1218, ""-(\w+)-""), {Data_Validation!$F$16:$F$29, Data_Validation!$E$16:$E$29}, 2, FALSE), """"))
"),"")</f>
        <v/>
      </c>
      <c r="K1218" s="318"/>
      <c r="L1218" s="311"/>
      <c r="M1218" s="312"/>
      <c r="N1218" s="313"/>
      <c r="O1218" s="314"/>
      <c r="P1218" s="314"/>
      <c r="Q1218" s="315"/>
      <c r="R1218" s="316"/>
      <c r="S1218" s="317"/>
      <c r="T1218" s="317"/>
      <c r="U1218" s="317"/>
    </row>
    <row r="1219" ht="20.25" customHeight="1">
      <c r="A1219" s="216" t="str">
        <f>IFERROR(__xludf.DUMMYFUNCTION("ARRAYFORMULA(IFERROR(VLOOKUP(REGEXEXTRACT(B1219, ""-(\w+)-""), {Data_Validation!$F$16:$F$29, Data_Validation!$E$16:$E$29}, 2, FALSE), """"))
"),"")</f>
        <v/>
      </c>
      <c r="K1219" s="318"/>
      <c r="L1219" s="311"/>
      <c r="M1219" s="312"/>
      <c r="N1219" s="313"/>
      <c r="O1219" s="314"/>
      <c r="P1219" s="314"/>
      <c r="Q1219" s="315"/>
      <c r="R1219" s="316"/>
      <c r="S1219" s="317"/>
      <c r="T1219" s="317"/>
      <c r="U1219" s="317"/>
    </row>
    <row r="1220" ht="20.25" customHeight="1">
      <c r="A1220" s="216" t="str">
        <f>IFERROR(__xludf.DUMMYFUNCTION("ARRAYFORMULA(IFERROR(VLOOKUP(REGEXEXTRACT(B1220, ""-(\w+)-""), {Data_Validation!$F$16:$F$29, Data_Validation!$E$16:$E$29}, 2, FALSE), """"))
"),"")</f>
        <v/>
      </c>
      <c r="K1220" s="318"/>
      <c r="L1220" s="311"/>
      <c r="M1220" s="312"/>
      <c r="N1220" s="313"/>
      <c r="O1220" s="314"/>
      <c r="P1220" s="314"/>
      <c r="Q1220" s="315"/>
      <c r="R1220" s="316"/>
      <c r="S1220" s="317"/>
      <c r="T1220" s="317"/>
      <c r="U1220" s="317"/>
    </row>
    <row r="1221" ht="20.25" customHeight="1">
      <c r="A1221" s="216" t="str">
        <f>IFERROR(__xludf.DUMMYFUNCTION("ARRAYFORMULA(IFERROR(VLOOKUP(REGEXEXTRACT(B1221, ""-(\w+)-""), {Data_Validation!$F$16:$F$29, Data_Validation!$E$16:$E$29}, 2, FALSE), """"))
"),"")</f>
        <v/>
      </c>
      <c r="K1221" s="318"/>
      <c r="L1221" s="311"/>
      <c r="M1221" s="312"/>
      <c r="N1221" s="313"/>
      <c r="O1221" s="314"/>
      <c r="P1221" s="314"/>
      <c r="Q1221" s="315"/>
      <c r="R1221" s="316"/>
      <c r="S1221" s="317"/>
      <c r="T1221" s="317"/>
      <c r="U1221" s="317"/>
    </row>
    <row r="1222" ht="20.25" customHeight="1">
      <c r="A1222" s="216" t="str">
        <f>IFERROR(__xludf.DUMMYFUNCTION("ARRAYFORMULA(IFERROR(VLOOKUP(REGEXEXTRACT(B1222, ""-(\w+)-""), {Data_Validation!$F$16:$F$29, Data_Validation!$E$16:$E$29}, 2, FALSE), """"))
"),"")</f>
        <v/>
      </c>
      <c r="K1222" s="318"/>
      <c r="L1222" s="311"/>
      <c r="M1222" s="312"/>
      <c r="N1222" s="313"/>
      <c r="O1222" s="314"/>
      <c r="P1222" s="314"/>
      <c r="Q1222" s="315"/>
      <c r="R1222" s="316"/>
      <c r="S1222" s="317"/>
      <c r="T1222" s="317"/>
      <c r="U1222" s="317"/>
    </row>
    <row r="1223" ht="20.25" customHeight="1">
      <c r="A1223" s="216" t="str">
        <f>IFERROR(__xludf.DUMMYFUNCTION("ARRAYFORMULA(IFERROR(VLOOKUP(REGEXEXTRACT(B1223, ""-(\w+)-""), {Data_Validation!$F$16:$F$29, Data_Validation!$E$16:$E$29}, 2, FALSE), """"))
"),"")</f>
        <v/>
      </c>
      <c r="K1223" s="318"/>
      <c r="L1223" s="311"/>
      <c r="M1223" s="312"/>
      <c r="N1223" s="313"/>
      <c r="O1223" s="314"/>
      <c r="P1223" s="314"/>
      <c r="Q1223" s="315"/>
      <c r="R1223" s="316"/>
      <c r="S1223" s="317"/>
      <c r="T1223" s="317"/>
      <c r="U1223" s="317"/>
    </row>
    <row r="1224" ht="20.25" customHeight="1">
      <c r="A1224" s="216" t="str">
        <f>IFERROR(__xludf.DUMMYFUNCTION("ARRAYFORMULA(IFERROR(VLOOKUP(REGEXEXTRACT(B1224, ""-(\w+)-""), {Data_Validation!$F$16:$F$29, Data_Validation!$E$16:$E$29}, 2, FALSE), """"))
"),"")</f>
        <v/>
      </c>
      <c r="K1224" s="318"/>
      <c r="L1224" s="311"/>
      <c r="M1224" s="312"/>
      <c r="N1224" s="313"/>
      <c r="O1224" s="314"/>
      <c r="P1224" s="314"/>
      <c r="Q1224" s="315"/>
      <c r="R1224" s="316"/>
      <c r="S1224" s="317"/>
      <c r="T1224" s="317"/>
      <c r="U1224" s="317"/>
    </row>
    <row r="1225" ht="20.25" customHeight="1">
      <c r="A1225" s="216" t="str">
        <f>IFERROR(__xludf.DUMMYFUNCTION("ARRAYFORMULA(IFERROR(VLOOKUP(REGEXEXTRACT(B1225, ""-(\w+)-""), {Data_Validation!$F$16:$F$29, Data_Validation!$E$16:$E$29}, 2, FALSE), """"))
"),"")</f>
        <v/>
      </c>
      <c r="K1225" s="318"/>
      <c r="L1225" s="311"/>
      <c r="M1225" s="312"/>
      <c r="N1225" s="313"/>
      <c r="O1225" s="314"/>
      <c r="P1225" s="314"/>
      <c r="Q1225" s="315"/>
      <c r="R1225" s="316"/>
      <c r="S1225" s="317"/>
      <c r="T1225" s="317"/>
      <c r="U1225" s="317"/>
    </row>
    <row r="1226" ht="20.25" customHeight="1">
      <c r="A1226" s="216" t="str">
        <f>IFERROR(__xludf.DUMMYFUNCTION("ARRAYFORMULA(IFERROR(VLOOKUP(REGEXEXTRACT(B1226, ""-(\w+)-""), {Data_Validation!$F$16:$F$29, Data_Validation!$E$16:$E$29}, 2, FALSE), """"))
"),"")</f>
        <v/>
      </c>
      <c r="K1226" s="318"/>
      <c r="L1226" s="311"/>
      <c r="M1226" s="312"/>
      <c r="N1226" s="313"/>
      <c r="O1226" s="314"/>
      <c r="P1226" s="314"/>
      <c r="Q1226" s="315"/>
      <c r="R1226" s="316"/>
      <c r="S1226" s="317"/>
      <c r="T1226" s="317"/>
      <c r="U1226" s="317"/>
    </row>
    <row r="1227" ht="20.25" customHeight="1">
      <c r="A1227" s="216" t="str">
        <f>IFERROR(__xludf.DUMMYFUNCTION("ARRAYFORMULA(IFERROR(VLOOKUP(REGEXEXTRACT(B1227, ""-(\w+)-""), {Data_Validation!$F$16:$F$29, Data_Validation!$E$16:$E$29}, 2, FALSE), """"))
"),"")</f>
        <v/>
      </c>
      <c r="K1227" s="318"/>
      <c r="L1227" s="311"/>
      <c r="M1227" s="312"/>
      <c r="N1227" s="313"/>
      <c r="O1227" s="314"/>
      <c r="P1227" s="314"/>
      <c r="Q1227" s="315"/>
      <c r="R1227" s="316"/>
      <c r="S1227" s="317"/>
      <c r="T1227" s="317"/>
      <c r="U1227" s="317"/>
    </row>
    <row r="1228" ht="20.25" customHeight="1">
      <c r="A1228" s="216" t="str">
        <f>IFERROR(__xludf.DUMMYFUNCTION("ARRAYFORMULA(IFERROR(VLOOKUP(REGEXEXTRACT(B1228, ""-(\w+)-""), {Data_Validation!$F$16:$F$29, Data_Validation!$E$16:$E$29}, 2, FALSE), """"))
"),"")</f>
        <v/>
      </c>
      <c r="K1228" s="318"/>
      <c r="L1228" s="311"/>
      <c r="M1228" s="312"/>
      <c r="N1228" s="313"/>
      <c r="O1228" s="314"/>
      <c r="P1228" s="314"/>
      <c r="Q1228" s="315"/>
      <c r="R1228" s="316"/>
      <c r="S1228" s="317"/>
      <c r="T1228" s="317"/>
      <c r="U1228" s="317"/>
    </row>
    <row r="1229" ht="20.25" customHeight="1">
      <c r="A1229" s="216" t="str">
        <f>IFERROR(__xludf.DUMMYFUNCTION("ARRAYFORMULA(IFERROR(VLOOKUP(REGEXEXTRACT(B1229, ""-(\w+)-""), {Data_Validation!$F$16:$F$29, Data_Validation!$E$16:$E$29}, 2, FALSE), """"))
"),"")</f>
        <v/>
      </c>
      <c r="K1229" s="318"/>
      <c r="L1229" s="311"/>
      <c r="M1229" s="312"/>
      <c r="N1229" s="313"/>
      <c r="O1229" s="314"/>
      <c r="P1229" s="314"/>
      <c r="Q1229" s="315"/>
      <c r="R1229" s="316"/>
      <c r="S1229" s="317"/>
      <c r="T1229" s="317"/>
      <c r="U1229" s="317"/>
    </row>
    <row r="1230" ht="20.25" customHeight="1">
      <c r="A1230" s="216" t="str">
        <f>IFERROR(__xludf.DUMMYFUNCTION("ARRAYFORMULA(IFERROR(VLOOKUP(REGEXEXTRACT(B1230, ""-(\w+)-""), {Data_Validation!$F$16:$F$29, Data_Validation!$E$16:$E$29}, 2, FALSE), """"))
"),"")</f>
        <v/>
      </c>
      <c r="K1230" s="318"/>
      <c r="L1230" s="311"/>
      <c r="M1230" s="312"/>
      <c r="N1230" s="313"/>
      <c r="O1230" s="314"/>
      <c r="P1230" s="314"/>
      <c r="Q1230" s="315"/>
      <c r="R1230" s="316"/>
      <c r="S1230" s="317"/>
      <c r="T1230" s="317"/>
      <c r="U1230" s="317"/>
    </row>
    <row r="1231" ht="20.25" customHeight="1">
      <c r="A1231" s="216" t="str">
        <f>IFERROR(__xludf.DUMMYFUNCTION("ARRAYFORMULA(IFERROR(VLOOKUP(REGEXEXTRACT(B1231, ""-(\w+)-""), {Data_Validation!$F$16:$F$29, Data_Validation!$E$16:$E$29}, 2, FALSE), """"))
"),"")</f>
        <v/>
      </c>
      <c r="K1231" s="318"/>
      <c r="L1231" s="311"/>
      <c r="M1231" s="312"/>
      <c r="N1231" s="313"/>
      <c r="O1231" s="314"/>
      <c r="P1231" s="314"/>
      <c r="Q1231" s="315"/>
      <c r="R1231" s="316"/>
      <c r="S1231" s="317"/>
      <c r="T1231" s="317"/>
      <c r="U1231" s="317"/>
    </row>
    <row r="1232" ht="20.25" customHeight="1">
      <c r="A1232" s="216" t="str">
        <f>IFERROR(__xludf.DUMMYFUNCTION("ARRAYFORMULA(IFERROR(VLOOKUP(REGEXEXTRACT(B1232, ""-(\w+)-""), {Data_Validation!$F$16:$F$29, Data_Validation!$E$16:$E$29}, 2, FALSE), """"))
"),"")</f>
        <v/>
      </c>
      <c r="K1232" s="318"/>
      <c r="L1232" s="311"/>
      <c r="M1232" s="312"/>
      <c r="N1232" s="313"/>
      <c r="O1232" s="314"/>
      <c r="P1232" s="314"/>
      <c r="Q1232" s="315"/>
      <c r="R1232" s="316"/>
      <c r="S1232" s="317"/>
      <c r="T1232" s="317"/>
      <c r="U1232" s="317"/>
    </row>
    <row r="1233" ht="20.25" customHeight="1">
      <c r="A1233" s="216" t="str">
        <f>IFERROR(__xludf.DUMMYFUNCTION("ARRAYFORMULA(IFERROR(VLOOKUP(REGEXEXTRACT(B1233, ""-(\w+)-""), {Data_Validation!$F$16:$F$29, Data_Validation!$E$16:$E$29}, 2, FALSE), """"))
"),"")</f>
        <v/>
      </c>
      <c r="K1233" s="318"/>
      <c r="L1233" s="311"/>
      <c r="M1233" s="312"/>
      <c r="N1233" s="313"/>
      <c r="O1233" s="314"/>
      <c r="P1233" s="314"/>
      <c r="Q1233" s="315"/>
      <c r="R1233" s="316"/>
      <c r="S1233" s="317"/>
      <c r="T1233" s="317"/>
      <c r="U1233" s="317"/>
    </row>
    <row r="1234" ht="20.25" customHeight="1">
      <c r="A1234" s="216" t="str">
        <f>IFERROR(__xludf.DUMMYFUNCTION("ARRAYFORMULA(IFERROR(VLOOKUP(REGEXEXTRACT(B1234, ""-(\w+)-""), {Data_Validation!$F$16:$F$29, Data_Validation!$E$16:$E$29}, 2, FALSE), """"))
"),"")</f>
        <v/>
      </c>
      <c r="K1234" s="318"/>
      <c r="L1234" s="311"/>
      <c r="M1234" s="312"/>
      <c r="N1234" s="313"/>
      <c r="O1234" s="314"/>
      <c r="P1234" s="314"/>
      <c r="Q1234" s="315"/>
      <c r="R1234" s="316"/>
      <c r="S1234" s="317"/>
      <c r="T1234" s="317"/>
      <c r="U1234" s="317"/>
    </row>
    <row r="1235" ht="20.25" customHeight="1">
      <c r="A1235" s="216" t="str">
        <f>IFERROR(__xludf.DUMMYFUNCTION("ARRAYFORMULA(IFERROR(VLOOKUP(REGEXEXTRACT(B1235, ""-(\w+)-""), {Data_Validation!$F$16:$F$29, Data_Validation!$E$16:$E$29}, 2, FALSE), """"))
"),"")</f>
        <v/>
      </c>
      <c r="K1235" s="318"/>
      <c r="L1235" s="311"/>
      <c r="M1235" s="312"/>
      <c r="N1235" s="313"/>
      <c r="O1235" s="314"/>
      <c r="P1235" s="314"/>
      <c r="Q1235" s="315"/>
      <c r="R1235" s="316"/>
      <c r="S1235" s="317"/>
      <c r="T1235" s="317"/>
      <c r="U1235" s="317"/>
    </row>
    <row r="1236" ht="20.25" customHeight="1">
      <c r="A1236" s="216" t="str">
        <f>IFERROR(__xludf.DUMMYFUNCTION("ARRAYFORMULA(IFERROR(VLOOKUP(REGEXEXTRACT(B1236, ""-(\w+)-""), {Data_Validation!$F$16:$F$29, Data_Validation!$E$16:$E$29}, 2, FALSE), """"))
"),"")</f>
        <v/>
      </c>
      <c r="K1236" s="318"/>
      <c r="L1236" s="311"/>
      <c r="M1236" s="312"/>
      <c r="N1236" s="313"/>
      <c r="O1236" s="314"/>
      <c r="P1236" s="314"/>
      <c r="Q1236" s="315"/>
      <c r="R1236" s="316"/>
      <c r="S1236" s="317"/>
      <c r="T1236" s="317"/>
      <c r="U1236" s="317"/>
    </row>
    <row r="1237" ht="20.25" customHeight="1">
      <c r="A1237" s="216" t="str">
        <f>IFERROR(__xludf.DUMMYFUNCTION("ARRAYFORMULA(IFERROR(VLOOKUP(REGEXEXTRACT(B1237, ""-(\w+)-""), {Data_Validation!$F$16:$F$29, Data_Validation!$E$16:$E$29}, 2, FALSE), """"))
"),"")</f>
        <v/>
      </c>
      <c r="K1237" s="318"/>
      <c r="L1237" s="311"/>
      <c r="M1237" s="312"/>
      <c r="N1237" s="313"/>
      <c r="O1237" s="314"/>
      <c r="P1237" s="314"/>
      <c r="Q1237" s="315"/>
      <c r="R1237" s="316"/>
      <c r="S1237" s="317"/>
      <c r="T1237" s="317"/>
      <c r="U1237" s="317"/>
    </row>
    <row r="1238" ht="20.25" customHeight="1">
      <c r="A1238" s="216" t="str">
        <f>IFERROR(__xludf.DUMMYFUNCTION("ARRAYFORMULA(IFERROR(VLOOKUP(REGEXEXTRACT(B1238, ""-(\w+)-""), {Data_Validation!$F$16:$F$29, Data_Validation!$E$16:$E$29}, 2, FALSE), """"))
"),"")</f>
        <v/>
      </c>
      <c r="K1238" s="318"/>
      <c r="L1238" s="311"/>
      <c r="M1238" s="312"/>
      <c r="N1238" s="313"/>
      <c r="O1238" s="314"/>
      <c r="P1238" s="314"/>
      <c r="Q1238" s="315"/>
      <c r="R1238" s="316"/>
      <c r="S1238" s="317"/>
      <c r="T1238" s="317"/>
      <c r="U1238" s="317"/>
    </row>
    <row r="1239" ht="20.25" customHeight="1">
      <c r="A1239" s="216" t="str">
        <f>IFERROR(__xludf.DUMMYFUNCTION("ARRAYFORMULA(IFERROR(VLOOKUP(REGEXEXTRACT(B1239, ""-(\w+)-""), {Data_Validation!$F$16:$F$29, Data_Validation!$E$16:$E$29}, 2, FALSE), """"))
"),"")</f>
        <v/>
      </c>
      <c r="K1239" s="318"/>
      <c r="L1239" s="311"/>
      <c r="M1239" s="312"/>
      <c r="N1239" s="313"/>
      <c r="O1239" s="314"/>
      <c r="P1239" s="314"/>
      <c r="Q1239" s="315"/>
      <c r="R1239" s="316"/>
      <c r="S1239" s="317"/>
      <c r="T1239" s="317"/>
      <c r="U1239" s="317"/>
    </row>
    <row r="1240" ht="20.25" customHeight="1">
      <c r="A1240" s="216" t="str">
        <f>IFERROR(__xludf.DUMMYFUNCTION("ARRAYFORMULA(IFERROR(VLOOKUP(REGEXEXTRACT(B1240, ""-(\w+)-""), {Data_Validation!$F$16:$F$29, Data_Validation!$E$16:$E$29}, 2, FALSE), """"))
"),"")</f>
        <v/>
      </c>
      <c r="K1240" s="318"/>
      <c r="L1240" s="311"/>
      <c r="M1240" s="312"/>
      <c r="N1240" s="313"/>
      <c r="O1240" s="314"/>
      <c r="P1240" s="314"/>
      <c r="Q1240" s="315"/>
      <c r="R1240" s="316"/>
      <c r="S1240" s="317"/>
      <c r="T1240" s="317"/>
      <c r="U1240" s="317"/>
    </row>
    <row r="1241" ht="20.25" customHeight="1">
      <c r="A1241" s="216" t="str">
        <f>IFERROR(__xludf.DUMMYFUNCTION("ARRAYFORMULA(IFERROR(VLOOKUP(REGEXEXTRACT(B1241, ""-(\w+)-""), {Data_Validation!$F$16:$F$29, Data_Validation!$E$16:$E$29}, 2, FALSE), """"))
"),"")</f>
        <v/>
      </c>
      <c r="K1241" s="318"/>
      <c r="L1241" s="311"/>
      <c r="M1241" s="312"/>
      <c r="N1241" s="313"/>
      <c r="O1241" s="314"/>
      <c r="P1241" s="314"/>
      <c r="Q1241" s="315"/>
      <c r="R1241" s="316"/>
      <c r="S1241" s="317"/>
      <c r="T1241" s="317"/>
      <c r="U1241" s="317"/>
    </row>
    <row r="1242" ht="20.25" customHeight="1">
      <c r="A1242" s="216" t="str">
        <f>IFERROR(__xludf.DUMMYFUNCTION("ARRAYFORMULA(IFERROR(VLOOKUP(REGEXEXTRACT(B1242, ""-(\w+)-""), {Data_Validation!$F$16:$F$29, Data_Validation!$E$16:$E$29}, 2, FALSE), """"))
"),"")</f>
        <v/>
      </c>
      <c r="K1242" s="318"/>
      <c r="L1242" s="311"/>
      <c r="M1242" s="312"/>
      <c r="N1242" s="313"/>
      <c r="O1242" s="314"/>
      <c r="P1242" s="314"/>
      <c r="Q1242" s="315"/>
      <c r="R1242" s="316"/>
      <c r="S1242" s="317"/>
      <c r="T1242" s="317"/>
      <c r="U1242" s="317"/>
    </row>
    <row r="1243" ht="20.25" customHeight="1">
      <c r="A1243" s="216" t="str">
        <f>IFERROR(__xludf.DUMMYFUNCTION("ARRAYFORMULA(IFERROR(VLOOKUP(REGEXEXTRACT(B1243, ""-(\w+)-""), {Data_Validation!$F$16:$F$29, Data_Validation!$E$16:$E$29}, 2, FALSE), """"))
"),"")</f>
        <v/>
      </c>
      <c r="K1243" s="318"/>
      <c r="L1243" s="311"/>
      <c r="M1243" s="312"/>
      <c r="N1243" s="313"/>
      <c r="O1243" s="314"/>
      <c r="P1243" s="314"/>
      <c r="Q1243" s="315"/>
      <c r="R1243" s="316"/>
      <c r="S1243" s="317"/>
      <c r="T1243" s="317"/>
      <c r="U1243" s="317"/>
    </row>
    <row r="1244" ht="20.25" customHeight="1">
      <c r="A1244" s="216" t="str">
        <f>IFERROR(__xludf.DUMMYFUNCTION("ARRAYFORMULA(IFERROR(VLOOKUP(REGEXEXTRACT(B1244, ""-(\w+)-""), {Data_Validation!$F$16:$F$29, Data_Validation!$E$16:$E$29}, 2, FALSE), """"))
"),"")</f>
        <v/>
      </c>
      <c r="K1244" s="318"/>
      <c r="L1244" s="311"/>
      <c r="M1244" s="312"/>
      <c r="N1244" s="313"/>
      <c r="O1244" s="314"/>
      <c r="P1244" s="314"/>
      <c r="Q1244" s="315"/>
      <c r="R1244" s="316"/>
      <c r="S1244" s="317"/>
      <c r="T1244" s="317"/>
      <c r="U1244" s="317"/>
    </row>
    <row r="1245" ht="20.25" customHeight="1">
      <c r="A1245" s="216" t="str">
        <f>IFERROR(__xludf.DUMMYFUNCTION("ARRAYFORMULA(IFERROR(VLOOKUP(REGEXEXTRACT(B1245, ""-(\w+)-""), {Data_Validation!$F$16:$F$29, Data_Validation!$E$16:$E$29}, 2, FALSE), """"))
"),"")</f>
        <v/>
      </c>
      <c r="K1245" s="318"/>
      <c r="L1245" s="311"/>
      <c r="M1245" s="312"/>
      <c r="N1245" s="313"/>
      <c r="O1245" s="314"/>
      <c r="P1245" s="314"/>
      <c r="Q1245" s="315"/>
      <c r="R1245" s="316"/>
      <c r="S1245" s="317"/>
      <c r="T1245" s="317"/>
      <c r="U1245" s="317"/>
    </row>
    <row r="1246" ht="20.25" customHeight="1">
      <c r="A1246" s="216" t="str">
        <f>IFERROR(__xludf.DUMMYFUNCTION("ARRAYFORMULA(IFERROR(VLOOKUP(REGEXEXTRACT(B1246, ""-(\w+)-""), {Data_Validation!$F$16:$F$29, Data_Validation!$E$16:$E$29}, 2, FALSE), """"))
"),"")</f>
        <v/>
      </c>
      <c r="K1246" s="318"/>
      <c r="L1246" s="311"/>
      <c r="M1246" s="312"/>
      <c r="N1246" s="313"/>
      <c r="O1246" s="314"/>
      <c r="P1246" s="314"/>
      <c r="Q1246" s="315"/>
      <c r="R1246" s="316"/>
      <c r="S1246" s="317"/>
      <c r="T1246" s="317"/>
      <c r="U1246" s="317"/>
    </row>
    <row r="1247" ht="20.25" customHeight="1">
      <c r="A1247" s="216" t="str">
        <f>IFERROR(__xludf.DUMMYFUNCTION("ARRAYFORMULA(IFERROR(VLOOKUP(REGEXEXTRACT(B1247, ""-(\w+)-""), {Data_Validation!$F$16:$F$29, Data_Validation!$E$16:$E$29}, 2, FALSE), """"))
"),"")</f>
        <v/>
      </c>
      <c r="K1247" s="318"/>
      <c r="L1247" s="311"/>
      <c r="M1247" s="312"/>
      <c r="N1247" s="313"/>
      <c r="O1247" s="314"/>
      <c r="P1247" s="314"/>
      <c r="Q1247" s="315"/>
      <c r="R1247" s="316"/>
      <c r="S1247" s="317"/>
      <c r="T1247" s="317"/>
      <c r="U1247" s="317"/>
    </row>
    <row r="1248" ht="20.25" customHeight="1">
      <c r="A1248" s="216" t="str">
        <f>IFERROR(__xludf.DUMMYFUNCTION("ARRAYFORMULA(IFERROR(VLOOKUP(REGEXEXTRACT(B1248, ""-(\w+)-""), {Data_Validation!$F$16:$F$29, Data_Validation!$E$16:$E$29}, 2, FALSE), """"))
"),"")</f>
        <v/>
      </c>
      <c r="K1248" s="318"/>
      <c r="L1248" s="311"/>
      <c r="M1248" s="312"/>
      <c r="N1248" s="313"/>
      <c r="O1248" s="314"/>
      <c r="P1248" s="314"/>
      <c r="Q1248" s="315"/>
      <c r="R1248" s="316"/>
      <c r="S1248" s="317"/>
      <c r="T1248" s="317"/>
      <c r="U1248" s="317"/>
    </row>
    <row r="1249" ht="20.25" customHeight="1">
      <c r="A1249" s="216" t="str">
        <f>IFERROR(__xludf.DUMMYFUNCTION("ARRAYFORMULA(IFERROR(VLOOKUP(REGEXEXTRACT(B1249, ""-(\w+)-""), {Data_Validation!$F$16:$F$29, Data_Validation!$E$16:$E$29}, 2, FALSE), """"))
"),"")</f>
        <v/>
      </c>
      <c r="K1249" s="318"/>
      <c r="L1249" s="311"/>
      <c r="M1249" s="312"/>
      <c r="N1249" s="313"/>
      <c r="O1249" s="314"/>
      <c r="P1249" s="314"/>
      <c r="Q1249" s="315"/>
      <c r="R1249" s="316"/>
      <c r="S1249" s="317"/>
      <c r="T1249" s="317"/>
      <c r="U1249" s="317"/>
    </row>
    <row r="1250" ht="20.25" customHeight="1">
      <c r="A1250" s="216" t="str">
        <f>IFERROR(__xludf.DUMMYFUNCTION("ARRAYFORMULA(IFERROR(VLOOKUP(REGEXEXTRACT(B1250, ""-(\w+)-""), {Data_Validation!$F$16:$F$29, Data_Validation!$E$16:$E$29}, 2, FALSE), """"))
"),"")</f>
        <v/>
      </c>
      <c r="K1250" s="318"/>
      <c r="L1250" s="311"/>
      <c r="M1250" s="312"/>
      <c r="N1250" s="313"/>
      <c r="O1250" s="314"/>
      <c r="P1250" s="314"/>
      <c r="Q1250" s="315"/>
      <c r="R1250" s="316"/>
      <c r="S1250" s="317"/>
      <c r="T1250" s="317"/>
      <c r="U1250" s="317"/>
    </row>
    <row r="1251" ht="20.25" customHeight="1">
      <c r="A1251" s="216" t="str">
        <f>IFERROR(__xludf.DUMMYFUNCTION("ARRAYFORMULA(IFERROR(VLOOKUP(REGEXEXTRACT(B1251, ""-(\w+)-""), {Data_Validation!$F$16:$F$29, Data_Validation!$E$16:$E$29}, 2, FALSE), """"))
"),"")</f>
        <v/>
      </c>
      <c r="K1251" s="318"/>
      <c r="L1251" s="311"/>
      <c r="M1251" s="312"/>
      <c r="N1251" s="313"/>
      <c r="O1251" s="314"/>
      <c r="P1251" s="314"/>
      <c r="Q1251" s="315"/>
      <c r="R1251" s="316"/>
      <c r="S1251" s="317"/>
      <c r="T1251" s="317"/>
      <c r="U1251" s="317"/>
    </row>
    <row r="1252" ht="20.25" customHeight="1">
      <c r="A1252" s="216" t="str">
        <f>IFERROR(__xludf.DUMMYFUNCTION("ARRAYFORMULA(IFERROR(VLOOKUP(REGEXEXTRACT(B1252, ""-(\w+)-""), {Data_Validation!$F$16:$F$29, Data_Validation!$E$16:$E$29}, 2, FALSE), """"))
"),"")</f>
        <v/>
      </c>
      <c r="K1252" s="318"/>
      <c r="L1252" s="311"/>
      <c r="M1252" s="312"/>
      <c r="N1252" s="313"/>
      <c r="O1252" s="314"/>
      <c r="P1252" s="314"/>
      <c r="Q1252" s="315"/>
      <c r="R1252" s="316"/>
      <c r="S1252" s="317"/>
      <c r="T1252" s="317"/>
      <c r="U1252" s="317"/>
    </row>
    <row r="1253" ht="20.25" customHeight="1">
      <c r="A1253" s="216" t="str">
        <f>IFERROR(__xludf.DUMMYFUNCTION("ARRAYFORMULA(IFERROR(VLOOKUP(REGEXEXTRACT(B1253, ""-(\w+)-""), {Data_Validation!$F$16:$F$29, Data_Validation!$E$16:$E$29}, 2, FALSE), """"))
"),"")</f>
        <v/>
      </c>
      <c r="K1253" s="318"/>
      <c r="L1253" s="311"/>
      <c r="M1253" s="312"/>
      <c r="N1253" s="313"/>
      <c r="O1253" s="314"/>
      <c r="P1253" s="314"/>
      <c r="Q1253" s="315"/>
      <c r="R1253" s="316"/>
      <c r="S1253" s="317"/>
      <c r="T1253" s="317"/>
      <c r="U1253" s="317"/>
    </row>
    <row r="1254" ht="20.25" customHeight="1">
      <c r="A1254" s="216" t="str">
        <f>IFERROR(__xludf.DUMMYFUNCTION("ARRAYFORMULA(IFERROR(VLOOKUP(REGEXEXTRACT(B1254, ""-(\w+)-""), {Data_Validation!$F$16:$F$29, Data_Validation!$E$16:$E$29}, 2, FALSE), """"))
"),"")</f>
        <v/>
      </c>
      <c r="K1254" s="318"/>
      <c r="L1254" s="311"/>
      <c r="M1254" s="312"/>
      <c r="N1254" s="313"/>
      <c r="O1254" s="314"/>
      <c r="P1254" s="314"/>
      <c r="Q1254" s="315"/>
      <c r="R1254" s="316"/>
      <c r="S1254" s="317"/>
      <c r="T1254" s="317"/>
      <c r="U1254" s="317"/>
    </row>
    <row r="1255" ht="20.25" customHeight="1">
      <c r="A1255" s="216" t="str">
        <f>IFERROR(__xludf.DUMMYFUNCTION("ARRAYFORMULA(IFERROR(VLOOKUP(REGEXEXTRACT(B1255, ""-(\w+)-""), {Data_Validation!$F$16:$F$29, Data_Validation!$E$16:$E$29}, 2, FALSE), """"))
"),"")</f>
        <v/>
      </c>
      <c r="K1255" s="318"/>
      <c r="L1255" s="311"/>
      <c r="M1255" s="312"/>
      <c r="N1255" s="313"/>
      <c r="O1255" s="314"/>
      <c r="P1255" s="314"/>
      <c r="Q1255" s="315"/>
      <c r="R1255" s="316"/>
      <c r="S1255" s="317"/>
      <c r="T1255" s="317"/>
      <c r="U1255" s="317"/>
    </row>
    <row r="1256" ht="20.25" customHeight="1">
      <c r="A1256" s="216" t="str">
        <f>IFERROR(__xludf.DUMMYFUNCTION("ARRAYFORMULA(IFERROR(VLOOKUP(REGEXEXTRACT(B1256, ""-(\w+)-""), {Data_Validation!$F$16:$F$29, Data_Validation!$E$16:$E$29}, 2, FALSE), """"))
"),"")</f>
        <v/>
      </c>
      <c r="K1256" s="318"/>
      <c r="L1256" s="311"/>
      <c r="M1256" s="312"/>
      <c r="N1256" s="313"/>
      <c r="O1256" s="314"/>
      <c r="P1256" s="314"/>
      <c r="Q1256" s="315"/>
      <c r="R1256" s="316"/>
      <c r="S1256" s="317"/>
      <c r="T1256" s="317"/>
      <c r="U1256" s="317"/>
    </row>
    <row r="1257" ht="20.25" customHeight="1">
      <c r="A1257" s="216" t="str">
        <f>IFERROR(__xludf.DUMMYFUNCTION("ARRAYFORMULA(IFERROR(VLOOKUP(REGEXEXTRACT(B1257, ""-(\w+)-""), {Data_Validation!$F$16:$F$29, Data_Validation!$E$16:$E$29}, 2, FALSE), """"))
"),"")</f>
        <v/>
      </c>
      <c r="K1257" s="318"/>
      <c r="L1257" s="311"/>
      <c r="M1257" s="312"/>
      <c r="N1257" s="313"/>
      <c r="O1257" s="314"/>
      <c r="P1257" s="314"/>
      <c r="Q1257" s="315"/>
      <c r="R1257" s="316"/>
      <c r="S1257" s="317"/>
      <c r="T1257" s="317"/>
      <c r="U1257" s="317"/>
    </row>
    <row r="1258" ht="20.25" customHeight="1">
      <c r="A1258" s="216" t="str">
        <f>IFERROR(__xludf.DUMMYFUNCTION("ARRAYFORMULA(IFERROR(VLOOKUP(REGEXEXTRACT(B1258, ""-(\w+)-""), {Data_Validation!$F$16:$F$29, Data_Validation!$E$16:$E$29}, 2, FALSE), """"))
"),"")</f>
        <v/>
      </c>
      <c r="K1258" s="318"/>
      <c r="L1258" s="311"/>
      <c r="M1258" s="312"/>
      <c r="N1258" s="313"/>
      <c r="O1258" s="314"/>
      <c r="P1258" s="314"/>
      <c r="Q1258" s="315"/>
      <c r="R1258" s="316"/>
      <c r="S1258" s="317"/>
      <c r="T1258" s="317"/>
      <c r="U1258" s="317"/>
    </row>
    <row r="1259" ht="20.25" customHeight="1">
      <c r="A1259" s="216" t="str">
        <f>IFERROR(__xludf.DUMMYFUNCTION("ARRAYFORMULA(IFERROR(VLOOKUP(REGEXEXTRACT(B1259, ""-(\w+)-""), {Data_Validation!$F$16:$F$29, Data_Validation!$E$16:$E$29}, 2, FALSE), """"))
"),"")</f>
        <v/>
      </c>
      <c r="K1259" s="318"/>
      <c r="L1259" s="311"/>
      <c r="M1259" s="312"/>
      <c r="N1259" s="313"/>
      <c r="O1259" s="314"/>
      <c r="P1259" s="314"/>
      <c r="Q1259" s="315"/>
      <c r="R1259" s="316"/>
      <c r="S1259" s="317"/>
      <c r="T1259" s="317"/>
      <c r="U1259" s="317"/>
    </row>
    <row r="1260" ht="20.25" customHeight="1">
      <c r="A1260" s="216" t="str">
        <f>IFERROR(__xludf.DUMMYFUNCTION("ARRAYFORMULA(IFERROR(VLOOKUP(REGEXEXTRACT(B1260, ""-(\w+)-""), {Data_Validation!$F$16:$F$29, Data_Validation!$E$16:$E$29}, 2, FALSE), """"))
"),"")</f>
        <v/>
      </c>
      <c r="K1260" s="318"/>
      <c r="L1260" s="311"/>
      <c r="M1260" s="312"/>
      <c r="N1260" s="313"/>
      <c r="O1260" s="314"/>
      <c r="P1260" s="314"/>
      <c r="Q1260" s="315"/>
      <c r="R1260" s="316"/>
      <c r="S1260" s="317"/>
      <c r="T1260" s="317"/>
      <c r="U1260" s="317"/>
    </row>
    <row r="1261" ht="20.25" customHeight="1">
      <c r="A1261" s="216" t="str">
        <f>IFERROR(__xludf.DUMMYFUNCTION("ARRAYFORMULA(IFERROR(VLOOKUP(REGEXEXTRACT(B1261, ""-(\w+)-""), {Data_Validation!$F$16:$F$29, Data_Validation!$E$16:$E$29}, 2, FALSE), """"))
"),"")</f>
        <v/>
      </c>
      <c r="K1261" s="318"/>
      <c r="L1261" s="311"/>
      <c r="M1261" s="312"/>
      <c r="N1261" s="313"/>
      <c r="O1261" s="314"/>
      <c r="P1261" s="314"/>
      <c r="Q1261" s="315"/>
      <c r="R1261" s="316"/>
      <c r="S1261" s="317"/>
      <c r="T1261" s="317"/>
      <c r="U1261" s="317"/>
    </row>
    <row r="1262" ht="20.25" customHeight="1">
      <c r="A1262" s="216" t="str">
        <f>IFERROR(__xludf.DUMMYFUNCTION("ARRAYFORMULA(IFERROR(VLOOKUP(REGEXEXTRACT(B1262, ""-(\w+)-""), {Data_Validation!$F$16:$F$29, Data_Validation!$E$16:$E$29}, 2, FALSE), """"))
"),"")</f>
        <v/>
      </c>
      <c r="K1262" s="318"/>
      <c r="L1262" s="311"/>
      <c r="M1262" s="312"/>
      <c r="N1262" s="313"/>
      <c r="O1262" s="314"/>
      <c r="P1262" s="314"/>
      <c r="Q1262" s="315"/>
      <c r="R1262" s="316"/>
      <c r="S1262" s="317"/>
      <c r="T1262" s="317"/>
      <c r="U1262" s="317"/>
    </row>
    <row r="1263" ht="20.25" customHeight="1">
      <c r="A1263" s="216" t="str">
        <f>IFERROR(__xludf.DUMMYFUNCTION("ARRAYFORMULA(IFERROR(VLOOKUP(REGEXEXTRACT(B1263, ""-(\w+)-""), {Data_Validation!$F$16:$F$29, Data_Validation!$E$16:$E$29}, 2, FALSE), """"))
"),"")</f>
        <v/>
      </c>
      <c r="K1263" s="318"/>
      <c r="L1263" s="311"/>
      <c r="M1263" s="312"/>
      <c r="N1263" s="313"/>
      <c r="O1263" s="314"/>
      <c r="P1263" s="314"/>
      <c r="Q1263" s="315"/>
      <c r="R1263" s="316"/>
      <c r="S1263" s="317"/>
      <c r="T1263" s="317"/>
      <c r="U1263" s="317"/>
    </row>
    <row r="1264" ht="20.25" customHeight="1">
      <c r="A1264" s="216" t="str">
        <f>IFERROR(__xludf.DUMMYFUNCTION("ARRAYFORMULA(IFERROR(VLOOKUP(REGEXEXTRACT(B1264, ""-(\w+)-""), {Data_Validation!$F$16:$F$29, Data_Validation!$E$16:$E$29}, 2, FALSE), """"))
"),"")</f>
        <v/>
      </c>
      <c r="K1264" s="318"/>
      <c r="L1264" s="311"/>
      <c r="M1264" s="312"/>
      <c r="N1264" s="313"/>
      <c r="O1264" s="314"/>
      <c r="P1264" s="314"/>
      <c r="Q1264" s="315"/>
      <c r="R1264" s="316"/>
      <c r="S1264" s="317"/>
      <c r="T1264" s="317"/>
      <c r="U1264" s="317"/>
    </row>
    <row r="1265" ht="20.25" customHeight="1">
      <c r="A1265" s="216" t="str">
        <f>IFERROR(__xludf.DUMMYFUNCTION("ARRAYFORMULA(IFERROR(VLOOKUP(REGEXEXTRACT(B1265, ""-(\w+)-""), {Data_Validation!$F$16:$F$29, Data_Validation!$E$16:$E$29}, 2, FALSE), """"))
"),"")</f>
        <v/>
      </c>
      <c r="K1265" s="318"/>
      <c r="L1265" s="311"/>
      <c r="M1265" s="312"/>
      <c r="N1265" s="313"/>
      <c r="O1265" s="314"/>
      <c r="P1265" s="314"/>
      <c r="Q1265" s="315"/>
      <c r="R1265" s="316"/>
      <c r="S1265" s="317"/>
      <c r="T1265" s="317"/>
      <c r="U1265" s="317"/>
    </row>
    <row r="1266" ht="20.25" customHeight="1">
      <c r="A1266" s="216" t="str">
        <f>IFERROR(__xludf.DUMMYFUNCTION("ARRAYFORMULA(IFERROR(VLOOKUP(REGEXEXTRACT(B1266, ""-(\w+)-""), {Data_Validation!$F$16:$F$29, Data_Validation!$E$16:$E$29}, 2, FALSE), """"))
"),"")</f>
        <v/>
      </c>
      <c r="K1266" s="318"/>
      <c r="L1266" s="311"/>
      <c r="M1266" s="312"/>
      <c r="N1266" s="313"/>
      <c r="O1266" s="314"/>
      <c r="P1266" s="314"/>
      <c r="Q1266" s="315"/>
      <c r="R1266" s="316"/>
      <c r="S1266" s="317"/>
      <c r="T1266" s="317"/>
      <c r="U1266" s="317"/>
    </row>
    <row r="1267" ht="20.25" customHeight="1">
      <c r="A1267" s="216" t="str">
        <f>IFERROR(__xludf.DUMMYFUNCTION("ARRAYFORMULA(IFERROR(VLOOKUP(REGEXEXTRACT(B1267, ""-(\w+)-""), {Data_Validation!$F$16:$F$29, Data_Validation!$E$16:$E$29}, 2, FALSE), """"))
"),"")</f>
        <v/>
      </c>
      <c r="K1267" s="318"/>
      <c r="L1267" s="311"/>
      <c r="M1267" s="312"/>
      <c r="N1267" s="313"/>
      <c r="O1267" s="314"/>
      <c r="P1267" s="314"/>
      <c r="Q1267" s="315"/>
      <c r="R1267" s="316"/>
      <c r="S1267" s="317"/>
      <c r="T1267" s="317"/>
      <c r="U1267" s="317"/>
    </row>
    <row r="1268" ht="20.25" customHeight="1">
      <c r="A1268" s="216" t="str">
        <f>IFERROR(__xludf.DUMMYFUNCTION("ARRAYFORMULA(IFERROR(VLOOKUP(REGEXEXTRACT(B1268, ""-(\w+)-""), {Data_Validation!$F$16:$F$29, Data_Validation!$E$16:$E$29}, 2, FALSE), """"))
"),"")</f>
        <v/>
      </c>
      <c r="K1268" s="318"/>
      <c r="L1268" s="311"/>
      <c r="M1268" s="312"/>
      <c r="N1268" s="313"/>
      <c r="O1268" s="314"/>
      <c r="P1268" s="314"/>
      <c r="Q1268" s="315"/>
      <c r="R1268" s="316"/>
      <c r="S1268" s="317"/>
      <c r="T1268" s="317"/>
      <c r="U1268" s="317"/>
    </row>
    <row r="1269" ht="20.25" customHeight="1">
      <c r="A1269" s="216" t="str">
        <f>IFERROR(__xludf.DUMMYFUNCTION("ARRAYFORMULA(IFERROR(VLOOKUP(REGEXEXTRACT(B1269, ""-(\w+)-""), {Data_Validation!$F$16:$F$29, Data_Validation!$E$16:$E$29}, 2, FALSE), """"))
"),"")</f>
        <v/>
      </c>
      <c r="K1269" s="318"/>
      <c r="L1269" s="311"/>
      <c r="M1269" s="312"/>
      <c r="N1269" s="313"/>
      <c r="O1269" s="314"/>
      <c r="P1269" s="314"/>
      <c r="Q1269" s="315"/>
      <c r="R1269" s="316"/>
      <c r="S1269" s="317"/>
      <c r="T1269" s="317"/>
      <c r="U1269" s="317"/>
    </row>
    <row r="1270" ht="20.25" customHeight="1">
      <c r="A1270" s="216" t="str">
        <f>IFERROR(__xludf.DUMMYFUNCTION("ARRAYFORMULA(IFERROR(VLOOKUP(REGEXEXTRACT(B1270, ""-(\w+)-""), {Data_Validation!$F$16:$F$29, Data_Validation!$E$16:$E$29}, 2, FALSE), """"))
"),"")</f>
        <v/>
      </c>
      <c r="K1270" s="318"/>
      <c r="L1270" s="311"/>
      <c r="M1270" s="312"/>
      <c r="N1270" s="313"/>
      <c r="O1270" s="314"/>
      <c r="P1270" s="314"/>
      <c r="Q1270" s="315"/>
      <c r="R1270" s="316"/>
      <c r="S1270" s="317"/>
      <c r="T1270" s="317"/>
      <c r="U1270" s="317"/>
    </row>
    <row r="1271" ht="20.25" customHeight="1">
      <c r="A1271" s="216" t="str">
        <f>IFERROR(__xludf.DUMMYFUNCTION("ARRAYFORMULA(IFERROR(VLOOKUP(REGEXEXTRACT(B1271, ""-(\w+)-""), {Data_Validation!$F$16:$F$29, Data_Validation!$E$16:$E$29}, 2, FALSE), """"))
"),"")</f>
        <v/>
      </c>
      <c r="K1271" s="318"/>
      <c r="L1271" s="311"/>
      <c r="M1271" s="312"/>
      <c r="N1271" s="313"/>
      <c r="O1271" s="314"/>
      <c r="P1271" s="314"/>
      <c r="Q1271" s="315"/>
      <c r="R1271" s="316"/>
      <c r="S1271" s="317"/>
      <c r="T1271" s="317"/>
      <c r="U1271" s="317"/>
    </row>
    <row r="1272" ht="20.25" customHeight="1">
      <c r="A1272" s="216" t="str">
        <f>IFERROR(__xludf.DUMMYFUNCTION("ARRAYFORMULA(IFERROR(VLOOKUP(REGEXEXTRACT(B1272, ""-(\w+)-""), {Data_Validation!$F$16:$F$29, Data_Validation!$E$16:$E$29}, 2, FALSE), """"))
"),"")</f>
        <v/>
      </c>
      <c r="K1272" s="318"/>
      <c r="L1272" s="311"/>
      <c r="M1272" s="312"/>
      <c r="N1272" s="313"/>
      <c r="O1272" s="314"/>
      <c r="P1272" s="314"/>
      <c r="Q1272" s="315"/>
      <c r="R1272" s="316"/>
      <c r="S1272" s="317"/>
      <c r="T1272" s="317"/>
      <c r="U1272" s="317"/>
    </row>
    <row r="1273" ht="20.25" customHeight="1">
      <c r="A1273" s="216" t="str">
        <f>IFERROR(__xludf.DUMMYFUNCTION("ARRAYFORMULA(IFERROR(VLOOKUP(REGEXEXTRACT(B1273, ""-(\w+)-""), {Data_Validation!$F$16:$F$29, Data_Validation!$E$16:$E$29}, 2, FALSE), """"))
"),"")</f>
        <v/>
      </c>
      <c r="K1273" s="318"/>
      <c r="L1273" s="311"/>
      <c r="M1273" s="312"/>
      <c r="N1273" s="313"/>
      <c r="O1273" s="314"/>
      <c r="P1273" s="314"/>
      <c r="Q1273" s="315"/>
      <c r="R1273" s="316"/>
      <c r="S1273" s="317"/>
      <c r="T1273" s="317"/>
      <c r="U1273" s="317"/>
    </row>
    <row r="1274" ht="20.25" customHeight="1">
      <c r="A1274" s="216" t="str">
        <f>IFERROR(__xludf.DUMMYFUNCTION("ARRAYFORMULA(IFERROR(VLOOKUP(REGEXEXTRACT(B1274, ""-(\w+)-""), {Data_Validation!$F$16:$F$29, Data_Validation!$E$16:$E$29}, 2, FALSE), """"))
"),"")</f>
        <v/>
      </c>
      <c r="K1274" s="318"/>
      <c r="L1274" s="311"/>
      <c r="M1274" s="312"/>
      <c r="N1274" s="313"/>
      <c r="O1274" s="314"/>
      <c r="P1274" s="314"/>
      <c r="Q1274" s="315"/>
      <c r="R1274" s="316"/>
      <c r="S1274" s="317"/>
      <c r="T1274" s="317"/>
      <c r="U1274" s="317"/>
    </row>
    <row r="1275" ht="20.25" customHeight="1">
      <c r="A1275" s="216" t="str">
        <f>IFERROR(__xludf.DUMMYFUNCTION("ARRAYFORMULA(IFERROR(VLOOKUP(REGEXEXTRACT(B1275, ""-(\w+)-""), {Data_Validation!$F$16:$F$29, Data_Validation!$E$16:$E$29}, 2, FALSE), """"))
"),"")</f>
        <v/>
      </c>
      <c r="K1275" s="318"/>
      <c r="L1275" s="311"/>
      <c r="M1275" s="312"/>
      <c r="N1275" s="313"/>
      <c r="O1275" s="314"/>
      <c r="P1275" s="314"/>
      <c r="Q1275" s="315"/>
      <c r="R1275" s="316"/>
      <c r="S1275" s="317"/>
      <c r="T1275" s="317"/>
      <c r="U1275" s="317"/>
    </row>
    <row r="1276" ht="20.25" customHeight="1">
      <c r="A1276" s="216" t="str">
        <f>IFERROR(__xludf.DUMMYFUNCTION("ARRAYFORMULA(IFERROR(VLOOKUP(REGEXEXTRACT(B1276, ""-(\w+)-""), {Data_Validation!$F$16:$F$29, Data_Validation!$E$16:$E$29}, 2, FALSE), """"))
"),"")</f>
        <v/>
      </c>
      <c r="K1276" s="318"/>
      <c r="L1276" s="311"/>
      <c r="M1276" s="312"/>
      <c r="N1276" s="313"/>
      <c r="O1276" s="314"/>
      <c r="P1276" s="314"/>
      <c r="Q1276" s="315"/>
      <c r="R1276" s="316"/>
      <c r="S1276" s="317"/>
      <c r="T1276" s="317"/>
      <c r="U1276" s="317"/>
    </row>
    <row r="1277" ht="20.25" customHeight="1">
      <c r="A1277" s="216" t="str">
        <f>IFERROR(__xludf.DUMMYFUNCTION("ARRAYFORMULA(IFERROR(VLOOKUP(REGEXEXTRACT(B1277, ""-(\w+)-""), {Data_Validation!$F$16:$F$29, Data_Validation!$E$16:$E$29}, 2, FALSE), """"))
"),"")</f>
        <v/>
      </c>
      <c r="K1277" s="318"/>
      <c r="L1277" s="311"/>
      <c r="M1277" s="312"/>
      <c r="N1277" s="313"/>
      <c r="O1277" s="314"/>
      <c r="P1277" s="314"/>
      <c r="Q1277" s="315"/>
      <c r="R1277" s="316"/>
      <c r="S1277" s="317"/>
      <c r="T1277" s="317"/>
      <c r="U1277" s="317"/>
    </row>
    <row r="1278" ht="20.25" customHeight="1">
      <c r="A1278" s="216" t="str">
        <f>IFERROR(__xludf.DUMMYFUNCTION("ARRAYFORMULA(IFERROR(VLOOKUP(REGEXEXTRACT(B1278, ""-(\w+)-""), {Data_Validation!$F$16:$F$29, Data_Validation!$E$16:$E$29}, 2, FALSE), """"))
"),"")</f>
        <v/>
      </c>
      <c r="K1278" s="318"/>
      <c r="L1278" s="311"/>
      <c r="M1278" s="312"/>
      <c r="N1278" s="313"/>
      <c r="O1278" s="314"/>
      <c r="P1278" s="314"/>
      <c r="Q1278" s="315"/>
      <c r="R1278" s="316"/>
      <c r="S1278" s="317"/>
      <c r="T1278" s="317"/>
      <c r="U1278" s="317"/>
    </row>
    <row r="1279" ht="20.25" customHeight="1">
      <c r="A1279" s="216" t="str">
        <f>IFERROR(__xludf.DUMMYFUNCTION("ARRAYFORMULA(IFERROR(VLOOKUP(REGEXEXTRACT(B1279, ""-(\w+)-""), {Data_Validation!$F$16:$F$29, Data_Validation!$E$16:$E$29}, 2, FALSE), """"))
"),"")</f>
        <v/>
      </c>
      <c r="K1279" s="318"/>
      <c r="L1279" s="311"/>
      <c r="M1279" s="312"/>
      <c r="N1279" s="313"/>
      <c r="O1279" s="314"/>
      <c r="P1279" s="314"/>
      <c r="Q1279" s="315"/>
      <c r="R1279" s="316"/>
      <c r="S1279" s="317"/>
      <c r="T1279" s="317"/>
      <c r="U1279" s="317"/>
    </row>
    <row r="1280" ht="20.25" customHeight="1">
      <c r="A1280" s="216" t="str">
        <f>IFERROR(__xludf.DUMMYFUNCTION("ARRAYFORMULA(IFERROR(VLOOKUP(REGEXEXTRACT(B1280, ""-(\w+)-""), {Data_Validation!$F$16:$F$29, Data_Validation!$E$16:$E$29}, 2, FALSE), """"))
"),"")</f>
        <v/>
      </c>
      <c r="K1280" s="318"/>
      <c r="L1280" s="311"/>
      <c r="M1280" s="312"/>
      <c r="N1280" s="313"/>
      <c r="O1280" s="314"/>
      <c r="P1280" s="314"/>
      <c r="Q1280" s="315"/>
      <c r="R1280" s="316"/>
      <c r="S1280" s="317"/>
      <c r="T1280" s="317"/>
      <c r="U1280" s="317"/>
    </row>
    <row r="1281" ht="20.25" customHeight="1">
      <c r="A1281" s="216" t="str">
        <f>IFERROR(__xludf.DUMMYFUNCTION("ARRAYFORMULA(IFERROR(VLOOKUP(REGEXEXTRACT(B1281, ""-(\w+)-""), {Data_Validation!$F$16:$F$29, Data_Validation!$E$16:$E$29}, 2, FALSE), """"))
"),"")</f>
        <v/>
      </c>
      <c r="K1281" s="318"/>
      <c r="L1281" s="311"/>
      <c r="M1281" s="312"/>
      <c r="N1281" s="313"/>
      <c r="O1281" s="314"/>
      <c r="P1281" s="314"/>
      <c r="Q1281" s="315"/>
      <c r="R1281" s="316"/>
      <c r="S1281" s="317"/>
      <c r="T1281" s="317"/>
      <c r="U1281" s="317"/>
    </row>
    <row r="1282" ht="20.25" customHeight="1">
      <c r="A1282" s="216" t="str">
        <f>IFERROR(__xludf.DUMMYFUNCTION("ARRAYFORMULA(IFERROR(VLOOKUP(REGEXEXTRACT(B1282, ""-(\w+)-""), {Data_Validation!$F$16:$F$29, Data_Validation!$E$16:$E$29}, 2, FALSE), """"))
"),"")</f>
        <v/>
      </c>
      <c r="K1282" s="318"/>
      <c r="L1282" s="311"/>
      <c r="M1282" s="312"/>
      <c r="N1282" s="313"/>
      <c r="O1282" s="314"/>
      <c r="P1282" s="314"/>
      <c r="Q1282" s="315"/>
      <c r="R1282" s="316"/>
      <c r="S1282" s="317"/>
      <c r="T1282" s="317"/>
      <c r="U1282" s="317"/>
    </row>
    <row r="1283" ht="20.25" customHeight="1">
      <c r="A1283" s="216" t="str">
        <f>IFERROR(__xludf.DUMMYFUNCTION("ARRAYFORMULA(IFERROR(VLOOKUP(REGEXEXTRACT(B1283, ""-(\w+)-""), {Data_Validation!$F$16:$F$29, Data_Validation!$E$16:$E$29}, 2, FALSE), """"))
"),"")</f>
        <v/>
      </c>
      <c r="K1283" s="318"/>
      <c r="L1283" s="311"/>
      <c r="M1283" s="312"/>
      <c r="N1283" s="313"/>
      <c r="O1283" s="314"/>
      <c r="P1283" s="314"/>
      <c r="Q1283" s="315"/>
      <c r="R1283" s="316"/>
      <c r="S1283" s="317"/>
      <c r="T1283" s="317"/>
      <c r="U1283" s="317"/>
    </row>
    <row r="1284" ht="20.25" customHeight="1">
      <c r="A1284" s="216" t="str">
        <f>IFERROR(__xludf.DUMMYFUNCTION("ARRAYFORMULA(IFERROR(VLOOKUP(REGEXEXTRACT(B1284, ""-(\w+)-""), {Data_Validation!$F$16:$F$29, Data_Validation!$E$16:$E$29}, 2, FALSE), """"))
"),"")</f>
        <v/>
      </c>
      <c r="K1284" s="318"/>
      <c r="L1284" s="311"/>
      <c r="M1284" s="312"/>
      <c r="N1284" s="313"/>
      <c r="O1284" s="314"/>
      <c r="P1284" s="314"/>
      <c r="Q1284" s="315"/>
      <c r="R1284" s="316"/>
      <c r="S1284" s="317"/>
      <c r="T1284" s="317"/>
      <c r="U1284" s="317"/>
    </row>
    <row r="1285" ht="20.25" customHeight="1">
      <c r="A1285" s="216" t="str">
        <f>IFERROR(__xludf.DUMMYFUNCTION("ARRAYFORMULA(IFERROR(VLOOKUP(REGEXEXTRACT(B1285, ""-(\w+)-""), {Data_Validation!$F$16:$F$29, Data_Validation!$E$16:$E$29}, 2, FALSE), """"))
"),"")</f>
        <v/>
      </c>
      <c r="K1285" s="318"/>
      <c r="L1285" s="311"/>
      <c r="M1285" s="312"/>
      <c r="N1285" s="313"/>
      <c r="O1285" s="314"/>
      <c r="P1285" s="314"/>
      <c r="Q1285" s="315"/>
      <c r="R1285" s="316"/>
      <c r="S1285" s="317"/>
      <c r="T1285" s="317"/>
      <c r="U1285" s="317"/>
    </row>
    <row r="1286" ht="20.25" customHeight="1">
      <c r="A1286" s="216" t="str">
        <f>IFERROR(__xludf.DUMMYFUNCTION("ARRAYFORMULA(IFERROR(VLOOKUP(REGEXEXTRACT(B1286, ""-(\w+)-""), {Data_Validation!$F$16:$F$29, Data_Validation!$E$16:$E$29}, 2, FALSE), """"))
"),"")</f>
        <v/>
      </c>
      <c r="K1286" s="318"/>
      <c r="L1286" s="311"/>
      <c r="M1286" s="312"/>
      <c r="N1286" s="313"/>
      <c r="O1286" s="314"/>
      <c r="P1286" s="314"/>
      <c r="Q1286" s="315"/>
      <c r="R1286" s="316"/>
      <c r="S1286" s="317"/>
      <c r="T1286" s="317"/>
      <c r="U1286" s="317"/>
    </row>
    <row r="1287" ht="20.25" customHeight="1">
      <c r="A1287" s="216" t="str">
        <f>IFERROR(__xludf.DUMMYFUNCTION("ARRAYFORMULA(IFERROR(VLOOKUP(REGEXEXTRACT(B1287, ""-(\w+)-""), {Data_Validation!$F$16:$F$29, Data_Validation!$E$16:$E$29}, 2, FALSE), """"))
"),"")</f>
        <v/>
      </c>
      <c r="K1287" s="318"/>
      <c r="L1287" s="311"/>
      <c r="M1287" s="312"/>
      <c r="N1287" s="313"/>
      <c r="O1287" s="314"/>
      <c r="P1287" s="314"/>
      <c r="Q1287" s="315"/>
      <c r="R1287" s="316"/>
      <c r="S1287" s="317"/>
      <c r="T1287" s="317"/>
      <c r="U1287" s="317"/>
    </row>
    <row r="1288" ht="20.25" customHeight="1">
      <c r="A1288" s="216" t="str">
        <f>IFERROR(__xludf.DUMMYFUNCTION("ARRAYFORMULA(IFERROR(VLOOKUP(REGEXEXTRACT(B1288, ""-(\w+)-""), {Data_Validation!$F$16:$F$29, Data_Validation!$E$16:$E$29}, 2, FALSE), """"))
"),"")</f>
        <v/>
      </c>
      <c r="K1288" s="318"/>
      <c r="L1288" s="311"/>
      <c r="M1288" s="312"/>
      <c r="N1288" s="313"/>
      <c r="O1288" s="314"/>
      <c r="P1288" s="314"/>
      <c r="Q1288" s="315"/>
      <c r="R1288" s="316"/>
      <c r="S1288" s="317"/>
      <c r="T1288" s="317"/>
      <c r="U1288" s="317"/>
    </row>
    <row r="1289" ht="20.25" customHeight="1">
      <c r="A1289" s="216" t="str">
        <f>IFERROR(__xludf.DUMMYFUNCTION("ARRAYFORMULA(IFERROR(VLOOKUP(REGEXEXTRACT(B1289, ""-(\w+)-""), {Data_Validation!$F$16:$F$29, Data_Validation!$E$16:$E$29}, 2, FALSE), """"))
"),"")</f>
        <v/>
      </c>
      <c r="K1289" s="318"/>
      <c r="L1289" s="311"/>
      <c r="M1289" s="312"/>
      <c r="N1289" s="313"/>
      <c r="O1289" s="314"/>
      <c r="P1289" s="314"/>
      <c r="Q1289" s="315"/>
      <c r="R1289" s="316"/>
      <c r="S1289" s="317"/>
      <c r="T1289" s="317"/>
      <c r="U1289" s="317"/>
    </row>
    <row r="1290" ht="20.25" customHeight="1">
      <c r="A1290" s="216" t="str">
        <f>IFERROR(__xludf.DUMMYFUNCTION("ARRAYFORMULA(IFERROR(VLOOKUP(REGEXEXTRACT(B1290, ""-(\w+)-""), {Data_Validation!$F$16:$F$29, Data_Validation!$E$16:$E$29}, 2, FALSE), """"))
"),"")</f>
        <v/>
      </c>
      <c r="K1290" s="318"/>
      <c r="L1290" s="311"/>
      <c r="M1290" s="312"/>
      <c r="N1290" s="313"/>
      <c r="O1290" s="314"/>
      <c r="P1290" s="314"/>
      <c r="Q1290" s="315"/>
      <c r="R1290" s="316"/>
      <c r="S1290" s="317"/>
      <c r="T1290" s="317"/>
      <c r="U1290" s="317"/>
    </row>
    <row r="1291" ht="20.25" customHeight="1">
      <c r="A1291" s="216" t="str">
        <f>IFERROR(__xludf.DUMMYFUNCTION("ARRAYFORMULA(IFERROR(VLOOKUP(REGEXEXTRACT(B1291, ""-(\w+)-""), {Data_Validation!$F$16:$F$29, Data_Validation!$E$16:$E$29}, 2, FALSE), """"))
"),"")</f>
        <v/>
      </c>
      <c r="K1291" s="318"/>
      <c r="L1291" s="311"/>
      <c r="M1291" s="312"/>
      <c r="N1291" s="313"/>
      <c r="O1291" s="314"/>
      <c r="P1291" s="314"/>
      <c r="Q1291" s="315"/>
      <c r="R1291" s="316"/>
      <c r="S1291" s="317"/>
      <c r="T1291" s="317"/>
      <c r="U1291" s="317"/>
    </row>
    <row r="1292" ht="20.25" customHeight="1">
      <c r="A1292" s="216" t="str">
        <f>IFERROR(__xludf.DUMMYFUNCTION("ARRAYFORMULA(IFERROR(VLOOKUP(REGEXEXTRACT(B1292, ""-(\w+)-""), {Data_Validation!$F$16:$F$29, Data_Validation!$E$16:$E$29}, 2, FALSE), """"))
"),"")</f>
        <v/>
      </c>
      <c r="K1292" s="318"/>
      <c r="L1292" s="311"/>
      <c r="M1292" s="312"/>
      <c r="N1292" s="313"/>
      <c r="O1292" s="314"/>
      <c r="P1292" s="314"/>
      <c r="Q1292" s="315"/>
      <c r="R1292" s="316"/>
      <c r="S1292" s="317"/>
      <c r="T1292" s="317"/>
      <c r="U1292" s="317"/>
    </row>
    <row r="1293" ht="20.25" customHeight="1">
      <c r="A1293" s="216"/>
      <c r="B1293" s="265" t="s">
        <v>915</v>
      </c>
      <c r="C1293" s="265" t="s">
        <v>916</v>
      </c>
      <c r="D1293" s="265"/>
      <c r="E1293" s="265" t="s">
        <v>21</v>
      </c>
      <c r="F1293" s="265" t="s">
        <v>41</v>
      </c>
      <c r="G1293" s="265" t="s">
        <v>63</v>
      </c>
      <c r="H1293" s="332">
        <v>45240.0</v>
      </c>
      <c r="I1293" s="309"/>
      <c r="J1293" s="309">
        <v>4.0</v>
      </c>
      <c r="L1293" s="311"/>
      <c r="M1293" s="313">
        <v>45238.62448719908</v>
      </c>
      <c r="N1293" s="313">
        <v>45240.75162115741</v>
      </c>
      <c r="O1293" s="314"/>
      <c r="P1293" s="314"/>
      <c r="Q1293" s="319"/>
      <c r="R1293" s="316">
        <v>0.125</v>
      </c>
      <c r="S1293" s="317" t="s">
        <v>1394</v>
      </c>
      <c r="T1293" s="317">
        <v>29.0</v>
      </c>
      <c r="U1293" s="317" t="s">
        <v>2409</v>
      </c>
    </row>
    <row r="1294" ht="20.25" customHeight="1" outlineLevel="1">
      <c r="A1294" s="216"/>
      <c r="B1294" s="265" t="s">
        <v>917</v>
      </c>
      <c r="C1294" s="265"/>
      <c r="D1294" s="265" t="s">
        <v>918</v>
      </c>
      <c r="E1294" s="265" t="s">
        <v>26</v>
      </c>
      <c r="F1294" s="265" t="s">
        <v>41</v>
      </c>
      <c r="G1294" s="265" t="s">
        <v>919</v>
      </c>
      <c r="H1294" s="332">
        <v>45237.0</v>
      </c>
      <c r="I1294" s="309">
        <v>1.0</v>
      </c>
      <c r="J1294" s="309"/>
      <c r="L1294" s="311"/>
      <c r="M1294" s="313">
        <v>45238.62448719908</v>
      </c>
      <c r="N1294" s="313">
        <v>45238.63682429398</v>
      </c>
      <c r="O1294" s="314" t="s">
        <v>920</v>
      </c>
      <c r="P1294" s="314" t="s">
        <v>921</v>
      </c>
      <c r="Q1294" s="319" t="s">
        <v>31</v>
      </c>
      <c r="R1294" s="316">
        <v>0.008333333335031057</v>
      </c>
      <c r="S1294" s="317"/>
      <c r="T1294" s="317"/>
      <c r="U1294" s="317"/>
    </row>
    <row r="1295" ht="20.25" customHeight="1" outlineLevel="1">
      <c r="A1295" s="216"/>
      <c r="B1295" s="265" t="s">
        <v>922</v>
      </c>
      <c r="C1295" s="265"/>
      <c r="D1295" s="265" t="s">
        <v>923</v>
      </c>
      <c r="E1295" s="265" t="s">
        <v>26</v>
      </c>
      <c r="F1295" s="265" t="s">
        <v>34</v>
      </c>
      <c r="G1295" s="265" t="s">
        <v>924</v>
      </c>
      <c r="H1295" s="332">
        <v>45239.0</v>
      </c>
      <c r="I1295" s="309">
        <v>1.0</v>
      </c>
      <c r="J1295" s="309"/>
      <c r="L1295" s="311"/>
      <c r="M1295" s="313">
        <v>45239.59088408564</v>
      </c>
      <c r="N1295" s="313">
        <v>45239.73713958333</v>
      </c>
      <c r="O1295" s="314" t="s">
        <v>925</v>
      </c>
      <c r="P1295" s="314" t="s">
        <v>926</v>
      </c>
      <c r="Q1295" s="319" t="s">
        <v>31</v>
      </c>
      <c r="R1295" s="316">
        <v>0.01736111110949423</v>
      </c>
      <c r="S1295" s="317"/>
      <c r="T1295" s="317"/>
      <c r="U1295" s="317"/>
    </row>
    <row r="1296" ht="20.25" customHeight="1" outlineLevel="1">
      <c r="A1296" s="216"/>
      <c r="B1296" s="265" t="s">
        <v>927</v>
      </c>
      <c r="C1296" s="265"/>
      <c r="D1296" s="265" t="s">
        <v>40</v>
      </c>
      <c r="E1296" s="265" t="s">
        <v>26</v>
      </c>
      <c r="F1296" s="265" t="s">
        <v>41</v>
      </c>
      <c r="G1296" s="265"/>
      <c r="H1296" s="332">
        <v>45239.0</v>
      </c>
      <c r="I1296" s="309">
        <v>1.0</v>
      </c>
      <c r="J1296" s="309"/>
      <c r="L1296" s="311"/>
      <c r="M1296" s="313">
        <v>45239.69568722222</v>
      </c>
      <c r="N1296" s="313">
        <v>45240.471310312496</v>
      </c>
      <c r="O1296" s="314" t="s">
        <v>928</v>
      </c>
      <c r="P1296" s="314" t="s">
        <v>929</v>
      </c>
      <c r="Q1296" s="319" t="s">
        <v>31</v>
      </c>
      <c r="R1296" s="316">
        <v>0.09930555555547471</v>
      </c>
      <c r="S1296" s="317"/>
      <c r="T1296" s="317"/>
      <c r="U1296" s="317"/>
    </row>
    <row r="1297" ht="20.25" customHeight="1" outlineLevel="1">
      <c r="A1297" s="216"/>
      <c r="B1297" s="265" t="s">
        <v>930</v>
      </c>
      <c r="C1297" s="265"/>
      <c r="D1297" s="265" t="s">
        <v>47</v>
      </c>
      <c r="E1297" s="265" t="s">
        <v>26</v>
      </c>
      <c r="F1297" s="265" t="s">
        <v>41</v>
      </c>
      <c r="G1297" s="265"/>
      <c r="H1297" s="332">
        <v>45240.0</v>
      </c>
      <c r="I1297" s="309">
        <v>1.0</v>
      </c>
      <c r="J1297" s="309"/>
      <c r="L1297" s="311"/>
      <c r="M1297" s="313">
        <v>45240.75107547454</v>
      </c>
      <c r="N1297" s="313">
        <v>45240.75162115741</v>
      </c>
      <c r="O1297" s="314"/>
      <c r="P1297" s="314"/>
      <c r="Q1297" s="319" t="s">
        <v>31</v>
      </c>
      <c r="R1297" s="316">
        <v>0.0</v>
      </c>
      <c r="S1297" s="317"/>
      <c r="T1297" s="317"/>
      <c r="U1297" s="317"/>
    </row>
    <row r="1298" ht="20.25" customHeight="1">
      <c r="A1298" s="216"/>
      <c r="B1298" s="265"/>
      <c r="C1298" s="265"/>
      <c r="D1298" s="265"/>
      <c r="E1298" s="265"/>
      <c r="F1298" s="265"/>
      <c r="G1298" s="265"/>
      <c r="H1298" s="320"/>
      <c r="I1298" s="309"/>
      <c r="J1298" s="309"/>
      <c r="L1298" s="311"/>
      <c r="M1298" s="313"/>
      <c r="N1298" s="313"/>
      <c r="O1298" s="314"/>
      <c r="P1298" s="314"/>
      <c r="Q1298" s="319"/>
      <c r="R1298" s="316"/>
      <c r="S1298" s="317"/>
      <c r="T1298" s="317"/>
      <c r="U1298" s="317"/>
    </row>
    <row r="1299" ht="20.25" customHeight="1">
      <c r="A1299" s="216"/>
      <c r="B1299" s="265"/>
      <c r="C1299" s="265"/>
      <c r="D1299" s="265"/>
      <c r="E1299" s="265"/>
      <c r="F1299" s="265"/>
      <c r="G1299" s="265"/>
      <c r="H1299" s="320"/>
      <c r="I1299" s="309"/>
      <c r="J1299" s="309"/>
      <c r="L1299" s="311"/>
      <c r="M1299" s="313"/>
      <c r="N1299" s="313"/>
      <c r="O1299" s="314"/>
      <c r="P1299" s="314"/>
      <c r="Q1299" s="319"/>
      <c r="R1299" s="316"/>
      <c r="S1299" s="317"/>
      <c r="T1299" s="317"/>
      <c r="U1299" s="317"/>
    </row>
    <row r="1300" ht="20.25" customHeight="1">
      <c r="A1300" s="216"/>
      <c r="B1300" s="265"/>
      <c r="C1300" s="265"/>
      <c r="D1300" s="265"/>
      <c r="E1300" s="265"/>
      <c r="F1300" s="265"/>
      <c r="G1300" s="265"/>
      <c r="H1300" s="320"/>
      <c r="I1300" s="309"/>
      <c r="J1300" s="309"/>
      <c r="L1300" s="311"/>
      <c r="M1300" s="313"/>
      <c r="N1300" s="313"/>
      <c r="O1300" s="314"/>
      <c r="P1300" s="314"/>
      <c r="Q1300" s="319"/>
      <c r="R1300" s="316"/>
      <c r="S1300" s="317"/>
      <c r="T1300" s="317"/>
      <c r="U1300" s="317"/>
    </row>
    <row r="1301" ht="20.25" customHeight="1">
      <c r="A1301" s="216"/>
      <c r="B1301" s="265"/>
      <c r="C1301" s="265"/>
      <c r="D1301" s="265"/>
      <c r="E1301" s="265"/>
      <c r="F1301" s="265"/>
      <c r="G1301" s="265"/>
      <c r="H1301" s="320"/>
      <c r="I1301" s="309"/>
      <c r="J1301" s="309"/>
      <c r="L1301" s="311"/>
      <c r="M1301" s="313"/>
      <c r="N1301" s="313"/>
      <c r="O1301" s="314"/>
      <c r="P1301" s="314"/>
      <c r="Q1301" s="319"/>
      <c r="R1301" s="316"/>
      <c r="S1301" s="317"/>
      <c r="T1301" s="317"/>
      <c r="U1301" s="317"/>
    </row>
    <row r="1302" ht="20.25" customHeight="1">
      <c r="A1302" s="216"/>
      <c r="B1302" s="265"/>
      <c r="C1302" s="265"/>
      <c r="D1302" s="265"/>
      <c r="E1302" s="265"/>
      <c r="F1302" s="265"/>
      <c r="G1302" s="265"/>
      <c r="H1302" s="320"/>
      <c r="I1302" s="309"/>
      <c r="J1302" s="309"/>
      <c r="L1302" s="311"/>
      <c r="M1302" s="313"/>
      <c r="N1302" s="313"/>
      <c r="O1302" s="314"/>
      <c r="P1302" s="314"/>
      <c r="Q1302" s="319"/>
      <c r="R1302" s="316"/>
      <c r="S1302" s="317"/>
      <c r="T1302" s="317"/>
      <c r="U1302" s="317"/>
    </row>
    <row r="1303" ht="20.25" customHeight="1">
      <c r="A1303" s="216"/>
      <c r="B1303" s="265"/>
      <c r="C1303" s="265"/>
      <c r="D1303" s="265"/>
      <c r="E1303" s="265"/>
      <c r="F1303" s="265"/>
      <c r="G1303" s="265"/>
      <c r="H1303" s="320"/>
      <c r="I1303" s="309"/>
      <c r="J1303" s="309"/>
      <c r="L1303" s="311"/>
      <c r="M1303" s="313"/>
      <c r="N1303" s="313"/>
      <c r="O1303" s="314"/>
      <c r="P1303" s="314"/>
      <c r="Q1303" s="319"/>
      <c r="R1303" s="316"/>
      <c r="S1303" s="317"/>
      <c r="T1303" s="317"/>
      <c r="U1303" s="317"/>
    </row>
    <row r="1304" ht="20.25" customHeight="1">
      <c r="A1304" s="216"/>
      <c r="B1304" s="265"/>
      <c r="C1304" s="265"/>
      <c r="D1304" s="265"/>
      <c r="E1304" s="265"/>
      <c r="F1304" s="265"/>
      <c r="G1304" s="265"/>
      <c r="H1304" s="320"/>
      <c r="I1304" s="309"/>
      <c r="J1304" s="309"/>
      <c r="L1304" s="311"/>
      <c r="M1304" s="313"/>
      <c r="N1304" s="313"/>
      <c r="O1304" s="314"/>
      <c r="P1304" s="314"/>
      <c r="Q1304" s="319"/>
      <c r="R1304" s="316"/>
      <c r="S1304" s="317"/>
      <c r="T1304" s="317"/>
      <c r="U1304" s="317"/>
    </row>
    <row r="1305" ht="20.25" customHeight="1">
      <c r="A1305" s="216"/>
      <c r="B1305" s="265"/>
      <c r="C1305" s="265"/>
      <c r="D1305" s="265"/>
      <c r="E1305" s="265"/>
      <c r="F1305" s="265"/>
      <c r="G1305" s="265"/>
      <c r="H1305" s="320"/>
      <c r="I1305" s="309"/>
      <c r="J1305" s="309"/>
      <c r="L1305" s="311"/>
      <c r="M1305" s="313"/>
      <c r="N1305" s="313"/>
      <c r="O1305" s="314"/>
      <c r="P1305" s="314"/>
      <c r="Q1305" s="319"/>
      <c r="R1305" s="316"/>
      <c r="S1305" s="317"/>
      <c r="T1305" s="317"/>
      <c r="U1305" s="317"/>
    </row>
    <row r="1306" ht="20.25" customHeight="1">
      <c r="A1306" s="216"/>
      <c r="B1306" s="265"/>
      <c r="C1306" s="265"/>
      <c r="D1306" s="265"/>
      <c r="E1306" s="265"/>
      <c r="F1306" s="265"/>
      <c r="G1306" s="265"/>
      <c r="H1306" s="320"/>
      <c r="I1306" s="309"/>
      <c r="J1306" s="309"/>
      <c r="L1306" s="311"/>
      <c r="M1306" s="313"/>
      <c r="N1306" s="313"/>
      <c r="O1306" s="314"/>
      <c r="P1306" s="314"/>
      <c r="Q1306" s="319"/>
      <c r="R1306" s="316"/>
      <c r="S1306" s="317"/>
      <c r="T1306" s="317"/>
      <c r="U1306" s="317"/>
    </row>
    <row r="1307" ht="20.25" customHeight="1">
      <c r="A1307" s="216"/>
      <c r="B1307" s="265"/>
      <c r="C1307" s="265"/>
      <c r="D1307" s="265"/>
      <c r="E1307" s="265"/>
      <c r="F1307" s="265"/>
      <c r="G1307" s="265"/>
      <c r="H1307" s="320"/>
      <c r="I1307" s="309"/>
      <c r="J1307" s="309"/>
      <c r="L1307" s="311"/>
      <c r="M1307" s="313"/>
      <c r="N1307" s="313"/>
      <c r="O1307" s="314"/>
      <c r="P1307" s="314"/>
      <c r="Q1307" s="319"/>
      <c r="R1307" s="316"/>
      <c r="S1307" s="317"/>
      <c r="T1307" s="317"/>
      <c r="U1307" s="317"/>
    </row>
    <row r="1308" ht="20.25" customHeight="1">
      <c r="A1308" s="216"/>
      <c r="B1308" s="265"/>
      <c r="C1308" s="265"/>
      <c r="D1308" s="265"/>
      <c r="E1308" s="265"/>
      <c r="F1308" s="265"/>
      <c r="G1308" s="265"/>
      <c r="H1308" s="320"/>
      <c r="I1308" s="309"/>
      <c r="J1308" s="309"/>
      <c r="L1308" s="311"/>
      <c r="M1308" s="313"/>
      <c r="N1308" s="313"/>
      <c r="O1308" s="314"/>
      <c r="P1308" s="314"/>
      <c r="Q1308" s="319"/>
      <c r="R1308" s="316"/>
      <c r="S1308" s="317"/>
      <c r="T1308" s="317"/>
      <c r="U1308" s="317"/>
    </row>
    <row r="1309" ht="20.25" customHeight="1">
      <c r="A1309" s="216"/>
      <c r="B1309" s="265"/>
      <c r="C1309" s="265"/>
      <c r="D1309" s="265"/>
      <c r="E1309" s="265"/>
      <c r="F1309" s="265"/>
      <c r="G1309" s="265"/>
      <c r="H1309" s="320"/>
      <c r="I1309" s="309"/>
      <c r="J1309" s="309"/>
      <c r="L1309" s="311"/>
      <c r="M1309" s="313"/>
      <c r="N1309" s="313"/>
      <c r="O1309" s="314"/>
      <c r="P1309" s="314"/>
      <c r="Q1309" s="319"/>
      <c r="R1309" s="316"/>
      <c r="S1309" s="317"/>
      <c r="T1309" s="317"/>
      <c r="U1309" s="317"/>
    </row>
    <row r="1310" ht="20.25" customHeight="1">
      <c r="A1310" s="216"/>
      <c r="B1310" s="265"/>
      <c r="C1310" s="265"/>
      <c r="D1310" s="265"/>
      <c r="E1310" s="265"/>
      <c r="F1310" s="265"/>
      <c r="G1310" s="265"/>
      <c r="H1310" s="320"/>
      <c r="I1310" s="309"/>
      <c r="J1310" s="309"/>
      <c r="L1310" s="311"/>
      <c r="M1310" s="313"/>
      <c r="N1310" s="313"/>
      <c r="O1310" s="314"/>
      <c r="P1310" s="314"/>
      <c r="Q1310" s="319"/>
      <c r="R1310" s="316"/>
      <c r="S1310" s="317"/>
      <c r="T1310" s="317"/>
      <c r="U1310" s="317"/>
    </row>
    <row r="1311" ht="20.25" customHeight="1">
      <c r="A1311" s="216"/>
      <c r="B1311" s="265"/>
      <c r="C1311" s="265"/>
      <c r="D1311" s="265"/>
      <c r="E1311" s="265"/>
      <c r="F1311" s="265"/>
      <c r="G1311" s="265"/>
      <c r="H1311" s="320"/>
      <c r="I1311" s="309"/>
      <c r="J1311" s="309"/>
      <c r="L1311" s="311"/>
      <c r="M1311" s="313"/>
      <c r="N1311" s="313"/>
      <c r="O1311" s="314"/>
      <c r="P1311" s="314"/>
      <c r="Q1311" s="319"/>
      <c r="R1311" s="316"/>
      <c r="S1311" s="317"/>
      <c r="T1311" s="317"/>
      <c r="U1311" s="317"/>
    </row>
    <row r="1312" ht="20.25" customHeight="1">
      <c r="A1312" s="216"/>
      <c r="B1312" s="265"/>
      <c r="C1312" s="265"/>
      <c r="D1312" s="265"/>
      <c r="E1312" s="265"/>
      <c r="F1312" s="265"/>
      <c r="G1312" s="265"/>
      <c r="H1312" s="320"/>
      <c r="I1312" s="309"/>
      <c r="J1312" s="309"/>
      <c r="L1312" s="311"/>
      <c r="M1312" s="313"/>
      <c r="N1312" s="313"/>
      <c r="O1312" s="314"/>
      <c r="P1312" s="314"/>
      <c r="Q1312" s="319"/>
      <c r="R1312" s="316"/>
      <c r="S1312" s="317"/>
      <c r="T1312" s="317"/>
      <c r="U1312" s="317"/>
    </row>
    <row r="1313" ht="20.25" customHeight="1">
      <c r="A1313" s="216"/>
      <c r="B1313" s="265"/>
      <c r="C1313" s="265"/>
      <c r="D1313" s="265"/>
      <c r="E1313" s="265"/>
      <c r="F1313" s="265"/>
      <c r="G1313" s="265"/>
      <c r="H1313" s="320"/>
      <c r="I1313" s="309"/>
      <c r="J1313" s="309"/>
      <c r="L1313" s="311"/>
      <c r="M1313" s="313"/>
      <c r="N1313" s="313"/>
      <c r="O1313" s="314"/>
      <c r="P1313" s="314"/>
      <c r="Q1313" s="319"/>
      <c r="R1313" s="316"/>
      <c r="S1313" s="317"/>
      <c r="T1313" s="317"/>
      <c r="U1313" s="317"/>
    </row>
    <row r="1314" ht="20.25" customHeight="1">
      <c r="A1314" s="216"/>
      <c r="B1314" s="265"/>
      <c r="C1314" s="265"/>
      <c r="D1314" s="265"/>
      <c r="E1314" s="265"/>
      <c r="F1314" s="265"/>
      <c r="G1314" s="265"/>
      <c r="H1314" s="320"/>
      <c r="I1314" s="309"/>
      <c r="J1314" s="309"/>
      <c r="L1314" s="311"/>
      <c r="M1314" s="313"/>
      <c r="N1314" s="313"/>
      <c r="O1314" s="314"/>
      <c r="P1314" s="314"/>
      <c r="Q1314" s="319"/>
      <c r="R1314" s="316"/>
      <c r="S1314" s="317"/>
      <c r="T1314" s="317"/>
      <c r="U1314" s="317"/>
    </row>
    <row r="1315" ht="20.25" customHeight="1">
      <c r="A1315" s="216"/>
      <c r="B1315" s="265"/>
      <c r="C1315" s="265"/>
      <c r="D1315" s="265"/>
      <c r="E1315" s="265"/>
      <c r="F1315" s="265"/>
      <c r="G1315" s="265"/>
      <c r="H1315" s="320"/>
      <c r="I1315" s="309"/>
      <c r="J1315" s="309"/>
      <c r="L1315" s="311"/>
      <c r="M1315" s="313"/>
      <c r="N1315" s="313"/>
      <c r="O1315" s="314"/>
      <c r="P1315" s="314"/>
      <c r="Q1315" s="319"/>
      <c r="R1315" s="316"/>
      <c r="S1315" s="317"/>
      <c r="T1315" s="317"/>
      <c r="U1315" s="317"/>
    </row>
    <row r="1316" ht="20.25" customHeight="1">
      <c r="A1316" s="216"/>
      <c r="B1316" s="265"/>
      <c r="C1316" s="265"/>
      <c r="D1316" s="265"/>
      <c r="E1316" s="265"/>
      <c r="F1316" s="265"/>
      <c r="G1316" s="265"/>
      <c r="H1316" s="320"/>
      <c r="I1316" s="309"/>
      <c r="J1316" s="309"/>
      <c r="L1316" s="311"/>
      <c r="M1316" s="313"/>
      <c r="N1316" s="313"/>
      <c r="O1316" s="314"/>
      <c r="P1316" s="314"/>
      <c r="Q1316" s="319"/>
      <c r="R1316" s="316"/>
      <c r="S1316" s="317"/>
      <c r="T1316" s="317"/>
      <c r="U1316" s="317"/>
    </row>
    <row r="1317" ht="20.25" customHeight="1">
      <c r="A1317" s="216"/>
      <c r="B1317" s="265"/>
      <c r="C1317" s="265"/>
      <c r="D1317" s="265"/>
      <c r="E1317" s="265"/>
      <c r="F1317" s="265"/>
      <c r="G1317" s="265"/>
      <c r="H1317" s="320"/>
      <c r="I1317" s="309"/>
      <c r="J1317" s="309"/>
      <c r="L1317" s="311"/>
      <c r="M1317" s="313"/>
      <c r="N1317" s="313"/>
      <c r="O1317" s="314"/>
      <c r="P1317" s="314"/>
      <c r="Q1317" s="319"/>
      <c r="R1317" s="316"/>
      <c r="S1317" s="317"/>
      <c r="T1317" s="317"/>
      <c r="U1317" s="317"/>
    </row>
    <row r="1318" ht="20.25" customHeight="1">
      <c r="A1318" s="216"/>
      <c r="B1318" s="265"/>
      <c r="C1318" s="265"/>
      <c r="D1318" s="265"/>
      <c r="E1318" s="265"/>
      <c r="F1318" s="265"/>
      <c r="G1318" s="265"/>
      <c r="H1318" s="320"/>
      <c r="I1318" s="309"/>
      <c r="J1318" s="309"/>
      <c r="L1318" s="311"/>
      <c r="M1318" s="313"/>
      <c r="N1318" s="313"/>
      <c r="O1318" s="314"/>
      <c r="P1318" s="314"/>
      <c r="Q1318" s="319"/>
      <c r="R1318" s="316"/>
      <c r="S1318" s="317"/>
      <c r="T1318" s="317"/>
      <c r="U1318" s="317"/>
    </row>
    <row r="1319" ht="20.25" customHeight="1">
      <c r="A1319" s="216"/>
      <c r="B1319" s="265"/>
      <c r="C1319" s="265"/>
      <c r="D1319" s="265"/>
      <c r="E1319" s="265"/>
      <c r="F1319" s="265"/>
      <c r="G1319" s="265"/>
      <c r="H1319" s="320"/>
      <c r="I1319" s="309"/>
      <c r="J1319" s="309"/>
      <c r="L1319" s="311"/>
      <c r="M1319" s="313"/>
      <c r="N1319" s="313"/>
      <c r="O1319" s="314"/>
      <c r="P1319" s="314"/>
      <c r="Q1319" s="319"/>
      <c r="R1319" s="316"/>
      <c r="S1319" s="317"/>
      <c r="T1319" s="317"/>
      <c r="U1319" s="317"/>
    </row>
    <row r="1320" ht="20.25" customHeight="1">
      <c r="A1320" s="216"/>
      <c r="B1320" s="265"/>
      <c r="C1320" s="265"/>
      <c r="D1320" s="265"/>
      <c r="E1320" s="265"/>
      <c r="F1320" s="265"/>
      <c r="G1320" s="265"/>
      <c r="H1320" s="320"/>
      <c r="I1320" s="309"/>
      <c r="J1320" s="309"/>
      <c r="L1320" s="311"/>
      <c r="M1320" s="313"/>
      <c r="N1320" s="313"/>
      <c r="O1320" s="314"/>
      <c r="P1320" s="314"/>
      <c r="Q1320" s="319"/>
      <c r="R1320" s="316"/>
      <c r="S1320" s="317"/>
      <c r="T1320" s="317"/>
      <c r="U1320" s="317"/>
    </row>
    <row r="1321" ht="20.25" customHeight="1">
      <c r="A1321" s="216"/>
      <c r="B1321" s="265"/>
      <c r="C1321" s="265"/>
      <c r="D1321" s="265"/>
      <c r="E1321" s="265"/>
      <c r="F1321" s="265"/>
      <c r="G1321" s="265"/>
      <c r="H1321" s="320"/>
      <c r="I1321" s="309"/>
      <c r="J1321" s="309"/>
      <c r="L1321" s="311"/>
      <c r="M1321" s="313"/>
      <c r="N1321" s="313"/>
      <c r="O1321" s="314"/>
      <c r="P1321" s="314"/>
      <c r="Q1321" s="319"/>
      <c r="R1321" s="316"/>
      <c r="S1321" s="317"/>
      <c r="T1321" s="317"/>
      <c r="U1321" s="317"/>
    </row>
    <row r="1322" ht="20.25" customHeight="1">
      <c r="A1322" s="216"/>
      <c r="B1322" s="265"/>
      <c r="C1322" s="265"/>
      <c r="D1322" s="265"/>
      <c r="E1322" s="265"/>
      <c r="F1322" s="265"/>
      <c r="G1322" s="265"/>
      <c r="H1322" s="320"/>
      <c r="I1322" s="309"/>
      <c r="J1322" s="309"/>
      <c r="L1322" s="311"/>
      <c r="M1322" s="313"/>
      <c r="N1322" s="313"/>
      <c r="O1322" s="314"/>
      <c r="P1322" s="314"/>
      <c r="Q1322" s="319"/>
      <c r="R1322" s="316"/>
      <c r="S1322" s="317"/>
      <c r="T1322" s="317"/>
      <c r="U1322" s="317"/>
    </row>
    <row r="1323" ht="20.25" customHeight="1">
      <c r="A1323" s="216"/>
      <c r="B1323" s="265"/>
      <c r="C1323" s="265"/>
      <c r="D1323" s="265"/>
      <c r="E1323" s="265"/>
      <c r="F1323" s="265"/>
      <c r="G1323" s="265"/>
      <c r="H1323" s="320"/>
      <c r="I1323" s="309"/>
      <c r="J1323" s="309"/>
      <c r="L1323" s="311"/>
      <c r="M1323" s="313"/>
      <c r="N1323" s="313"/>
      <c r="O1323" s="314"/>
      <c r="P1323" s="314"/>
      <c r="Q1323" s="319"/>
      <c r="R1323" s="316"/>
      <c r="S1323" s="317"/>
      <c r="T1323" s="317"/>
      <c r="U1323" s="317"/>
    </row>
    <row r="1324" ht="20.25" customHeight="1">
      <c r="A1324" s="216"/>
      <c r="B1324" s="265"/>
      <c r="C1324" s="265"/>
      <c r="D1324" s="265"/>
      <c r="E1324" s="265"/>
      <c r="F1324" s="265"/>
      <c r="G1324" s="265"/>
      <c r="H1324" s="320"/>
      <c r="I1324" s="309"/>
      <c r="J1324" s="309"/>
      <c r="L1324" s="311"/>
      <c r="M1324" s="313"/>
      <c r="N1324" s="313"/>
      <c r="O1324" s="314"/>
      <c r="P1324" s="314"/>
      <c r="Q1324" s="319"/>
      <c r="R1324" s="316"/>
      <c r="S1324" s="317"/>
      <c r="T1324" s="317"/>
      <c r="U1324" s="317"/>
    </row>
    <row r="1325" ht="20.25" customHeight="1">
      <c r="A1325" s="216"/>
      <c r="B1325" s="265"/>
      <c r="C1325" s="265"/>
      <c r="D1325" s="265"/>
      <c r="E1325" s="265"/>
      <c r="F1325" s="265"/>
      <c r="G1325" s="265"/>
      <c r="H1325" s="320"/>
      <c r="I1325" s="309"/>
      <c r="J1325" s="309"/>
      <c r="L1325" s="311"/>
      <c r="M1325" s="313"/>
      <c r="N1325" s="313"/>
      <c r="O1325" s="314"/>
      <c r="P1325" s="314"/>
      <c r="Q1325" s="319"/>
      <c r="R1325" s="316"/>
      <c r="S1325" s="317"/>
      <c r="T1325" s="317"/>
      <c r="U1325" s="317"/>
    </row>
    <row r="1326" ht="20.25" customHeight="1">
      <c r="A1326" s="216"/>
      <c r="B1326" s="265"/>
      <c r="C1326" s="265"/>
      <c r="D1326" s="265"/>
      <c r="E1326" s="265"/>
      <c r="F1326" s="265"/>
      <c r="G1326" s="265"/>
      <c r="H1326" s="320"/>
      <c r="I1326" s="309"/>
      <c r="J1326" s="309"/>
      <c r="L1326" s="311"/>
      <c r="M1326" s="313"/>
      <c r="N1326" s="313"/>
      <c r="O1326" s="314"/>
      <c r="P1326" s="314"/>
      <c r="Q1326" s="319"/>
      <c r="R1326" s="316"/>
      <c r="S1326" s="317"/>
      <c r="T1326" s="317"/>
      <c r="U1326" s="317"/>
    </row>
    <row r="1327" ht="20.25" customHeight="1">
      <c r="A1327" s="216"/>
      <c r="B1327" s="265"/>
      <c r="C1327" s="265"/>
      <c r="D1327" s="265"/>
      <c r="E1327" s="265"/>
      <c r="F1327" s="265"/>
      <c r="G1327" s="265"/>
      <c r="H1327" s="320"/>
      <c r="I1327" s="309"/>
      <c r="J1327" s="309"/>
      <c r="L1327" s="311"/>
      <c r="M1327" s="313"/>
      <c r="N1327" s="313"/>
      <c r="O1327" s="314"/>
      <c r="P1327" s="314"/>
      <c r="Q1327" s="319"/>
      <c r="R1327" s="316"/>
      <c r="S1327" s="317"/>
      <c r="T1327" s="317"/>
      <c r="U1327" s="317"/>
    </row>
    <row r="1328" ht="20.25" customHeight="1">
      <c r="A1328" s="216"/>
      <c r="B1328" s="265"/>
      <c r="C1328" s="265"/>
      <c r="D1328" s="265"/>
      <c r="E1328" s="265"/>
      <c r="F1328" s="265"/>
      <c r="G1328" s="265"/>
      <c r="H1328" s="320"/>
      <c r="I1328" s="309"/>
      <c r="J1328" s="309"/>
      <c r="L1328" s="311"/>
      <c r="M1328" s="313"/>
      <c r="N1328" s="313"/>
      <c r="O1328" s="314"/>
      <c r="P1328" s="314"/>
      <c r="Q1328" s="319"/>
      <c r="R1328" s="316"/>
      <c r="S1328" s="317"/>
      <c r="T1328" s="317"/>
      <c r="U1328" s="317"/>
    </row>
    <row r="1329" ht="20.25" customHeight="1">
      <c r="A1329" s="216"/>
      <c r="B1329" s="265"/>
      <c r="C1329" s="265"/>
      <c r="D1329" s="265"/>
      <c r="E1329" s="265"/>
      <c r="F1329" s="265"/>
      <c r="G1329" s="265"/>
      <c r="H1329" s="320"/>
      <c r="I1329" s="309"/>
      <c r="J1329" s="309"/>
      <c r="L1329" s="311"/>
      <c r="M1329" s="313"/>
      <c r="N1329" s="313"/>
      <c r="O1329" s="314"/>
      <c r="P1329" s="314"/>
      <c r="Q1329" s="319"/>
      <c r="R1329" s="316"/>
      <c r="S1329" s="317"/>
      <c r="T1329" s="317"/>
      <c r="U1329" s="317"/>
    </row>
    <row r="1330" ht="20.25" customHeight="1">
      <c r="A1330" s="216"/>
      <c r="B1330" s="265"/>
      <c r="C1330" s="265"/>
      <c r="D1330" s="265"/>
      <c r="E1330" s="265"/>
      <c r="F1330" s="265"/>
      <c r="G1330" s="265"/>
      <c r="H1330" s="320"/>
      <c r="I1330" s="309"/>
      <c r="J1330" s="309"/>
      <c r="L1330" s="311"/>
      <c r="M1330" s="313"/>
      <c r="N1330" s="313"/>
      <c r="O1330" s="314"/>
      <c r="P1330" s="314"/>
      <c r="Q1330" s="319"/>
      <c r="R1330" s="316"/>
      <c r="S1330" s="317"/>
      <c r="T1330" s="317"/>
      <c r="U1330" s="317"/>
    </row>
    <row r="1331" ht="20.25" customHeight="1">
      <c r="A1331" s="216"/>
      <c r="B1331" s="265"/>
      <c r="C1331" s="265"/>
      <c r="D1331" s="265"/>
      <c r="E1331" s="265"/>
      <c r="F1331" s="265"/>
      <c r="G1331" s="265"/>
      <c r="H1331" s="320"/>
      <c r="I1331" s="309"/>
      <c r="J1331" s="309"/>
      <c r="L1331" s="311"/>
      <c r="M1331" s="313"/>
      <c r="N1331" s="313"/>
      <c r="O1331" s="314"/>
      <c r="P1331" s="314"/>
      <c r="Q1331" s="319"/>
      <c r="R1331" s="316"/>
      <c r="S1331" s="317"/>
      <c r="T1331" s="317"/>
      <c r="U1331" s="317"/>
    </row>
    <row r="1332" ht="20.25" customHeight="1">
      <c r="A1332" s="216"/>
      <c r="B1332" s="265"/>
      <c r="C1332" s="265"/>
      <c r="D1332" s="265"/>
      <c r="E1332" s="265"/>
      <c r="F1332" s="265"/>
      <c r="G1332" s="265"/>
      <c r="H1332" s="320"/>
      <c r="I1332" s="309"/>
      <c r="J1332" s="309"/>
      <c r="L1332" s="311"/>
      <c r="M1332" s="313"/>
      <c r="N1332" s="313"/>
      <c r="O1332" s="314"/>
      <c r="P1332" s="314"/>
      <c r="Q1332" s="319"/>
      <c r="R1332" s="316"/>
      <c r="S1332" s="317"/>
      <c r="T1332" s="317"/>
      <c r="U1332" s="317"/>
    </row>
    <row r="1333" ht="20.25" customHeight="1">
      <c r="A1333" s="216"/>
      <c r="B1333" s="265"/>
      <c r="C1333" s="265"/>
      <c r="D1333" s="265"/>
      <c r="E1333" s="265"/>
      <c r="F1333" s="265"/>
      <c r="G1333" s="265"/>
      <c r="H1333" s="320"/>
      <c r="I1333" s="309"/>
      <c r="J1333" s="309"/>
      <c r="L1333" s="311"/>
      <c r="M1333" s="313"/>
      <c r="N1333" s="313"/>
      <c r="O1333" s="314"/>
      <c r="P1333" s="314"/>
      <c r="Q1333" s="319"/>
      <c r="R1333" s="316"/>
      <c r="S1333" s="317"/>
      <c r="T1333" s="317"/>
      <c r="U1333" s="317"/>
    </row>
    <row r="1334" ht="20.25" customHeight="1">
      <c r="A1334" s="216"/>
      <c r="B1334" s="265"/>
      <c r="C1334" s="265"/>
      <c r="D1334" s="265"/>
      <c r="E1334" s="265"/>
      <c r="F1334" s="265"/>
      <c r="G1334" s="265"/>
      <c r="H1334" s="320"/>
      <c r="I1334" s="309"/>
      <c r="J1334" s="309"/>
      <c r="L1334" s="311"/>
      <c r="M1334" s="313"/>
      <c r="N1334" s="313"/>
      <c r="O1334" s="314"/>
      <c r="P1334" s="314"/>
      <c r="Q1334" s="319"/>
      <c r="R1334" s="316"/>
      <c r="S1334" s="317"/>
      <c r="T1334" s="317"/>
      <c r="U1334" s="317"/>
    </row>
    <row r="1335" ht="20.25" customHeight="1">
      <c r="A1335" s="216"/>
      <c r="B1335" s="265"/>
      <c r="C1335" s="265"/>
      <c r="D1335" s="265"/>
      <c r="E1335" s="265"/>
      <c r="F1335" s="265"/>
      <c r="G1335" s="265"/>
      <c r="H1335" s="320"/>
      <c r="I1335" s="309"/>
      <c r="J1335" s="309"/>
      <c r="L1335" s="311"/>
      <c r="M1335" s="313"/>
      <c r="N1335" s="313"/>
      <c r="O1335" s="314"/>
      <c r="P1335" s="314"/>
      <c r="Q1335" s="319"/>
      <c r="R1335" s="316"/>
      <c r="S1335" s="317"/>
      <c r="T1335" s="317"/>
      <c r="U1335" s="317"/>
    </row>
    <row r="1336" ht="20.25" customHeight="1">
      <c r="A1336" s="216"/>
      <c r="B1336" s="265"/>
      <c r="C1336" s="265"/>
      <c r="D1336" s="265"/>
      <c r="E1336" s="265"/>
      <c r="F1336" s="265"/>
      <c r="G1336" s="265"/>
      <c r="H1336" s="320"/>
      <c r="I1336" s="309"/>
      <c r="J1336" s="309"/>
      <c r="L1336" s="311"/>
      <c r="M1336" s="313"/>
      <c r="N1336" s="313"/>
      <c r="O1336" s="314"/>
      <c r="P1336" s="314"/>
      <c r="Q1336" s="319"/>
      <c r="R1336" s="316"/>
      <c r="S1336" s="317"/>
      <c r="T1336" s="317"/>
      <c r="U1336" s="317"/>
    </row>
    <row r="1337" ht="20.25" customHeight="1">
      <c r="A1337" s="216"/>
      <c r="B1337" s="265"/>
      <c r="C1337" s="265"/>
      <c r="D1337" s="265"/>
      <c r="E1337" s="265"/>
      <c r="F1337" s="265"/>
      <c r="G1337" s="265"/>
      <c r="H1337" s="320"/>
      <c r="I1337" s="309"/>
      <c r="J1337" s="309"/>
      <c r="L1337" s="311"/>
      <c r="M1337" s="313"/>
      <c r="N1337" s="313"/>
      <c r="O1337" s="314"/>
      <c r="P1337" s="314"/>
      <c r="Q1337" s="319"/>
      <c r="R1337" s="316"/>
      <c r="S1337" s="317"/>
      <c r="T1337" s="317"/>
      <c r="U1337" s="317"/>
    </row>
    <row r="1338" ht="20.25" customHeight="1">
      <c r="A1338" s="216"/>
      <c r="B1338" s="265"/>
      <c r="C1338" s="265"/>
      <c r="D1338" s="265"/>
      <c r="E1338" s="265"/>
      <c r="F1338" s="265"/>
      <c r="G1338" s="265"/>
      <c r="H1338" s="320"/>
      <c r="I1338" s="309"/>
      <c r="J1338" s="309"/>
      <c r="L1338" s="311"/>
      <c r="M1338" s="313"/>
      <c r="N1338" s="313"/>
      <c r="O1338" s="314"/>
      <c r="P1338" s="314"/>
      <c r="Q1338" s="319"/>
      <c r="R1338" s="316"/>
      <c r="S1338" s="317"/>
      <c r="T1338" s="317"/>
      <c r="U1338" s="317"/>
    </row>
    <row r="1339" ht="20.25" customHeight="1">
      <c r="A1339" s="216"/>
      <c r="B1339" s="265"/>
      <c r="C1339" s="265"/>
      <c r="D1339" s="265"/>
      <c r="E1339" s="265"/>
      <c r="F1339" s="265"/>
      <c r="G1339" s="265"/>
      <c r="H1339" s="320"/>
      <c r="I1339" s="309"/>
      <c r="J1339" s="309"/>
      <c r="L1339" s="311"/>
      <c r="M1339" s="313"/>
      <c r="N1339" s="313"/>
      <c r="O1339" s="314"/>
      <c r="P1339" s="314"/>
      <c r="Q1339" s="319"/>
      <c r="R1339" s="316"/>
      <c r="S1339" s="317"/>
      <c r="T1339" s="317"/>
      <c r="U1339" s="317"/>
    </row>
    <row r="1340" ht="20.25" customHeight="1">
      <c r="A1340" s="216"/>
      <c r="B1340" s="265"/>
      <c r="C1340" s="265"/>
      <c r="D1340" s="265"/>
      <c r="E1340" s="265"/>
      <c r="F1340" s="265"/>
      <c r="G1340" s="265"/>
      <c r="H1340" s="320"/>
      <c r="I1340" s="309"/>
      <c r="J1340" s="309"/>
      <c r="L1340" s="311"/>
      <c r="M1340" s="313"/>
      <c r="N1340" s="313"/>
      <c r="O1340" s="314"/>
      <c r="P1340" s="314"/>
      <c r="Q1340" s="319"/>
      <c r="R1340" s="316"/>
      <c r="S1340" s="317"/>
      <c r="T1340" s="317"/>
      <c r="U1340" s="317"/>
    </row>
    <row r="1341" ht="20.25" customHeight="1">
      <c r="A1341" s="216"/>
      <c r="B1341" s="265"/>
      <c r="C1341" s="265"/>
      <c r="D1341" s="265"/>
      <c r="E1341" s="265"/>
      <c r="F1341" s="265"/>
      <c r="G1341" s="265"/>
      <c r="H1341" s="320"/>
      <c r="I1341" s="309"/>
      <c r="J1341" s="309"/>
      <c r="L1341" s="311"/>
      <c r="M1341" s="313"/>
      <c r="N1341" s="313"/>
      <c r="O1341" s="314"/>
      <c r="P1341" s="314"/>
      <c r="Q1341" s="319"/>
      <c r="R1341" s="316"/>
      <c r="S1341" s="317"/>
      <c r="T1341" s="317"/>
      <c r="U1341" s="317"/>
    </row>
    <row r="1342" ht="20.25" customHeight="1">
      <c r="A1342" s="216"/>
      <c r="B1342" s="265"/>
      <c r="C1342" s="265"/>
      <c r="D1342" s="265"/>
      <c r="E1342" s="265"/>
      <c r="F1342" s="265"/>
      <c r="G1342" s="265"/>
      <c r="H1342" s="320"/>
      <c r="I1342" s="309"/>
      <c r="J1342" s="309"/>
      <c r="L1342" s="311"/>
      <c r="M1342" s="313"/>
      <c r="N1342" s="313"/>
      <c r="O1342" s="314"/>
      <c r="P1342" s="314"/>
      <c r="Q1342" s="319"/>
      <c r="R1342" s="316"/>
      <c r="S1342" s="317"/>
      <c r="T1342" s="317"/>
      <c r="U1342" s="317"/>
    </row>
    <row r="1343" ht="20.25" customHeight="1">
      <c r="A1343" s="216"/>
      <c r="B1343" s="265"/>
      <c r="C1343" s="265"/>
      <c r="D1343" s="265"/>
      <c r="E1343" s="265"/>
      <c r="F1343" s="265"/>
      <c r="G1343" s="265"/>
      <c r="H1343" s="320"/>
      <c r="I1343" s="309"/>
      <c r="J1343" s="309"/>
      <c r="L1343" s="311"/>
      <c r="M1343" s="313"/>
      <c r="N1343" s="313"/>
      <c r="O1343" s="314"/>
      <c r="P1343" s="314"/>
      <c r="Q1343" s="319"/>
      <c r="R1343" s="316"/>
      <c r="S1343" s="317"/>
      <c r="T1343" s="317"/>
      <c r="U1343" s="317"/>
    </row>
    <row r="1344" ht="20.25" customHeight="1">
      <c r="A1344" s="216"/>
      <c r="B1344" s="265"/>
      <c r="C1344" s="265"/>
      <c r="D1344" s="265"/>
      <c r="E1344" s="265"/>
      <c r="F1344" s="265"/>
      <c r="G1344" s="265"/>
      <c r="H1344" s="320"/>
      <c r="I1344" s="309"/>
      <c r="J1344" s="309"/>
      <c r="L1344" s="311"/>
      <c r="M1344" s="313"/>
      <c r="N1344" s="313"/>
      <c r="O1344" s="314"/>
      <c r="P1344" s="314"/>
      <c r="Q1344" s="319"/>
      <c r="R1344" s="316"/>
      <c r="S1344" s="317"/>
      <c r="T1344" s="317"/>
      <c r="U1344" s="317"/>
    </row>
    <row r="1345" ht="20.25" customHeight="1">
      <c r="A1345" s="216"/>
      <c r="B1345" s="265"/>
      <c r="C1345" s="265"/>
      <c r="D1345" s="265"/>
      <c r="E1345" s="265"/>
      <c r="F1345" s="265"/>
      <c r="G1345" s="265"/>
      <c r="H1345" s="320"/>
      <c r="I1345" s="309"/>
      <c r="J1345" s="309"/>
      <c r="L1345" s="311"/>
      <c r="M1345" s="313"/>
      <c r="N1345" s="313"/>
      <c r="O1345" s="314"/>
      <c r="P1345" s="314"/>
      <c r="Q1345" s="319"/>
      <c r="R1345" s="316"/>
      <c r="S1345" s="317"/>
      <c r="T1345" s="317"/>
      <c r="U1345" s="317"/>
    </row>
  </sheetData>
  <customSheetViews>
    <customSheetView guid="{5213895D-0FAE-4B14-BD63-CEE4EBABE025}" filter="1" showAutoFilter="1">
      <autoFilter ref="$A$1:$K$470">
        <filterColumn colId="5">
          <filters>
            <filter val="Tazeen"/>
          </filters>
        </filterColumn>
      </autoFilter>
    </customSheetView>
  </customSheetViews>
  <mergeCells count="1">
    <mergeCell ref="C1:D1"/>
  </mergeCells>
  <conditionalFormatting sqref="E1">
    <cfRule type="containsText" dxfId="0" priority="1" operator="containsText" text="Working On it">
      <formula>NOT(ISERROR(SEARCH(("Working On it"),(E1))))</formula>
    </cfRule>
  </conditionalFormatting>
  <conditionalFormatting sqref="E1">
    <cfRule type="containsText" dxfId="1" priority="2" operator="containsText" text="Not Started">
      <formula>NOT(ISERROR(SEARCH(("Not Started"),(E1))))</formula>
    </cfRule>
  </conditionalFormatting>
  <conditionalFormatting sqref="E1">
    <cfRule type="containsText" dxfId="2" priority="3" operator="containsText" text="Done">
      <formula>NOT(ISERROR(SEARCH(("Done"),(E1))))</formula>
    </cfRule>
  </conditionalFormatting>
  <conditionalFormatting sqref="E1">
    <cfRule type="containsText" dxfId="3" priority="4" operator="containsText" text="In Review">
      <formula>NOT(ISERROR(SEARCH(("In Review"),(E1))))</formula>
    </cfRule>
  </conditionalFormatting>
  <conditionalFormatting sqref="E1">
    <cfRule type="containsText" dxfId="4" priority="5" operator="containsText" text="On Hold">
      <formula>NOT(ISERROR(SEARCH(("On Hold"),(E1))))</formula>
    </cfRule>
  </conditionalFormatting>
  <hyperlinks>
    <hyperlink r:id="rId1" ref="G28"/>
    <hyperlink r:id="rId2" ref="G67"/>
    <hyperlink r:id="rId3" ref="G75"/>
    <hyperlink r:id="rId4" ref="G76"/>
    <hyperlink r:id="rId5" ref="G80"/>
    <hyperlink r:id="rId6" ref="G93"/>
    <hyperlink r:id="rId7" ref="G502"/>
    <hyperlink r:id="rId8" ref="G530"/>
    <hyperlink r:id="rId9" ref="G549"/>
    <hyperlink r:id="rId10" ref="G587"/>
  </hyperlinks>
  <drawing r:id="rId11"/>
  <tableParts count="38">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s>
</worksheet>
</file>