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8" sheetId="1" r:id="rId4"/>
    <sheet state="visible" name="Data" sheetId="2" r:id="rId5"/>
    <sheet state="visible" name="Instructions" sheetId="3" r:id="rId6"/>
    <sheet state="visible" name="Chapter1" sheetId="4" r:id="rId7"/>
    <sheet state="visible" name="Chapter2" sheetId="5" r:id="rId8"/>
    <sheet state="visible" name="Chapter3" sheetId="6" r:id="rId9"/>
    <sheet state="visible" name="Chapter4" sheetId="7" r:id="rId10"/>
    <sheet state="visible" name="Chapter5" sheetId="8" r:id="rId11"/>
    <sheet state="visible" name="Chapter6" sheetId="9" r:id="rId12"/>
    <sheet state="visible" name="Chapter7" sheetId="10" r:id="rId13"/>
  </sheets>
  <definedNames>
    <definedName name="SkippableDays">Data!$J$7:$J$50</definedName>
    <definedName name="LabInfo">Data!$C$7:$E$14</definedName>
  </definedNames>
  <calcPr/>
</workbook>
</file>

<file path=xl/sharedStrings.xml><?xml version="1.0" encoding="utf-8"?>
<sst xmlns="http://schemas.openxmlformats.org/spreadsheetml/2006/main" count="1280" uniqueCount="95">
  <si>
    <t>Lab Number</t>
  </si>
  <si>
    <t>Due Date</t>
  </si>
  <si>
    <t>Days Worked Minimum</t>
  </si>
  <si>
    <t>Hours Worked Minimum</t>
  </si>
  <si>
    <t>Data Name:</t>
  </si>
  <si>
    <t>Last Day in Log</t>
  </si>
  <si>
    <t>Num Day Entries</t>
  </si>
  <si>
    <t>Num Start Entries</t>
  </si>
  <si>
    <t>Num End Entries</t>
  </si>
  <si>
    <t>All Logs Complete</t>
  </si>
  <si>
    <t>Worktime Deficient</t>
  </si>
  <si>
    <t>Workdays Deficient</t>
  </si>
  <si>
    <t>Total Deficiency</t>
  </si>
  <si>
    <t>Turn In Date</t>
  </si>
  <si>
    <t>Pre-Due Date Late Days Needed</t>
  </si>
  <si>
    <t>Post-Due Date Late Days Needed</t>
  </si>
  <si>
    <t>Total Late Days Needed</t>
  </si>
  <si>
    <t>Today</t>
  </si>
  <si>
    <t>Now is Before Due Date</t>
  </si>
  <si>
    <t>Hours Deficient Today
(assumed after due date)</t>
  </si>
  <si>
    <t>Now is After Due Date</t>
  </si>
  <si>
    <t>Can Use Traditional Application of Late Days - #Late Days Needed</t>
  </si>
  <si>
    <t>Data Value:</t>
  </si>
  <si>
    <t>N/A</t>
  </si>
  <si>
    <t>Days Worked Before Due Date (at least 1 hr):</t>
  </si>
  <si>
    <t>Relevant Partial Message:</t>
  </si>
  <si>
    <t>Please finish your current log entry for an updated message</t>
  </si>
  <si>
    <t>to cover days not worked before (or on) the due date</t>
  </si>
  <si>
    <t>to cover days after the due date without at least 2 hours of work</t>
  </si>
  <si>
    <t>Time Worked Before Due Date:</t>
  </si>
  <si>
    <t>Relevant Bool
(≈if msg might apply):</t>
  </si>
  <si>
    <t>Other Partial Message:</t>
  </si>
  <si>
    <t>When you submit the lab, enter the date</t>
  </si>
  <si>
    <t>Date turned in:</t>
  </si>
  <si>
    <t>Enter each work session as an entry in the table below, e.g.</t>
  </si>
  <si>
    <t>Before Due Date</t>
  </si>
  <si>
    <t>After Due Date</t>
  </si>
  <si>
    <t>Traditional Late Day Usage</t>
  </si>
  <si>
    <t>Day</t>
  </si>
  <si>
    <t>Start Time</t>
  </si>
  <si>
    <t>End Time</t>
  </si>
  <si>
    <t>Duration</t>
  </si>
  <si>
    <t>Day (Unique)</t>
  </si>
  <si>
    <t>Total Duration</t>
  </si>
  <si>
    <t>Days &gt;= 1 hour</t>
  </si>
  <si>
    <t>Extra Entry Day</t>
  </si>
  <si>
    <t>Extra Entry Duration</t>
  </si>
  <si>
    <t>Num After Due Date</t>
  </si>
  <si>
    <t>Day (w/extra)</t>
  </si>
  <si>
    <t>Duration (w/extra)</t>
  </si>
  <si>
    <t>Real Days Between</t>
  </si>
  <si>
    <t>Skippable Index</t>
  </si>
  <si>
    <t>Skippables Between</t>
  </si>
  <si>
    <t>Work Days Skipped</t>
  </si>
  <si>
    <t>This Day Skipped?</t>
  </si>
  <si>
    <t>Total Skippage</t>
  </si>
  <si>
    <t>Days (Due/Turned In or Today)</t>
  </si>
  <si>
    <t>Days Between (Real/Skippable)</t>
  </si>
  <si>
    <t>#Late Days Needed with Traditional Application</t>
  </si>
  <si>
    <t/>
  </si>
  <si>
    <t>Data</t>
  </si>
  <si>
    <t>This sheet contains data that the worklog sheets will use.
Only change the information in this sheet if a change is made in the course that would need to be reflected here.</t>
  </si>
  <si>
    <t>Lab Info</t>
  </si>
  <si>
    <t>Holiday Info (Days Where Working is not Necessary)</t>
  </si>
  <si>
    <t>Lab #/Name</t>
  </si>
  <si>
    <t>Holiday Name</t>
  </si>
  <si>
    <t>Holiday Date</t>
  </si>
  <si>
    <t>Sundays</t>
  </si>
  <si>
    <t>All Skippable Days</t>
  </si>
  <si>
    <t>1 - Do as I'm Doing</t>
  </si>
  <si>
    <t>MLK</t>
  </si>
  <si>
    <t>2 - Pizza</t>
  </si>
  <si>
    <t>President's Day</t>
  </si>
  <si>
    <t>3 - Fun with Functions</t>
  </si>
  <si>
    <t>Spring Day</t>
  </si>
  <si>
    <t>4 - Multipath Adventure</t>
  </si>
  <si>
    <t>General Conference</t>
  </si>
  <si>
    <t>5 - Looping Multipath Adventure</t>
  </si>
  <si>
    <t>6 - Hotplate</t>
  </si>
  <si>
    <t>7 - Online Shopping Cart</t>
  </si>
  <si>
    <t>8 - Playlists</t>
  </si>
  <si>
    <t>Instructions</t>
  </si>
  <si>
    <t>First make a copy of the original spreadsheet, which is here:</t>
  </si>
  <si>
    <t>https://docs.google.com/spreadsheets/d/1E5HCB5IlFAkU-EU-0tDoq5KdFXTu7rVl0_i73kBxP_8/edit?usp=sharing</t>
  </si>
  <si>
    <t>(you might not be viewing the original if you got this sheet from a friend)</t>
  </si>
  <si>
    <t>To make the copy, use File &gt; Make Copy</t>
  </si>
  <si>
    <t>Give the copy a good name (e.g. "Teikn Smith's CS 142 Worklog")</t>
  </si>
  <si>
    <t>To submit this worklog, just paste the share link into the submission quiz in Canvas.</t>
  </si>
  <si>
    <t>Make sure you have sharing turned on! In the upper right is the "Share" button. After clicking that button, click "Change to anyone with the link", then you can click "Copy link" and paste the link into Canvas.</t>
  </si>
  <si>
    <t>You should only edit blue cells</t>
  </si>
  <si>
    <t>Green tabs and cells give instructions</t>
  </si>
  <si>
    <t>Pink cells autopopulate</t>
  </si>
  <si>
    <t>Each Chapter tab has hidden columns at the end: you may look at these if you so please, but be careful not to make any changes. If you accidentally do make changes, ctrl+z is your friend.</t>
  </si>
  <si>
    <t>If you find any issues with this spreadsheet, please send an email to:</t>
  </si>
  <si>
    <t>cs142question@gmail.com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</si>
</sst>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quot;h &quot;mm&quot;m&quot;"/>
    <numFmt numFmtId="165" formatCode="d&quot; &quot;mmm"/>
    <numFmt numFmtId="166" formatCode="d mmm"/>
    <numFmt numFmtId="167" formatCode="h:mm am/pm"/>
  </numFmts>
  <fonts count="14">
    <font>
      <sz val="10.0"/>
      <color rgb="FF000000"/>
      <name val="Arial"/>
      <scheme val="minor"/>
    </font>
    <font>
      <b/>
      <sz val="10.0"/>
      <color theme="1"/>
      <name val="Arial"/>
      <scheme val="minor"/>
    </font>
    <font>
      <sz val="10.0"/>
      <color theme="1"/>
      <name val="Arial"/>
      <scheme val="minor"/>
    </font>
    <font>
      <b/>
      <sz val="18.0"/>
      <color theme="1"/>
      <name val="Arial"/>
      <scheme val="minor"/>
    </font>
    <font/>
    <font>
      <sz val="12.0"/>
      <color theme="1"/>
      <name val="Arial"/>
      <scheme val="minor"/>
    </font>
    <font>
      <color theme="1"/>
      <name val="Arial"/>
      <scheme val="minor"/>
    </font>
    <font>
      <b/>
      <sz val="12.0"/>
      <color theme="1"/>
      <name val="Arial"/>
      <scheme val="minor"/>
    </font>
    <font>
      <b/>
      <color theme="1"/>
      <name val="Arial"/>
      <scheme val="minor"/>
    </font>
    <font>
      <color theme="1"/>
      <name val="Arial"/>
    </font>
    <font>
      <b/>
      <sz val="18.0"/>
      <color theme="1"/>
      <name val="Arial"/>
    </font>
    <font>
      <u/>
      <color rgb="FF0000FF"/>
      <name val="Arial"/>
    </font>
    <font>
      <color rgb="FF000000"/>
      <name val="Arial"/>
    </font>
    <font>
      <color rgb="FF6AA84F"/>
      <name val="Arial"/>
    </font>
  </fonts>
  <fills count="7">
    <fill>
      <patternFill patternType="none"/>
    </fill>
    <fill>
      <patternFill patternType="lightGray"/>
    </fill>
    <fill>
      <patternFill patternType="solid">
        <fgColor rgb="FF666666"/>
        <bgColor rgb="FF666666"/>
      </patternFill>
    </fill>
    <fill>
      <patternFill patternType="solid">
        <fgColor rgb="FFD9D9D9"/>
        <bgColor rgb="FFD9D9D9"/>
      </patternFill>
    </fill>
    <fill>
      <patternFill patternType="solid">
        <fgColor rgb="FFEAD1DC"/>
        <bgColor rgb="FFEAD1DC"/>
      </patternFill>
    </fill>
    <fill>
      <patternFill patternType="solid">
        <fgColor rgb="FFB6D7A8"/>
        <bgColor rgb="FFB6D7A8"/>
      </patternFill>
    </fill>
    <fill>
      <patternFill patternType="solid">
        <fgColor rgb="FFA4C2F4"/>
        <bgColor rgb="FFA4C2F4"/>
      </patternFill>
    </fill>
  </fills>
  <borders count="58">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n">
        <color rgb="FF000000"/>
      </left>
      <right style="thin">
        <color rgb="FF000000"/>
      </right>
      <top style="thin">
        <color rgb="FF000000"/>
      </top>
      <bottom style="thin">
        <color rgb="FF000000"/>
      </bottom>
    </border>
    <border>
      <left style="thick">
        <color rgb="FF000000"/>
      </left>
      <top style="medium">
        <color rgb="FF000000"/>
      </top>
      <bottom style="medium">
        <color rgb="FF000000"/>
      </bottom>
    </border>
    <border>
      <top style="medium">
        <color rgb="FF000000"/>
      </top>
      <bottom style="medium">
        <color rgb="FF000000"/>
      </bottom>
    </border>
    <border>
      <right style="thick">
        <color rgb="FF000000"/>
      </right>
      <top style="medium">
        <color rgb="FF000000"/>
      </top>
      <bottom style="medium">
        <color rgb="FF000000"/>
      </bottom>
    </border>
    <border>
      <left style="thick">
        <color rgb="FF000000"/>
      </left>
    </border>
    <border>
      <right style="thick">
        <color rgb="FF000000"/>
      </right>
    </border>
    <border>
      <left style="thick">
        <color rgb="FF000000"/>
      </left>
      <right style="medium">
        <color rgb="FF000000"/>
      </right>
      <top style="medium">
        <color rgb="FF000000"/>
      </top>
      <bottom style="thin">
        <color rgb="FF000000"/>
      </bottom>
    </border>
    <border>
      <top style="medium">
        <color rgb="FF000000"/>
      </top>
      <bottom style="thin">
        <color rgb="FF000000"/>
      </bottom>
    </border>
    <border>
      <right style="thick">
        <color rgb="FF000000"/>
      </right>
      <top style="medium">
        <color rgb="FF000000"/>
      </top>
      <bottom style="thin">
        <color rgb="FF000000"/>
      </bottom>
    </border>
    <border>
      <left style="thick">
        <color rgb="FF000000"/>
      </left>
      <right style="medium">
        <color rgb="FF000000"/>
      </right>
      <top style="thin">
        <color rgb="FF000000"/>
      </top>
      <bottom style="medium">
        <color rgb="FF000000"/>
      </bottom>
    </border>
    <border>
      <top style="thin">
        <color rgb="FF000000"/>
      </top>
      <bottom style="medium">
        <color rgb="FF000000"/>
      </bottom>
    </border>
    <border>
      <right style="thick">
        <color rgb="FF000000"/>
      </right>
      <top style="thin">
        <color rgb="FF000000"/>
      </top>
      <bottom style="medium">
        <color rgb="FF000000"/>
      </bottom>
    </border>
    <border>
      <right style="medium">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ck">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ck">
        <color rgb="FF000000"/>
      </right>
      <top style="medium">
        <color rgb="FF000000"/>
      </top>
      <bottom style="medium">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top style="medium">
        <color rgb="FF000000"/>
      </top>
    </border>
    <border>
      <top style="medium">
        <color rgb="FF000000"/>
      </top>
    </border>
    <border>
      <right style="medium">
        <color rgb="FF000000"/>
      </right>
      <top style="medium">
        <color rgb="FF000000"/>
      </top>
    </border>
    <border>
      <left style="medium">
        <color rgb="FF000000"/>
      </left>
      <top style="medium">
        <color rgb="FF000000"/>
      </top>
    </border>
    <border>
      <right style="thick">
        <color rgb="FF000000"/>
      </right>
      <top style="medium">
        <color rgb="FF000000"/>
      </top>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top style="thick">
        <color rgb="FF000000"/>
      </top>
    </border>
    <border>
      <right style="thick">
        <color rgb="FF000000"/>
      </right>
      <top style="thick">
        <color rgb="FF000000"/>
      </top>
    </border>
    <border>
      <right style="thin">
        <color rgb="FF000000"/>
      </right>
      <top style="thin">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ttom style="medium">
        <color rgb="FF000000"/>
      </bottom>
    </border>
    <border>
      <left style="thick">
        <color rgb="FF000000"/>
      </left>
      <right style="thick">
        <color rgb="FF000000"/>
      </right>
    </border>
    <border>
      <left style="thick">
        <color rgb="FF000000"/>
      </left>
      <right style="thick">
        <color rgb="FF000000"/>
      </right>
      <top style="medium">
        <color rgb="FF000000"/>
      </top>
    </border>
    <border>
      <left style="thick">
        <color rgb="FF000000"/>
      </left>
      <right style="thick">
        <color rgb="FF000000"/>
      </right>
      <bottom style="thick">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Font="1"/>
    <xf borderId="0" fillId="2" fontId="2" numFmtId="0" xfId="0" applyAlignment="1" applyFont="1">
      <alignment readingOrder="0"/>
    </xf>
    <xf borderId="0" fillId="2" fontId="2" numFmtId="164" xfId="0" applyAlignment="1" applyFont="1" applyNumberFormat="1">
      <alignment readingOrder="0"/>
    </xf>
    <xf borderId="0" fillId="2" fontId="2" numFmtId="165" xfId="0" applyAlignment="1" applyFont="1" applyNumberFormat="1">
      <alignment readingOrder="0"/>
    </xf>
    <xf borderId="1" fillId="3" fontId="3" numFmtId="0" xfId="0" applyAlignment="1" applyBorder="1" applyFill="1" applyFont="1">
      <alignment horizontal="center" readingOrder="0"/>
    </xf>
    <xf borderId="2" fillId="0" fontId="4" numFmtId="0" xfId="0" applyBorder="1" applyFont="1"/>
    <xf borderId="3" fillId="0" fontId="4" numFmtId="0" xfId="0" applyBorder="1" applyFont="1"/>
    <xf borderId="4" fillId="4" fontId="2" numFmtId="0" xfId="0" applyAlignment="1" applyBorder="1" applyFill="1" applyFont="1">
      <alignment readingOrder="0"/>
    </xf>
    <xf borderId="4" fillId="4" fontId="2" numFmtId="164" xfId="0" applyAlignment="1" applyBorder="1" applyFont="1" applyNumberFormat="1">
      <alignment readingOrder="0"/>
    </xf>
    <xf borderId="4" fillId="4" fontId="2" numFmtId="165" xfId="0" applyAlignment="1" applyBorder="1" applyFont="1" applyNumberFormat="1">
      <alignment readingOrder="0"/>
    </xf>
    <xf borderId="4" fillId="4" fontId="2" numFmtId="0" xfId="0" applyBorder="1" applyFont="1"/>
    <xf borderId="0" fillId="2" fontId="2" numFmtId="0" xfId="0" applyAlignment="1" applyFont="1">
      <alignment shrinkToFit="0" wrapText="1"/>
    </xf>
    <xf borderId="5" fillId="3" fontId="5" numFmtId="0" xfId="0" applyAlignment="1" applyBorder="1" applyFont="1">
      <alignment horizontal="center" shrinkToFit="0" wrapText="1"/>
    </xf>
    <xf borderId="6" fillId="0" fontId="4" numFmtId="0" xfId="0" applyBorder="1" applyFont="1"/>
    <xf borderId="7" fillId="0" fontId="4" numFmtId="0" xfId="0" applyBorder="1" applyFont="1"/>
    <xf borderId="4" fillId="4" fontId="2" numFmtId="0" xfId="0" applyAlignment="1" applyBorder="1" applyFont="1">
      <alignment horizontal="left" readingOrder="0" shrinkToFit="0" wrapText="1"/>
    </xf>
    <xf borderId="4" fillId="4" fontId="2" numFmtId="0" xfId="0" applyAlignment="1" applyBorder="1" applyFont="1">
      <alignment readingOrder="0" shrinkToFit="0" wrapText="1"/>
    </xf>
    <xf borderId="4" fillId="4" fontId="1" numFmtId="0" xfId="0" applyAlignment="1" applyBorder="1" applyFont="1">
      <alignment horizontal="center" readingOrder="0"/>
    </xf>
    <xf borderId="4" fillId="4" fontId="2" numFmtId="0" xfId="0" applyAlignment="1" applyBorder="1" applyFont="1">
      <alignment horizontal="center" readingOrder="0"/>
    </xf>
    <xf borderId="8" fillId="2" fontId="2" numFmtId="0" xfId="0" applyBorder="1" applyFont="1"/>
    <xf borderId="9" fillId="2" fontId="2" numFmtId="0" xfId="0" applyBorder="1" applyFont="1"/>
    <xf borderId="4" fillId="4" fontId="2" numFmtId="166" xfId="0" applyAlignment="1" applyBorder="1" applyFont="1" applyNumberFormat="1">
      <alignment readingOrder="0"/>
    </xf>
    <xf borderId="4" fillId="4" fontId="2" numFmtId="3" xfId="0" applyBorder="1" applyFont="1" applyNumberFormat="1"/>
    <xf borderId="4" fillId="4" fontId="0" numFmtId="0" xfId="0" applyAlignment="1" applyBorder="1" applyFont="1">
      <alignment horizontal="left" readingOrder="0"/>
    </xf>
    <xf borderId="4" fillId="4" fontId="2" numFmtId="164" xfId="0" applyAlignment="1" applyBorder="1" applyFont="1" applyNumberFormat="1">
      <alignment readingOrder="0"/>
    </xf>
    <xf borderId="4" fillId="4" fontId="2" numFmtId="164" xfId="0" applyBorder="1" applyFont="1" applyNumberFormat="1"/>
    <xf borderId="0" fillId="2" fontId="2" numFmtId="0" xfId="0" applyAlignment="1" applyFont="1">
      <alignment readingOrder="0" shrinkToFit="0" wrapText="1"/>
    </xf>
    <xf borderId="10" fillId="3" fontId="2" numFmtId="0" xfId="0" applyAlignment="1" applyBorder="1" applyFont="1">
      <alignment readingOrder="0" shrinkToFit="0" wrapText="1"/>
    </xf>
    <xf borderId="11" fillId="4" fontId="2" numFmtId="0" xfId="0" applyAlignment="1" applyBorder="1" applyFont="1">
      <alignment horizontal="left" readingOrder="0"/>
    </xf>
    <xf borderId="11" fillId="0" fontId="4" numFmtId="0" xfId="0" applyBorder="1" applyFont="1"/>
    <xf borderId="12" fillId="0" fontId="4" numFmtId="0" xfId="0" applyBorder="1" applyFont="1"/>
    <xf borderId="4" fillId="4" fontId="1" numFmtId="0" xfId="0" applyAlignment="1" applyBorder="1" applyFont="1">
      <alignment horizontal="center" readingOrder="0" shrinkToFit="0" wrapText="1"/>
    </xf>
    <xf borderId="4" fillId="4" fontId="2" numFmtId="0" xfId="0" applyAlignment="1" applyBorder="1" applyFont="1">
      <alignment horizontal="left" readingOrder="0"/>
    </xf>
    <xf borderId="13" fillId="3" fontId="2" numFmtId="0" xfId="0" applyAlignment="1" applyBorder="1" applyFont="1">
      <alignment readingOrder="0" shrinkToFit="0" wrapText="1"/>
    </xf>
    <xf borderId="14" fillId="4" fontId="2" numFmtId="164" xfId="0" applyAlignment="1" applyBorder="1" applyFont="1" applyNumberFormat="1">
      <alignment horizontal="left" readingOrder="0"/>
    </xf>
    <xf borderId="14" fillId="0" fontId="4" numFmtId="0" xfId="0" applyBorder="1" applyFont="1"/>
    <xf borderId="15" fillId="0" fontId="4" numFmtId="0" xfId="0" applyBorder="1" applyFont="1"/>
    <xf borderId="4" fillId="4" fontId="2" numFmtId="164" xfId="0" applyBorder="1" applyFont="1" applyNumberFormat="1"/>
    <xf borderId="8" fillId="2" fontId="2" numFmtId="0" xfId="0" applyAlignment="1" applyBorder="1" applyFont="1">
      <alignment readingOrder="0" shrinkToFit="0" wrapText="1"/>
    </xf>
    <xf borderId="0" fillId="2" fontId="2" numFmtId="0" xfId="0" applyAlignment="1" applyFont="1">
      <alignment horizontal="left" readingOrder="0"/>
    </xf>
    <xf borderId="9" fillId="0" fontId="4" numFmtId="0" xfId="0" applyBorder="1" applyFont="1"/>
    <xf borderId="8" fillId="2" fontId="2" numFmtId="164" xfId="0" applyBorder="1" applyFont="1" applyNumberFormat="1"/>
    <xf borderId="0" fillId="2" fontId="2" numFmtId="164" xfId="0" applyFont="1" applyNumberFormat="1"/>
    <xf borderId="9" fillId="2" fontId="2" numFmtId="164" xfId="0" applyBorder="1" applyFont="1" applyNumberFormat="1"/>
    <xf borderId="5" fillId="5" fontId="2" numFmtId="0" xfId="0" applyAlignment="1" applyBorder="1" applyFill="1" applyFont="1">
      <alignment readingOrder="0"/>
    </xf>
    <xf borderId="16" fillId="0" fontId="4" numFmtId="0" xfId="0" applyBorder="1" applyFont="1"/>
    <xf borderId="17" fillId="3" fontId="2" numFmtId="0" xfId="0" applyAlignment="1" applyBorder="1" applyFont="1">
      <alignment readingOrder="0"/>
    </xf>
    <xf borderId="18" fillId="6" fontId="2" numFmtId="165" xfId="0" applyAlignment="1" applyBorder="1" applyFill="1" applyFont="1" applyNumberFormat="1">
      <alignment readingOrder="0"/>
    </xf>
    <xf borderId="0" fillId="2" fontId="2" numFmtId="166" xfId="0" applyAlignment="1" applyFont="1" applyNumberFormat="1">
      <alignment readingOrder="0"/>
    </xf>
    <xf borderId="19" fillId="5" fontId="2" numFmtId="166" xfId="0" applyAlignment="1" applyBorder="1" applyFont="1" applyNumberFormat="1">
      <alignment readingOrder="0"/>
    </xf>
    <xf borderId="20" fillId="5" fontId="2" numFmtId="167" xfId="0" applyAlignment="1" applyBorder="1" applyFont="1" applyNumberFormat="1">
      <alignment readingOrder="0"/>
    </xf>
    <xf borderId="21" fillId="5" fontId="2" numFmtId="167" xfId="0" applyAlignment="1" applyBorder="1" applyFont="1" applyNumberFormat="1">
      <alignment readingOrder="0"/>
    </xf>
    <xf borderId="4" fillId="4" fontId="2" numFmtId="165" xfId="0" applyAlignment="1" applyBorder="1" applyFont="1" applyNumberFormat="1">
      <alignment horizontal="center" readingOrder="0"/>
    </xf>
    <xf borderId="8" fillId="2" fontId="2" numFmtId="0" xfId="0" applyAlignment="1" applyBorder="1" applyFont="1">
      <alignment readingOrder="0"/>
    </xf>
    <xf borderId="22" fillId="4" fontId="2" numFmtId="0" xfId="0" applyAlignment="1" applyBorder="1" applyFont="1">
      <alignment horizontal="center" readingOrder="0"/>
    </xf>
    <xf borderId="23" fillId="0" fontId="4" numFmtId="0" xfId="0" applyBorder="1" applyFont="1"/>
    <xf borderId="24" fillId="0" fontId="4" numFmtId="0" xfId="0" applyBorder="1" applyFont="1"/>
    <xf borderId="0" fillId="2" fontId="1" numFmtId="0" xfId="0" applyAlignment="1" applyFont="1">
      <alignment readingOrder="0"/>
    </xf>
    <xf borderId="25" fillId="3" fontId="1" numFmtId="0" xfId="0" applyAlignment="1" applyBorder="1" applyFont="1">
      <alignment readingOrder="0"/>
    </xf>
    <xf borderId="26" fillId="3" fontId="1" numFmtId="0" xfId="0" applyAlignment="1" applyBorder="1" applyFont="1">
      <alignment readingOrder="0"/>
    </xf>
    <xf borderId="27" fillId="3" fontId="1" numFmtId="164" xfId="0" applyAlignment="1" applyBorder="1" applyFont="1" applyNumberFormat="1">
      <alignment readingOrder="0"/>
    </xf>
    <xf borderId="28" fillId="6" fontId="2" numFmtId="166" xfId="0" applyAlignment="1" applyBorder="1" applyFont="1" applyNumberFormat="1">
      <alignment readingOrder="0"/>
    </xf>
    <xf borderId="29" fillId="6" fontId="2" numFmtId="167" xfId="0" applyAlignment="1" applyBorder="1" applyFont="1" applyNumberFormat="1">
      <alignment readingOrder="0"/>
    </xf>
    <xf borderId="30" fillId="4" fontId="2" numFmtId="164" xfId="0" applyBorder="1" applyFont="1" applyNumberFormat="1"/>
    <xf borderId="4" fillId="4" fontId="2" numFmtId="166" xfId="0" applyBorder="1" applyFont="1" applyNumberFormat="1"/>
    <xf borderId="4" fillId="4" fontId="2" numFmtId="165" xfId="0" applyBorder="1" applyFont="1" applyNumberFormat="1"/>
    <xf borderId="31" fillId="4" fontId="2" numFmtId="164" xfId="0" applyBorder="1" applyFont="1" applyNumberFormat="1"/>
    <xf borderId="4" fillId="6" fontId="2" numFmtId="167" xfId="0" applyAlignment="1" applyBorder="1" applyFont="1" applyNumberFormat="1">
      <alignment readingOrder="0"/>
    </xf>
    <xf borderId="32" fillId="6" fontId="2" numFmtId="166" xfId="0" applyAlignment="1" applyBorder="1" applyFont="1" applyNumberFormat="1">
      <alignment readingOrder="0"/>
    </xf>
    <xf borderId="32" fillId="6" fontId="2" numFmtId="0" xfId="0" applyBorder="1" applyFont="1"/>
    <xf borderId="4" fillId="6" fontId="2" numFmtId="0" xfId="0" applyBorder="1" applyFont="1"/>
    <xf borderId="33" fillId="6" fontId="2" numFmtId="0" xfId="0" applyBorder="1" applyFont="1"/>
    <xf borderId="34" fillId="6" fontId="2" numFmtId="0" xfId="0" applyBorder="1" applyFont="1"/>
    <xf borderId="35" fillId="4" fontId="2" numFmtId="164" xfId="0" applyBorder="1" applyFont="1" applyNumberFormat="1"/>
    <xf borderId="0" fillId="2" fontId="2" numFmtId="165" xfId="0" applyFont="1" applyNumberFormat="1"/>
    <xf borderId="0" fillId="2" fontId="2" numFmtId="164" xfId="0" applyFont="1" applyNumberFormat="1"/>
    <xf borderId="0" fillId="2" fontId="6" numFmtId="0" xfId="0" applyAlignment="1" applyFont="1">
      <alignment horizontal="center" readingOrder="0"/>
    </xf>
    <xf borderId="0" fillId="2" fontId="6" numFmtId="0" xfId="0" applyAlignment="1" applyFont="1">
      <alignment horizontal="center" readingOrder="0" shrinkToFit="0" wrapText="1"/>
    </xf>
    <xf borderId="0" fillId="2" fontId="6" numFmtId="0" xfId="0" applyAlignment="1" applyFont="1">
      <alignment readingOrder="0"/>
    </xf>
    <xf borderId="0" fillId="2" fontId="6" numFmtId="0" xfId="0" applyFont="1"/>
    <xf borderId="5" fillId="5" fontId="5" numFmtId="0" xfId="0" applyAlignment="1" applyBorder="1" applyFont="1">
      <alignment horizontal="center" readingOrder="0" shrinkToFit="0" wrapText="1"/>
    </xf>
    <xf borderId="8" fillId="2" fontId="6" numFmtId="0" xfId="0" applyAlignment="1" applyBorder="1" applyFont="1">
      <alignment horizontal="center" readingOrder="0"/>
    </xf>
    <xf borderId="9" fillId="2" fontId="6" numFmtId="0" xfId="0" applyAlignment="1" applyBorder="1" applyFont="1">
      <alignment readingOrder="0"/>
    </xf>
    <xf borderId="36" fillId="3" fontId="7" numFmtId="0" xfId="0" applyAlignment="1" applyBorder="1" applyFont="1">
      <alignment horizontal="center" readingOrder="0"/>
    </xf>
    <xf borderId="37" fillId="0" fontId="4" numFmtId="0" xfId="0" applyBorder="1" applyFont="1"/>
    <xf borderId="38" fillId="0" fontId="4" numFmtId="0" xfId="0" applyBorder="1" applyFont="1"/>
    <xf borderId="39" fillId="3" fontId="7" numFmtId="0" xfId="0" applyAlignment="1" applyBorder="1" applyFont="1">
      <alignment horizontal="center" readingOrder="0"/>
    </xf>
    <xf borderId="40" fillId="0" fontId="4" numFmtId="0" xfId="0" applyBorder="1" applyFont="1"/>
    <xf borderId="25" fillId="3" fontId="8" numFmtId="0" xfId="0" applyAlignment="1" applyBorder="1" applyFont="1">
      <alignment readingOrder="0"/>
    </xf>
    <xf borderId="26" fillId="3" fontId="8" numFmtId="0" xfId="0" applyAlignment="1" applyBorder="1" applyFont="1">
      <alignment horizontal="left" readingOrder="0" shrinkToFit="0" wrapText="1"/>
    </xf>
    <xf borderId="26" fillId="3" fontId="8" numFmtId="0" xfId="0" applyAlignment="1" applyBorder="1" applyFont="1">
      <alignment readingOrder="0" shrinkToFit="0" wrapText="1"/>
    </xf>
    <xf borderId="41" fillId="3" fontId="8" numFmtId="0" xfId="0" applyAlignment="1" applyBorder="1" applyFont="1">
      <alignment readingOrder="0" shrinkToFit="0" wrapText="1"/>
    </xf>
    <xf borderId="42" fillId="3" fontId="8" numFmtId="0" xfId="0" applyAlignment="1" applyBorder="1" applyFont="1">
      <alignment readingOrder="0"/>
    </xf>
    <xf borderId="26" fillId="3" fontId="8" numFmtId="0" xfId="0" applyAlignment="1" applyBorder="1" applyFont="1">
      <alignment readingOrder="0"/>
    </xf>
    <xf borderId="27" fillId="3" fontId="8" numFmtId="0" xfId="0" applyAlignment="1" applyBorder="1" applyFont="1">
      <alignment readingOrder="0" shrinkToFit="0" wrapText="1"/>
    </xf>
    <xf borderId="28" fillId="3" fontId="6" numFmtId="0" xfId="0" applyAlignment="1" applyBorder="1" applyFont="1">
      <alignment readingOrder="0"/>
    </xf>
    <xf borderId="29" fillId="3" fontId="6" numFmtId="166" xfId="0" applyAlignment="1" applyBorder="1" applyFont="1" applyNumberFormat="1">
      <alignment readingOrder="0"/>
    </xf>
    <xf borderId="29" fillId="3" fontId="6" numFmtId="0" xfId="0" applyAlignment="1" applyBorder="1" applyFont="1">
      <alignment readingOrder="0"/>
    </xf>
    <xf borderId="43" fillId="3" fontId="6" numFmtId="0" xfId="0" applyAlignment="1" applyBorder="1" applyFont="1">
      <alignment readingOrder="0"/>
    </xf>
    <xf borderId="44" fillId="3" fontId="6" numFmtId="0" xfId="0" applyAlignment="1" applyBorder="1" applyFont="1">
      <alignment readingOrder="0"/>
    </xf>
    <xf borderId="30" fillId="3" fontId="6" numFmtId="166" xfId="0" applyBorder="1" applyFont="1" applyNumberFormat="1"/>
    <xf borderId="32" fillId="3" fontId="6" numFmtId="0" xfId="0" applyAlignment="1" applyBorder="1" applyFont="1">
      <alignment readingOrder="0"/>
    </xf>
    <xf borderId="4" fillId="3" fontId="6" numFmtId="166" xfId="0" applyAlignment="1" applyBorder="1" applyFont="1" applyNumberFormat="1">
      <alignment readingOrder="0"/>
    </xf>
    <xf borderId="4" fillId="3" fontId="6" numFmtId="0" xfId="0" applyAlignment="1" applyBorder="1" applyFont="1">
      <alignment readingOrder="0"/>
    </xf>
    <xf borderId="45" fillId="3" fontId="6" numFmtId="0" xfId="0" applyAlignment="1" applyBorder="1" applyFont="1">
      <alignment readingOrder="0"/>
    </xf>
    <xf borderId="46" fillId="3" fontId="6" numFmtId="0" xfId="0" applyAlignment="1" applyBorder="1" applyFont="1">
      <alignment readingOrder="0"/>
    </xf>
    <xf borderId="31" fillId="3" fontId="6" numFmtId="166" xfId="0" applyBorder="1" applyFont="1" applyNumberFormat="1"/>
    <xf borderId="46" fillId="3" fontId="6" numFmtId="0" xfId="0" applyBorder="1" applyFont="1"/>
    <xf borderId="4" fillId="3" fontId="6" numFmtId="0" xfId="0" applyBorder="1" applyFont="1"/>
    <xf borderId="47" fillId="3" fontId="6" numFmtId="0" xfId="0" applyAlignment="1" applyBorder="1" applyFont="1">
      <alignment readingOrder="0"/>
    </xf>
    <xf borderId="48" fillId="3" fontId="6" numFmtId="166" xfId="0" applyAlignment="1" applyBorder="1" applyFont="1" applyNumberFormat="1">
      <alignment readingOrder="0"/>
    </xf>
    <xf borderId="48" fillId="3" fontId="6" numFmtId="0" xfId="0" applyAlignment="1" applyBorder="1" applyFont="1">
      <alignment readingOrder="0"/>
    </xf>
    <xf borderId="49" fillId="3" fontId="6" numFmtId="0" xfId="0" applyAlignment="1" applyBorder="1" applyFont="1">
      <alignment readingOrder="0"/>
    </xf>
    <xf borderId="50" fillId="2" fontId="6" numFmtId="0" xfId="0" applyBorder="1" applyFont="1"/>
    <xf borderId="51" fillId="2" fontId="6" numFmtId="0" xfId="0" applyBorder="1" applyFont="1"/>
    <xf borderId="24" fillId="3" fontId="6" numFmtId="0" xfId="0" applyBorder="1" applyFont="1"/>
    <xf borderId="9" fillId="2" fontId="6" numFmtId="0" xfId="0" applyBorder="1" applyFont="1"/>
    <xf borderId="31" fillId="3" fontId="6" numFmtId="0" xfId="0" applyBorder="1" applyFont="1"/>
    <xf borderId="52" fillId="3" fontId="6" numFmtId="0" xfId="0" applyBorder="1" applyFont="1"/>
    <xf borderId="34" fillId="3" fontId="6" numFmtId="0" xfId="0" applyBorder="1" applyFont="1"/>
    <xf borderId="34" fillId="3" fontId="6" numFmtId="166" xfId="0" applyAlignment="1" applyBorder="1" applyFont="1" applyNumberFormat="1">
      <alignment readingOrder="0"/>
    </xf>
    <xf borderId="35" fillId="3" fontId="6" numFmtId="0" xfId="0" applyBorder="1" applyFont="1"/>
    <xf borderId="0" fillId="2" fontId="6" numFmtId="166" xfId="0" applyAlignment="1" applyFont="1" applyNumberFormat="1">
      <alignment readingOrder="0"/>
    </xf>
    <xf borderId="0" fillId="2" fontId="9" numFmtId="0" xfId="0" applyFont="1"/>
    <xf borderId="53" fillId="3" fontId="10" numFmtId="0" xfId="0" applyAlignment="1" applyBorder="1" applyFont="1">
      <alignment horizontal="center"/>
    </xf>
    <xf borderId="54" fillId="0" fontId="4" numFmtId="0" xfId="0" applyBorder="1" applyFont="1"/>
    <xf borderId="55" fillId="5" fontId="9" numFmtId="0" xfId="0" applyAlignment="1" applyBorder="1" applyFont="1">
      <alignment readingOrder="0" shrinkToFit="0" wrapText="0"/>
    </xf>
    <xf borderId="55" fillId="5" fontId="11" numFmtId="0" xfId="0" applyAlignment="1" applyBorder="1" applyFont="1">
      <alignment readingOrder="0" shrinkToFit="0" wrapText="0"/>
    </xf>
    <xf borderId="55" fillId="5" fontId="9" numFmtId="0" xfId="0" applyAlignment="1" applyBorder="1" applyFont="1">
      <alignment readingOrder="0" shrinkToFit="0" wrapText="0"/>
    </xf>
    <xf borderId="55" fillId="5" fontId="9" numFmtId="0" xfId="0" applyAlignment="1" applyBorder="1" applyFont="1">
      <alignment readingOrder="0"/>
    </xf>
    <xf borderId="54" fillId="5" fontId="12" numFmtId="0" xfId="0" applyAlignment="1" applyBorder="1" applyFont="1">
      <alignment horizontal="left" readingOrder="0"/>
    </xf>
    <xf borderId="55" fillId="2" fontId="13" numFmtId="0" xfId="0" applyAlignment="1" applyBorder="1" applyFont="1">
      <alignment shrinkToFit="0" wrapText="0"/>
    </xf>
    <xf borderId="56" fillId="5" fontId="9" numFmtId="0" xfId="0" applyAlignment="1" applyBorder="1" applyFont="1">
      <alignment readingOrder="0" shrinkToFit="0" wrapText="0"/>
    </xf>
    <xf borderId="54" fillId="5" fontId="9" numFmtId="0" xfId="0" applyAlignment="1" applyBorder="1" applyFont="1">
      <alignment readingOrder="0" shrinkToFit="0" wrapText="1"/>
    </xf>
    <xf borderId="56" fillId="6" fontId="9" numFmtId="0" xfId="0" applyAlignment="1" applyBorder="1" applyFont="1">
      <alignment readingOrder="0"/>
    </xf>
    <xf borderId="55" fillId="5" fontId="9" numFmtId="0" xfId="0" applyAlignment="1" applyBorder="1" applyFont="1">
      <alignment readingOrder="0"/>
    </xf>
    <xf borderId="54" fillId="4" fontId="9" numFmtId="0" xfId="0" applyAlignment="1" applyBorder="1" applyFont="1">
      <alignment readingOrder="0"/>
    </xf>
    <xf borderId="56" fillId="5" fontId="9" numFmtId="0" xfId="0" applyAlignment="1" applyBorder="1" applyFont="1">
      <alignment readingOrder="0" shrinkToFit="0" wrapText="1"/>
    </xf>
    <xf borderId="55" fillId="5" fontId="9" numFmtId="0" xfId="0" applyAlignment="1" applyBorder="1" applyFont="1">
      <alignment readingOrder="0" shrinkToFit="0" wrapText="1"/>
    </xf>
    <xf borderId="57" fillId="5" fontId="9" numFmtId="0" xfId="0" applyAlignment="1" applyBorder="1" applyFont="1">
      <alignment readingOrder="0" shrinkToFit="0" wrapText="1"/>
    </xf>
    <xf borderId="5" fillId="3" fontId="5" numFmtId="164" xfId="0" applyAlignment="1" applyBorder="1" applyFont="1" applyNumberFormat="1">
      <alignment horizontal="center" shrinkToFit="0" wrapText="1"/>
    </xf>
    <xf borderId="33" fillId="6" fontId="2" numFmtId="166" xfId="0" applyAlignment="1" applyBorder="1" applyFont="1" applyNumberFormat="1">
      <alignment readingOrder="0"/>
    </xf>
    <xf borderId="34" fillId="6" fontId="2" numFmtId="167"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E5HCB5IlFAkU-EU-0tDoq5KdFXTu7rVl0_i73kBxP_8/edit?usp=shar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8 -- Main Lab Due: 14 Apr</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 t="str">
        <f>IF(P6,P5,IF(T6,T5,IF(Y6,Y5,AA5)))</f>
        <v>Please finish your current log entry for an updated message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8.0</v>
      </c>
      <c r="H4" s="23">
        <f t="array" ref="H4:J4">INDEX(LabInfo, G4)</f>
        <v>44300</v>
      </c>
      <c r="I4" s="9">
        <v>5.0</v>
      </c>
      <c r="J4" s="24">
        <v>8.0</v>
      </c>
      <c r="K4" s="19" t="s">
        <v>22</v>
      </c>
      <c r="L4" s="11">
        <f t="array" ref="L4">INDEX(B16:B111, COUNTA(B16:B111))</f>
        <v>44299</v>
      </c>
      <c r="M4" s="9">
        <f t="shared" ref="M4:O4" si="1">COUNTA(B16:B111)</f>
        <v>7</v>
      </c>
      <c r="N4" s="9">
        <f t="shared" si="1"/>
        <v>7</v>
      </c>
      <c r="O4" s="9">
        <f t="shared" si="1"/>
        <v>6</v>
      </c>
      <c r="P4" s="25" t="b">
        <f>AND(M4=N4,N4=O4)</f>
        <v>0</v>
      </c>
      <c r="Q4" s="26">
        <f>TIME(J4,0,0) - C6</f>
        <v>-0.04861111111</v>
      </c>
      <c r="R4" s="9">
        <f>I4-C5</f>
        <v>1</v>
      </c>
      <c r="S4" s="20" t="s">
        <v>23</v>
      </c>
      <c r="T4" s="11" t="str">
        <f>C10</f>
        <v/>
      </c>
      <c r="U4" s="20">
        <f>MAX(0,R4)</f>
        <v>1</v>
      </c>
      <c r="V4" s="9">
        <f>IFERROR(SUM(AA16:AA111), 0)</f>
        <v>747</v>
      </c>
      <c r="W4" s="12">
        <f>SUM(U4:V4)</f>
        <v>748</v>
      </c>
      <c r="X4" s="11">
        <f>TODAY()</f>
        <v>45047</v>
      </c>
      <c r="Y4" s="10" t="b">
        <f>X4&lt;=H4</f>
        <v>0</v>
      </c>
      <c r="Z4" s="27">
        <f>IFERROR(TIME(2,0,0)-VLOOKUP(X4,T16:U111,2,FALSE), TIME(0,0,0))</f>
        <v>0.08333333333</v>
      </c>
      <c r="AA4" s="9" t="b">
        <f>NOT(Y4)</f>
        <v>1</v>
      </c>
      <c r="AB4" s="9">
        <f>AF16</f>
        <v>747</v>
      </c>
      <c r="AC4" s="9"/>
      <c r="AD4" s="9"/>
      <c r="AE4" s="9"/>
      <c r="AF4" s="9"/>
      <c r="AG4" s="9"/>
      <c r="AH4" s="9"/>
    </row>
    <row r="5">
      <c r="A5" s="28"/>
      <c r="B5" s="29" t="s">
        <v>24</v>
      </c>
      <c r="C5" s="30">
        <f>COUNTA($K$16:$K111)</f>
        <v>4</v>
      </c>
      <c r="D5" s="31"/>
      <c r="E5" s="32"/>
      <c r="F5" s="2"/>
      <c r="G5" s="12"/>
      <c r="H5" s="10"/>
      <c r="I5" s="12"/>
      <c r="J5" s="10"/>
      <c r="K5" s="33" t="s">
        <v>25</v>
      </c>
      <c r="L5" s="9"/>
      <c r="M5" s="9"/>
      <c r="N5" s="9"/>
      <c r="O5" s="9"/>
      <c r="P5" s="34" t="s">
        <v>26</v>
      </c>
      <c r="Q5" s="9" t="str">
        <f>TEXT(Q4, "h\h m\m")&amp;" more work time"</f>
        <v>22h 50m more work time</v>
      </c>
      <c r="R5" s="9" t="str">
        <f>R4&amp;" more day"&amp;IF(R4=1,"","s")&amp;" worked"</f>
        <v>1 more day worked</v>
      </c>
      <c r="S5" s="9" t="str">
        <f>"you will need "&amp;IF(Q6,Q5,"")&amp;IF(AND(Q6,R6)," and ","")&amp;IF(R6,R5,"")&amp;" before (or on) the due date to invoke the non-late policy"</f>
        <v>you will need 1 more day worked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have log entries after your turn-in date.
Please fix this.</v>
      </c>
      <c r="U5" s="9" t="s">
        <v>27</v>
      </c>
      <c r="V5" s="9" t="s">
        <v>28</v>
      </c>
      <c r="W5" s="9" t="str">
        <f>"You would need "&amp;W4&amp;" late day"&amp;IF(W4=1,"","s")&amp;" to be able to invoke the non-late policy."</f>
        <v>You would need 748 late days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If you turn in this lab after the due date, you will need 1 more day worked before (or on) the due date to invoke the non-late policy.
Also, you would need to work at least 2 hours every work day after the due date (or use late days) to be graded as on time.</v>
      </c>
      <c r="Z5" s="12" t="str">
        <f>"if you work at least "&amp;TEXT(Z4, "h\h m\m")&amp;" more today"</f>
        <v>if you work at least 2h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would need 748 late days to be able to invoke the non-late policy.
(1 to cover days not worked before (or on) the due date and 747 to cover days after the due date without at least 2 hours of work)
You will need one less if you work at least 2h 0m more today, or turn the lab in today.</v>
      </c>
      <c r="AB5" s="9" t="str">
        <f>"You would need "&amp;AB4&amp;" traditional late day"&amp;IF(AB4=1,"","s")&amp;" to be graded for full credit"</f>
        <v>You would need 747 traditional late days to be graded for full credit</v>
      </c>
      <c r="AC5" s="9"/>
      <c r="AD5" s="9"/>
      <c r="AE5" s="9"/>
      <c r="AF5" s="9"/>
      <c r="AG5" s="9"/>
      <c r="AH5" s="9"/>
    </row>
    <row r="6">
      <c r="A6" s="28"/>
      <c r="B6" s="35" t="s">
        <v>29</v>
      </c>
      <c r="C6" s="36">
        <f>SUM($J$16:$J111)</f>
        <v>0.3819444444</v>
      </c>
      <c r="D6" s="37"/>
      <c r="E6" s="38"/>
      <c r="F6" s="2"/>
      <c r="G6" s="9"/>
      <c r="H6" s="10"/>
      <c r="I6" s="9"/>
      <c r="J6" s="10"/>
      <c r="K6" s="33" t="s">
        <v>30</v>
      </c>
      <c r="L6" s="11"/>
      <c r="M6" s="9"/>
      <c r="N6" s="9"/>
      <c r="O6" s="9"/>
      <c r="P6" s="25" t="b">
        <f>NOT(P4)</f>
        <v>1</v>
      </c>
      <c r="Q6" s="9" t="b">
        <f t="shared" ref="Q6:R6" si="2">Q4&gt;0</f>
        <v>0</v>
      </c>
      <c r="R6" s="9" t="b">
        <f t="shared" si="2"/>
        <v>1</v>
      </c>
      <c r="S6" s="20" t="b">
        <f>OR(Q6,R6)</f>
        <v>1</v>
      </c>
      <c r="T6" s="12" t="b">
        <f>T4&lt;&gt;""</f>
        <v>0</v>
      </c>
      <c r="U6" s="20" t="b">
        <f t="shared" ref="U6:V6" si="3">U4&gt;0</f>
        <v>1</v>
      </c>
      <c r="V6" s="9" t="b">
        <f t="shared" si="3"/>
        <v>1</v>
      </c>
      <c r="W6" s="12" t="b">
        <f>OR(U6,V6)</f>
        <v>1</v>
      </c>
      <c r="X6" s="12"/>
      <c r="Y6" s="39" t="b">
        <f>Y4</f>
        <v>0</v>
      </c>
      <c r="Z6" s="12" t="b">
        <f>Z4&gt;0</f>
        <v>1</v>
      </c>
      <c r="AA6" s="12"/>
      <c r="AB6" s="12" t="b">
        <f>AB4&lt;=3</f>
        <v>0</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22h 50m more work time before (or on) the due date to invoke the late policy.</v>
      </c>
      <c r="R7" s="12"/>
      <c r="S7" s="12"/>
      <c r="T7" s="12"/>
      <c r="U7" s="12"/>
      <c r="V7" s="12"/>
      <c r="W7" s="12" t="str">
        <f>"("&amp;IF(U6,IF(V6, U4&amp;" ","")&amp;U5,"")&amp;IF(AND(U6,V6)," and ","")&amp;IF(V6,IF(U6,V4&amp;" ","")&amp;V5,"")&amp;")"</f>
        <v>(1 to cover days not worked before (or on) the due date and 747 to cover days after the due date without at least 2 hours of work)</v>
      </c>
      <c r="X7" s="12"/>
      <c r="Y7" s="12"/>
      <c r="Z7" s="12"/>
      <c r="AA7" s="12"/>
      <c r="AB7" s="12" t="str">
        <f>AB5&amp;"."</f>
        <v>You would need 747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0</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2</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63">
        <v>44288.0</v>
      </c>
      <c r="C16" s="64">
        <v>0.7916666666666666</v>
      </c>
      <c r="D16" s="64">
        <v>0.8333333333333334</v>
      </c>
      <c r="E16" s="65">
        <f t="array" ref="E16:E111">IF(D16:D111="","",D16:D111-C16:C111)</f>
        <v>0.04166666667</v>
      </c>
      <c r="F16" s="2"/>
      <c r="G16" s="66">
        <f>IFERROR(__xludf.DUMMYFUNCTION("SORT(FILTER({$B$16:$B111,$E$16:$E111}, $B$16:$B111 &lt;= $H$4), 1, TRUE)"),44288.0)</f>
        <v>44288</v>
      </c>
      <c r="H16" s="39">
        <f>IFERROR(__xludf.DUMMYFUNCTION("""COMPUTED_VALUE"""),0.04166666666666674)</f>
        <v>0.04166666667</v>
      </c>
      <c r="I16" s="66">
        <f>IFERROR(__xludf.DUMMYFUNCTION("UNIQUE(G$16:G111)"),44288.0)</f>
        <v>44288</v>
      </c>
      <c r="J16" s="39">
        <f>IFERROR(__xludf.DUMMYFUNCTION("IF(I16="""",,SUM(FILTER(H$16:H111, G$16:G111=I16)))"),0.04166666666666674)</f>
        <v>0.04166666667</v>
      </c>
      <c r="K16" s="67">
        <f>IFERROR(__xludf.DUMMYFUNCTION("IFERROR(FILTER(I16:I111, HOUR(J16:J111) &gt;= 1),)"),44288.0)</f>
        <v>44288</v>
      </c>
      <c r="L16" s="12"/>
      <c r="M16" s="67">
        <f t="array" ref="M16:N16">IF(C10="", {TODAY(), TIME(0,0,0)}, {C10, TIME(2,0,0)})</f>
        <v>45047</v>
      </c>
      <c r="N16" s="27">
        <v>0.0</v>
      </c>
      <c r="O16" s="24">
        <f>COUNTIF(B16:B111, "&gt;"&amp;H4)</f>
        <v>0</v>
      </c>
      <c r="P16" s="67">
        <f>H4</f>
        <v>44300</v>
      </c>
      <c r="Q16" s="27">
        <f>TIME(0,0,0)</f>
        <v>0</v>
      </c>
      <c r="R16" s="67">
        <f>IFERROR(__xludf.DUMMYFUNCTION("SORT(IF(O16&gt;0, {FILTER(P$16:Q111, P16:P111);M16:N16},{P16:Q16;M16:N16} ))"),44300.0)</f>
        <v>44300</v>
      </c>
      <c r="S16" s="39">
        <f>IFERROR(__xludf.DUMMYFUNCTION("""COMPUTED_VALUE"""),0.0)</f>
        <v>0</v>
      </c>
      <c r="T16" s="67">
        <f>IFERROR(__xludf.DUMMYFUNCTION("UNIQUE(R$16:R111)"),44300.0)</f>
        <v>44300</v>
      </c>
      <c r="U16" s="39">
        <f>IFERROR(__xludf.DUMMYFUNCTION("IF(T16="""",,SUM(FILTER(S$16:S111, R$16:R111=T16)))"),0.0)</f>
        <v>0</v>
      </c>
      <c r="V16" s="12"/>
      <c r="W16" s="12">
        <f t="array" ref="W16:W17">MATCH(T16:T111, SkippableDays)</f>
        <v>19</v>
      </c>
      <c r="X16" s="12"/>
      <c r="Y16" s="12"/>
      <c r="Z16" s="12"/>
      <c r="AA16" s="12">
        <f t="array" ref="AA16:AA17">IF(Y16:Y111 &gt;= 0, Y16:Y111, 0) + Z16:Z111</f>
        <v>0</v>
      </c>
      <c r="AB16" s="12"/>
      <c r="AC16" s="66">
        <f>H4</f>
        <v>44300</v>
      </c>
      <c r="AD16" s="12">
        <f>MATCH(AC16, SkippableDays)</f>
        <v>19</v>
      </c>
      <c r="AE16" s="12">
        <f>AC17-AC16</f>
        <v>747</v>
      </c>
      <c r="AF16" s="12">
        <f>AE16-AE17+IF(ISERROR(MATCH(AC17, SkippableDays,0)),0,1)</f>
        <v>747</v>
      </c>
      <c r="AG16" s="12"/>
      <c r="AH16" s="12"/>
    </row>
    <row r="17">
      <c r="A17" s="50"/>
      <c r="B17" s="63">
        <v>44291.0</v>
      </c>
      <c r="C17" s="64">
        <v>0.8229166666666666</v>
      </c>
      <c r="D17" s="64">
        <v>0.8576388888888888</v>
      </c>
      <c r="E17" s="68">
        <v>0.03472222222222221</v>
      </c>
      <c r="F17" s="2"/>
      <c r="G17" s="66">
        <f>IFERROR(__xludf.DUMMYFUNCTION("""COMPUTED_VALUE"""),44291.0)</f>
        <v>44291</v>
      </c>
      <c r="H17" s="39">
        <f>IFERROR(__xludf.DUMMYFUNCTION("""COMPUTED_VALUE"""),0.03472222222222221)</f>
        <v>0.03472222222</v>
      </c>
      <c r="I17" s="66">
        <f>IFERROR(__xludf.DUMMYFUNCTION("""COMPUTED_VALUE"""),44291.0)</f>
        <v>44291</v>
      </c>
      <c r="J17" s="39">
        <f>IFERROR(__xludf.DUMMYFUNCTION("IF(I17="""",,SUM(FILTER(H$16:H111, G$16:G111=I17)))"),0.03472222222222221)</f>
        <v>0.03472222222</v>
      </c>
      <c r="K17" s="67">
        <f>IFERROR(__xludf.DUMMYFUNCTION("""COMPUTED_VALUE"""),44292.0)</f>
        <v>44292</v>
      </c>
      <c r="L17" s="12"/>
      <c r="M17" s="67"/>
      <c r="N17" s="67"/>
      <c r="O17" s="67"/>
      <c r="P17" s="67" t="str">
        <f>IFERROR(__xludf.DUMMYFUNCTION("FILTER({$B$16:$B111,$E$16:$E111}, $B$16:$B111 &gt; $H$4)"),"#N/A")</f>
        <v>#N/A</v>
      </c>
      <c r="Q17" s="27"/>
      <c r="R17" s="67">
        <f>IFERROR(__xludf.DUMMYFUNCTION("""COMPUTED_VALUE"""),45047.0)</f>
        <v>45047</v>
      </c>
      <c r="S17" s="39">
        <f>IFERROR(__xludf.DUMMYFUNCTION("""COMPUTED_VALUE"""),0.0)</f>
        <v>0</v>
      </c>
      <c r="T17" s="67">
        <f>IFERROR(__xludf.DUMMYFUNCTION("""COMPUTED_VALUE"""),45047.0)</f>
        <v>45047</v>
      </c>
      <c r="U17" s="39">
        <f>IFERROR(__xludf.DUMMYFUNCTION("IF(T17="""",,SUM(FILTER(S$16:S111, R$16:R111=T17)))"),0.0)</f>
        <v>0</v>
      </c>
      <c r="V17" s="12">
        <f t="array" ref="V17">T17:T111 - T16:T111 - 1</f>
        <v>746</v>
      </c>
      <c r="W17" s="12">
        <v>19.0</v>
      </c>
      <c r="X17" s="12">
        <f t="array" ref="X17">W17:W111-W16:W111</f>
        <v>0</v>
      </c>
      <c r="Y17" s="12">
        <f t="array" ref="Y17">V17:V111 - X17:X111</f>
        <v>746</v>
      </c>
      <c r="Z17" s="12">
        <f t="array" ref="Z17">IF(HOUR(U17:U111) &gt;= 2, 0, 1)</f>
        <v>1</v>
      </c>
      <c r="AA17" s="12">
        <v>747.0</v>
      </c>
      <c r="AB17" s="12"/>
      <c r="AC17" s="67">
        <f>M16</f>
        <v>45047</v>
      </c>
      <c r="AD17" s="12">
        <f>MATCH(AC17, SkippableDays)</f>
        <v>19</v>
      </c>
      <c r="AE17" s="12">
        <f>AD17-AD16</f>
        <v>0</v>
      </c>
      <c r="AF17" s="12"/>
      <c r="AG17" s="12"/>
      <c r="AH17" s="12"/>
    </row>
    <row r="18">
      <c r="A18" s="50"/>
      <c r="B18" s="63">
        <v>44292.0</v>
      </c>
      <c r="C18" s="64">
        <v>0.7604166666666666</v>
      </c>
      <c r="D18" s="64">
        <v>0.8458333333333333</v>
      </c>
      <c r="E18" s="68">
        <v>0.0854166666666667</v>
      </c>
      <c r="F18" s="2"/>
      <c r="G18" s="66">
        <f>IFERROR(__xludf.DUMMYFUNCTION("""COMPUTED_VALUE"""),44292.0)</f>
        <v>44292</v>
      </c>
      <c r="H18" s="39">
        <f>IFERROR(__xludf.DUMMYFUNCTION("""COMPUTED_VALUE"""),0.0854166666666667)</f>
        <v>0.08541666667</v>
      </c>
      <c r="I18" s="66">
        <f>IFERROR(__xludf.DUMMYFUNCTION("""COMPUTED_VALUE"""),44292.0)</f>
        <v>44292</v>
      </c>
      <c r="J18" s="39">
        <f>IFERROR(__xludf.DUMMYFUNCTION("IF(I18="""",,SUM(FILTER(H$16:H111, G$16:G111=I18)))"),0.1284722222222222)</f>
        <v>0.1284722222</v>
      </c>
      <c r="K18" s="67">
        <f>IFERROR(__xludf.DUMMYFUNCTION("""COMPUTED_VALUE"""),44297.0)</f>
        <v>44297</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63">
        <v>44292.0</v>
      </c>
      <c r="C19" s="64">
        <v>0.8666666666666667</v>
      </c>
      <c r="D19" s="64">
        <v>0.9097222222222222</v>
      </c>
      <c r="E19" s="68">
        <v>0.043055555555555514</v>
      </c>
      <c r="F19" s="2"/>
      <c r="G19" s="66">
        <f>IFERROR(__xludf.DUMMYFUNCTION("""COMPUTED_VALUE"""),44292.0)</f>
        <v>44292</v>
      </c>
      <c r="H19" s="39">
        <f>IFERROR(__xludf.DUMMYFUNCTION("""COMPUTED_VALUE"""),0.043055555555555514)</f>
        <v>0.04305555556</v>
      </c>
      <c r="I19" s="66">
        <f>IFERROR(__xludf.DUMMYFUNCTION("""COMPUTED_VALUE"""),44297.0)</f>
        <v>44297</v>
      </c>
      <c r="J19" s="39">
        <f>IFERROR(__xludf.DUMMYFUNCTION("IF(I19="""",,SUM(FILTER(H$16:H111, G$16:G111=I19)))"),0.09375)</f>
        <v>0.09375</v>
      </c>
      <c r="K19" s="67">
        <f>IFERROR(__xludf.DUMMYFUNCTION("""COMPUTED_VALUE"""),44298.0)</f>
        <v>44298</v>
      </c>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63">
        <v>44297.0</v>
      </c>
      <c r="C20" s="69">
        <v>0.65625</v>
      </c>
      <c r="D20" s="69">
        <v>0.75</v>
      </c>
      <c r="E20" s="68">
        <v>0.09375</v>
      </c>
      <c r="F20" s="2"/>
      <c r="G20" s="66">
        <f>IFERROR(__xludf.DUMMYFUNCTION("""COMPUTED_VALUE"""),44297.0)</f>
        <v>44297</v>
      </c>
      <c r="H20" s="39">
        <f>IFERROR(__xludf.DUMMYFUNCTION("""COMPUTED_VALUE"""),0.09375)</f>
        <v>0.09375</v>
      </c>
      <c r="I20" s="66">
        <f>IFERROR(__xludf.DUMMYFUNCTION("""COMPUTED_VALUE"""),44298.0)</f>
        <v>44298</v>
      </c>
      <c r="J20" s="39">
        <f>IFERROR(__xludf.DUMMYFUNCTION("IF(I20="""",,SUM(FILTER(H$16:H111, G$16:G111=I20)))"),0.08333333333333337)</f>
        <v>0.08333333333</v>
      </c>
      <c r="K20" s="67"/>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0">
        <v>44298.0</v>
      </c>
      <c r="C21" s="69">
        <v>0.6666666666666666</v>
      </c>
      <c r="D21" s="69">
        <v>0.75</v>
      </c>
      <c r="E21" s="68">
        <v>0.08333333333333337</v>
      </c>
      <c r="F21" s="2"/>
      <c r="G21" s="66">
        <f>IFERROR(__xludf.DUMMYFUNCTION("""COMPUTED_VALUE"""),44298.0)</f>
        <v>44298</v>
      </c>
      <c r="H21" s="39">
        <f>IFERROR(__xludf.DUMMYFUNCTION("""COMPUTED_VALUE"""),0.08333333333333337)</f>
        <v>0.08333333333</v>
      </c>
      <c r="I21" s="66">
        <f>IFERROR(__xludf.DUMMYFUNCTION("""COMPUTED_VALUE"""),44299.0)</f>
        <v>44299</v>
      </c>
      <c r="J21" s="39">
        <f>IFERROR(__xludf.DUMMYFUNCTION("IF(I21="""",,SUM(FILTER(H$16:H111, G$16:G111=I21)))"),0.0)</f>
        <v>0</v>
      </c>
      <c r="K21" s="67"/>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0">
        <v>44299.0</v>
      </c>
      <c r="C22" s="69">
        <v>0.4270833333333333</v>
      </c>
      <c r="D22" s="69"/>
      <c r="E22" s="68" t="s">
        <v>59</v>
      </c>
      <c r="F22" s="2"/>
      <c r="G22" s="66">
        <f>IFERROR(__xludf.DUMMYFUNCTION("""COMPUTED_VALUE"""),44299.0)</f>
        <v>44299</v>
      </c>
      <c r="H22" s="39" t="str">
        <f>IFERROR(__xludf.DUMMYFUNCTION("""COMPUTED_VALUE"""),"")</f>
        <v/>
      </c>
      <c r="I22" s="66"/>
      <c r="J22" s="39" t="str">
        <f>IFERROR(__xludf.DUMMYFUNCTION("IF(I22="""",,SUM(FILTER(H$16:H111, G$16:G111=I22)))"),"")</f>
        <v/>
      </c>
      <c r="K22" s="67"/>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70"/>
      <c r="C23" s="69"/>
      <c r="D23" s="69"/>
      <c r="E23" s="68" t="s">
        <v>59</v>
      </c>
      <c r="F23" s="2"/>
      <c r="G23" s="66"/>
      <c r="H23" s="39" t="str">
        <f>IFERROR(__xludf.DUMMYFUNCTION("""COMPUTED_VALUE"""),"")</f>
        <v/>
      </c>
      <c r="I23" s="12"/>
      <c r="J23" s="39" t="str">
        <f>IFERROR(__xludf.DUMMYFUNCTION("IF(I23="""",,SUM(FILTER(H$16:H111, G$16:G111=I23)))"),"")</f>
        <v/>
      </c>
      <c r="K23" s="67"/>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0"/>
      <c r="C24" s="69"/>
      <c r="D24" s="69"/>
      <c r="E24" s="68" t="s">
        <v>59</v>
      </c>
      <c r="F24" s="2"/>
      <c r="G24" s="66"/>
      <c r="H24" s="39" t="str">
        <f>IFERROR(__xludf.DUMMYFUNCTION("""COMPUTED_VALUE"""),"")</f>
        <v/>
      </c>
      <c r="I24" s="12"/>
      <c r="J24" s="39" t="str">
        <f>IFERROR(__xludf.DUMMYFUNCTION("IF(I24="""",,SUM(FILTER(H$16:H111, G$16:G111=I24)))"),"")</f>
        <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0"/>
      <c r="C25" s="69"/>
      <c r="D25" s="69"/>
      <c r="E25" s="68" t="s">
        <v>59</v>
      </c>
      <c r="F25" s="2"/>
      <c r="G25" s="66"/>
      <c r="H25" s="39" t="str">
        <f>IFERROR(__xludf.DUMMYFUNCTION("""COMPUTED_VALUE"""),"")</f>
        <v/>
      </c>
      <c r="I25" s="12"/>
      <c r="J25" s="39" t="str">
        <f>IFERROR(__xludf.DUMMYFUNCTION("IF(I25="""",,SUM(FILTER(H$16:H111, G$16:G111=I25)))"),"")</f>
        <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0"/>
      <c r="C26" s="69"/>
      <c r="D26" s="69"/>
      <c r="E26" s="68" t="s">
        <v>59</v>
      </c>
      <c r="F26" s="2"/>
      <c r="G26" s="66"/>
      <c r="H26" s="39" t="str">
        <f>IFERROR(__xludf.DUMMYFUNCTION("""COMPUTED_VALUE"""),"")</f>
        <v/>
      </c>
      <c r="I26" s="12"/>
      <c r="J26" s="39" t="str">
        <f>IFERROR(__xludf.DUMMYFUNCTION("IF(I26="""",,SUM(FILTER(H$16:H111, G$16:G111=I26)))"),"")</f>
        <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1"/>
      <c r="C27" s="72"/>
      <c r="D27" s="72"/>
      <c r="E27" s="68" t="s">
        <v>59</v>
      </c>
      <c r="F27" s="2"/>
      <c r="G27" s="12"/>
      <c r="H27" s="39" t="str">
        <f>IFERROR(__xludf.DUMMYFUNCTION("""COMPUTED_VALUE"""),"")</f>
        <v/>
      </c>
      <c r="I27" s="12"/>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1"/>
      <c r="C28" s="72"/>
      <c r="D28" s="72"/>
      <c r="E28" s="68" t="s">
        <v>59</v>
      </c>
      <c r="F28" s="2"/>
      <c r="G28" s="12"/>
      <c r="H28" s="39" t="str">
        <f>IFERROR(__xludf.DUMMYFUNCTION("""COMPUTED_VALUE"""),"")</f>
        <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1"/>
      <c r="C29" s="72"/>
      <c r="D29" s="72"/>
      <c r="E29" s="68" t="s">
        <v>59</v>
      </c>
      <c r="F29" s="2"/>
      <c r="G29" s="12"/>
      <c r="H29" s="39" t="str">
        <f>IFERROR(__xludf.DUMMYFUNCTION("""COMPUTED_VALUE"""),"")</f>
        <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1"/>
      <c r="C30" s="72"/>
      <c r="D30" s="72"/>
      <c r="E30" s="68" t="s">
        <v>59</v>
      </c>
      <c r="F30" s="2"/>
      <c r="G30" s="12"/>
      <c r="H30" s="39" t="str">
        <f>IFERROR(__xludf.DUMMYFUNCTION("""COMPUTED_VALUE"""),"")</f>
        <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1"/>
      <c r="C31" s="72"/>
      <c r="D31" s="72"/>
      <c r="E31" s="68" t="s">
        <v>59</v>
      </c>
      <c r="F31" s="2"/>
      <c r="G31" s="12"/>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1"/>
      <c r="C32" s="72"/>
      <c r="D32" s="72"/>
      <c r="E32" s="68" t="s">
        <v>59</v>
      </c>
      <c r="F32" s="2"/>
      <c r="G32" s="12"/>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1"/>
      <c r="C33" s="72"/>
      <c r="D33" s="72"/>
      <c r="E33" s="68" t="s">
        <v>59</v>
      </c>
      <c r="F33" s="2"/>
      <c r="G33" s="12"/>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1"/>
      <c r="C34" s="72"/>
      <c r="D34" s="72"/>
      <c r="E34" s="68" t="s">
        <v>59</v>
      </c>
      <c r="F34" s="2"/>
      <c r="G34" s="12"/>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1"/>
      <c r="C35" s="72"/>
      <c r="D35" s="72"/>
      <c r="E35" s="68" t="s">
        <v>59</v>
      </c>
      <c r="F35" s="2"/>
      <c r="G35" s="12"/>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1"/>
      <c r="C36" s="72"/>
      <c r="D36" s="72"/>
      <c r="E36" s="68" t="s">
        <v>59</v>
      </c>
      <c r="F36" s="2"/>
      <c r="G36" s="12"/>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1"/>
      <c r="C37" s="72"/>
      <c r="D37" s="72"/>
      <c r="E37" s="68" t="s">
        <v>59</v>
      </c>
      <c r="F37" s="2"/>
      <c r="G37" s="12"/>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1"/>
      <c r="C38" s="72"/>
      <c r="D38" s="72"/>
      <c r="E38" s="68" t="s">
        <v>59</v>
      </c>
      <c r="F38" s="2"/>
      <c r="G38" s="12"/>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1"/>
      <c r="C39" s="72"/>
      <c r="D39" s="72"/>
      <c r="E39" s="68" t="s">
        <v>59</v>
      </c>
      <c r="F39" s="2"/>
      <c r="G39" s="12"/>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1"/>
      <c r="C40" s="72"/>
      <c r="D40" s="72"/>
      <c r="E40" s="68" t="s">
        <v>59</v>
      </c>
      <c r="F40" s="2"/>
      <c r="G40" s="12"/>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1"/>
      <c r="C41" s="72"/>
      <c r="D41" s="72"/>
      <c r="E41" s="68" t="s">
        <v>59</v>
      </c>
      <c r="F41" s="2"/>
      <c r="G41" s="12"/>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1"/>
      <c r="C42" s="72"/>
      <c r="D42" s="72"/>
      <c r="E42" s="68" t="s">
        <v>59</v>
      </c>
      <c r="F42" s="2"/>
      <c r="G42" s="12"/>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1"/>
      <c r="C43" s="72"/>
      <c r="D43" s="72"/>
      <c r="E43" s="68" t="s">
        <v>59</v>
      </c>
      <c r="F43" s="2"/>
      <c r="G43" s="12"/>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1"/>
      <c r="C44" s="72"/>
      <c r="D44" s="72"/>
      <c r="E44" s="68" t="s">
        <v>59</v>
      </c>
      <c r="F44" s="2"/>
      <c r="G44" s="12"/>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1"/>
      <c r="C45" s="72"/>
      <c r="D45" s="72"/>
      <c r="E45" s="68" t="s">
        <v>59</v>
      </c>
      <c r="F45" s="2"/>
      <c r="G45" s="12"/>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1"/>
      <c r="C46" s="72"/>
      <c r="D46" s="72"/>
      <c r="E46" s="68" t="s">
        <v>59</v>
      </c>
      <c r="F46" s="2"/>
      <c r="G46" s="12"/>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1"/>
      <c r="C47" s="72"/>
      <c r="D47" s="72"/>
      <c r="E47" s="68" t="s">
        <v>59</v>
      </c>
      <c r="F47" s="2"/>
      <c r="G47" s="12"/>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1"/>
      <c r="C48" s="72"/>
      <c r="D48" s="72"/>
      <c r="E48" s="68" t="s">
        <v>59</v>
      </c>
      <c r="F48" s="2"/>
      <c r="G48" s="12"/>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1"/>
      <c r="C49" s="72"/>
      <c r="D49" s="72"/>
      <c r="E49" s="68" t="s">
        <v>59</v>
      </c>
      <c r="F49" s="2"/>
      <c r="G49" s="12"/>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1"/>
      <c r="C50" s="72"/>
      <c r="D50" s="72"/>
      <c r="E50" s="68" t="s">
        <v>59</v>
      </c>
      <c r="F50" s="2"/>
      <c r="G50" s="12"/>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1"/>
      <c r="C51" s="72"/>
      <c r="D51" s="72"/>
      <c r="E51" s="68" t="s">
        <v>59</v>
      </c>
      <c r="F51" s="2"/>
      <c r="G51" s="12"/>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1"/>
      <c r="C52" s="72"/>
      <c r="D52" s="72"/>
      <c r="E52" s="68" t="s">
        <v>59</v>
      </c>
      <c r="F52" s="2"/>
      <c r="G52" s="12"/>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1"/>
      <c r="C53" s="72"/>
      <c r="D53" s="72"/>
      <c r="E53" s="68" t="s">
        <v>59</v>
      </c>
      <c r="F53" s="2"/>
      <c r="G53" s="12"/>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1"/>
      <c r="C54" s="72"/>
      <c r="D54" s="72"/>
      <c r="E54" s="68" t="s">
        <v>59</v>
      </c>
      <c r="F54" s="2"/>
      <c r="G54" s="12"/>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1"/>
      <c r="C55" s="72"/>
      <c r="D55" s="72"/>
      <c r="E55" s="68" t="s">
        <v>59</v>
      </c>
      <c r="F55" s="2"/>
      <c r="G55" s="12"/>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1"/>
      <c r="C56" s="72"/>
      <c r="D56" s="72"/>
      <c r="E56" s="68" t="s">
        <v>59</v>
      </c>
      <c r="F56" s="2"/>
      <c r="G56" s="12"/>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1"/>
      <c r="C57" s="72"/>
      <c r="D57" s="72"/>
      <c r="E57" s="68" t="s">
        <v>59</v>
      </c>
      <c r="F57" s="2"/>
      <c r="G57" s="12"/>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1"/>
      <c r="C58" s="72"/>
      <c r="D58" s="72"/>
      <c r="E58" s="68" t="s">
        <v>59</v>
      </c>
      <c r="F58" s="2"/>
      <c r="G58" s="12"/>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1"/>
      <c r="C59" s="72"/>
      <c r="D59" s="72"/>
      <c r="E59" s="68" t="s">
        <v>59</v>
      </c>
      <c r="F59" s="2"/>
      <c r="G59" s="12"/>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1"/>
      <c r="C60" s="72"/>
      <c r="D60" s="72"/>
      <c r="E60" s="68" t="s">
        <v>59</v>
      </c>
      <c r="F60" s="2"/>
      <c r="G60" s="12"/>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1"/>
      <c r="C61" s="72"/>
      <c r="D61" s="72"/>
      <c r="E61" s="68" t="s">
        <v>59</v>
      </c>
      <c r="F61" s="2"/>
      <c r="G61" s="12"/>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1"/>
      <c r="C62" s="72"/>
      <c r="D62" s="72"/>
      <c r="E62" s="68" t="s">
        <v>59</v>
      </c>
      <c r="F62" s="2"/>
      <c r="G62" s="12"/>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1"/>
      <c r="C63" s="72"/>
      <c r="D63" s="72"/>
      <c r="E63" s="68" t="s">
        <v>59</v>
      </c>
      <c r="F63" s="2"/>
      <c r="G63" s="12"/>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1"/>
      <c r="C64" s="72"/>
      <c r="D64" s="72"/>
      <c r="E64" s="68" t="s">
        <v>59</v>
      </c>
      <c r="F64" s="2"/>
      <c r="G64" s="12"/>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1"/>
      <c r="C65" s="72"/>
      <c r="D65" s="72"/>
      <c r="E65" s="68" t="s">
        <v>59</v>
      </c>
      <c r="F65" s="2"/>
      <c r="G65" s="12"/>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1"/>
      <c r="C66" s="72"/>
      <c r="D66" s="72"/>
      <c r="E66" s="68" t="s">
        <v>59</v>
      </c>
      <c r="F66" s="2"/>
      <c r="G66" s="12"/>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1"/>
      <c r="C67" s="72"/>
      <c r="D67" s="72"/>
      <c r="E67" s="68" t="s">
        <v>59</v>
      </c>
      <c r="F67" s="2"/>
      <c r="G67" s="12"/>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1"/>
      <c r="C68" s="72"/>
      <c r="D68" s="72"/>
      <c r="E68" s="68" t="s">
        <v>59</v>
      </c>
      <c r="F68" s="2"/>
      <c r="G68" s="12"/>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1"/>
      <c r="C69" s="72"/>
      <c r="D69" s="72"/>
      <c r="E69" s="68" t="s">
        <v>59</v>
      </c>
      <c r="F69" s="2"/>
      <c r="G69" s="12"/>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1"/>
      <c r="C70" s="72"/>
      <c r="D70" s="72"/>
      <c r="E70" s="68" t="s">
        <v>59</v>
      </c>
      <c r="F70" s="2"/>
      <c r="G70" s="12"/>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1"/>
      <c r="C71" s="72"/>
      <c r="D71" s="72"/>
      <c r="E71" s="68" t="s">
        <v>59</v>
      </c>
      <c r="F71" s="2"/>
      <c r="G71" s="12"/>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1"/>
      <c r="C72" s="72"/>
      <c r="D72" s="72"/>
      <c r="E72" s="68" t="s">
        <v>59</v>
      </c>
      <c r="F72" s="2"/>
      <c r="G72" s="12"/>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1"/>
      <c r="C73" s="72"/>
      <c r="D73" s="72"/>
      <c r="E73" s="68" t="s">
        <v>59</v>
      </c>
      <c r="F73" s="2"/>
      <c r="G73" s="12"/>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1"/>
      <c r="C74" s="72"/>
      <c r="D74" s="72"/>
      <c r="E74" s="68" t="s">
        <v>59</v>
      </c>
      <c r="F74" s="2"/>
      <c r="G74" s="12"/>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1"/>
      <c r="C75" s="72"/>
      <c r="D75" s="72"/>
      <c r="E75" s="68" t="s">
        <v>59</v>
      </c>
      <c r="F75" s="2"/>
      <c r="G75" s="12"/>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1"/>
      <c r="C76" s="72"/>
      <c r="D76" s="72"/>
      <c r="E76" s="68" t="s">
        <v>59</v>
      </c>
      <c r="F76" s="2"/>
      <c r="G76" s="12"/>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1"/>
      <c r="C77" s="72"/>
      <c r="D77" s="72"/>
      <c r="E77" s="68" t="s">
        <v>59</v>
      </c>
      <c r="F77" s="2"/>
      <c r="G77" s="12"/>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1"/>
      <c r="C78" s="72"/>
      <c r="D78" s="72"/>
      <c r="E78" s="68" t="s">
        <v>59</v>
      </c>
      <c r="F78" s="2"/>
      <c r="G78" s="12"/>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1"/>
      <c r="C79" s="72"/>
      <c r="D79" s="72"/>
      <c r="E79" s="68" t="s">
        <v>59</v>
      </c>
      <c r="F79" s="2"/>
      <c r="G79" s="12"/>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1"/>
      <c r="C80" s="72"/>
      <c r="D80" s="72"/>
      <c r="E80" s="68" t="s">
        <v>59</v>
      </c>
      <c r="F80" s="2"/>
      <c r="G80" s="12"/>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1"/>
      <c r="C81" s="72"/>
      <c r="D81" s="72"/>
      <c r="E81" s="68" t="s">
        <v>59</v>
      </c>
      <c r="F81" s="2"/>
      <c r="G81" s="12"/>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1"/>
      <c r="C82" s="72"/>
      <c r="D82" s="72"/>
      <c r="E82" s="68" t="s">
        <v>59</v>
      </c>
      <c r="F82" s="2"/>
      <c r="G82" s="12"/>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1"/>
      <c r="C83" s="72"/>
      <c r="D83" s="72"/>
      <c r="E83" s="68" t="s">
        <v>59</v>
      </c>
      <c r="F83" s="2"/>
      <c r="G83" s="12"/>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1"/>
      <c r="C84" s="72"/>
      <c r="D84" s="72"/>
      <c r="E84" s="68" t="s">
        <v>59</v>
      </c>
      <c r="F84" s="2"/>
      <c r="G84" s="12"/>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1"/>
      <c r="C85" s="72"/>
      <c r="D85" s="72"/>
      <c r="E85" s="68" t="s">
        <v>59</v>
      </c>
      <c r="F85" s="2"/>
      <c r="G85" s="12"/>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1"/>
      <c r="C86" s="72"/>
      <c r="D86" s="72"/>
      <c r="E86" s="68" t="s">
        <v>59</v>
      </c>
      <c r="F86" s="2"/>
      <c r="G86" s="12"/>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1"/>
      <c r="C87" s="72"/>
      <c r="D87" s="72"/>
      <c r="E87" s="68" t="s">
        <v>59</v>
      </c>
      <c r="F87" s="2"/>
      <c r="G87" s="12"/>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1"/>
      <c r="C88" s="72"/>
      <c r="D88" s="72"/>
      <c r="E88" s="68" t="s">
        <v>59</v>
      </c>
      <c r="F88" s="2"/>
      <c r="G88" s="12"/>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1"/>
      <c r="C89" s="72"/>
      <c r="D89" s="72"/>
      <c r="E89" s="68" t="s">
        <v>59</v>
      </c>
      <c r="F89" s="2"/>
      <c r="G89" s="12"/>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1"/>
      <c r="C90" s="72"/>
      <c r="D90" s="72"/>
      <c r="E90" s="68" t="s">
        <v>59</v>
      </c>
      <c r="F90" s="2"/>
      <c r="G90" s="12"/>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1"/>
      <c r="C91" s="72"/>
      <c r="D91" s="72"/>
      <c r="E91" s="68" t="s">
        <v>59</v>
      </c>
      <c r="F91" s="2"/>
      <c r="G91" s="12"/>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1"/>
      <c r="C92" s="72"/>
      <c r="D92" s="72"/>
      <c r="E92" s="68" t="s">
        <v>59</v>
      </c>
      <c r="F92" s="2"/>
      <c r="G92" s="12"/>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1"/>
      <c r="C93" s="72"/>
      <c r="D93" s="72"/>
      <c r="E93" s="68" t="s">
        <v>59</v>
      </c>
      <c r="F93" s="2"/>
      <c r="G93" s="12"/>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1"/>
      <c r="C94" s="72"/>
      <c r="D94" s="72"/>
      <c r="E94" s="68" t="s">
        <v>59</v>
      </c>
      <c r="F94" s="2"/>
      <c r="G94" s="12"/>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1"/>
      <c r="C95" s="72"/>
      <c r="D95" s="72"/>
      <c r="E95" s="68" t="s">
        <v>59</v>
      </c>
      <c r="F95" s="2"/>
      <c r="G95" s="12"/>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1"/>
      <c r="C96" s="72"/>
      <c r="D96" s="72"/>
      <c r="E96" s="68" t="s">
        <v>59</v>
      </c>
      <c r="F96" s="2"/>
      <c r="G96" s="12"/>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1"/>
      <c r="C97" s="72"/>
      <c r="D97" s="72"/>
      <c r="E97" s="68" t="s">
        <v>59</v>
      </c>
      <c r="F97" s="2"/>
      <c r="G97" s="12"/>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1"/>
      <c r="C98" s="72"/>
      <c r="D98" s="72"/>
      <c r="E98" s="68" t="s">
        <v>59</v>
      </c>
      <c r="F98" s="2"/>
      <c r="G98" s="12"/>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1"/>
      <c r="C99" s="72"/>
      <c r="D99" s="72"/>
      <c r="E99" s="68" t="s">
        <v>59</v>
      </c>
      <c r="F99" s="2"/>
      <c r="G99" s="12"/>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1"/>
      <c r="C100" s="72"/>
      <c r="D100" s="72"/>
      <c r="E100" s="68" t="s">
        <v>59</v>
      </c>
      <c r="F100" s="2"/>
      <c r="G100" s="12"/>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1"/>
      <c r="C101" s="72"/>
      <c r="D101" s="72"/>
      <c r="E101" s="68" t="s">
        <v>59</v>
      </c>
      <c r="F101" s="2"/>
      <c r="G101" s="12"/>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1"/>
      <c r="C102" s="72"/>
      <c r="D102" s="72"/>
      <c r="E102" s="68" t="s">
        <v>59</v>
      </c>
      <c r="F102" s="2"/>
      <c r="G102" s="12"/>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1"/>
      <c r="C103" s="72"/>
      <c r="D103" s="72"/>
      <c r="E103" s="68" t="s">
        <v>59</v>
      </c>
      <c r="F103" s="2"/>
      <c r="G103" s="12"/>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1"/>
      <c r="C104" s="72"/>
      <c r="D104" s="72"/>
      <c r="E104" s="68" t="s">
        <v>59</v>
      </c>
      <c r="F104" s="2"/>
      <c r="G104" s="12"/>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1"/>
      <c r="C105" s="72"/>
      <c r="D105" s="72"/>
      <c r="E105" s="68" t="s">
        <v>59</v>
      </c>
      <c r="F105" s="2"/>
      <c r="G105" s="12"/>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1"/>
      <c r="C106" s="72"/>
      <c r="D106" s="72"/>
      <c r="E106" s="68" t="s">
        <v>59</v>
      </c>
      <c r="F106" s="2"/>
      <c r="G106" s="12"/>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1"/>
      <c r="C107" s="72"/>
      <c r="D107" s="72"/>
      <c r="E107" s="68" t="s">
        <v>59</v>
      </c>
      <c r="F107" s="2"/>
      <c r="G107" s="12"/>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1"/>
      <c r="C108" s="72"/>
      <c r="D108" s="72"/>
      <c r="E108" s="68" t="s">
        <v>59</v>
      </c>
      <c r="F108" s="2"/>
      <c r="G108" s="12"/>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1"/>
      <c r="C109" s="72"/>
      <c r="D109" s="72"/>
      <c r="E109" s="68" t="s">
        <v>59</v>
      </c>
      <c r="F109" s="2"/>
      <c r="G109" s="12"/>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73"/>
      <c r="C110" s="74"/>
      <c r="D110" s="74"/>
      <c r="E110" s="75" t="s">
        <v>59</v>
      </c>
      <c r="F110" s="2"/>
      <c r="G110" s="12"/>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showGridLines="0" workbookViewId="0"/>
  </sheetViews>
  <sheetFormatPr customHeight="1" defaultColWidth="12.63" defaultRowHeight="15.75"/>
  <cols>
    <col customWidth="1" min="1" max="1" width="2.75"/>
    <col customWidth="1" min="2" max="2" width="53.75"/>
    <col customWidth="1" min="3" max="3" width="8.0"/>
    <col customWidth="1" min="4" max="4" width="11.38"/>
    <col customWidth="1" min="5" max="5" width="11.63"/>
    <col customWidth="1" min="6" max="6" width="2.75"/>
    <col customWidth="1" min="7" max="7" width="16.0"/>
    <col customWidth="1" min="11" max="11" width="2.75"/>
  </cols>
  <sheetData>
    <row r="1">
      <c r="A1" s="78"/>
      <c r="B1" s="78"/>
      <c r="C1" s="78"/>
      <c r="D1" s="78"/>
      <c r="E1" s="78"/>
      <c r="F1" s="79"/>
      <c r="G1" s="78"/>
      <c r="H1" s="78"/>
      <c r="I1" s="80"/>
      <c r="J1" s="80"/>
      <c r="K1" s="81"/>
    </row>
    <row r="2">
      <c r="A2" s="78"/>
      <c r="B2" s="6" t="s">
        <v>60</v>
      </c>
      <c r="C2" s="7"/>
      <c r="D2" s="7"/>
      <c r="E2" s="7"/>
      <c r="F2" s="7"/>
      <c r="G2" s="7"/>
      <c r="H2" s="7"/>
      <c r="I2" s="7"/>
      <c r="J2" s="8"/>
      <c r="K2" s="81"/>
    </row>
    <row r="3">
      <c r="A3" s="78"/>
      <c r="B3" s="82" t="s">
        <v>61</v>
      </c>
      <c r="C3" s="15"/>
      <c r="D3" s="15"/>
      <c r="E3" s="15"/>
      <c r="F3" s="15"/>
      <c r="G3" s="15"/>
      <c r="H3" s="15"/>
      <c r="I3" s="15"/>
      <c r="J3" s="16"/>
      <c r="K3" s="81"/>
    </row>
    <row r="4">
      <c r="A4" s="78"/>
      <c r="B4" s="83"/>
      <c r="C4" s="78"/>
      <c r="D4" s="78"/>
      <c r="E4" s="78"/>
      <c r="F4" s="79"/>
      <c r="G4" s="78"/>
      <c r="H4" s="78"/>
      <c r="I4" s="80"/>
      <c r="J4" s="84"/>
      <c r="K4" s="81"/>
    </row>
    <row r="5">
      <c r="A5" s="78"/>
      <c r="B5" s="85" t="s">
        <v>62</v>
      </c>
      <c r="C5" s="86"/>
      <c r="D5" s="86"/>
      <c r="E5" s="87"/>
      <c r="F5" s="79"/>
      <c r="G5" s="88" t="s">
        <v>63</v>
      </c>
      <c r="H5" s="86"/>
      <c r="I5" s="86"/>
      <c r="J5" s="89"/>
      <c r="K5" s="81"/>
    </row>
    <row r="6">
      <c r="A6" s="80"/>
      <c r="B6" s="90" t="s">
        <v>64</v>
      </c>
      <c r="C6" s="91" t="s">
        <v>1</v>
      </c>
      <c r="D6" s="92" t="s">
        <v>2</v>
      </c>
      <c r="E6" s="93" t="s">
        <v>3</v>
      </c>
      <c r="F6" s="80"/>
      <c r="G6" s="94" t="s">
        <v>65</v>
      </c>
      <c r="H6" s="95" t="s">
        <v>66</v>
      </c>
      <c r="I6" s="95" t="s">
        <v>67</v>
      </c>
      <c r="J6" s="96" t="s">
        <v>68</v>
      </c>
      <c r="K6" s="81"/>
    </row>
    <row r="7">
      <c r="A7" s="80"/>
      <c r="B7" s="97" t="s">
        <v>69</v>
      </c>
      <c r="C7" s="98">
        <v>44212.0</v>
      </c>
      <c r="D7" s="99">
        <v>4.0</v>
      </c>
      <c r="E7" s="100">
        <v>6.0</v>
      </c>
      <c r="F7" s="80"/>
      <c r="G7" s="101" t="s">
        <v>70</v>
      </c>
      <c r="H7" s="98">
        <v>44214.0</v>
      </c>
      <c r="I7" s="98">
        <v>44199.0</v>
      </c>
      <c r="J7" s="102">
        <f>IFERROR(__xludf.DUMMYFUNCTION("SORT(UNIQUE({H7:H50;I7:I50}), 1, TRUE)"),44199.0)</f>
        <v>44199</v>
      </c>
      <c r="K7" s="81"/>
    </row>
    <row r="8">
      <c r="A8" s="80"/>
      <c r="B8" s="103" t="s">
        <v>71</v>
      </c>
      <c r="C8" s="104">
        <v>44228.0</v>
      </c>
      <c r="D8" s="105">
        <v>4.0</v>
      </c>
      <c r="E8" s="106">
        <v>6.0</v>
      </c>
      <c r="F8" s="80"/>
      <c r="G8" s="107" t="s">
        <v>72</v>
      </c>
      <c r="H8" s="104">
        <v>44242.0</v>
      </c>
      <c r="I8" s="104">
        <v>44206.0</v>
      </c>
      <c r="J8" s="108">
        <f>IFERROR(__xludf.DUMMYFUNCTION("""COMPUTED_VALUE"""),44206.0)</f>
        <v>44206</v>
      </c>
      <c r="K8" s="81"/>
    </row>
    <row r="9">
      <c r="A9" s="80"/>
      <c r="B9" s="103" t="s">
        <v>73</v>
      </c>
      <c r="C9" s="104">
        <v>44233.0</v>
      </c>
      <c r="D9" s="105">
        <v>4.0</v>
      </c>
      <c r="E9" s="106">
        <v>6.0</v>
      </c>
      <c r="F9" s="80"/>
      <c r="G9" s="107" t="s">
        <v>74</v>
      </c>
      <c r="H9" s="104">
        <v>44274.0</v>
      </c>
      <c r="I9" s="104">
        <v>44213.0</v>
      </c>
      <c r="J9" s="108">
        <f>IFERROR(__xludf.DUMMYFUNCTION("""COMPUTED_VALUE"""),44213.0)</f>
        <v>44213</v>
      </c>
      <c r="K9" s="81"/>
    </row>
    <row r="10">
      <c r="A10" s="80"/>
      <c r="B10" s="103" t="s">
        <v>75</v>
      </c>
      <c r="C10" s="104">
        <v>44240.0</v>
      </c>
      <c r="D10" s="105">
        <v>4.0</v>
      </c>
      <c r="E10" s="106">
        <v>6.0</v>
      </c>
      <c r="F10" s="81"/>
      <c r="G10" s="107" t="s">
        <v>76</v>
      </c>
      <c r="H10" s="104">
        <v>44289.0</v>
      </c>
      <c r="I10" s="104">
        <v>44220.0</v>
      </c>
      <c r="J10" s="108">
        <f>IFERROR(__xludf.DUMMYFUNCTION("""COMPUTED_VALUE"""),44214.0)</f>
        <v>44214</v>
      </c>
      <c r="K10" s="81"/>
    </row>
    <row r="11">
      <c r="A11" s="80"/>
      <c r="B11" s="103" t="s">
        <v>77</v>
      </c>
      <c r="C11" s="104">
        <v>44256.0</v>
      </c>
      <c r="D11" s="105">
        <v>4.0</v>
      </c>
      <c r="E11" s="106">
        <v>6.0</v>
      </c>
      <c r="F11" s="81"/>
      <c r="G11" s="107" t="s">
        <v>76</v>
      </c>
      <c r="H11" s="104">
        <v>44290.0</v>
      </c>
      <c r="I11" s="104">
        <v>44227.0</v>
      </c>
      <c r="J11" s="108">
        <f>IFERROR(__xludf.DUMMYFUNCTION("""COMPUTED_VALUE"""),44220.0)</f>
        <v>44220</v>
      </c>
      <c r="K11" s="81"/>
    </row>
    <row r="12">
      <c r="A12" s="80"/>
      <c r="B12" s="103" t="s">
        <v>78</v>
      </c>
      <c r="C12" s="104">
        <v>44267.0</v>
      </c>
      <c r="D12" s="105">
        <v>5.0</v>
      </c>
      <c r="E12" s="106">
        <v>8.0</v>
      </c>
      <c r="F12" s="81"/>
      <c r="G12" s="109"/>
      <c r="H12" s="110"/>
      <c r="I12" s="104">
        <v>44234.0</v>
      </c>
      <c r="J12" s="108">
        <f>IFERROR(__xludf.DUMMYFUNCTION("""COMPUTED_VALUE"""),44227.0)</f>
        <v>44227</v>
      </c>
      <c r="K12" s="81"/>
    </row>
    <row r="13">
      <c r="A13" s="80"/>
      <c r="B13" s="103" t="s">
        <v>79</v>
      </c>
      <c r="C13" s="104">
        <v>44291.0</v>
      </c>
      <c r="D13" s="105">
        <v>5.0</v>
      </c>
      <c r="E13" s="106">
        <v>8.0</v>
      </c>
      <c r="F13" s="81"/>
      <c r="G13" s="109"/>
      <c r="H13" s="110"/>
      <c r="I13" s="104">
        <v>44241.0</v>
      </c>
      <c r="J13" s="108">
        <f>IFERROR(__xludf.DUMMYFUNCTION("""COMPUTED_VALUE"""),44234.0)</f>
        <v>44234</v>
      </c>
      <c r="K13" s="81"/>
    </row>
    <row r="14">
      <c r="A14" s="80"/>
      <c r="B14" s="111" t="s">
        <v>80</v>
      </c>
      <c r="C14" s="112">
        <v>44300.0</v>
      </c>
      <c r="D14" s="113">
        <v>5.0</v>
      </c>
      <c r="E14" s="114">
        <v>8.0</v>
      </c>
      <c r="F14" s="81"/>
      <c r="G14" s="109"/>
      <c r="H14" s="110"/>
      <c r="I14" s="104">
        <v>44248.0</v>
      </c>
      <c r="J14" s="108">
        <f>IFERROR(__xludf.DUMMYFUNCTION("""COMPUTED_VALUE"""),44241.0)</f>
        <v>44241</v>
      </c>
      <c r="K14" s="81"/>
    </row>
    <row r="15">
      <c r="A15" s="81"/>
      <c r="B15" s="115"/>
      <c r="C15" s="115"/>
      <c r="D15" s="115"/>
      <c r="E15" s="115"/>
      <c r="F15" s="116"/>
      <c r="G15" s="117"/>
      <c r="H15" s="110"/>
      <c r="I15" s="104">
        <v>44255.0</v>
      </c>
      <c r="J15" s="108">
        <f>IFERROR(__xludf.DUMMYFUNCTION("""COMPUTED_VALUE"""),44242.0)</f>
        <v>44242</v>
      </c>
      <c r="K15" s="81"/>
    </row>
    <row r="16">
      <c r="A16" s="81"/>
      <c r="B16" s="81"/>
      <c r="C16" s="81"/>
      <c r="D16" s="81"/>
      <c r="E16" s="81"/>
      <c r="F16" s="118"/>
      <c r="G16" s="117"/>
      <c r="H16" s="110"/>
      <c r="I16" s="104">
        <v>44262.0</v>
      </c>
      <c r="J16" s="108">
        <f>IFERROR(__xludf.DUMMYFUNCTION("""COMPUTED_VALUE"""),44248.0)</f>
        <v>44248</v>
      </c>
      <c r="K16" s="81"/>
    </row>
    <row r="17">
      <c r="A17" s="81"/>
      <c r="B17" s="81"/>
      <c r="C17" s="81"/>
      <c r="D17" s="81"/>
      <c r="E17" s="81"/>
      <c r="F17" s="118"/>
      <c r="G17" s="117"/>
      <c r="H17" s="110"/>
      <c r="I17" s="104">
        <v>44269.0</v>
      </c>
      <c r="J17" s="108">
        <f>IFERROR(__xludf.DUMMYFUNCTION("""COMPUTED_VALUE"""),44255.0)</f>
        <v>44255</v>
      </c>
      <c r="K17" s="81"/>
    </row>
    <row r="18">
      <c r="A18" s="81"/>
      <c r="B18" s="81"/>
      <c r="C18" s="81"/>
      <c r="D18" s="81"/>
      <c r="E18" s="81"/>
      <c r="F18" s="118"/>
      <c r="G18" s="117"/>
      <c r="H18" s="110"/>
      <c r="I18" s="104">
        <v>44276.0</v>
      </c>
      <c r="J18" s="108">
        <f>IFERROR(__xludf.DUMMYFUNCTION("""COMPUTED_VALUE"""),44262.0)</f>
        <v>44262</v>
      </c>
      <c r="K18" s="81"/>
    </row>
    <row r="19">
      <c r="A19" s="81"/>
      <c r="B19" s="81"/>
      <c r="C19" s="81"/>
      <c r="D19" s="81"/>
      <c r="E19" s="81"/>
      <c r="F19" s="118"/>
      <c r="G19" s="117"/>
      <c r="H19" s="110"/>
      <c r="I19" s="104">
        <v>44283.0</v>
      </c>
      <c r="J19" s="108">
        <f>IFERROR(__xludf.DUMMYFUNCTION("""COMPUTED_VALUE"""),44269.0)</f>
        <v>44269</v>
      </c>
      <c r="K19" s="81"/>
    </row>
    <row r="20">
      <c r="A20" s="81"/>
      <c r="B20" s="81"/>
      <c r="C20" s="81"/>
      <c r="D20" s="81"/>
      <c r="E20" s="81"/>
      <c r="F20" s="118"/>
      <c r="G20" s="117"/>
      <c r="H20" s="110"/>
      <c r="I20" s="104">
        <v>44290.0</v>
      </c>
      <c r="J20" s="108">
        <f>IFERROR(__xludf.DUMMYFUNCTION("""COMPUTED_VALUE"""),44274.0)</f>
        <v>44274</v>
      </c>
      <c r="K20" s="81"/>
    </row>
    <row r="21">
      <c r="A21" s="81"/>
      <c r="B21" s="81"/>
      <c r="C21" s="81"/>
      <c r="D21" s="81"/>
      <c r="E21" s="81"/>
      <c r="F21" s="118"/>
      <c r="G21" s="117"/>
      <c r="H21" s="110"/>
      <c r="I21" s="104">
        <v>44297.0</v>
      </c>
      <c r="J21" s="108">
        <f>IFERROR(__xludf.DUMMYFUNCTION("""COMPUTED_VALUE"""),44276.0)</f>
        <v>44276</v>
      </c>
      <c r="K21" s="81"/>
    </row>
    <row r="22">
      <c r="A22" s="81"/>
      <c r="B22" s="81"/>
      <c r="C22" s="81"/>
      <c r="D22" s="81"/>
      <c r="E22" s="81"/>
      <c r="F22" s="118"/>
      <c r="G22" s="117"/>
      <c r="H22" s="110"/>
      <c r="I22" s="104"/>
      <c r="J22" s="108">
        <f>IFERROR(__xludf.DUMMYFUNCTION("""COMPUTED_VALUE"""),44283.0)</f>
        <v>44283</v>
      </c>
      <c r="K22" s="81"/>
    </row>
    <row r="23">
      <c r="A23" s="81"/>
      <c r="B23" s="81"/>
      <c r="C23" s="81"/>
      <c r="D23" s="81"/>
      <c r="E23" s="81"/>
      <c r="F23" s="118"/>
      <c r="G23" s="117"/>
      <c r="H23" s="110"/>
      <c r="I23" s="104"/>
      <c r="J23" s="108">
        <f>IFERROR(__xludf.DUMMYFUNCTION("""COMPUTED_VALUE"""),44289.0)</f>
        <v>44289</v>
      </c>
      <c r="K23" s="81"/>
    </row>
    <row r="24">
      <c r="A24" s="81"/>
      <c r="B24" s="81"/>
      <c r="C24" s="81"/>
      <c r="D24" s="81"/>
      <c r="E24" s="81"/>
      <c r="F24" s="118"/>
      <c r="G24" s="117"/>
      <c r="H24" s="110"/>
      <c r="I24" s="104"/>
      <c r="J24" s="108">
        <f>IFERROR(__xludf.DUMMYFUNCTION("""COMPUTED_VALUE"""),44290.0)</f>
        <v>44290</v>
      </c>
      <c r="K24" s="81"/>
    </row>
    <row r="25">
      <c r="A25" s="81"/>
      <c r="B25" s="81"/>
      <c r="C25" s="81"/>
      <c r="D25" s="81"/>
      <c r="E25" s="81"/>
      <c r="F25" s="118"/>
      <c r="G25" s="117"/>
      <c r="H25" s="110"/>
      <c r="I25" s="104"/>
      <c r="J25" s="108">
        <f>IFERROR(__xludf.DUMMYFUNCTION("""COMPUTED_VALUE"""),44297.0)</f>
        <v>44297</v>
      </c>
      <c r="K25" s="81"/>
    </row>
    <row r="26">
      <c r="A26" s="81"/>
      <c r="B26" s="81"/>
      <c r="C26" s="81"/>
      <c r="D26" s="81"/>
      <c r="E26" s="81"/>
      <c r="F26" s="118"/>
      <c r="G26" s="117"/>
      <c r="H26" s="110"/>
      <c r="I26" s="104"/>
      <c r="J26" s="119"/>
      <c r="K26" s="81"/>
    </row>
    <row r="27">
      <c r="A27" s="81"/>
      <c r="B27" s="81"/>
      <c r="C27" s="81"/>
      <c r="D27" s="81"/>
      <c r="E27" s="81"/>
      <c r="F27" s="118"/>
      <c r="G27" s="117"/>
      <c r="H27" s="110"/>
      <c r="I27" s="104"/>
      <c r="J27" s="119"/>
      <c r="K27" s="81"/>
    </row>
    <row r="28">
      <c r="A28" s="81"/>
      <c r="B28" s="81"/>
      <c r="C28" s="81"/>
      <c r="D28" s="81"/>
      <c r="E28" s="81"/>
      <c r="F28" s="118"/>
      <c r="G28" s="117"/>
      <c r="H28" s="110"/>
      <c r="I28" s="104"/>
      <c r="J28" s="119"/>
      <c r="K28" s="81"/>
    </row>
    <row r="29">
      <c r="A29" s="81"/>
      <c r="B29" s="81"/>
      <c r="C29" s="81"/>
      <c r="D29" s="81"/>
      <c r="E29" s="81"/>
      <c r="F29" s="118"/>
      <c r="G29" s="117"/>
      <c r="H29" s="110"/>
      <c r="I29" s="104"/>
      <c r="J29" s="119"/>
      <c r="K29" s="81"/>
    </row>
    <row r="30">
      <c r="A30" s="81"/>
      <c r="B30" s="81"/>
      <c r="C30" s="81"/>
      <c r="D30" s="81"/>
      <c r="E30" s="81"/>
      <c r="F30" s="118"/>
      <c r="G30" s="117"/>
      <c r="H30" s="110"/>
      <c r="I30" s="104"/>
      <c r="J30" s="119"/>
      <c r="K30" s="81"/>
    </row>
    <row r="31">
      <c r="A31" s="81"/>
      <c r="B31" s="81"/>
      <c r="C31" s="81"/>
      <c r="D31" s="81"/>
      <c r="E31" s="81"/>
      <c r="F31" s="118"/>
      <c r="G31" s="117"/>
      <c r="H31" s="110"/>
      <c r="I31" s="104"/>
      <c r="J31" s="119"/>
      <c r="K31" s="81"/>
    </row>
    <row r="32">
      <c r="A32" s="81"/>
      <c r="B32" s="81"/>
      <c r="C32" s="81"/>
      <c r="D32" s="81"/>
      <c r="E32" s="81"/>
      <c r="F32" s="118"/>
      <c r="G32" s="117"/>
      <c r="H32" s="110"/>
      <c r="I32" s="104"/>
      <c r="J32" s="119"/>
      <c r="K32" s="81"/>
    </row>
    <row r="33">
      <c r="A33" s="81"/>
      <c r="B33" s="81"/>
      <c r="C33" s="81"/>
      <c r="D33" s="81"/>
      <c r="E33" s="81"/>
      <c r="F33" s="118"/>
      <c r="G33" s="117"/>
      <c r="H33" s="110"/>
      <c r="I33" s="104"/>
      <c r="J33" s="119"/>
      <c r="K33" s="81"/>
    </row>
    <row r="34">
      <c r="A34" s="81"/>
      <c r="B34" s="81"/>
      <c r="C34" s="81"/>
      <c r="D34" s="81"/>
      <c r="E34" s="81"/>
      <c r="F34" s="118"/>
      <c r="G34" s="117"/>
      <c r="H34" s="110"/>
      <c r="I34" s="104"/>
      <c r="J34" s="119"/>
      <c r="K34" s="81"/>
    </row>
    <row r="35">
      <c r="A35" s="81"/>
      <c r="B35" s="81"/>
      <c r="C35" s="81"/>
      <c r="D35" s="81"/>
      <c r="E35" s="81"/>
      <c r="F35" s="118"/>
      <c r="G35" s="117"/>
      <c r="H35" s="110"/>
      <c r="I35" s="104"/>
      <c r="J35" s="119"/>
      <c r="K35" s="81"/>
    </row>
    <row r="36">
      <c r="A36" s="81"/>
      <c r="B36" s="81"/>
      <c r="C36" s="81"/>
      <c r="D36" s="81"/>
      <c r="E36" s="81"/>
      <c r="F36" s="118"/>
      <c r="G36" s="117"/>
      <c r="H36" s="110"/>
      <c r="I36" s="104"/>
      <c r="J36" s="119"/>
      <c r="K36" s="81"/>
    </row>
    <row r="37">
      <c r="A37" s="81"/>
      <c r="B37" s="81"/>
      <c r="C37" s="81"/>
      <c r="D37" s="81"/>
      <c r="E37" s="81"/>
      <c r="F37" s="118"/>
      <c r="G37" s="117"/>
      <c r="H37" s="110"/>
      <c r="I37" s="104"/>
      <c r="J37" s="119"/>
      <c r="K37" s="81"/>
    </row>
    <row r="38">
      <c r="A38" s="81"/>
      <c r="B38" s="81"/>
      <c r="C38" s="81"/>
      <c r="D38" s="81"/>
      <c r="E38" s="81"/>
      <c r="F38" s="118"/>
      <c r="G38" s="117"/>
      <c r="H38" s="110"/>
      <c r="I38" s="104"/>
      <c r="J38" s="119"/>
      <c r="K38" s="81"/>
    </row>
    <row r="39">
      <c r="A39" s="81"/>
      <c r="B39" s="81"/>
      <c r="C39" s="81"/>
      <c r="D39" s="81"/>
      <c r="E39" s="81"/>
      <c r="F39" s="118"/>
      <c r="G39" s="117"/>
      <c r="H39" s="110"/>
      <c r="I39" s="104"/>
      <c r="J39" s="119"/>
      <c r="K39" s="81"/>
    </row>
    <row r="40">
      <c r="A40" s="81"/>
      <c r="B40" s="81"/>
      <c r="C40" s="81"/>
      <c r="D40" s="81"/>
      <c r="E40" s="81"/>
      <c r="F40" s="118"/>
      <c r="G40" s="117"/>
      <c r="H40" s="110"/>
      <c r="I40" s="104"/>
      <c r="J40" s="119"/>
      <c r="K40" s="81"/>
    </row>
    <row r="41">
      <c r="A41" s="81"/>
      <c r="B41" s="81"/>
      <c r="C41" s="81"/>
      <c r="D41" s="81"/>
      <c r="E41" s="81"/>
      <c r="F41" s="118"/>
      <c r="G41" s="117"/>
      <c r="H41" s="110"/>
      <c r="I41" s="104"/>
      <c r="J41" s="119"/>
      <c r="K41" s="81"/>
    </row>
    <row r="42">
      <c r="A42" s="81"/>
      <c r="B42" s="81"/>
      <c r="C42" s="81"/>
      <c r="D42" s="81"/>
      <c r="E42" s="81"/>
      <c r="F42" s="118"/>
      <c r="G42" s="117"/>
      <c r="H42" s="110"/>
      <c r="I42" s="104"/>
      <c r="J42" s="119"/>
      <c r="K42" s="81"/>
    </row>
    <row r="43">
      <c r="A43" s="81"/>
      <c r="B43" s="81"/>
      <c r="C43" s="81"/>
      <c r="D43" s="81"/>
      <c r="E43" s="81"/>
      <c r="F43" s="118"/>
      <c r="G43" s="117"/>
      <c r="H43" s="110"/>
      <c r="I43" s="104"/>
      <c r="J43" s="119"/>
      <c r="K43" s="81"/>
    </row>
    <row r="44">
      <c r="A44" s="81"/>
      <c r="B44" s="81"/>
      <c r="C44" s="81"/>
      <c r="D44" s="81"/>
      <c r="E44" s="81"/>
      <c r="F44" s="118"/>
      <c r="G44" s="117"/>
      <c r="H44" s="110"/>
      <c r="I44" s="104"/>
      <c r="J44" s="119"/>
      <c r="K44" s="81"/>
    </row>
    <row r="45">
      <c r="A45" s="81"/>
      <c r="B45" s="81"/>
      <c r="C45" s="81"/>
      <c r="D45" s="81"/>
      <c r="E45" s="81"/>
      <c r="F45" s="118"/>
      <c r="G45" s="117"/>
      <c r="H45" s="110"/>
      <c r="I45" s="104"/>
      <c r="J45" s="119"/>
      <c r="K45" s="81"/>
    </row>
    <row r="46">
      <c r="A46" s="81"/>
      <c r="B46" s="81"/>
      <c r="C46" s="81"/>
      <c r="D46" s="81"/>
      <c r="E46" s="81"/>
      <c r="F46" s="118"/>
      <c r="G46" s="117"/>
      <c r="H46" s="110"/>
      <c r="I46" s="104"/>
      <c r="J46" s="119"/>
      <c r="K46" s="81"/>
    </row>
    <row r="47">
      <c r="A47" s="81"/>
      <c r="B47" s="81"/>
      <c r="C47" s="81"/>
      <c r="D47" s="81"/>
      <c r="E47" s="81"/>
      <c r="F47" s="118"/>
      <c r="G47" s="117"/>
      <c r="H47" s="110"/>
      <c r="I47" s="104"/>
      <c r="J47" s="119"/>
      <c r="K47" s="81"/>
    </row>
    <row r="48">
      <c r="A48" s="81"/>
      <c r="B48" s="81"/>
      <c r="C48" s="81"/>
      <c r="D48" s="81"/>
      <c r="E48" s="81"/>
      <c r="F48" s="118"/>
      <c r="G48" s="117"/>
      <c r="H48" s="110"/>
      <c r="I48" s="104"/>
      <c r="J48" s="119"/>
      <c r="K48" s="81"/>
    </row>
    <row r="49">
      <c r="A49" s="81"/>
      <c r="B49" s="81"/>
      <c r="C49" s="81"/>
      <c r="D49" s="81"/>
      <c r="E49" s="81"/>
      <c r="F49" s="118"/>
      <c r="G49" s="120"/>
      <c r="H49" s="121"/>
      <c r="I49" s="122"/>
      <c r="J49" s="123"/>
      <c r="K49" s="81"/>
    </row>
    <row r="50">
      <c r="A50" s="81"/>
      <c r="B50" s="81"/>
      <c r="C50" s="81"/>
      <c r="D50" s="81"/>
      <c r="E50" s="81"/>
      <c r="F50" s="81"/>
      <c r="G50" s="81"/>
      <c r="H50" s="81"/>
      <c r="I50" s="124"/>
      <c r="J50" s="81"/>
      <c r="K50" s="81"/>
    </row>
  </sheetData>
  <mergeCells count="4">
    <mergeCell ref="B2:J2"/>
    <mergeCell ref="B3:J3"/>
    <mergeCell ref="B5:E5"/>
    <mergeCell ref="G5:J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1" width="2.75"/>
    <col customWidth="1" min="2" max="2" width="62.88"/>
    <col customWidth="1" min="3" max="3" width="2.75"/>
  </cols>
  <sheetData>
    <row r="1">
      <c r="A1" s="125"/>
      <c r="B1" s="125"/>
      <c r="C1" s="125"/>
    </row>
    <row r="2">
      <c r="A2" s="125"/>
      <c r="B2" s="126" t="s">
        <v>81</v>
      </c>
      <c r="C2" s="125"/>
    </row>
    <row r="3">
      <c r="A3" s="125"/>
      <c r="B3" s="127"/>
      <c r="C3" s="125"/>
    </row>
    <row r="4">
      <c r="A4" s="125"/>
      <c r="B4" s="128" t="s">
        <v>82</v>
      </c>
      <c r="C4" s="125"/>
    </row>
    <row r="5">
      <c r="A5" s="125"/>
      <c r="B5" s="129" t="s">
        <v>83</v>
      </c>
      <c r="C5" s="125"/>
    </row>
    <row r="6">
      <c r="A6" s="125"/>
      <c r="B6" s="130" t="s">
        <v>84</v>
      </c>
      <c r="C6" s="125"/>
    </row>
    <row r="7" ht="21.0" customHeight="1">
      <c r="A7" s="125"/>
      <c r="B7" s="131" t="s">
        <v>85</v>
      </c>
      <c r="C7" s="125"/>
    </row>
    <row r="8">
      <c r="A8" s="125"/>
      <c r="B8" s="132" t="s">
        <v>86</v>
      </c>
      <c r="C8" s="125"/>
    </row>
    <row r="9">
      <c r="A9" s="125"/>
      <c r="B9" s="133"/>
      <c r="C9" s="125"/>
    </row>
    <row r="10">
      <c r="A10" s="125"/>
      <c r="B10" s="134" t="s">
        <v>87</v>
      </c>
      <c r="C10" s="125"/>
    </row>
    <row r="11">
      <c r="A11" s="125"/>
      <c r="B11" s="135" t="s">
        <v>88</v>
      </c>
      <c r="C11" s="125"/>
    </row>
    <row r="12">
      <c r="A12" s="125"/>
      <c r="B12" s="133"/>
      <c r="C12" s="125"/>
    </row>
    <row r="13">
      <c r="A13" s="125"/>
      <c r="B13" s="136" t="s">
        <v>89</v>
      </c>
      <c r="C13" s="125"/>
    </row>
    <row r="14">
      <c r="A14" s="125"/>
      <c r="B14" s="137" t="s">
        <v>90</v>
      </c>
      <c r="C14" s="125"/>
    </row>
    <row r="15">
      <c r="A15" s="125"/>
      <c r="B15" s="138" t="s">
        <v>91</v>
      </c>
      <c r="C15" s="125"/>
    </row>
    <row r="16">
      <c r="A16" s="125"/>
      <c r="B16" s="133"/>
      <c r="C16" s="125"/>
    </row>
    <row r="17">
      <c r="A17" s="125"/>
      <c r="B17" s="139" t="s">
        <v>92</v>
      </c>
      <c r="C17" s="125"/>
    </row>
    <row r="18" ht="19.5" customHeight="1">
      <c r="A18" s="125"/>
      <c r="B18" s="140" t="s">
        <v>93</v>
      </c>
      <c r="C18" s="125"/>
    </row>
    <row r="19">
      <c r="A19" s="125"/>
      <c r="B19" s="141" t="s">
        <v>94</v>
      </c>
      <c r="C19" s="125"/>
    </row>
    <row r="20">
      <c r="A20" s="125"/>
      <c r="B20" s="125"/>
      <c r="C20" s="125"/>
    </row>
  </sheetData>
  <mergeCells count="1">
    <mergeCell ref="B2:B3"/>
  </mergeCells>
  <hyperlinks>
    <hyperlink r:id="rId1" ref="B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1 -- Main Lab Due: 16 Jan</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2" t="str">
        <f>IF(P6,P5,IF(T6,T5,IF(Y6,Y5,AA5)))</f>
        <v>You turned in this chapter's lab before the due date, well done!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1.0</v>
      </c>
      <c r="H4" s="23">
        <f t="array" ref="H4:J4">INDEX(LabInfo, G4)</f>
        <v>44212</v>
      </c>
      <c r="I4" s="9">
        <v>4.0</v>
      </c>
      <c r="J4" s="24">
        <v>6.0</v>
      </c>
      <c r="K4" s="19" t="s">
        <v>22</v>
      </c>
      <c r="L4" s="11">
        <f t="array" ref="L4">INDEX(B16:B111, COUNTA(B16:B111))</f>
        <v>44211</v>
      </c>
      <c r="M4" s="9">
        <f t="shared" ref="M4:O4" si="1">COUNTA(B16:B111)</f>
        <v>3</v>
      </c>
      <c r="N4" s="9">
        <f t="shared" si="1"/>
        <v>3</v>
      </c>
      <c r="O4" s="9">
        <f t="shared" si="1"/>
        <v>3</v>
      </c>
      <c r="P4" s="25" t="b">
        <f>AND(M4=N4,N4=O4)</f>
        <v>1</v>
      </c>
      <c r="Q4" s="26">
        <f>TIME(J4,0,0) - C6</f>
        <v>0.02083333333</v>
      </c>
      <c r="R4" s="9">
        <f>I4-C5</f>
        <v>1</v>
      </c>
      <c r="S4" s="20" t="s">
        <v>23</v>
      </c>
      <c r="T4" s="11">
        <f>C10</f>
        <v>44211</v>
      </c>
      <c r="U4" s="20">
        <f>MAX(0,R4)</f>
        <v>1</v>
      </c>
      <c r="V4" s="9">
        <f>IFERROR(SUM(AA16:AA111), 0)</f>
        <v>1</v>
      </c>
      <c r="W4" s="12">
        <f>SUM(U4:V4)</f>
        <v>2</v>
      </c>
      <c r="X4" s="11">
        <f>TODAY()</f>
        <v>45047</v>
      </c>
      <c r="Y4" s="10" t="b">
        <f>X4&lt;=H4</f>
        <v>0</v>
      </c>
      <c r="Z4" s="27">
        <f>IFERROR(TIME(2,0,0)-VLOOKUP(X4,T16:U111,2,FALSE), TIME(0,0,0))</f>
        <v>0</v>
      </c>
      <c r="AA4" s="9" t="b">
        <f>NOT(Y4)</f>
        <v>1</v>
      </c>
      <c r="AB4" s="9">
        <f>AF16</f>
        <v>-1</v>
      </c>
      <c r="AC4" s="9"/>
      <c r="AD4" s="9"/>
      <c r="AE4" s="9"/>
      <c r="AF4" s="9"/>
      <c r="AG4" s="9"/>
      <c r="AH4" s="9"/>
    </row>
    <row r="5">
      <c r="A5" s="28"/>
      <c r="B5" s="29" t="s">
        <v>24</v>
      </c>
      <c r="C5" s="30">
        <f>COUNTA($K$16:$K111)</f>
        <v>3</v>
      </c>
      <c r="D5" s="31"/>
      <c r="E5" s="32"/>
      <c r="F5" s="2"/>
      <c r="G5" s="12"/>
      <c r="H5" s="10"/>
      <c r="I5" s="12"/>
      <c r="J5" s="10"/>
      <c r="K5" s="33" t="s">
        <v>25</v>
      </c>
      <c r="L5" s="9"/>
      <c r="M5" s="9"/>
      <c r="N5" s="9"/>
      <c r="O5" s="9"/>
      <c r="P5" s="34" t="s">
        <v>26</v>
      </c>
      <c r="Q5" s="9" t="str">
        <f>TEXT(Q4, "h\h m\m")&amp;" more work time"</f>
        <v>0h 30m more work time</v>
      </c>
      <c r="R5" s="9" t="str">
        <f>R4&amp;" more day"&amp;IF(R4=1,"","s")&amp;" worked"</f>
        <v>1 more day worked</v>
      </c>
      <c r="S5" s="9" t="str">
        <f>"you will need "&amp;IF(Q6,Q5,"")&amp;IF(AND(Q6,R6)," and ","")&amp;IF(R6,R5,"")&amp;" before (or on) the due date to invoke the non-late policy"</f>
        <v>you will need 0h 30m more work time and 1 more day worked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turned in this chapter's lab before the due date, well done!</v>
      </c>
      <c r="U5" s="9" t="s">
        <v>27</v>
      </c>
      <c r="V5" s="9" t="s">
        <v>28</v>
      </c>
      <c r="W5" s="9" t="str">
        <f>"You would need "&amp;W4&amp;" late day"&amp;IF(W4=1,"","s")&amp;" to be able to invoke the non-late policy."</f>
        <v>You would need 2 late days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If you turn in this lab after the due date, you will need 0h 30m more work time and 1 more day worked before (or on) the due date to invoke the non-late policy.
Also, you would need to work at least 2 hours every work day after the due date (or use late days) to be graded as on time.</v>
      </c>
      <c r="Z5" s="12" t="str">
        <f>"if you work at least "&amp;TEXT(Z4, "h\h m\m")&amp;" more today"</f>
        <v>if you work at least 0h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would need -1 traditional late days to be graded for full credit if you turn in the lab today.</v>
      </c>
      <c r="AB5" s="9" t="str">
        <f>"You would need "&amp;AB4&amp;" traditional late day"&amp;IF(AB4=1,"","s")&amp;" to be graded for full credit"</f>
        <v>You would need -1 traditional late days to be graded for full credit</v>
      </c>
      <c r="AC5" s="9"/>
      <c r="AD5" s="9"/>
      <c r="AE5" s="9"/>
      <c r="AF5" s="9"/>
      <c r="AG5" s="9"/>
      <c r="AH5" s="9"/>
    </row>
    <row r="6">
      <c r="A6" s="28"/>
      <c r="B6" s="35" t="s">
        <v>29</v>
      </c>
      <c r="C6" s="36">
        <f>SUM($J$16:$J111)</f>
        <v>0.2291666667</v>
      </c>
      <c r="D6" s="37"/>
      <c r="E6" s="38"/>
      <c r="F6" s="2"/>
      <c r="G6" s="9"/>
      <c r="H6" s="10"/>
      <c r="I6" s="9"/>
      <c r="J6" s="10"/>
      <c r="K6" s="33" t="s">
        <v>30</v>
      </c>
      <c r="L6" s="11"/>
      <c r="M6" s="9"/>
      <c r="N6" s="9"/>
      <c r="O6" s="9"/>
      <c r="P6" s="25" t="b">
        <f>NOT(P4)</f>
        <v>0</v>
      </c>
      <c r="Q6" s="9" t="b">
        <f t="shared" ref="Q6:R6" si="2">Q4&gt;0</f>
        <v>1</v>
      </c>
      <c r="R6" s="9" t="b">
        <f t="shared" si="2"/>
        <v>1</v>
      </c>
      <c r="S6" s="20" t="b">
        <f>OR(Q6,R6)</f>
        <v>1</v>
      </c>
      <c r="T6" s="12" t="b">
        <f>T4&lt;&gt;""</f>
        <v>1</v>
      </c>
      <c r="U6" s="20" t="b">
        <f t="shared" ref="U6:V6" si="3">U4&gt;0</f>
        <v>1</v>
      </c>
      <c r="V6" s="9" t="b">
        <f t="shared" si="3"/>
        <v>1</v>
      </c>
      <c r="W6" s="12" t="b">
        <f>OR(U6,V6)</f>
        <v>1</v>
      </c>
      <c r="X6" s="12"/>
      <c r="Y6" s="39" t="b">
        <f>Y4</f>
        <v>0</v>
      </c>
      <c r="Z6" s="12" t="b">
        <f>Z4&gt;0</f>
        <v>0</v>
      </c>
      <c r="AA6" s="12"/>
      <c r="AB6" s="12" t="b">
        <f>AB4&lt;=3</f>
        <v>1</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0h 30m more work time before (or on) the due date to invoke the late policy.</v>
      </c>
      <c r="R7" s="12"/>
      <c r="S7" s="12"/>
      <c r="T7" s="12"/>
      <c r="U7" s="12"/>
      <c r="V7" s="12"/>
      <c r="W7" s="12" t="str">
        <f>"("&amp;IF(U6,IF(V6, U4&amp;" ","")&amp;U5,"")&amp;IF(AND(U6,V6)," and ","")&amp;IF(V6,IF(U6,V4&amp;" ","")&amp;V5,"")&amp;")"</f>
        <v>(1 to cover days not worked before (or on) the due date and 1 to cover days after the due date without at least 2 hours of work)</v>
      </c>
      <c r="X7" s="12"/>
      <c r="Y7" s="12"/>
      <c r="Z7" s="12"/>
      <c r="AA7" s="12"/>
      <c r="AB7" s="12" t="str">
        <f>AB5&amp;"."</f>
        <v>You would need -1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v>44211.0</v>
      </c>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1</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2</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63">
        <v>44208.0</v>
      </c>
      <c r="C16" s="64">
        <v>0.8125</v>
      </c>
      <c r="D16" s="64">
        <v>0.9375</v>
      </c>
      <c r="E16" s="65">
        <f t="array" ref="E16:E111">IF(D16:D111="","",D16:D111-C16:C111)</f>
        <v>0.125</v>
      </c>
      <c r="F16" s="2"/>
      <c r="G16" s="66">
        <f>IFERROR(__xludf.DUMMYFUNCTION("SORT(FILTER({$B$16:$B111,$E$16:$E111}, $B$16:$B111 &lt;= $H$4), 1, TRUE)"),44208.0)</f>
        <v>44208</v>
      </c>
      <c r="H16" s="39">
        <f>IFERROR(__xludf.DUMMYFUNCTION("""COMPUTED_VALUE"""),0.125)</f>
        <v>0.125</v>
      </c>
      <c r="I16" s="66">
        <f>IFERROR(__xludf.DUMMYFUNCTION("UNIQUE(G$16:G111)"),44208.0)</f>
        <v>44208</v>
      </c>
      <c r="J16" s="39">
        <f>IFERROR(__xludf.DUMMYFUNCTION("IF(I16="""",,SUM(FILTER(H$16:H111, G$16:G111=I16)))"),0.125)</f>
        <v>0.125</v>
      </c>
      <c r="K16" s="67">
        <f>IFERROR(__xludf.DUMMYFUNCTION("IFERROR(FILTER(I16:I111, HOUR(J16:J111) &gt;= 1),)"),44208.0)</f>
        <v>44208</v>
      </c>
      <c r="L16" s="12"/>
      <c r="M16" s="67">
        <f t="array" ref="M16:N16">IF(C10="", {TODAY(), TIME(0,0,0)}, {C10, TIME(2,0,0)})</f>
        <v>44211</v>
      </c>
      <c r="N16" s="27">
        <v>0.08333333333333333</v>
      </c>
      <c r="O16" s="24">
        <f>COUNTIF(B16:B111, "&gt;"&amp;H4)</f>
        <v>0</v>
      </c>
      <c r="P16" s="67">
        <f>H4</f>
        <v>44212</v>
      </c>
      <c r="Q16" s="27">
        <f>TIME(0,0,0)</f>
        <v>0</v>
      </c>
      <c r="R16" s="67">
        <f>IFERROR(__xludf.DUMMYFUNCTION("SORT(IF(O16&gt;0, {FILTER(P$16:Q111, P16:P111);M16:N16},{P16:Q16;M16:N16} ))"),44211.0)</f>
        <v>44211</v>
      </c>
      <c r="S16" s="39">
        <f>IFERROR(__xludf.DUMMYFUNCTION("""COMPUTED_VALUE"""),0.08333333333333333)</f>
        <v>0.08333333333</v>
      </c>
      <c r="T16" s="67">
        <f>IFERROR(__xludf.DUMMYFUNCTION("UNIQUE(R$16:R111)"),44211.0)</f>
        <v>44211</v>
      </c>
      <c r="U16" s="39">
        <f>IFERROR(__xludf.DUMMYFUNCTION("IF(T16="""",,SUM(FILTER(S$16:S111, R$16:R111=T16)))"),0.08333333333333333)</f>
        <v>0.08333333333</v>
      </c>
      <c r="V16" s="12"/>
      <c r="W16" s="12">
        <f t="array" ref="W16:W17">MATCH(T16:T111, SkippableDays)</f>
        <v>2</v>
      </c>
      <c r="X16" s="12"/>
      <c r="Y16" s="12"/>
      <c r="Z16" s="12"/>
      <c r="AA16" s="12">
        <f t="array" ref="AA16:AA17">IF(Y16:Y111 &gt;= 0, Y16:Y111, 0) + Z16:Z111</f>
        <v>0</v>
      </c>
      <c r="AB16" s="12"/>
      <c r="AC16" s="66">
        <f>H4</f>
        <v>44212</v>
      </c>
      <c r="AD16" s="12">
        <f>MATCH(AC16, SkippableDays)</f>
        <v>2</v>
      </c>
      <c r="AE16" s="12">
        <f>AC17-AC16</f>
        <v>-1</v>
      </c>
      <c r="AF16" s="12">
        <f>AE16-AE17+IF(ISERROR(MATCH(AC17, SkippableDays,0)),0,1)</f>
        <v>-1</v>
      </c>
      <c r="AG16" s="12"/>
      <c r="AH16" s="12"/>
    </row>
    <row r="17">
      <c r="A17" s="50"/>
      <c r="B17" s="63">
        <v>44210.0</v>
      </c>
      <c r="C17" s="64">
        <v>0.7708333333333334</v>
      </c>
      <c r="D17" s="64">
        <v>0.8125</v>
      </c>
      <c r="E17" s="68">
        <v>0.04166666666666663</v>
      </c>
      <c r="F17" s="2"/>
      <c r="G17" s="66">
        <f>IFERROR(__xludf.DUMMYFUNCTION("""COMPUTED_VALUE"""),44210.0)</f>
        <v>44210</v>
      </c>
      <c r="H17" s="39">
        <f>IFERROR(__xludf.DUMMYFUNCTION("""COMPUTED_VALUE"""),0.04166666666666663)</f>
        <v>0.04166666667</v>
      </c>
      <c r="I17" s="66">
        <f>IFERROR(__xludf.DUMMYFUNCTION("""COMPUTED_VALUE"""),44210.0)</f>
        <v>44210</v>
      </c>
      <c r="J17" s="39">
        <f>IFERROR(__xludf.DUMMYFUNCTION("IF(I17="""",,SUM(FILTER(H$16:H111, G$16:G111=I17)))"),0.04166666666666663)</f>
        <v>0.04166666667</v>
      </c>
      <c r="K17" s="67">
        <f>IFERROR(__xludf.DUMMYFUNCTION("""COMPUTED_VALUE"""),44210.0)</f>
        <v>44210</v>
      </c>
      <c r="L17" s="12"/>
      <c r="M17" s="67"/>
      <c r="N17" s="67"/>
      <c r="O17" s="67"/>
      <c r="P17" s="67" t="str">
        <f>IFERROR(__xludf.DUMMYFUNCTION("FILTER({$B$16:$B111,$E$16:$E111}, $B$16:$B111 &gt; $H$4)"),"#N/A")</f>
        <v>#N/A</v>
      </c>
      <c r="Q17" s="27"/>
      <c r="R17" s="67">
        <f>IFERROR(__xludf.DUMMYFUNCTION("""COMPUTED_VALUE"""),44212.0)</f>
        <v>44212</v>
      </c>
      <c r="S17" s="39">
        <f>IFERROR(__xludf.DUMMYFUNCTION("""COMPUTED_VALUE"""),0.0)</f>
        <v>0</v>
      </c>
      <c r="T17" s="67">
        <f>IFERROR(__xludf.DUMMYFUNCTION("""COMPUTED_VALUE"""),44212.0)</f>
        <v>44212</v>
      </c>
      <c r="U17" s="39">
        <f>IFERROR(__xludf.DUMMYFUNCTION("IF(T17="""",,SUM(FILTER(S$16:S111, R$16:R111=T17)))"),0.0)</f>
        <v>0</v>
      </c>
      <c r="V17" s="12">
        <f t="array" ref="V17">T17:T111 - T16:T111 - 1</f>
        <v>0</v>
      </c>
      <c r="W17" s="12">
        <v>2.0</v>
      </c>
      <c r="X17" s="12">
        <f t="array" ref="X17">W17:W111-W16:W111</f>
        <v>0</v>
      </c>
      <c r="Y17" s="12">
        <f t="array" ref="Y17">V17:V111 - X17:X111</f>
        <v>0</v>
      </c>
      <c r="Z17" s="12">
        <f t="array" ref="Z17">IF(HOUR(U17:U111) &gt;= 2, 0, 1)</f>
        <v>1</v>
      </c>
      <c r="AA17" s="12">
        <v>1.0</v>
      </c>
      <c r="AB17" s="12"/>
      <c r="AC17" s="67">
        <f>M16</f>
        <v>44211</v>
      </c>
      <c r="AD17" s="12">
        <f>MATCH(AC17, SkippableDays)</f>
        <v>2</v>
      </c>
      <c r="AE17" s="12">
        <f>AD17-AD16</f>
        <v>0</v>
      </c>
      <c r="AF17" s="12"/>
      <c r="AG17" s="12"/>
      <c r="AH17" s="12"/>
    </row>
    <row r="18">
      <c r="A18" s="50"/>
      <c r="B18" s="63">
        <v>44211.0</v>
      </c>
      <c r="C18" s="64">
        <v>0.6875</v>
      </c>
      <c r="D18" s="64">
        <v>0.75</v>
      </c>
      <c r="E18" s="68">
        <v>0.0625</v>
      </c>
      <c r="F18" s="2"/>
      <c r="G18" s="66">
        <f>IFERROR(__xludf.DUMMYFUNCTION("""COMPUTED_VALUE"""),44211.0)</f>
        <v>44211</v>
      </c>
      <c r="H18" s="39">
        <f>IFERROR(__xludf.DUMMYFUNCTION("""COMPUTED_VALUE"""),0.0625)</f>
        <v>0.0625</v>
      </c>
      <c r="I18" s="66">
        <f>IFERROR(__xludf.DUMMYFUNCTION("""COMPUTED_VALUE"""),44211.0)</f>
        <v>44211</v>
      </c>
      <c r="J18" s="39">
        <f>IFERROR(__xludf.DUMMYFUNCTION("IF(I18="""",,SUM(FILTER(H$16:H111, G$16:G111=I18)))"),0.0625)</f>
        <v>0.0625</v>
      </c>
      <c r="K18" s="67">
        <f>IFERROR(__xludf.DUMMYFUNCTION("""COMPUTED_VALUE"""),44211.0)</f>
        <v>44211</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71"/>
      <c r="C19" s="72"/>
      <c r="D19" s="72"/>
      <c r="E19" s="68" t="s">
        <v>59</v>
      </c>
      <c r="F19" s="2"/>
      <c r="G19" s="12"/>
      <c r="H19" s="39" t="str">
        <f>IFERROR(__xludf.DUMMYFUNCTION("""COMPUTED_VALUE"""),"")</f>
        <v/>
      </c>
      <c r="I19" s="12"/>
      <c r="J19" s="39" t="str">
        <f>IFERROR(__xludf.DUMMYFUNCTION("IF(I19="""",,SUM(FILTER(H$16:H111, G$16:G111=I19)))"),"")</f>
        <v/>
      </c>
      <c r="K19" s="67"/>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71"/>
      <c r="C20" s="72"/>
      <c r="D20" s="72"/>
      <c r="E20" s="68" t="s">
        <v>59</v>
      </c>
      <c r="F20" s="2"/>
      <c r="G20" s="12"/>
      <c r="H20" s="39" t="str">
        <f>IFERROR(__xludf.DUMMYFUNCTION("""COMPUTED_VALUE"""),"")</f>
        <v/>
      </c>
      <c r="I20" s="12"/>
      <c r="J20" s="39" t="str">
        <f>IFERROR(__xludf.DUMMYFUNCTION("IF(I20="""",,SUM(FILTER(H$16:H111, G$16:G111=I20)))"),"")</f>
        <v/>
      </c>
      <c r="K20" s="67"/>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1"/>
      <c r="C21" s="72"/>
      <c r="D21" s="72"/>
      <c r="E21" s="68" t="s">
        <v>59</v>
      </c>
      <c r="F21" s="2"/>
      <c r="G21" s="12"/>
      <c r="H21" s="39" t="str">
        <f>IFERROR(__xludf.DUMMYFUNCTION("""COMPUTED_VALUE"""),"")</f>
        <v/>
      </c>
      <c r="I21" s="12"/>
      <c r="J21" s="39" t="str">
        <f>IFERROR(__xludf.DUMMYFUNCTION("IF(I21="""",,SUM(FILTER(H$16:H111, G$16:G111=I21)))"),"")</f>
        <v/>
      </c>
      <c r="K21" s="67"/>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1"/>
      <c r="C22" s="72"/>
      <c r="D22" s="72"/>
      <c r="E22" s="68" t="s">
        <v>59</v>
      </c>
      <c r="F22" s="2"/>
      <c r="G22" s="12"/>
      <c r="H22" s="39" t="str">
        <f>IFERROR(__xludf.DUMMYFUNCTION("""COMPUTED_VALUE"""),"")</f>
        <v/>
      </c>
      <c r="I22" s="12"/>
      <c r="J22" s="39" t="str">
        <f>IFERROR(__xludf.DUMMYFUNCTION("IF(I22="""",,SUM(FILTER(H$16:H111, G$16:G111=I22)))"),"")</f>
        <v/>
      </c>
      <c r="K22" s="67"/>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71"/>
      <c r="C23" s="72"/>
      <c r="D23" s="72"/>
      <c r="E23" s="68" t="s">
        <v>59</v>
      </c>
      <c r="F23" s="2"/>
      <c r="G23" s="12"/>
      <c r="H23" s="39" t="str">
        <f>IFERROR(__xludf.DUMMYFUNCTION("""COMPUTED_VALUE"""),"")</f>
        <v/>
      </c>
      <c r="I23" s="12"/>
      <c r="J23" s="39" t="str">
        <f>IFERROR(__xludf.DUMMYFUNCTION("IF(I23="""",,SUM(FILTER(H$16:H111, G$16:G111=I23)))"),"")</f>
        <v/>
      </c>
      <c r="K23" s="67"/>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1"/>
      <c r="C24" s="72"/>
      <c r="D24" s="72"/>
      <c r="E24" s="68" t="s">
        <v>59</v>
      </c>
      <c r="F24" s="2"/>
      <c r="G24" s="12"/>
      <c r="H24" s="39" t="str">
        <f>IFERROR(__xludf.DUMMYFUNCTION("""COMPUTED_VALUE"""),"")</f>
        <v/>
      </c>
      <c r="I24" s="12"/>
      <c r="J24" s="39" t="str">
        <f>IFERROR(__xludf.DUMMYFUNCTION("IF(I24="""",,SUM(FILTER(H$16:H111, G$16:G111=I24)))"),"")</f>
        <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1"/>
      <c r="C25" s="72"/>
      <c r="D25" s="72"/>
      <c r="E25" s="68" t="s">
        <v>59</v>
      </c>
      <c r="F25" s="2"/>
      <c r="G25" s="12"/>
      <c r="H25" s="39" t="str">
        <f>IFERROR(__xludf.DUMMYFUNCTION("""COMPUTED_VALUE"""),"")</f>
        <v/>
      </c>
      <c r="I25" s="12"/>
      <c r="J25" s="39" t="str">
        <f>IFERROR(__xludf.DUMMYFUNCTION("IF(I25="""",,SUM(FILTER(H$16:H111, G$16:G111=I25)))"),"")</f>
        <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1"/>
      <c r="C26" s="72"/>
      <c r="D26" s="72"/>
      <c r="E26" s="68" t="s">
        <v>59</v>
      </c>
      <c r="F26" s="2"/>
      <c r="G26" s="12"/>
      <c r="H26" s="39" t="str">
        <f>IFERROR(__xludf.DUMMYFUNCTION("""COMPUTED_VALUE"""),"")</f>
        <v/>
      </c>
      <c r="I26" s="12"/>
      <c r="J26" s="39" t="str">
        <f>IFERROR(__xludf.DUMMYFUNCTION("IF(I26="""",,SUM(FILTER(H$16:H111, G$16:G111=I26)))"),"")</f>
        <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1"/>
      <c r="C27" s="72"/>
      <c r="D27" s="72"/>
      <c r="E27" s="68" t="s">
        <v>59</v>
      </c>
      <c r="F27" s="2"/>
      <c r="G27" s="12"/>
      <c r="H27" s="39" t="str">
        <f>IFERROR(__xludf.DUMMYFUNCTION("""COMPUTED_VALUE"""),"")</f>
        <v/>
      </c>
      <c r="I27" s="12"/>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1"/>
      <c r="C28" s="72"/>
      <c r="D28" s="72"/>
      <c r="E28" s="68" t="s">
        <v>59</v>
      </c>
      <c r="F28" s="2"/>
      <c r="G28" s="12"/>
      <c r="H28" s="39" t="str">
        <f>IFERROR(__xludf.DUMMYFUNCTION("""COMPUTED_VALUE"""),"")</f>
        <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1"/>
      <c r="C29" s="72"/>
      <c r="D29" s="72"/>
      <c r="E29" s="68" t="s">
        <v>59</v>
      </c>
      <c r="F29" s="2"/>
      <c r="G29" s="12"/>
      <c r="H29" s="39" t="str">
        <f>IFERROR(__xludf.DUMMYFUNCTION("""COMPUTED_VALUE"""),"")</f>
        <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1"/>
      <c r="C30" s="72"/>
      <c r="D30" s="72"/>
      <c r="E30" s="68" t="s">
        <v>59</v>
      </c>
      <c r="F30" s="2"/>
      <c r="G30" s="12"/>
      <c r="H30" s="39" t="str">
        <f>IFERROR(__xludf.DUMMYFUNCTION("""COMPUTED_VALUE"""),"")</f>
        <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1"/>
      <c r="C31" s="72"/>
      <c r="D31" s="72"/>
      <c r="E31" s="68" t="s">
        <v>59</v>
      </c>
      <c r="F31" s="2"/>
      <c r="G31" s="12"/>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1"/>
      <c r="C32" s="72"/>
      <c r="D32" s="72"/>
      <c r="E32" s="68" t="s">
        <v>59</v>
      </c>
      <c r="F32" s="2"/>
      <c r="G32" s="12"/>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1"/>
      <c r="C33" s="72"/>
      <c r="D33" s="72"/>
      <c r="E33" s="68" t="s">
        <v>59</v>
      </c>
      <c r="F33" s="2"/>
      <c r="G33" s="12"/>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1"/>
      <c r="C34" s="72"/>
      <c r="D34" s="72"/>
      <c r="E34" s="68" t="s">
        <v>59</v>
      </c>
      <c r="F34" s="2"/>
      <c r="G34" s="12"/>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1"/>
      <c r="C35" s="72"/>
      <c r="D35" s="72"/>
      <c r="E35" s="68" t="s">
        <v>59</v>
      </c>
      <c r="F35" s="2"/>
      <c r="G35" s="12"/>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1"/>
      <c r="C36" s="72"/>
      <c r="D36" s="72"/>
      <c r="E36" s="68" t="s">
        <v>59</v>
      </c>
      <c r="F36" s="2"/>
      <c r="G36" s="12"/>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1"/>
      <c r="C37" s="72"/>
      <c r="D37" s="72"/>
      <c r="E37" s="68" t="s">
        <v>59</v>
      </c>
      <c r="F37" s="2"/>
      <c r="G37" s="12"/>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1"/>
      <c r="C38" s="72"/>
      <c r="D38" s="72"/>
      <c r="E38" s="68" t="s">
        <v>59</v>
      </c>
      <c r="F38" s="2"/>
      <c r="G38" s="12"/>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1"/>
      <c r="C39" s="72"/>
      <c r="D39" s="72"/>
      <c r="E39" s="68" t="s">
        <v>59</v>
      </c>
      <c r="F39" s="2"/>
      <c r="G39" s="12"/>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1"/>
      <c r="C40" s="72"/>
      <c r="D40" s="72"/>
      <c r="E40" s="68" t="s">
        <v>59</v>
      </c>
      <c r="F40" s="2"/>
      <c r="G40" s="12"/>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1"/>
      <c r="C41" s="72"/>
      <c r="D41" s="72"/>
      <c r="E41" s="68" t="s">
        <v>59</v>
      </c>
      <c r="F41" s="2"/>
      <c r="G41" s="12"/>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1"/>
      <c r="C42" s="72"/>
      <c r="D42" s="72"/>
      <c r="E42" s="68" t="s">
        <v>59</v>
      </c>
      <c r="F42" s="2"/>
      <c r="G42" s="12"/>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1"/>
      <c r="C43" s="72"/>
      <c r="D43" s="72"/>
      <c r="E43" s="68" t="s">
        <v>59</v>
      </c>
      <c r="F43" s="2"/>
      <c r="G43" s="12"/>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1"/>
      <c r="C44" s="72"/>
      <c r="D44" s="72"/>
      <c r="E44" s="68" t="s">
        <v>59</v>
      </c>
      <c r="F44" s="2"/>
      <c r="G44" s="12"/>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1"/>
      <c r="C45" s="72"/>
      <c r="D45" s="72"/>
      <c r="E45" s="68" t="s">
        <v>59</v>
      </c>
      <c r="F45" s="2"/>
      <c r="G45" s="12"/>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1"/>
      <c r="C46" s="72"/>
      <c r="D46" s="72"/>
      <c r="E46" s="68" t="s">
        <v>59</v>
      </c>
      <c r="F46" s="2"/>
      <c r="G46" s="12"/>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1"/>
      <c r="C47" s="72"/>
      <c r="D47" s="72"/>
      <c r="E47" s="68" t="s">
        <v>59</v>
      </c>
      <c r="F47" s="2"/>
      <c r="G47" s="12"/>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1"/>
      <c r="C48" s="72"/>
      <c r="D48" s="72"/>
      <c r="E48" s="68" t="s">
        <v>59</v>
      </c>
      <c r="F48" s="2"/>
      <c r="G48" s="12"/>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1"/>
      <c r="C49" s="72"/>
      <c r="D49" s="72"/>
      <c r="E49" s="68" t="s">
        <v>59</v>
      </c>
      <c r="F49" s="2"/>
      <c r="G49" s="12"/>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1"/>
      <c r="C50" s="72"/>
      <c r="D50" s="72"/>
      <c r="E50" s="68" t="s">
        <v>59</v>
      </c>
      <c r="F50" s="2"/>
      <c r="G50" s="12"/>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1"/>
      <c r="C51" s="72"/>
      <c r="D51" s="72"/>
      <c r="E51" s="68" t="s">
        <v>59</v>
      </c>
      <c r="F51" s="2"/>
      <c r="G51" s="12"/>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1"/>
      <c r="C52" s="72"/>
      <c r="D52" s="72"/>
      <c r="E52" s="68" t="s">
        <v>59</v>
      </c>
      <c r="F52" s="2"/>
      <c r="G52" s="12"/>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1"/>
      <c r="C53" s="72"/>
      <c r="D53" s="72"/>
      <c r="E53" s="68" t="s">
        <v>59</v>
      </c>
      <c r="F53" s="2"/>
      <c r="G53" s="12"/>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1"/>
      <c r="C54" s="72"/>
      <c r="D54" s="72"/>
      <c r="E54" s="68" t="s">
        <v>59</v>
      </c>
      <c r="F54" s="2"/>
      <c r="G54" s="12"/>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1"/>
      <c r="C55" s="72"/>
      <c r="D55" s="72"/>
      <c r="E55" s="68" t="s">
        <v>59</v>
      </c>
      <c r="F55" s="2"/>
      <c r="G55" s="12"/>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1"/>
      <c r="C56" s="72"/>
      <c r="D56" s="72"/>
      <c r="E56" s="68" t="s">
        <v>59</v>
      </c>
      <c r="F56" s="2"/>
      <c r="G56" s="12"/>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1"/>
      <c r="C57" s="72"/>
      <c r="D57" s="72"/>
      <c r="E57" s="68" t="s">
        <v>59</v>
      </c>
      <c r="F57" s="2"/>
      <c r="G57" s="12"/>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1"/>
      <c r="C58" s="72"/>
      <c r="D58" s="72"/>
      <c r="E58" s="68" t="s">
        <v>59</v>
      </c>
      <c r="F58" s="2"/>
      <c r="G58" s="12"/>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1"/>
      <c r="C59" s="72"/>
      <c r="D59" s="72"/>
      <c r="E59" s="68" t="s">
        <v>59</v>
      </c>
      <c r="F59" s="2"/>
      <c r="G59" s="12"/>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1"/>
      <c r="C60" s="72"/>
      <c r="D60" s="72"/>
      <c r="E60" s="68" t="s">
        <v>59</v>
      </c>
      <c r="F60" s="2"/>
      <c r="G60" s="12"/>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1"/>
      <c r="C61" s="72"/>
      <c r="D61" s="72"/>
      <c r="E61" s="68" t="s">
        <v>59</v>
      </c>
      <c r="F61" s="2"/>
      <c r="G61" s="12"/>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1"/>
      <c r="C62" s="72"/>
      <c r="D62" s="72"/>
      <c r="E62" s="68" t="s">
        <v>59</v>
      </c>
      <c r="F62" s="2"/>
      <c r="G62" s="12"/>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1"/>
      <c r="C63" s="72"/>
      <c r="D63" s="72"/>
      <c r="E63" s="68" t="s">
        <v>59</v>
      </c>
      <c r="F63" s="2"/>
      <c r="G63" s="12"/>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1"/>
      <c r="C64" s="72"/>
      <c r="D64" s="72"/>
      <c r="E64" s="68" t="s">
        <v>59</v>
      </c>
      <c r="F64" s="2"/>
      <c r="G64" s="12"/>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1"/>
      <c r="C65" s="72"/>
      <c r="D65" s="72"/>
      <c r="E65" s="68" t="s">
        <v>59</v>
      </c>
      <c r="F65" s="2"/>
      <c r="G65" s="12"/>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1"/>
      <c r="C66" s="72"/>
      <c r="D66" s="72"/>
      <c r="E66" s="68" t="s">
        <v>59</v>
      </c>
      <c r="F66" s="2"/>
      <c r="G66" s="12"/>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1"/>
      <c r="C67" s="72"/>
      <c r="D67" s="72"/>
      <c r="E67" s="68" t="s">
        <v>59</v>
      </c>
      <c r="F67" s="2"/>
      <c r="G67" s="12"/>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1"/>
      <c r="C68" s="72"/>
      <c r="D68" s="72"/>
      <c r="E68" s="68" t="s">
        <v>59</v>
      </c>
      <c r="F68" s="2"/>
      <c r="G68" s="12"/>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1"/>
      <c r="C69" s="72"/>
      <c r="D69" s="72"/>
      <c r="E69" s="68" t="s">
        <v>59</v>
      </c>
      <c r="F69" s="2"/>
      <c r="G69" s="12"/>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1"/>
      <c r="C70" s="72"/>
      <c r="D70" s="72"/>
      <c r="E70" s="68" t="s">
        <v>59</v>
      </c>
      <c r="F70" s="2"/>
      <c r="G70" s="12"/>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1"/>
      <c r="C71" s="72"/>
      <c r="D71" s="72"/>
      <c r="E71" s="68" t="s">
        <v>59</v>
      </c>
      <c r="F71" s="2"/>
      <c r="G71" s="12"/>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1"/>
      <c r="C72" s="72"/>
      <c r="D72" s="72"/>
      <c r="E72" s="68" t="s">
        <v>59</v>
      </c>
      <c r="F72" s="2"/>
      <c r="G72" s="12"/>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1"/>
      <c r="C73" s="72"/>
      <c r="D73" s="72"/>
      <c r="E73" s="68" t="s">
        <v>59</v>
      </c>
      <c r="F73" s="2"/>
      <c r="G73" s="12"/>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1"/>
      <c r="C74" s="72"/>
      <c r="D74" s="72"/>
      <c r="E74" s="68" t="s">
        <v>59</v>
      </c>
      <c r="F74" s="2"/>
      <c r="G74" s="12"/>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1"/>
      <c r="C75" s="72"/>
      <c r="D75" s="72"/>
      <c r="E75" s="68" t="s">
        <v>59</v>
      </c>
      <c r="F75" s="2"/>
      <c r="G75" s="12"/>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1"/>
      <c r="C76" s="72"/>
      <c r="D76" s="72"/>
      <c r="E76" s="68" t="s">
        <v>59</v>
      </c>
      <c r="F76" s="2"/>
      <c r="G76" s="12"/>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1"/>
      <c r="C77" s="72"/>
      <c r="D77" s="72"/>
      <c r="E77" s="68" t="s">
        <v>59</v>
      </c>
      <c r="F77" s="2"/>
      <c r="G77" s="12"/>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1"/>
      <c r="C78" s="72"/>
      <c r="D78" s="72"/>
      <c r="E78" s="68" t="s">
        <v>59</v>
      </c>
      <c r="F78" s="2"/>
      <c r="G78" s="12"/>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1"/>
      <c r="C79" s="72"/>
      <c r="D79" s="72"/>
      <c r="E79" s="68" t="s">
        <v>59</v>
      </c>
      <c r="F79" s="2"/>
      <c r="G79" s="12"/>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1"/>
      <c r="C80" s="72"/>
      <c r="D80" s="72"/>
      <c r="E80" s="68" t="s">
        <v>59</v>
      </c>
      <c r="F80" s="2"/>
      <c r="G80" s="12"/>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1"/>
      <c r="C81" s="72"/>
      <c r="D81" s="72"/>
      <c r="E81" s="68" t="s">
        <v>59</v>
      </c>
      <c r="F81" s="2"/>
      <c r="G81" s="12"/>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1"/>
      <c r="C82" s="72"/>
      <c r="D82" s="72"/>
      <c r="E82" s="68" t="s">
        <v>59</v>
      </c>
      <c r="F82" s="2"/>
      <c r="G82" s="12"/>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1"/>
      <c r="C83" s="72"/>
      <c r="D83" s="72"/>
      <c r="E83" s="68" t="s">
        <v>59</v>
      </c>
      <c r="F83" s="2"/>
      <c r="G83" s="12"/>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1"/>
      <c r="C84" s="72"/>
      <c r="D84" s="72"/>
      <c r="E84" s="68" t="s">
        <v>59</v>
      </c>
      <c r="F84" s="2"/>
      <c r="G84" s="12"/>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1"/>
      <c r="C85" s="72"/>
      <c r="D85" s="72"/>
      <c r="E85" s="68" t="s">
        <v>59</v>
      </c>
      <c r="F85" s="2"/>
      <c r="G85" s="12"/>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1"/>
      <c r="C86" s="72"/>
      <c r="D86" s="72"/>
      <c r="E86" s="68" t="s">
        <v>59</v>
      </c>
      <c r="F86" s="2"/>
      <c r="G86" s="12"/>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1"/>
      <c r="C87" s="72"/>
      <c r="D87" s="72"/>
      <c r="E87" s="68" t="s">
        <v>59</v>
      </c>
      <c r="F87" s="2"/>
      <c r="G87" s="12"/>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1"/>
      <c r="C88" s="72"/>
      <c r="D88" s="72"/>
      <c r="E88" s="68" t="s">
        <v>59</v>
      </c>
      <c r="F88" s="2"/>
      <c r="G88" s="12"/>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1"/>
      <c r="C89" s="72"/>
      <c r="D89" s="72"/>
      <c r="E89" s="68" t="s">
        <v>59</v>
      </c>
      <c r="F89" s="2"/>
      <c r="G89" s="12"/>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1"/>
      <c r="C90" s="72"/>
      <c r="D90" s="72"/>
      <c r="E90" s="68" t="s">
        <v>59</v>
      </c>
      <c r="F90" s="2"/>
      <c r="G90" s="12"/>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1"/>
      <c r="C91" s="72"/>
      <c r="D91" s="72"/>
      <c r="E91" s="68" t="s">
        <v>59</v>
      </c>
      <c r="F91" s="2"/>
      <c r="G91" s="12"/>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1"/>
      <c r="C92" s="72"/>
      <c r="D92" s="72"/>
      <c r="E92" s="68" t="s">
        <v>59</v>
      </c>
      <c r="F92" s="2"/>
      <c r="G92" s="12"/>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1"/>
      <c r="C93" s="72"/>
      <c r="D93" s="72"/>
      <c r="E93" s="68" t="s">
        <v>59</v>
      </c>
      <c r="F93" s="2"/>
      <c r="G93" s="12"/>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1"/>
      <c r="C94" s="72"/>
      <c r="D94" s="72"/>
      <c r="E94" s="68" t="s">
        <v>59</v>
      </c>
      <c r="F94" s="2"/>
      <c r="G94" s="12"/>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1"/>
      <c r="C95" s="72"/>
      <c r="D95" s="72"/>
      <c r="E95" s="68" t="s">
        <v>59</v>
      </c>
      <c r="F95" s="2"/>
      <c r="G95" s="12"/>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1"/>
      <c r="C96" s="72"/>
      <c r="D96" s="72"/>
      <c r="E96" s="68" t="s">
        <v>59</v>
      </c>
      <c r="F96" s="2"/>
      <c r="G96" s="12"/>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1"/>
      <c r="C97" s="72"/>
      <c r="D97" s="72"/>
      <c r="E97" s="68" t="s">
        <v>59</v>
      </c>
      <c r="F97" s="2"/>
      <c r="G97" s="12"/>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1"/>
      <c r="C98" s="72"/>
      <c r="D98" s="72"/>
      <c r="E98" s="68" t="s">
        <v>59</v>
      </c>
      <c r="F98" s="2"/>
      <c r="G98" s="12"/>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1"/>
      <c r="C99" s="72"/>
      <c r="D99" s="72"/>
      <c r="E99" s="68" t="s">
        <v>59</v>
      </c>
      <c r="F99" s="2"/>
      <c r="G99" s="12"/>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1"/>
      <c r="C100" s="72"/>
      <c r="D100" s="72"/>
      <c r="E100" s="68" t="s">
        <v>59</v>
      </c>
      <c r="F100" s="2"/>
      <c r="G100" s="12"/>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1"/>
      <c r="C101" s="72"/>
      <c r="D101" s="72"/>
      <c r="E101" s="68" t="s">
        <v>59</v>
      </c>
      <c r="F101" s="2"/>
      <c r="G101" s="12"/>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1"/>
      <c r="C102" s="72"/>
      <c r="D102" s="72"/>
      <c r="E102" s="68" t="s">
        <v>59</v>
      </c>
      <c r="F102" s="2"/>
      <c r="G102" s="12"/>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1"/>
      <c r="C103" s="72"/>
      <c r="D103" s="72"/>
      <c r="E103" s="68" t="s">
        <v>59</v>
      </c>
      <c r="F103" s="2"/>
      <c r="G103" s="12"/>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1"/>
      <c r="C104" s="72"/>
      <c r="D104" s="72"/>
      <c r="E104" s="68" t="s">
        <v>59</v>
      </c>
      <c r="F104" s="2"/>
      <c r="G104" s="12"/>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1"/>
      <c r="C105" s="72"/>
      <c r="D105" s="72"/>
      <c r="E105" s="68" t="s">
        <v>59</v>
      </c>
      <c r="F105" s="2"/>
      <c r="G105" s="12"/>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1"/>
      <c r="C106" s="72"/>
      <c r="D106" s="72"/>
      <c r="E106" s="68" t="s">
        <v>59</v>
      </c>
      <c r="F106" s="2"/>
      <c r="G106" s="12"/>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1"/>
      <c r="C107" s="72"/>
      <c r="D107" s="72"/>
      <c r="E107" s="68" t="s">
        <v>59</v>
      </c>
      <c r="F107" s="2"/>
      <c r="G107" s="12"/>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1"/>
      <c r="C108" s="72"/>
      <c r="D108" s="72"/>
      <c r="E108" s="68" t="s">
        <v>59</v>
      </c>
      <c r="F108" s="2"/>
      <c r="G108" s="12"/>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1"/>
      <c r="C109" s="72"/>
      <c r="D109" s="72"/>
      <c r="E109" s="68" t="s">
        <v>59</v>
      </c>
      <c r="F109" s="2"/>
      <c r="G109" s="12"/>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73"/>
      <c r="C110" s="74"/>
      <c r="D110" s="74"/>
      <c r="E110" s="75" t="s">
        <v>59</v>
      </c>
      <c r="F110" s="2"/>
      <c r="G110" s="12"/>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2 -- Main Lab Due: 1 Feb</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2" t="str">
        <f>IF(P6,P5,IF(T6,T5,IF(Y6,Y5,AA5)))</f>
        <v>You turned in this chapter's lab before the due date, well done!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2.0</v>
      </c>
      <c r="H4" s="23">
        <f t="array" ref="H4:J4">INDEX(LabInfo, G4)</f>
        <v>44228</v>
      </c>
      <c r="I4" s="9">
        <v>4.0</v>
      </c>
      <c r="J4" s="24">
        <v>6.0</v>
      </c>
      <c r="K4" s="19" t="s">
        <v>22</v>
      </c>
      <c r="L4" s="11">
        <f t="array" ref="L4">INDEX(B16:B111, COUNTA(B16:B111))</f>
        <v>44225</v>
      </c>
      <c r="M4" s="9">
        <f t="shared" ref="M4:O4" si="1">COUNTA(B16:B111)</f>
        <v>8</v>
      </c>
      <c r="N4" s="9">
        <f t="shared" si="1"/>
        <v>8</v>
      </c>
      <c r="O4" s="9">
        <f t="shared" si="1"/>
        <v>8</v>
      </c>
      <c r="P4" s="25" t="b">
        <f>AND(M4=N4,N4=O4)</f>
        <v>1</v>
      </c>
      <c r="Q4" s="26">
        <f>TIME(J4,0,0) - C6</f>
        <v>-0.1159722222</v>
      </c>
      <c r="R4" s="9">
        <f>I4-C5</f>
        <v>0</v>
      </c>
      <c r="S4" s="20" t="s">
        <v>23</v>
      </c>
      <c r="T4" s="11">
        <f>C10</f>
        <v>44225</v>
      </c>
      <c r="U4" s="20">
        <f>MAX(0,R4)</f>
        <v>0</v>
      </c>
      <c r="V4" s="9">
        <f>IFERROR(SUM(AA16:AA111), 0)</f>
        <v>2</v>
      </c>
      <c r="W4" s="12">
        <f>SUM(U4:V4)</f>
        <v>2</v>
      </c>
      <c r="X4" s="11">
        <f>TODAY()</f>
        <v>45047</v>
      </c>
      <c r="Y4" s="10" t="b">
        <f>X4&lt;=H4</f>
        <v>0</v>
      </c>
      <c r="Z4" s="27">
        <f>IFERROR(TIME(2,0,0)-VLOOKUP(X4,T16:U111,2,FALSE), TIME(0,0,0))</f>
        <v>0</v>
      </c>
      <c r="AA4" s="9" t="b">
        <f>NOT(Y4)</f>
        <v>1</v>
      </c>
      <c r="AB4" s="9">
        <f>AF16</f>
        <v>-2</v>
      </c>
      <c r="AC4" s="9"/>
      <c r="AD4" s="9"/>
      <c r="AE4" s="9"/>
      <c r="AF4" s="9"/>
      <c r="AG4" s="9"/>
      <c r="AH4" s="9"/>
    </row>
    <row r="5">
      <c r="A5" s="28"/>
      <c r="B5" s="29" t="s">
        <v>24</v>
      </c>
      <c r="C5" s="30">
        <f>COUNTA($K$16:$K111)</f>
        <v>4</v>
      </c>
      <c r="D5" s="31"/>
      <c r="E5" s="32"/>
      <c r="F5" s="2"/>
      <c r="G5" s="12"/>
      <c r="H5" s="10"/>
      <c r="I5" s="12"/>
      <c r="J5" s="10"/>
      <c r="K5" s="33" t="s">
        <v>25</v>
      </c>
      <c r="L5" s="9"/>
      <c r="M5" s="9"/>
      <c r="N5" s="9"/>
      <c r="O5" s="9"/>
      <c r="P5" s="34" t="s">
        <v>26</v>
      </c>
      <c r="Q5" s="9" t="str">
        <f>TEXT(Q4, "h\h m\m")&amp;" more work time"</f>
        <v>21h 13m more work time</v>
      </c>
      <c r="R5" s="9" t="str">
        <f>R4&amp;" more day"&amp;IF(R4=1,"","s")&amp;" worked"</f>
        <v>0 more days worked</v>
      </c>
      <c r="S5" s="9" t="str">
        <f>"you will need "&amp;IF(Q6,Q5,"")&amp;IF(AND(Q6,R6)," and ","")&amp;IF(R6,R5,"")&amp;" before (or on) the due date to invoke the non-late policy"</f>
        <v>you will need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turned in this chapter's lab before the due date, well done!</v>
      </c>
      <c r="U5" s="9" t="s">
        <v>27</v>
      </c>
      <c r="V5" s="9" t="s">
        <v>28</v>
      </c>
      <c r="W5" s="9" t="str">
        <f>"You would need "&amp;W4&amp;" late day"&amp;IF(W4=1,"","s")&amp;" to be able to invoke the non-late policy."</f>
        <v>You would need 2 late days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You have completed the pre-due date requirements to satisfy the non-late policy.
If you turn in the lab after the due date, you will still need to work at least 2 hours every work day after the due date (or use late days) to be graded as on time.</v>
      </c>
      <c r="Z5" s="12" t="str">
        <f>"if you work at least "&amp;TEXT(Z4, "h\h m\m")&amp;" more today"</f>
        <v>if you work at least 0h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would need -2 traditional late days to be graded for full credit</v>
      </c>
      <c r="AB5" s="9" t="str">
        <f>"You would need "&amp;AB4&amp;" traditional late day"&amp;IF(AB4=1,"","s")&amp;" to be graded for full credit"</f>
        <v>You would need -2 traditional late days to be graded for full credit</v>
      </c>
      <c r="AC5" s="9"/>
      <c r="AD5" s="9"/>
      <c r="AE5" s="9"/>
      <c r="AF5" s="9"/>
      <c r="AG5" s="9"/>
      <c r="AH5" s="9"/>
    </row>
    <row r="6">
      <c r="A6" s="28"/>
      <c r="B6" s="35" t="s">
        <v>29</v>
      </c>
      <c r="C6" s="36">
        <f>SUM($J$16:$J111)</f>
        <v>0.3659722222</v>
      </c>
      <c r="D6" s="37"/>
      <c r="E6" s="38"/>
      <c r="F6" s="2"/>
      <c r="G6" s="9"/>
      <c r="H6" s="10"/>
      <c r="I6" s="9"/>
      <c r="J6" s="10"/>
      <c r="K6" s="33" t="s">
        <v>30</v>
      </c>
      <c r="L6" s="11"/>
      <c r="M6" s="9"/>
      <c r="N6" s="9"/>
      <c r="O6" s="9"/>
      <c r="P6" s="25" t="b">
        <f>NOT(P4)</f>
        <v>0</v>
      </c>
      <c r="Q6" s="9" t="b">
        <f t="shared" ref="Q6:R6" si="2">Q4&gt;0</f>
        <v>0</v>
      </c>
      <c r="R6" s="9" t="b">
        <f t="shared" si="2"/>
        <v>0</v>
      </c>
      <c r="S6" s="20" t="b">
        <f>OR(Q6,R6)</f>
        <v>0</v>
      </c>
      <c r="T6" s="12" t="b">
        <f>T4&lt;&gt;""</f>
        <v>1</v>
      </c>
      <c r="U6" s="20" t="b">
        <f t="shared" ref="U6:V6" si="3">U4&gt;0</f>
        <v>0</v>
      </c>
      <c r="V6" s="9" t="b">
        <f t="shared" si="3"/>
        <v>1</v>
      </c>
      <c r="W6" s="12" t="b">
        <f>OR(U6,V6)</f>
        <v>1</v>
      </c>
      <c r="X6" s="12"/>
      <c r="Y6" s="39" t="b">
        <f>Y4</f>
        <v>0</v>
      </c>
      <c r="Z6" s="12" t="b">
        <f>Z4&gt;0</f>
        <v>0</v>
      </c>
      <c r="AA6" s="12"/>
      <c r="AB6" s="12" t="b">
        <f>AB4&lt;=3</f>
        <v>1</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21h 13m more work time before (or on) the due date to invoke the late policy.</v>
      </c>
      <c r="R7" s="12"/>
      <c r="S7" s="12"/>
      <c r="T7" s="12"/>
      <c r="U7" s="12"/>
      <c r="V7" s="12"/>
      <c r="W7" s="12" t="str">
        <f>"("&amp;IF(U6,IF(V6, U4&amp;" ","")&amp;U5,"")&amp;IF(AND(U6,V6)," and ","")&amp;IF(V6,IF(U6,V4&amp;" ","")&amp;V5,"")&amp;")"</f>
        <v>(to cover days after the due date without at least 2 hours of work)</v>
      </c>
      <c r="X7" s="12"/>
      <c r="Y7" s="12"/>
      <c r="Z7" s="12"/>
      <c r="AA7" s="12"/>
      <c r="AB7" s="12" t="str">
        <f>AB5&amp;"."</f>
        <v>You would need -2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v>44225.0</v>
      </c>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1</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2</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63">
        <v>44215.0</v>
      </c>
      <c r="C16" s="64">
        <v>0.78125</v>
      </c>
      <c r="D16" s="64">
        <v>0.8284722222222223</v>
      </c>
      <c r="E16" s="65">
        <f t="array" ref="E16:E111">IF(D16:D111="","",D16:D111-C16:C111)</f>
        <v>0.04722222222</v>
      </c>
      <c r="F16" s="2"/>
      <c r="G16" s="66">
        <f>IFERROR(__xludf.DUMMYFUNCTION("SORT(FILTER({$B$16:$B111,$E$16:$E111}, $B$16:$B111 &lt;= $H$4), 1, TRUE)"),44215.0)</f>
        <v>44215</v>
      </c>
      <c r="H16" s="39">
        <f>IFERROR(__xludf.DUMMYFUNCTION("""COMPUTED_VALUE"""),0.047222222222222276)</f>
        <v>0.04722222222</v>
      </c>
      <c r="I16" s="66">
        <f>IFERROR(__xludf.DUMMYFUNCTION("UNIQUE(G$16:G111)"),44215.0)</f>
        <v>44215</v>
      </c>
      <c r="J16" s="39">
        <f>IFERROR(__xludf.DUMMYFUNCTION("IF(I16="""",,SUM(FILTER(H$16:H111, G$16:G111=I16)))"),0.047222222222222276)</f>
        <v>0.04722222222</v>
      </c>
      <c r="K16" s="67">
        <f>IFERROR(__xludf.DUMMYFUNCTION("IFERROR(FILTER(I16:I111, HOUR(J16:J111) &gt;= 1),)"),44215.0)</f>
        <v>44215</v>
      </c>
      <c r="L16" s="12"/>
      <c r="M16" s="67">
        <f t="array" ref="M16:N16">IF(C10="", {TODAY(), TIME(0,0,0)}, {C10, TIME(2,0,0)})</f>
        <v>44225</v>
      </c>
      <c r="N16" s="27">
        <v>0.08333333333333333</v>
      </c>
      <c r="O16" s="24">
        <f>COUNTIF(B16:B111, "&gt;"&amp;H4)</f>
        <v>0</v>
      </c>
      <c r="P16" s="67">
        <f>H4</f>
        <v>44228</v>
      </c>
      <c r="Q16" s="27">
        <f>TIME(0,0,0)</f>
        <v>0</v>
      </c>
      <c r="R16" s="67">
        <f>IFERROR(__xludf.DUMMYFUNCTION("SORT(IF(O16&gt;0, {FILTER(P$16:Q111, P16:P111);M16:N16},{P16:Q16;M16:N16} ))"),44225.0)</f>
        <v>44225</v>
      </c>
      <c r="S16" s="39">
        <f>IFERROR(__xludf.DUMMYFUNCTION("""COMPUTED_VALUE"""),0.08333333333333333)</f>
        <v>0.08333333333</v>
      </c>
      <c r="T16" s="67">
        <f>IFERROR(__xludf.DUMMYFUNCTION("UNIQUE(R$16:R111)"),44225.0)</f>
        <v>44225</v>
      </c>
      <c r="U16" s="39">
        <f>IFERROR(__xludf.DUMMYFUNCTION("IF(T16="""",,SUM(FILTER(S$16:S111, R$16:R111=T16)))"),0.08333333333333333)</f>
        <v>0.08333333333</v>
      </c>
      <c r="V16" s="12"/>
      <c r="W16" s="12">
        <f t="array" ref="W16:W17">MATCH(T16:T111, SkippableDays)</f>
        <v>5</v>
      </c>
      <c r="X16" s="12"/>
      <c r="Y16" s="12"/>
      <c r="Z16" s="12"/>
      <c r="AA16" s="12">
        <f t="array" ref="AA16:AA17">IF(Y16:Y111 &gt;= 0, Y16:Y111, 0) + Z16:Z111</f>
        <v>0</v>
      </c>
      <c r="AB16" s="12"/>
      <c r="AC16" s="66">
        <f>H4</f>
        <v>44228</v>
      </c>
      <c r="AD16" s="12">
        <f>MATCH(AC16, SkippableDays)</f>
        <v>6</v>
      </c>
      <c r="AE16" s="12">
        <f>AC17-AC16</f>
        <v>-3</v>
      </c>
      <c r="AF16" s="12">
        <f>AE16-AE17+IF(ISERROR(MATCH(AC17, SkippableDays,0)),0,1)</f>
        <v>-2</v>
      </c>
      <c r="AG16" s="12"/>
      <c r="AH16" s="12"/>
    </row>
    <row r="17">
      <c r="A17" s="50"/>
      <c r="B17" s="63">
        <v>44216.0</v>
      </c>
      <c r="C17" s="69">
        <v>0.875</v>
      </c>
      <c r="D17" s="69">
        <v>0.8993055555555556</v>
      </c>
      <c r="E17" s="68">
        <v>0.02430555555555558</v>
      </c>
      <c r="F17" s="2"/>
      <c r="G17" s="66">
        <f>IFERROR(__xludf.DUMMYFUNCTION("""COMPUTED_VALUE"""),44216.0)</f>
        <v>44216</v>
      </c>
      <c r="H17" s="39">
        <f>IFERROR(__xludf.DUMMYFUNCTION("""COMPUTED_VALUE"""),0.02430555555555558)</f>
        <v>0.02430555556</v>
      </c>
      <c r="I17" s="66">
        <f>IFERROR(__xludf.DUMMYFUNCTION("""COMPUTED_VALUE"""),44216.0)</f>
        <v>44216</v>
      </c>
      <c r="J17" s="39">
        <f>IFERROR(__xludf.DUMMYFUNCTION("IF(I17="""",,SUM(FILTER(H$16:H111, G$16:G111=I17)))"),0.02430555555555558)</f>
        <v>0.02430555556</v>
      </c>
      <c r="K17" s="67">
        <f>IFERROR(__xludf.DUMMYFUNCTION("""COMPUTED_VALUE"""),44220.0)</f>
        <v>44220</v>
      </c>
      <c r="L17" s="12"/>
      <c r="M17" s="67"/>
      <c r="N17" s="67"/>
      <c r="O17" s="67"/>
      <c r="P17" s="67" t="str">
        <f>IFERROR(__xludf.DUMMYFUNCTION("FILTER({$B$16:$B111,$E$16:$E111}, $B$16:$B111 &gt; $H$4)"),"#N/A")</f>
        <v>#N/A</v>
      </c>
      <c r="Q17" s="27"/>
      <c r="R17" s="67">
        <f>IFERROR(__xludf.DUMMYFUNCTION("""COMPUTED_VALUE"""),44228.0)</f>
        <v>44228</v>
      </c>
      <c r="S17" s="39">
        <f>IFERROR(__xludf.DUMMYFUNCTION("""COMPUTED_VALUE"""),0.0)</f>
        <v>0</v>
      </c>
      <c r="T17" s="67">
        <f>IFERROR(__xludf.DUMMYFUNCTION("""COMPUTED_VALUE"""),44228.0)</f>
        <v>44228</v>
      </c>
      <c r="U17" s="39">
        <f>IFERROR(__xludf.DUMMYFUNCTION("IF(T17="""",,SUM(FILTER(S$16:S111, R$16:R111=T17)))"),0.0)</f>
        <v>0</v>
      </c>
      <c r="V17" s="12">
        <f t="array" ref="V17">T17:T111 - T16:T111 - 1</f>
        <v>2</v>
      </c>
      <c r="W17" s="12">
        <v>6.0</v>
      </c>
      <c r="X17" s="12">
        <f t="array" ref="X17">W17:W111-W16:W111</f>
        <v>1</v>
      </c>
      <c r="Y17" s="12">
        <f t="array" ref="Y17">V17:V111 - X17:X111</f>
        <v>1</v>
      </c>
      <c r="Z17" s="12">
        <f t="array" ref="Z17">IF(HOUR(U17:U111) &gt;= 2, 0, 1)</f>
        <v>1</v>
      </c>
      <c r="AA17" s="12">
        <v>2.0</v>
      </c>
      <c r="AB17" s="12"/>
      <c r="AC17" s="67">
        <f>M16</f>
        <v>44225</v>
      </c>
      <c r="AD17" s="12">
        <f>MATCH(AC17, SkippableDays)</f>
        <v>5</v>
      </c>
      <c r="AE17" s="12">
        <f>AD17-AD16</f>
        <v>-1</v>
      </c>
      <c r="AF17" s="12"/>
      <c r="AG17" s="12"/>
      <c r="AH17" s="12"/>
    </row>
    <row r="18">
      <c r="A18" s="50"/>
      <c r="B18" s="70">
        <v>44220.0</v>
      </c>
      <c r="C18" s="69">
        <v>0.6597222222222222</v>
      </c>
      <c r="D18" s="69">
        <v>0.6875</v>
      </c>
      <c r="E18" s="68">
        <v>0.02777777777777779</v>
      </c>
      <c r="F18" s="2"/>
      <c r="G18" s="66">
        <f>IFERROR(__xludf.DUMMYFUNCTION("""COMPUTED_VALUE"""),44220.0)</f>
        <v>44220</v>
      </c>
      <c r="H18" s="39">
        <f>IFERROR(__xludf.DUMMYFUNCTION("""COMPUTED_VALUE"""),0.02777777777777779)</f>
        <v>0.02777777778</v>
      </c>
      <c r="I18" s="66">
        <f>IFERROR(__xludf.DUMMYFUNCTION("""COMPUTED_VALUE"""),44220.0)</f>
        <v>44220</v>
      </c>
      <c r="J18" s="39">
        <f>IFERROR(__xludf.DUMMYFUNCTION("IF(I18="""",,SUM(FILTER(H$16:H111, G$16:G111=I18)))"),0.05555555555555558)</f>
        <v>0.05555555556</v>
      </c>
      <c r="K18" s="67">
        <f>IFERROR(__xludf.DUMMYFUNCTION("""COMPUTED_VALUE"""),44223.0)</f>
        <v>44223</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70">
        <v>44220.0</v>
      </c>
      <c r="C19" s="69">
        <v>0.7708333333333334</v>
      </c>
      <c r="D19" s="69">
        <v>0.7986111111111112</v>
      </c>
      <c r="E19" s="68">
        <v>0.02777777777777779</v>
      </c>
      <c r="F19" s="2"/>
      <c r="G19" s="66">
        <f>IFERROR(__xludf.DUMMYFUNCTION("""COMPUTED_VALUE"""),44220.0)</f>
        <v>44220</v>
      </c>
      <c r="H19" s="39">
        <f>IFERROR(__xludf.DUMMYFUNCTION("""COMPUTED_VALUE"""),0.02777777777777779)</f>
        <v>0.02777777778</v>
      </c>
      <c r="I19" s="66">
        <f>IFERROR(__xludf.DUMMYFUNCTION("""COMPUTED_VALUE"""),44222.0)</f>
        <v>44222</v>
      </c>
      <c r="J19" s="39">
        <f>IFERROR(__xludf.DUMMYFUNCTION("IF(I19="""",,SUM(FILTER(H$16:H111, G$16:G111=I19)))"),0.03125)</f>
        <v>0.03125</v>
      </c>
      <c r="K19" s="67">
        <f>IFERROR(__xludf.DUMMYFUNCTION("""COMPUTED_VALUE"""),44225.0)</f>
        <v>44225</v>
      </c>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70">
        <v>44222.0</v>
      </c>
      <c r="C20" s="69">
        <v>0.5381944444444444</v>
      </c>
      <c r="D20" s="69">
        <v>0.5694444444444444</v>
      </c>
      <c r="E20" s="68">
        <v>0.03125</v>
      </c>
      <c r="F20" s="2"/>
      <c r="G20" s="66">
        <f>IFERROR(__xludf.DUMMYFUNCTION("""COMPUTED_VALUE"""),44222.0)</f>
        <v>44222</v>
      </c>
      <c r="H20" s="39">
        <f>IFERROR(__xludf.DUMMYFUNCTION("""COMPUTED_VALUE"""),0.03125)</f>
        <v>0.03125</v>
      </c>
      <c r="I20" s="66">
        <f>IFERROR(__xludf.DUMMYFUNCTION("""COMPUTED_VALUE"""),44223.0)</f>
        <v>44223</v>
      </c>
      <c r="J20" s="39">
        <f>IFERROR(__xludf.DUMMYFUNCTION("IF(I20="""",,SUM(FILTER(H$16:H111, G$16:G111=I20)))"),0.08333333333333337)</f>
        <v>0.08333333333</v>
      </c>
      <c r="K20" s="67"/>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0">
        <v>44223.0</v>
      </c>
      <c r="C21" s="69">
        <v>0.76875</v>
      </c>
      <c r="D21" s="69">
        <v>0.8006944444444445</v>
      </c>
      <c r="E21" s="68">
        <v>0.03194444444444444</v>
      </c>
      <c r="F21" s="2"/>
      <c r="G21" s="66">
        <f>IFERROR(__xludf.DUMMYFUNCTION("""COMPUTED_VALUE"""),44223.0)</f>
        <v>44223</v>
      </c>
      <c r="H21" s="39">
        <f>IFERROR(__xludf.DUMMYFUNCTION("""COMPUTED_VALUE"""),0.03194444444444444)</f>
        <v>0.03194444444</v>
      </c>
      <c r="I21" s="66">
        <f>IFERROR(__xludf.DUMMYFUNCTION("""COMPUTED_VALUE"""),44225.0)</f>
        <v>44225</v>
      </c>
      <c r="J21" s="39">
        <f>IFERROR(__xludf.DUMMYFUNCTION("IF(I21="""",,SUM(FILTER(H$16:H111, G$16:G111=I21)))"),0.12430555555555556)</f>
        <v>0.1243055556</v>
      </c>
      <c r="K21" s="67"/>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0">
        <v>44223.0</v>
      </c>
      <c r="C22" s="69">
        <v>0.9069444444444444</v>
      </c>
      <c r="D22" s="69">
        <v>0.9583333333333334</v>
      </c>
      <c r="E22" s="68">
        <v>0.05138888888888893</v>
      </c>
      <c r="F22" s="2"/>
      <c r="G22" s="66">
        <f>IFERROR(__xludf.DUMMYFUNCTION("""COMPUTED_VALUE"""),44223.0)</f>
        <v>44223</v>
      </c>
      <c r="H22" s="39">
        <f>IFERROR(__xludf.DUMMYFUNCTION("""COMPUTED_VALUE"""),0.05138888888888893)</f>
        <v>0.05138888889</v>
      </c>
      <c r="I22" s="66"/>
      <c r="J22" s="39" t="str">
        <f>IFERROR(__xludf.DUMMYFUNCTION("IF(I22="""",,SUM(FILTER(H$16:H111, G$16:G111=I22)))"),"")</f>
        <v/>
      </c>
      <c r="K22" s="67"/>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70">
        <v>44225.0</v>
      </c>
      <c r="C23" s="69">
        <v>0.6763888888888889</v>
      </c>
      <c r="D23" s="69">
        <v>0.8006944444444445</v>
      </c>
      <c r="E23" s="68">
        <v>0.12430555555555556</v>
      </c>
      <c r="F23" s="2"/>
      <c r="G23" s="66">
        <f>IFERROR(__xludf.DUMMYFUNCTION("""COMPUTED_VALUE"""),44225.0)</f>
        <v>44225</v>
      </c>
      <c r="H23" s="39">
        <f>IFERROR(__xludf.DUMMYFUNCTION("""COMPUTED_VALUE"""),0.12430555555555556)</f>
        <v>0.1243055556</v>
      </c>
      <c r="I23" s="12"/>
      <c r="J23" s="39" t="str">
        <f>IFERROR(__xludf.DUMMYFUNCTION("IF(I23="""",,SUM(FILTER(H$16:H111, G$16:G111=I23)))"),"")</f>
        <v/>
      </c>
      <c r="K23" s="67"/>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0"/>
      <c r="C24" s="69"/>
      <c r="D24" s="69"/>
      <c r="E24" s="68" t="s">
        <v>59</v>
      </c>
      <c r="F24" s="2"/>
      <c r="G24" s="66"/>
      <c r="H24" s="39" t="str">
        <f>IFERROR(__xludf.DUMMYFUNCTION("""COMPUTED_VALUE"""),"")</f>
        <v/>
      </c>
      <c r="I24" s="12"/>
      <c r="J24" s="39" t="str">
        <f>IFERROR(__xludf.DUMMYFUNCTION("IF(I24="""",,SUM(FILTER(H$16:H111, G$16:G111=I24)))"),"")</f>
        <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0"/>
      <c r="C25" s="69"/>
      <c r="D25" s="69"/>
      <c r="E25" s="68" t="s">
        <v>59</v>
      </c>
      <c r="F25" s="2"/>
      <c r="G25" s="66"/>
      <c r="H25" s="39" t="str">
        <f>IFERROR(__xludf.DUMMYFUNCTION("""COMPUTED_VALUE"""),"")</f>
        <v/>
      </c>
      <c r="I25" s="12"/>
      <c r="J25" s="39" t="str">
        <f>IFERROR(__xludf.DUMMYFUNCTION("IF(I25="""",,SUM(FILTER(H$16:H111, G$16:G111=I25)))"),"")</f>
        <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0"/>
      <c r="C26" s="69"/>
      <c r="D26" s="69"/>
      <c r="E26" s="68" t="s">
        <v>59</v>
      </c>
      <c r="F26" s="2"/>
      <c r="G26" s="66"/>
      <c r="H26" s="39" t="str">
        <f>IFERROR(__xludf.DUMMYFUNCTION("""COMPUTED_VALUE"""),"")</f>
        <v/>
      </c>
      <c r="I26" s="12"/>
      <c r="J26" s="39" t="str">
        <f>IFERROR(__xludf.DUMMYFUNCTION("IF(I26="""",,SUM(FILTER(H$16:H111, G$16:G111=I26)))"),"")</f>
        <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1"/>
      <c r="C27" s="72"/>
      <c r="D27" s="72"/>
      <c r="E27" s="68" t="s">
        <v>59</v>
      </c>
      <c r="F27" s="2"/>
      <c r="G27" s="12"/>
      <c r="H27" s="39" t="str">
        <f>IFERROR(__xludf.DUMMYFUNCTION("""COMPUTED_VALUE"""),"")</f>
        <v/>
      </c>
      <c r="I27" s="12"/>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1"/>
      <c r="C28" s="72"/>
      <c r="D28" s="72"/>
      <c r="E28" s="68" t="s">
        <v>59</v>
      </c>
      <c r="F28" s="2"/>
      <c r="G28" s="12"/>
      <c r="H28" s="39" t="str">
        <f>IFERROR(__xludf.DUMMYFUNCTION("""COMPUTED_VALUE"""),"")</f>
        <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1"/>
      <c r="C29" s="72"/>
      <c r="D29" s="72"/>
      <c r="E29" s="68" t="s">
        <v>59</v>
      </c>
      <c r="F29" s="2"/>
      <c r="G29" s="12"/>
      <c r="H29" s="39" t="str">
        <f>IFERROR(__xludf.DUMMYFUNCTION("""COMPUTED_VALUE"""),"")</f>
        <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1"/>
      <c r="C30" s="72"/>
      <c r="D30" s="72"/>
      <c r="E30" s="68" t="s">
        <v>59</v>
      </c>
      <c r="F30" s="2"/>
      <c r="G30" s="12"/>
      <c r="H30" s="39" t="str">
        <f>IFERROR(__xludf.DUMMYFUNCTION("""COMPUTED_VALUE"""),"")</f>
        <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1"/>
      <c r="C31" s="72"/>
      <c r="D31" s="72"/>
      <c r="E31" s="68" t="s">
        <v>59</v>
      </c>
      <c r="F31" s="2"/>
      <c r="G31" s="12"/>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1"/>
      <c r="C32" s="72"/>
      <c r="D32" s="72"/>
      <c r="E32" s="68" t="s">
        <v>59</v>
      </c>
      <c r="F32" s="2"/>
      <c r="G32" s="12"/>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1"/>
      <c r="C33" s="72"/>
      <c r="D33" s="72"/>
      <c r="E33" s="68" t="s">
        <v>59</v>
      </c>
      <c r="F33" s="2"/>
      <c r="G33" s="12"/>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1"/>
      <c r="C34" s="72"/>
      <c r="D34" s="72"/>
      <c r="E34" s="68" t="s">
        <v>59</v>
      </c>
      <c r="F34" s="2"/>
      <c r="G34" s="12"/>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1"/>
      <c r="C35" s="72"/>
      <c r="D35" s="72"/>
      <c r="E35" s="68" t="s">
        <v>59</v>
      </c>
      <c r="F35" s="2"/>
      <c r="G35" s="12"/>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1"/>
      <c r="C36" s="72"/>
      <c r="D36" s="72"/>
      <c r="E36" s="68" t="s">
        <v>59</v>
      </c>
      <c r="F36" s="2"/>
      <c r="G36" s="12"/>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1"/>
      <c r="C37" s="72"/>
      <c r="D37" s="72"/>
      <c r="E37" s="68" t="s">
        <v>59</v>
      </c>
      <c r="F37" s="2"/>
      <c r="G37" s="12"/>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1"/>
      <c r="C38" s="72"/>
      <c r="D38" s="72"/>
      <c r="E38" s="68" t="s">
        <v>59</v>
      </c>
      <c r="F38" s="2"/>
      <c r="G38" s="12"/>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1"/>
      <c r="C39" s="72"/>
      <c r="D39" s="72"/>
      <c r="E39" s="68" t="s">
        <v>59</v>
      </c>
      <c r="F39" s="2"/>
      <c r="G39" s="12"/>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1"/>
      <c r="C40" s="72"/>
      <c r="D40" s="72"/>
      <c r="E40" s="68" t="s">
        <v>59</v>
      </c>
      <c r="F40" s="2"/>
      <c r="G40" s="12"/>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1"/>
      <c r="C41" s="72"/>
      <c r="D41" s="72"/>
      <c r="E41" s="68" t="s">
        <v>59</v>
      </c>
      <c r="F41" s="2"/>
      <c r="G41" s="12"/>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1"/>
      <c r="C42" s="72"/>
      <c r="D42" s="72"/>
      <c r="E42" s="68" t="s">
        <v>59</v>
      </c>
      <c r="F42" s="2"/>
      <c r="G42" s="12"/>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1"/>
      <c r="C43" s="72"/>
      <c r="D43" s="72"/>
      <c r="E43" s="68" t="s">
        <v>59</v>
      </c>
      <c r="F43" s="2"/>
      <c r="G43" s="12"/>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1"/>
      <c r="C44" s="72"/>
      <c r="D44" s="72"/>
      <c r="E44" s="68" t="s">
        <v>59</v>
      </c>
      <c r="F44" s="2"/>
      <c r="G44" s="12"/>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1"/>
      <c r="C45" s="72"/>
      <c r="D45" s="72"/>
      <c r="E45" s="68" t="s">
        <v>59</v>
      </c>
      <c r="F45" s="2"/>
      <c r="G45" s="12"/>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1"/>
      <c r="C46" s="72"/>
      <c r="D46" s="72"/>
      <c r="E46" s="68" t="s">
        <v>59</v>
      </c>
      <c r="F46" s="2"/>
      <c r="G46" s="12"/>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1"/>
      <c r="C47" s="72"/>
      <c r="D47" s="72"/>
      <c r="E47" s="68" t="s">
        <v>59</v>
      </c>
      <c r="F47" s="2"/>
      <c r="G47" s="12"/>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1"/>
      <c r="C48" s="72"/>
      <c r="D48" s="72"/>
      <c r="E48" s="68" t="s">
        <v>59</v>
      </c>
      <c r="F48" s="2"/>
      <c r="G48" s="12"/>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1"/>
      <c r="C49" s="72"/>
      <c r="D49" s="72"/>
      <c r="E49" s="68" t="s">
        <v>59</v>
      </c>
      <c r="F49" s="2"/>
      <c r="G49" s="12"/>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1"/>
      <c r="C50" s="72"/>
      <c r="D50" s="72"/>
      <c r="E50" s="68" t="s">
        <v>59</v>
      </c>
      <c r="F50" s="2"/>
      <c r="G50" s="12"/>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1"/>
      <c r="C51" s="72"/>
      <c r="D51" s="72"/>
      <c r="E51" s="68" t="s">
        <v>59</v>
      </c>
      <c r="F51" s="2"/>
      <c r="G51" s="12"/>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1"/>
      <c r="C52" s="72"/>
      <c r="D52" s="72"/>
      <c r="E52" s="68" t="s">
        <v>59</v>
      </c>
      <c r="F52" s="2"/>
      <c r="G52" s="12"/>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1"/>
      <c r="C53" s="72"/>
      <c r="D53" s="72"/>
      <c r="E53" s="68" t="s">
        <v>59</v>
      </c>
      <c r="F53" s="2"/>
      <c r="G53" s="12"/>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1"/>
      <c r="C54" s="72"/>
      <c r="D54" s="72"/>
      <c r="E54" s="68" t="s">
        <v>59</v>
      </c>
      <c r="F54" s="2"/>
      <c r="G54" s="12"/>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1"/>
      <c r="C55" s="72"/>
      <c r="D55" s="72"/>
      <c r="E55" s="68" t="s">
        <v>59</v>
      </c>
      <c r="F55" s="2"/>
      <c r="G55" s="12"/>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1"/>
      <c r="C56" s="72"/>
      <c r="D56" s="72"/>
      <c r="E56" s="68" t="s">
        <v>59</v>
      </c>
      <c r="F56" s="2"/>
      <c r="G56" s="12"/>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1"/>
      <c r="C57" s="72"/>
      <c r="D57" s="72"/>
      <c r="E57" s="68" t="s">
        <v>59</v>
      </c>
      <c r="F57" s="2"/>
      <c r="G57" s="12"/>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1"/>
      <c r="C58" s="72"/>
      <c r="D58" s="72"/>
      <c r="E58" s="68" t="s">
        <v>59</v>
      </c>
      <c r="F58" s="2"/>
      <c r="G58" s="12"/>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1"/>
      <c r="C59" s="72"/>
      <c r="D59" s="72"/>
      <c r="E59" s="68" t="s">
        <v>59</v>
      </c>
      <c r="F59" s="2"/>
      <c r="G59" s="12"/>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1"/>
      <c r="C60" s="72"/>
      <c r="D60" s="72"/>
      <c r="E60" s="68" t="s">
        <v>59</v>
      </c>
      <c r="F60" s="2"/>
      <c r="G60" s="12"/>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1"/>
      <c r="C61" s="72"/>
      <c r="D61" s="72"/>
      <c r="E61" s="68" t="s">
        <v>59</v>
      </c>
      <c r="F61" s="2"/>
      <c r="G61" s="12"/>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1"/>
      <c r="C62" s="72"/>
      <c r="D62" s="72"/>
      <c r="E62" s="68" t="s">
        <v>59</v>
      </c>
      <c r="F62" s="2"/>
      <c r="G62" s="12"/>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1"/>
      <c r="C63" s="72"/>
      <c r="D63" s="72"/>
      <c r="E63" s="68" t="s">
        <v>59</v>
      </c>
      <c r="F63" s="2"/>
      <c r="G63" s="12"/>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1"/>
      <c r="C64" s="72"/>
      <c r="D64" s="72"/>
      <c r="E64" s="68" t="s">
        <v>59</v>
      </c>
      <c r="F64" s="2"/>
      <c r="G64" s="12"/>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1"/>
      <c r="C65" s="72"/>
      <c r="D65" s="72"/>
      <c r="E65" s="68" t="s">
        <v>59</v>
      </c>
      <c r="F65" s="2"/>
      <c r="G65" s="12"/>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1"/>
      <c r="C66" s="72"/>
      <c r="D66" s="72"/>
      <c r="E66" s="68" t="s">
        <v>59</v>
      </c>
      <c r="F66" s="2"/>
      <c r="G66" s="12"/>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1"/>
      <c r="C67" s="72"/>
      <c r="D67" s="72"/>
      <c r="E67" s="68" t="s">
        <v>59</v>
      </c>
      <c r="F67" s="2"/>
      <c r="G67" s="12"/>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1"/>
      <c r="C68" s="72"/>
      <c r="D68" s="72"/>
      <c r="E68" s="68" t="s">
        <v>59</v>
      </c>
      <c r="F68" s="2"/>
      <c r="G68" s="12"/>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1"/>
      <c r="C69" s="72"/>
      <c r="D69" s="72"/>
      <c r="E69" s="68" t="s">
        <v>59</v>
      </c>
      <c r="F69" s="2"/>
      <c r="G69" s="12"/>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1"/>
      <c r="C70" s="72"/>
      <c r="D70" s="72"/>
      <c r="E70" s="68" t="s">
        <v>59</v>
      </c>
      <c r="F70" s="2"/>
      <c r="G70" s="12"/>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1"/>
      <c r="C71" s="72"/>
      <c r="D71" s="72"/>
      <c r="E71" s="68" t="s">
        <v>59</v>
      </c>
      <c r="F71" s="2"/>
      <c r="G71" s="12"/>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1"/>
      <c r="C72" s="72"/>
      <c r="D72" s="72"/>
      <c r="E72" s="68" t="s">
        <v>59</v>
      </c>
      <c r="F72" s="2"/>
      <c r="G72" s="12"/>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1"/>
      <c r="C73" s="72"/>
      <c r="D73" s="72"/>
      <c r="E73" s="68" t="s">
        <v>59</v>
      </c>
      <c r="F73" s="2"/>
      <c r="G73" s="12"/>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1"/>
      <c r="C74" s="72"/>
      <c r="D74" s="72"/>
      <c r="E74" s="68" t="s">
        <v>59</v>
      </c>
      <c r="F74" s="2"/>
      <c r="G74" s="12"/>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1"/>
      <c r="C75" s="72"/>
      <c r="D75" s="72"/>
      <c r="E75" s="68" t="s">
        <v>59</v>
      </c>
      <c r="F75" s="2"/>
      <c r="G75" s="12"/>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1"/>
      <c r="C76" s="72"/>
      <c r="D76" s="72"/>
      <c r="E76" s="68" t="s">
        <v>59</v>
      </c>
      <c r="F76" s="2"/>
      <c r="G76" s="12"/>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1"/>
      <c r="C77" s="72"/>
      <c r="D77" s="72"/>
      <c r="E77" s="68" t="s">
        <v>59</v>
      </c>
      <c r="F77" s="2"/>
      <c r="G77" s="12"/>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1"/>
      <c r="C78" s="72"/>
      <c r="D78" s="72"/>
      <c r="E78" s="68" t="s">
        <v>59</v>
      </c>
      <c r="F78" s="2"/>
      <c r="G78" s="12"/>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1"/>
      <c r="C79" s="72"/>
      <c r="D79" s="72"/>
      <c r="E79" s="68" t="s">
        <v>59</v>
      </c>
      <c r="F79" s="2"/>
      <c r="G79" s="12"/>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1"/>
      <c r="C80" s="72"/>
      <c r="D80" s="72"/>
      <c r="E80" s="68" t="s">
        <v>59</v>
      </c>
      <c r="F80" s="2"/>
      <c r="G80" s="12"/>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1"/>
      <c r="C81" s="72"/>
      <c r="D81" s="72"/>
      <c r="E81" s="68" t="s">
        <v>59</v>
      </c>
      <c r="F81" s="2"/>
      <c r="G81" s="12"/>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1"/>
      <c r="C82" s="72"/>
      <c r="D82" s="72"/>
      <c r="E82" s="68" t="s">
        <v>59</v>
      </c>
      <c r="F82" s="2"/>
      <c r="G82" s="12"/>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1"/>
      <c r="C83" s="72"/>
      <c r="D83" s="72"/>
      <c r="E83" s="68" t="s">
        <v>59</v>
      </c>
      <c r="F83" s="2"/>
      <c r="G83" s="12"/>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1"/>
      <c r="C84" s="72"/>
      <c r="D84" s="72"/>
      <c r="E84" s="68" t="s">
        <v>59</v>
      </c>
      <c r="F84" s="2"/>
      <c r="G84" s="12"/>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1"/>
      <c r="C85" s="72"/>
      <c r="D85" s="72"/>
      <c r="E85" s="68" t="s">
        <v>59</v>
      </c>
      <c r="F85" s="2"/>
      <c r="G85" s="12"/>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1"/>
      <c r="C86" s="72"/>
      <c r="D86" s="72"/>
      <c r="E86" s="68" t="s">
        <v>59</v>
      </c>
      <c r="F86" s="2"/>
      <c r="G86" s="12"/>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1"/>
      <c r="C87" s="72"/>
      <c r="D87" s="72"/>
      <c r="E87" s="68" t="s">
        <v>59</v>
      </c>
      <c r="F87" s="2"/>
      <c r="G87" s="12"/>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1"/>
      <c r="C88" s="72"/>
      <c r="D88" s="72"/>
      <c r="E88" s="68" t="s">
        <v>59</v>
      </c>
      <c r="F88" s="2"/>
      <c r="G88" s="12"/>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1"/>
      <c r="C89" s="72"/>
      <c r="D89" s="72"/>
      <c r="E89" s="68" t="s">
        <v>59</v>
      </c>
      <c r="F89" s="2"/>
      <c r="G89" s="12"/>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1"/>
      <c r="C90" s="72"/>
      <c r="D90" s="72"/>
      <c r="E90" s="68" t="s">
        <v>59</v>
      </c>
      <c r="F90" s="2"/>
      <c r="G90" s="12"/>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1"/>
      <c r="C91" s="72"/>
      <c r="D91" s="72"/>
      <c r="E91" s="68" t="s">
        <v>59</v>
      </c>
      <c r="F91" s="2"/>
      <c r="G91" s="12"/>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1"/>
      <c r="C92" s="72"/>
      <c r="D92" s="72"/>
      <c r="E92" s="68" t="s">
        <v>59</v>
      </c>
      <c r="F92" s="2"/>
      <c r="G92" s="12"/>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1"/>
      <c r="C93" s="72"/>
      <c r="D93" s="72"/>
      <c r="E93" s="68" t="s">
        <v>59</v>
      </c>
      <c r="F93" s="2"/>
      <c r="G93" s="12"/>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1"/>
      <c r="C94" s="72"/>
      <c r="D94" s="72"/>
      <c r="E94" s="68" t="s">
        <v>59</v>
      </c>
      <c r="F94" s="2"/>
      <c r="G94" s="12"/>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1"/>
      <c r="C95" s="72"/>
      <c r="D95" s="72"/>
      <c r="E95" s="68" t="s">
        <v>59</v>
      </c>
      <c r="F95" s="2"/>
      <c r="G95" s="12"/>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1"/>
      <c r="C96" s="72"/>
      <c r="D96" s="72"/>
      <c r="E96" s="68" t="s">
        <v>59</v>
      </c>
      <c r="F96" s="2"/>
      <c r="G96" s="12"/>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1"/>
      <c r="C97" s="72"/>
      <c r="D97" s="72"/>
      <c r="E97" s="68" t="s">
        <v>59</v>
      </c>
      <c r="F97" s="2"/>
      <c r="G97" s="12"/>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1"/>
      <c r="C98" s="72"/>
      <c r="D98" s="72"/>
      <c r="E98" s="68" t="s">
        <v>59</v>
      </c>
      <c r="F98" s="2"/>
      <c r="G98" s="12"/>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1"/>
      <c r="C99" s="72"/>
      <c r="D99" s="72"/>
      <c r="E99" s="68" t="s">
        <v>59</v>
      </c>
      <c r="F99" s="2"/>
      <c r="G99" s="12"/>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1"/>
      <c r="C100" s="72"/>
      <c r="D100" s="72"/>
      <c r="E100" s="68" t="s">
        <v>59</v>
      </c>
      <c r="F100" s="2"/>
      <c r="G100" s="12"/>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1"/>
      <c r="C101" s="72"/>
      <c r="D101" s="72"/>
      <c r="E101" s="68" t="s">
        <v>59</v>
      </c>
      <c r="F101" s="2"/>
      <c r="G101" s="12"/>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1"/>
      <c r="C102" s="72"/>
      <c r="D102" s="72"/>
      <c r="E102" s="68" t="s">
        <v>59</v>
      </c>
      <c r="F102" s="2"/>
      <c r="G102" s="12"/>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1"/>
      <c r="C103" s="72"/>
      <c r="D103" s="72"/>
      <c r="E103" s="68" t="s">
        <v>59</v>
      </c>
      <c r="F103" s="2"/>
      <c r="G103" s="12"/>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1"/>
      <c r="C104" s="72"/>
      <c r="D104" s="72"/>
      <c r="E104" s="68" t="s">
        <v>59</v>
      </c>
      <c r="F104" s="2"/>
      <c r="G104" s="12"/>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1"/>
      <c r="C105" s="72"/>
      <c r="D105" s="72"/>
      <c r="E105" s="68" t="s">
        <v>59</v>
      </c>
      <c r="F105" s="2"/>
      <c r="G105" s="12"/>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1"/>
      <c r="C106" s="72"/>
      <c r="D106" s="72"/>
      <c r="E106" s="68" t="s">
        <v>59</v>
      </c>
      <c r="F106" s="2"/>
      <c r="G106" s="12"/>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1"/>
      <c r="C107" s="72"/>
      <c r="D107" s="72"/>
      <c r="E107" s="68" t="s">
        <v>59</v>
      </c>
      <c r="F107" s="2"/>
      <c r="G107" s="12"/>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1"/>
      <c r="C108" s="72"/>
      <c r="D108" s="72"/>
      <c r="E108" s="68" t="s">
        <v>59</v>
      </c>
      <c r="F108" s="2"/>
      <c r="G108" s="12"/>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1"/>
      <c r="C109" s="72"/>
      <c r="D109" s="72"/>
      <c r="E109" s="68" t="s">
        <v>59</v>
      </c>
      <c r="F109" s="2"/>
      <c r="G109" s="12"/>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73"/>
      <c r="C110" s="74"/>
      <c r="D110" s="74"/>
      <c r="E110" s="75" t="s">
        <v>59</v>
      </c>
      <c r="F110" s="2"/>
      <c r="G110" s="12"/>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3 -- Main Lab Due: 6 Feb</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2" t="str">
        <f>IF(P6,P5,IF(T6,T5,IF(Y6,Y5,AA5)))</f>
        <v>You turned in this chapter's lab before the due date, well done!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3.0</v>
      </c>
      <c r="H4" s="23">
        <f t="array" ref="H4:J4">INDEX(LabInfo, G4)</f>
        <v>44233</v>
      </c>
      <c r="I4" s="9">
        <v>4.0</v>
      </c>
      <c r="J4" s="24">
        <v>6.0</v>
      </c>
      <c r="K4" s="19" t="s">
        <v>22</v>
      </c>
      <c r="L4" s="11">
        <f t="array" ref="L4">INDEX(B16:B111, COUNTA(B16:B111))</f>
        <v>44232</v>
      </c>
      <c r="M4" s="9">
        <f t="shared" ref="M4:O4" si="1">COUNTA(B16:B111)</f>
        <v>6</v>
      </c>
      <c r="N4" s="9">
        <f t="shared" si="1"/>
        <v>6</v>
      </c>
      <c r="O4" s="9">
        <f t="shared" si="1"/>
        <v>6</v>
      </c>
      <c r="P4" s="25" t="b">
        <f>AND(M4=N4,N4=O4)</f>
        <v>1</v>
      </c>
      <c r="Q4" s="26">
        <f>TIME(J4,0,0) - C6</f>
        <v>-0.09375</v>
      </c>
      <c r="R4" s="9">
        <f>I4-C5</f>
        <v>-1</v>
      </c>
      <c r="S4" s="20" t="s">
        <v>23</v>
      </c>
      <c r="T4" s="11">
        <f>C10</f>
        <v>44232</v>
      </c>
      <c r="U4" s="20">
        <f>MAX(0,R4)</f>
        <v>0</v>
      </c>
      <c r="V4" s="9">
        <f>IFERROR(SUM(AA16:AA111), 0)</f>
        <v>1</v>
      </c>
      <c r="W4" s="12">
        <f>SUM(U4:V4)</f>
        <v>1</v>
      </c>
      <c r="X4" s="11">
        <f>TODAY()</f>
        <v>45047</v>
      </c>
      <c r="Y4" s="10" t="b">
        <f>X4&lt;=H4</f>
        <v>0</v>
      </c>
      <c r="Z4" s="27">
        <f>IFERROR(TIME(2,0,0)-VLOOKUP(X4,T16:U111,2,FALSE), TIME(0,0,0))</f>
        <v>0</v>
      </c>
      <c r="AA4" s="9" t="b">
        <f>NOT(Y4)</f>
        <v>1</v>
      </c>
      <c r="AB4" s="9">
        <f>AF16</f>
        <v>-1</v>
      </c>
      <c r="AC4" s="9"/>
      <c r="AD4" s="9"/>
      <c r="AE4" s="9"/>
      <c r="AF4" s="9"/>
      <c r="AG4" s="9"/>
      <c r="AH4" s="9"/>
    </row>
    <row r="5">
      <c r="A5" s="28"/>
      <c r="B5" s="29" t="s">
        <v>24</v>
      </c>
      <c r="C5" s="30">
        <f>COUNTA($K$16:$K111)</f>
        <v>5</v>
      </c>
      <c r="D5" s="31"/>
      <c r="E5" s="32"/>
      <c r="F5" s="2"/>
      <c r="G5" s="12"/>
      <c r="H5" s="10"/>
      <c r="I5" s="12"/>
      <c r="J5" s="10"/>
      <c r="K5" s="33" t="s">
        <v>25</v>
      </c>
      <c r="L5" s="9"/>
      <c r="M5" s="9"/>
      <c r="N5" s="9"/>
      <c r="O5" s="9"/>
      <c r="P5" s="34" t="s">
        <v>26</v>
      </c>
      <c r="Q5" s="9" t="str">
        <f>TEXT(Q4, "h\h m\m")&amp;" more work time"</f>
        <v>21h 45m more work time</v>
      </c>
      <c r="R5" s="9" t="str">
        <f>R4&amp;" more day"&amp;IF(R4=1,"","s")&amp;" worked"</f>
        <v>-1 more days worked</v>
      </c>
      <c r="S5" s="9" t="str">
        <f>"you will need "&amp;IF(Q6,Q5,"")&amp;IF(AND(Q6,R6)," and ","")&amp;IF(R6,R5,"")&amp;" before (or on) the due date to invoke the non-late policy"</f>
        <v>you will need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turned in this chapter's lab before the due date, well done!</v>
      </c>
      <c r="U5" s="9" t="s">
        <v>27</v>
      </c>
      <c r="V5" s="9" t="s">
        <v>28</v>
      </c>
      <c r="W5" s="9" t="str">
        <f>"You would need "&amp;W4&amp;" late day"&amp;IF(W4=1,"","s")&amp;" to be able to invoke the non-late policy."</f>
        <v>You would need 1 late day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You have completed the pre-due date requirements to satisfy the non-late policy.
If you turn in the lab after the due date, you will still need to work at least 2 hours every work day after the due date (or use late days) to be graded as on time.</v>
      </c>
      <c r="Z5" s="12" t="str">
        <f>"if you work at least "&amp;TEXT(Z4, "h\h m\m")&amp;" more today"</f>
        <v>if you work at least 0h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would need -1 traditional late days to be graded for full credit</v>
      </c>
      <c r="AB5" s="9" t="str">
        <f>"You would need "&amp;AB4&amp;" traditional late day"&amp;IF(AB4=1,"","s")&amp;" to be graded for full credit"</f>
        <v>You would need -1 traditional late days to be graded for full credit</v>
      </c>
      <c r="AC5" s="9"/>
      <c r="AD5" s="9"/>
      <c r="AE5" s="9"/>
      <c r="AF5" s="9"/>
      <c r="AG5" s="9"/>
      <c r="AH5" s="9"/>
    </row>
    <row r="6">
      <c r="A6" s="28"/>
      <c r="B6" s="35" t="s">
        <v>29</v>
      </c>
      <c r="C6" s="36">
        <f>SUM($J$16:$J111)</f>
        <v>0.34375</v>
      </c>
      <c r="D6" s="37"/>
      <c r="E6" s="38"/>
      <c r="F6" s="2"/>
      <c r="G6" s="9"/>
      <c r="H6" s="10"/>
      <c r="I6" s="9"/>
      <c r="J6" s="10"/>
      <c r="K6" s="33" t="s">
        <v>30</v>
      </c>
      <c r="L6" s="11"/>
      <c r="M6" s="9"/>
      <c r="N6" s="9"/>
      <c r="O6" s="9"/>
      <c r="P6" s="25" t="b">
        <f>NOT(P4)</f>
        <v>0</v>
      </c>
      <c r="Q6" s="9" t="b">
        <f t="shared" ref="Q6:R6" si="2">Q4&gt;0</f>
        <v>0</v>
      </c>
      <c r="R6" s="9" t="b">
        <f t="shared" si="2"/>
        <v>0</v>
      </c>
      <c r="S6" s="20" t="b">
        <f>OR(Q6,R6)</f>
        <v>0</v>
      </c>
      <c r="T6" s="12" t="b">
        <f>T4&lt;&gt;""</f>
        <v>1</v>
      </c>
      <c r="U6" s="20" t="b">
        <f t="shared" ref="U6:V6" si="3">U4&gt;0</f>
        <v>0</v>
      </c>
      <c r="V6" s="9" t="b">
        <f t="shared" si="3"/>
        <v>1</v>
      </c>
      <c r="W6" s="12" t="b">
        <f>OR(U6,V6)</f>
        <v>1</v>
      </c>
      <c r="X6" s="12"/>
      <c r="Y6" s="39" t="b">
        <f>Y4</f>
        <v>0</v>
      </c>
      <c r="Z6" s="12" t="b">
        <f>Z4&gt;0</f>
        <v>0</v>
      </c>
      <c r="AA6" s="12"/>
      <c r="AB6" s="12" t="b">
        <f>AB4&lt;=3</f>
        <v>1</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21h 45m more work time before (or on) the due date to invoke the late policy.</v>
      </c>
      <c r="R7" s="12"/>
      <c r="S7" s="12"/>
      <c r="T7" s="12"/>
      <c r="U7" s="12"/>
      <c r="V7" s="12"/>
      <c r="W7" s="12" t="str">
        <f>"("&amp;IF(U6,IF(V6, U4&amp;" ","")&amp;U5,"")&amp;IF(AND(U6,V6)," and ","")&amp;IF(V6,IF(U6,V4&amp;" ","")&amp;V5,"")&amp;")"</f>
        <v>(to cover days after the due date without at least 2 hours of work)</v>
      </c>
      <c r="X7" s="12"/>
      <c r="Y7" s="12"/>
      <c r="Z7" s="12"/>
      <c r="AA7" s="12"/>
      <c r="AB7" s="12" t="str">
        <f>AB5&amp;"."</f>
        <v>You would need -1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v>44232.0</v>
      </c>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1</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2</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70">
        <v>44224.0</v>
      </c>
      <c r="C16" s="69">
        <v>0.7708333333333334</v>
      </c>
      <c r="D16" s="69">
        <v>0.8888888888888888</v>
      </c>
      <c r="E16" s="65">
        <f t="array" ref="E16:E111">IF(D16:D111="","",D16:D111-C16:C111)</f>
        <v>0.1180555556</v>
      </c>
      <c r="F16" s="2"/>
      <c r="G16" s="66">
        <f>IFERROR(__xludf.DUMMYFUNCTION("SORT(FILTER({$B$16:$B111,$E$16:$E111}, $B$16:$B111 &lt;= $H$4), 1, TRUE)"),44224.0)</f>
        <v>44224</v>
      </c>
      <c r="H16" s="39">
        <f>IFERROR(__xludf.DUMMYFUNCTION("""COMPUTED_VALUE"""),0.11805555555555547)</f>
        <v>0.1180555556</v>
      </c>
      <c r="I16" s="66">
        <f>IFERROR(__xludf.DUMMYFUNCTION("UNIQUE(G$16:G111)"),44224.0)</f>
        <v>44224</v>
      </c>
      <c r="J16" s="39">
        <f>IFERROR(__xludf.DUMMYFUNCTION("IF(I16="""",,SUM(FILTER(H$16:H111, G$16:G111=I16)))"),0.11805555555555547)</f>
        <v>0.1180555556</v>
      </c>
      <c r="K16" s="67">
        <f>IFERROR(__xludf.DUMMYFUNCTION("IFERROR(FILTER(I16:I111, HOUR(J16:J111) &gt;= 1),)"),44224.0)</f>
        <v>44224</v>
      </c>
      <c r="L16" s="12"/>
      <c r="M16" s="67">
        <f t="array" ref="M16:N16">IF(C10="", {TODAY(), TIME(0,0,0)}, {C10, TIME(2,0,0)})</f>
        <v>44232</v>
      </c>
      <c r="N16" s="27">
        <v>0.08333333333333333</v>
      </c>
      <c r="O16" s="24">
        <f>COUNTIF(B16:B111, "&gt;"&amp;H4)</f>
        <v>0</v>
      </c>
      <c r="P16" s="67">
        <f>H4</f>
        <v>44233</v>
      </c>
      <c r="Q16" s="27">
        <f>TIME(0,0,0)</f>
        <v>0</v>
      </c>
      <c r="R16" s="67">
        <f>IFERROR(__xludf.DUMMYFUNCTION("SORT(IF(O16&gt;0, {FILTER(P$16:Q111, P16:P111);M16:N16},{P16:Q16;M16:N16} ))"),44232.0)</f>
        <v>44232</v>
      </c>
      <c r="S16" s="39">
        <f>IFERROR(__xludf.DUMMYFUNCTION("""COMPUTED_VALUE"""),0.08333333333333333)</f>
        <v>0.08333333333</v>
      </c>
      <c r="T16" s="67">
        <f>IFERROR(__xludf.DUMMYFUNCTION("UNIQUE(R$16:R111)"),44232.0)</f>
        <v>44232</v>
      </c>
      <c r="U16" s="39">
        <f>IFERROR(__xludf.DUMMYFUNCTION("IF(T16="""",,SUM(FILTER(S$16:S111, R$16:R111=T16)))"),0.08333333333333333)</f>
        <v>0.08333333333</v>
      </c>
      <c r="V16" s="12"/>
      <c r="W16" s="12">
        <f t="array" ref="W16:W17">MATCH(T16:T111, SkippableDays)</f>
        <v>6</v>
      </c>
      <c r="X16" s="12"/>
      <c r="Y16" s="12"/>
      <c r="Z16" s="12"/>
      <c r="AA16" s="12">
        <f t="array" ref="AA16:AA17">IF(Y16:Y111 &gt;= 0, Y16:Y111, 0) + Z16:Z111</f>
        <v>0</v>
      </c>
      <c r="AB16" s="12"/>
      <c r="AC16" s="66">
        <f>H4</f>
        <v>44233</v>
      </c>
      <c r="AD16" s="12">
        <f>MATCH(AC16, SkippableDays)</f>
        <v>6</v>
      </c>
      <c r="AE16" s="12">
        <f>AC17-AC16</f>
        <v>-1</v>
      </c>
      <c r="AF16" s="12">
        <f>AE16-AE17+IF(ISERROR(MATCH(AC17, SkippableDays,0)),0,1)</f>
        <v>-1</v>
      </c>
      <c r="AG16" s="12"/>
      <c r="AH16" s="12"/>
    </row>
    <row r="17">
      <c r="A17" s="50"/>
      <c r="B17" s="63">
        <v>44227.0</v>
      </c>
      <c r="C17" s="64">
        <v>0.5993055555555555</v>
      </c>
      <c r="D17" s="64">
        <v>0.625</v>
      </c>
      <c r="E17" s="68">
        <v>0.025694444444444464</v>
      </c>
      <c r="F17" s="2"/>
      <c r="G17" s="66">
        <f>IFERROR(__xludf.DUMMYFUNCTION("""COMPUTED_VALUE"""),44227.0)</f>
        <v>44227</v>
      </c>
      <c r="H17" s="39">
        <f>IFERROR(__xludf.DUMMYFUNCTION("""COMPUTED_VALUE"""),0.025694444444444464)</f>
        <v>0.02569444444</v>
      </c>
      <c r="I17" s="66">
        <f>IFERROR(__xludf.DUMMYFUNCTION("""COMPUTED_VALUE"""),44227.0)</f>
        <v>44227</v>
      </c>
      <c r="J17" s="39">
        <f>IFERROR(__xludf.DUMMYFUNCTION("IF(I17="""",,SUM(FILTER(H$16:H111, G$16:G111=I17)))"),0.0673611111111111)</f>
        <v>0.06736111111</v>
      </c>
      <c r="K17" s="67">
        <f>IFERROR(__xludf.DUMMYFUNCTION("""COMPUTED_VALUE"""),44227.0)</f>
        <v>44227</v>
      </c>
      <c r="L17" s="12"/>
      <c r="M17" s="67"/>
      <c r="N17" s="67"/>
      <c r="O17" s="67"/>
      <c r="P17" s="67" t="str">
        <f>IFERROR(__xludf.DUMMYFUNCTION("FILTER({$B$16:$B111,$E$16:$E111}, $B$16:$B111 &gt; $H$4)"),"#N/A")</f>
        <v>#N/A</v>
      </c>
      <c r="Q17" s="27"/>
      <c r="R17" s="67">
        <f>IFERROR(__xludf.DUMMYFUNCTION("""COMPUTED_VALUE"""),44233.0)</f>
        <v>44233</v>
      </c>
      <c r="S17" s="39">
        <f>IFERROR(__xludf.DUMMYFUNCTION("""COMPUTED_VALUE"""),0.0)</f>
        <v>0</v>
      </c>
      <c r="T17" s="67">
        <f>IFERROR(__xludf.DUMMYFUNCTION("""COMPUTED_VALUE"""),44233.0)</f>
        <v>44233</v>
      </c>
      <c r="U17" s="39">
        <f>IFERROR(__xludf.DUMMYFUNCTION("IF(T17="""",,SUM(FILTER(S$16:S111, R$16:R111=T17)))"),0.0)</f>
        <v>0</v>
      </c>
      <c r="V17" s="12">
        <f t="array" ref="V17">T17:T111 - T16:T111 - 1</f>
        <v>0</v>
      </c>
      <c r="W17" s="12">
        <v>6.0</v>
      </c>
      <c r="X17" s="12">
        <f t="array" ref="X17">W17:W111-W16:W111</f>
        <v>0</v>
      </c>
      <c r="Y17" s="12">
        <f t="array" ref="Y17">V17:V111 - X17:X111</f>
        <v>0</v>
      </c>
      <c r="Z17" s="12">
        <f t="array" ref="Z17">IF(HOUR(U17:U111) &gt;= 2, 0, 1)</f>
        <v>1</v>
      </c>
      <c r="AA17" s="12">
        <v>1.0</v>
      </c>
      <c r="AB17" s="12"/>
      <c r="AC17" s="67">
        <f>M16</f>
        <v>44232</v>
      </c>
      <c r="AD17" s="12">
        <f>MATCH(AC17, SkippableDays)</f>
        <v>6</v>
      </c>
      <c r="AE17" s="12">
        <f>AD17-AD16</f>
        <v>0</v>
      </c>
      <c r="AF17" s="12"/>
      <c r="AG17" s="12"/>
      <c r="AH17" s="12"/>
    </row>
    <row r="18">
      <c r="A18" s="50"/>
      <c r="B18" s="63">
        <v>44227.0</v>
      </c>
      <c r="C18" s="64">
        <v>0.75</v>
      </c>
      <c r="D18" s="64">
        <v>0.7916666666666666</v>
      </c>
      <c r="E18" s="68">
        <v>0.04166666666666663</v>
      </c>
      <c r="F18" s="2"/>
      <c r="G18" s="66">
        <f>IFERROR(__xludf.DUMMYFUNCTION("""COMPUTED_VALUE"""),44227.0)</f>
        <v>44227</v>
      </c>
      <c r="H18" s="39">
        <f>IFERROR(__xludf.DUMMYFUNCTION("""COMPUTED_VALUE"""),0.04166666666666663)</f>
        <v>0.04166666667</v>
      </c>
      <c r="I18" s="66">
        <f>IFERROR(__xludf.DUMMYFUNCTION("""COMPUTED_VALUE"""),44229.0)</f>
        <v>44229</v>
      </c>
      <c r="J18" s="39">
        <f>IFERROR(__xludf.DUMMYFUNCTION("IF(I18="""",,SUM(FILTER(H$16:H111, G$16:G111=I18)))"),0.05902777777777779)</f>
        <v>0.05902777778</v>
      </c>
      <c r="K18" s="67">
        <f>IFERROR(__xludf.DUMMYFUNCTION("""COMPUTED_VALUE"""),44229.0)</f>
        <v>44229</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63">
        <v>44229.0</v>
      </c>
      <c r="C19" s="64">
        <v>0.725</v>
      </c>
      <c r="D19" s="64">
        <v>0.7840277777777778</v>
      </c>
      <c r="E19" s="68">
        <v>0.05902777777777779</v>
      </c>
      <c r="F19" s="2"/>
      <c r="G19" s="66">
        <f>IFERROR(__xludf.DUMMYFUNCTION("""COMPUTED_VALUE"""),44229.0)</f>
        <v>44229</v>
      </c>
      <c r="H19" s="39">
        <f>IFERROR(__xludf.DUMMYFUNCTION("""COMPUTED_VALUE"""),0.05902777777777779)</f>
        <v>0.05902777778</v>
      </c>
      <c r="I19" s="66">
        <f>IFERROR(__xludf.DUMMYFUNCTION("""COMPUTED_VALUE"""),44230.0)</f>
        <v>44230</v>
      </c>
      <c r="J19" s="39">
        <f>IFERROR(__xludf.DUMMYFUNCTION("IF(I19="""",,SUM(FILTER(H$16:H111, G$16:G111=I19)))"),0.04583333333333328)</f>
        <v>0.04583333333</v>
      </c>
      <c r="K19" s="67">
        <f>IFERROR(__xludf.DUMMYFUNCTION("""COMPUTED_VALUE"""),44230.0)</f>
        <v>44230</v>
      </c>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63">
        <v>44230.0</v>
      </c>
      <c r="C20" s="69">
        <v>0.6847222222222222</v>
      </c>
      <c r="D20" s="69">
        <v>0.7305555555555555</v>
      </c>
      <c r="E20" s="68">
        <v>0.04583333333333328</v>
      </c>
      <c r="F20" s="2"/>
      <c r="G20" s="66">
        <f>IFERROR(__xludf.DUMMYFUNCTION("""COMPUTED_VALUE"""),44230.0)</f>
        <v>44230</v>
      </c>
      <c r="H20" s="39">
        <f>IFERROR(__xludf.DUMMYFUNCTION("""COMPUTED_VALUE"""),0.04583333333333328)</f>
        <v>0.04583333333</v>
      </c>
      <c r="I20" s="66">
        <f>IFERROR(__xludf.DUMMYFUNCTION("""COMPUTED_VALUE"""),44232.0)</f>
        <v>44232</v>
      </c>
      <c r="J20" s="39">
        <f>IFERROR(__xludf.DUMMYFUNCTION("IF(I20="""",,SUM(FILTER(H$16:H111, G$16:G111=I20)))"),0.0534722222222222)</f>
        <v>0.05347222222</v>
      </c>
      <c r="K20" s="67">
        <f>IFERROR(__xludf.DUMMYFUNCTION("""COMPUTED_VALUE"""),44232.0)</f>
        <v>44232</v>
      </c>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0">
        <v>44232.0</v>
      </c>
      <c r="C21" s="69">
        <v>0.4166666666666667</v>
      </c>
      <c r="D21" s="69">
        <v>0.4701388888888889</v>
      </c>
      <c r="E21" s="68">
        <v>0.0534722222222222</v>
      </c>
      <c r="F21" s="2"/>
      <c r="G21" s="66">
        <f>IFERROR(__xludf.DUMMYFUNCTION("""COMPUTED_VALUE"""),44232.0)</f>
        <v>44232</v>
      </c>
      <c r="H21" s="39">
        <f>IFERROR(__xludf.DUMMYFUNCTION("""COMPUTED_VALUE"""),0.0534722222222222)</f>
        <v>0.05347222222</v>
      </c>
      <c r="I21" s="66"/>
      <c r="J21" s="39" t="str">
        <f>IFERROR(__xludf.DUMMYFUNCTION("IF(I21="""",,SUM(FILTER(H$16:H111, G$16:G111=I21)))"),"")</f>
        <v/>
      </c>
      <c r="K21" s="67"/>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0"/>
      <c r="C22" s="69"/>
      <c r="D22" s="69"/>
      <c r="E22" s="68" t="s">
        <v>59</v>
      </c>
      <c r="F22" s="2"/>
      <c r="G22" s="66"/>
      <c r="H22" s="39" t="str">
        <f>IFERROR(__xludf.DUMMYFUNCTION("""COMPUTED_VALUE"""),"")</f>
        <v/>
      </c>
      <c r="I22" s="12"/>
      <c r="J22" s="39" t="str">
        <f>IFERROR(__xludf.DUMMYFUNCTION("IF(I22="""",,SUM(FILTER(H$16:H111, G$16:G111=I22)))"),"")</f>
        <v/>
      </c>
      <c r="K22" s="67"/>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70"/>
      <c r="C23" s="69"/>
      <c r="D23" s="69"/>
      <c r="E23" s="68" t="s">
        <v>59</v>
      </c>
      <c r="F23" s="2"/>
      <c r="G23" s="66"/>
      <c r="H23" s="39" t="str">
        <f>IFERROR(__xludf.DUMMYFUNCTION("""COMPUTED_VALUE"""),"")</f>
        <v/>
      </c>
      <c r="I23" s="12"/>
      <c r="J23" s="39" t="str">
        <f>IFERROR(__xludf.DUMMYFUNCTION("IF(I23="""",,SUM(FILTER(H$16:H111, G$16:G111=I23)))"),"")</f>
        <v/>
      </c>
      <c r="K23" s="67"/>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0"/>
      <c r="C24" s="69"/>
      <c r="D24" s="69"/>
      <c r="E24" s="68" t="s">
        <v>59</v>
      </c>
      <c r="F24" s="2"/>
      <c r="G24" s="66"/>
      <c r="H24" s="39" t="str">
        <f>IFERROR(__xludf.DUMMYFUNCTION("""COMPUTED_VALUE"""),"")</f>
        <v/>
      </c>
      <c r="I24" s="12"/>
      <c r="J24" s="39" t="str">
        <f>IFERROR(__xludf.DUMMYFUNCTION("IF(I24="""",,SUM(FILTER(H$16:H111, G$16:G111=I24)))"),"")</f>
        <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0"/>
      <c r="C25" s="69"/>
      <c r="D25" s="69"/>
      <c r="E25" s="68" t="s">
        <v>59</v>
      </c>
      <c r="F25" s="2"/>
      <c r="G25" s="66"/>
      <c r="H25" s="39" t="str">
        <f>IFERROR(__xludf.DUMMYFUNCTION("""COMPUTED_VALUE"""),"")</f>
        <v/>
      </c>
      <c r="I25" s="12"/>
      <c r="J25" s="39" t="str">
        <f>IFERROR(__xludf.DUMMYFUNCTION("IF(I25="""",,SUM(FILTER(H$16:H111, G$16:G111=I25)))"),"")</f>
        <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0"/>
      <c r="C26" s="69"/>
      <c r="D26" s="69"/>
      <c r="E26" s="68" t="s">
        <v>59</v>
      </c>
      <c r="F26" s="2"/>
      <c r="G26" s="66"/>
      <c r="H26" s="39" t="str">
        <f>IFERROR(__xludf.DUMMYFUNCTION("""COMPUTED_VALUE"""),"")</f>
        <v/>
      </c>
      <c r="I26" s="12"/>
      <c r="J26" s="39" t="str">
        <f>IFERROR(__xludf.DUMMYFUNCTION("IF(I26="""",,SUM(FILTER(H$16:H111, G$16:G111=I26)))"),"")</f>
        <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1"/>
      <c r="C27" s="72"/>
      <c r="D27" s="72"/>
      <c r="E27" s="68" t="s">
        <v>59</v>
      </c>
      <c r="F27" s="2"/>
      <c r="G27" s="12"/>
      <c r="H27" s="39" t="str">
        <f>IFERROR(__xludf.DUMMYFUNCTION("""COMPUTED_VALUE"""),"")</f>
        <v/>
      </c>
      <c r="I27" s="12"/>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1"/>
      <c r="C28" s="72"/>
      <c r="D28" s="72"/>
      <c r="E28" s="68" t="s">
        <v>59</v>
      </c>
      <c r="F28" s="2"/>
      <c r="G28" s="12"/>
      <c r="H28" s="39" t="str">
        <f>IFERROR(__xludf.DUMMYFUNCTION("""COMPUTED_VALUE"""),"")</f>
        <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1"/>
      <c r="C29" s="72"/>
      <c r="D29" s="72"/>
      <c r="E29" s="68" t="s">
        <v>59</v>
      </c>
      <c r="F29" s="2"/>
      <c r="G29" s="12"/>
      <c r="H29" s="39" t="str">
        <f>IFERROR(__xludf.DUMMYFUNCTION("""COMPUTED_VALUE"""),"")</f>
        <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1"/>
      <c r="C30" s="72"/>
      <c r="D30" s="72"/>
      <c r="E30" s="68" t="s">
        <v>59</v>
      </c>
      <c r="F30" s="2"/>
      <c r="G30" s="12"/>
      <c r="H30" s="39" t="str">
        <f>IFERROR(__xludf.DUMMYFUNCTION("""COMPUTED_VALUE"""),"")</f>
        <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1"/>
      <c r="C31" s="72"/>
      <c r="D31" s="72"/>
      <c r="E31" s="68" t="s">
        <v>59</v>
      </c>
      <c r="F31" s="2"/>
      <c r="G31" s="12"/>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1"/>
      <c r="C32" s="72"/>
      <c r="D32" s="72"/>
      <c r="E32" s="68" t="s">
        <v>59</v>
      </c>
      <c r="F32" s="2"/>
      <c r="G32" s="12"/>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1"/>
      <c r="C33" s="72"/>
      <c r="D33" s="72"/>
      <c r="E33" s="68" t="s">
        <v>59</v>
      </c>
      <c r="F33" s="2"/>
      <c r="G33" s="12"/>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1"/>
      <c r="C34" s="72"/>
      <c r="D34" s="72"/>
      <c r="E34" s="68" t="s">
        <v>59</v>
      </c>
      <c r="F34" s="2"/>
      <c r="G34" s="12"/>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1"/>
      <c r="C35" s="72"/>
      <c r="D35" s="72"/>
      <c r="E35" s="68" t="s">
        <v>59</v>
      </c>
      <c r="F35" s="2"/>
      <c r="G35" s="12"/>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1"/>
      <c r="C36" s="72"/>
      <c r="D36" s="72"/>
      <c r="E36" s="68" t="s">
        <v>59</v>
      </c>
      <c r="F36" s="2"/>
      <c r="G36" s="12"/>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1"/>
      <c r="C37" s="72"/>
      <c r="D37" s="72"/>
      <c r="E37" s="68" t="s">
        <v>59</v>
      </c>
      <c r="F37" s="2"/>
      <c r="G37" s="12"/>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1"/>
      <c r="C38" s="72"/>
      <c r="D38" s="72"/>
      <c r="E38" s="68" t="s">
        <v>59</v>
      </c>
      <c r="F38" s="2"/>
      <c r="G38" s="12"/>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1"/>
      <c r="C39" s="72"/>
      <c r="D39" s="72"/>
      <c r="E39" s="68" t="s">
        <v>59</v>
      </c>
      <c r="F39" s="2"/>
      <c r="G39" s="12"/>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1"/>
      <c r="C40" s="72"/>
      <c r="D40" s="72"/>
      <c r="E40" s="68" t="s">
        <v>59</v>
      </c>
      <c r="F40" s="2"/>
      <c r="G40" s="12"/>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1"/>
      <c r="C41" s="72"/>
      <c r="D41" s="72"/>
      <c r="E41" s="68" t="s">
        <v>59</v>
      </c>
      <c r="F41" s="2"/>
      <c r="G41" s="12"/>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1"/>
      <c r="C42" s="72"/>
      <c r="D42" s="72"/>
      <c r="E42" s="68" t="s">
        <v>59</v>
      </c>
      <c r="F42" s="2"/>
      <c r="G42" s="12"/>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1"/>
      <c r="C43" s="72"/>
      <c r="D43" s="72"/>
      <c r="E43" s="68" t="s">
        <v>59</v>
      </c>
      <c r="F43" s="2"/>
      <c r="G43" s="12"/>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1"/>
      <c r="C44" s="72"/>
      <c r="D44" s="72"/>
      <c r="E44" s="68" t="s">
        <v>59</v>
      </c>
      <c r="F44" s="2"/>
      <c r="G44" s="12"/>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1"/>
      <c r="C45" s="72"/>
      <c r="D45" s="72"/>
      <c r="E45" s="68" t="s">
        <v>59</v>
      </c>
      <c r="F45" s="2"/>
      <c r="G45" s="12"/>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1"/>
      <c r="C46" s="72"/>
      <c r="D46" s="72"/>
      <c r="E46" s="68" t="s">
        <v>59</v>
      </c>
      <c r="F46" s="2"/>
      <c r="G46" s="12"/>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1"/>
      <c r="C47" s="72"/>
      <c r="D47" s="72"/>
      <c r="E47" s="68" t="s">
        <v>59</v>
      </c>
      <c r="F47" s="2"/>
      <c r="G47" s="12"/>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1"/>
      <c r="C48" s="72"/>
      <c r="D48" s="72"/>
      <c r="E48" s="68" t="s">
        <v>59</v>
      </c>
      <c r="F48" s="2"/>
      <c r="G48" s="12"/>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1"/>
      <c r="C49" s="72"/>
      <c r="D49" s="72"/>
      <c r="E49" s="68" t="s">
        <v>59</v>
      </c>
      <c r="F49" s="2"/>
      <c r="G49" s="12"/>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1"/>
      <c r="C50" s="72"/>
      <c r="D50" s="72"/>
      <c r="E50" s="68" t="s">
        <v>59</v>
      </c>
      <c r="F50" s="2"/>
      <c r="G50" s="12"/>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1"/>
      <c r="C51" s="72"/>
      <c r="D51" s="72"/>
      <c r="E51" s="68" t="s">
        <v>59</v>
      </c>
      <c r="F51" s="2"/>
      <c r="G51" s="12"/>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1"/>
      <c r="C52" s="72"/>
      <c r="D52" s="72"/>
      <c r="E52" s="68" t="s">
        <v>59</v>
      </c>
      <c r="F52" s="2"/>
      <c r="G52" s="12"/>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1"/>
      <c r="C53" s="72"/>
      <c r="D53" s="72"/>
      <c r="E53" s="68" t="s">
        <v>59</v>
      </c>
      <c r="F53" s="2"/>
      <c r="G53" s="12"/>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1"/>
      <c r="C54" s="72"/>
      <c r="D54" s="72"/>
      <c r="E54" s="68" t="s">
        <v>59</v>
      </c>
      <c r="F54" s="2"/>
      <c r="G54" s="12"/>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1"/>
      <c r="C55" s="72"/>
      <c r="D55" s="72"/>
      <c r="E55" s="68" t="s">
        <v>59</v>
      </c>
      <c r="F55" s="2"/>
      <c r="G55" s="12"/>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1"/>
      <c r="C56" s="72"/>
      <c r="D56" s="72"/>
      <c r="E56" s="68" t="s">
        <v>59</v>
      </c>
      <c r="F56" s="2"/>
      <c r="G56" s="12"/>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1"/>
      <c r="C57" s="72"/>
      <c r="D57" s="72"/>
      <c r="E57" s="68" t="s">
        <v>59</v>
      </c>
      <c r="F57" s="2"/>
      <c r="G57" s="12"/>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1"/>
      <c r="C58" s="72"/>
      <c r="D58" s="72"/>
      <c r="E58" s="68" t="s">
        <v>59</v>
      </c>
      <c r="F58" s="2"/>
      <c r="G58" s="12"/>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1"/>
      <c r="C59" s="72"/>
      <c r="D59" s="72"/>
      <c r="E59" s="68" t="s">
        <v>59</v>
      </c>
      <c r="F59" s="2"/>
      <c r="G59" s="12"/>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1"/>
      <c r="C60" s="72"/>
      <c r="D60" s="72"/>
      <c r="E60" s="68" t="s">
        <v>59</v>
      </c>
      <c r="F60" s="2"/>
      <c r="G60" s="12"/>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1"/>
      <c r="C61" s="72"/>
      <c r="D61" s="72"/>
      <c r="E61" s="68" t="s">
        <v>59</v>
      </c>
      <c r="F61" s="2"/>
      <c r="G61" s="12"/>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1"/>
      <c r="C62" s="72"/>
      <c r="D62" s="72"/>
      <c r="E62" s="68" t="s">
        <v>59</v>
      </c>
      <c r="F62" s="2"/>
      <c r="G62" s="12"/>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1"/>
      <c r="C63" s="72"/>
      <c r="D63" s="72"/>
      <c r="E63" s="68" t="s">
        <v>59</v>
      </c>
      <c r="F63" s="2"/>
      <c r="G63" s="12"/>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1"/>
      <c r="C64" s="72"/>
      <c r="D64" s="72"/>
      <c r="E64" s="68" t="s">
        <v>59</v>
      </c>
      <c r="F64" s="2"/>
      <c r="G64" s="12"/>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1"/>
      <c r="C65" s="72"/>
      <c r="D65" s="72"/>
      <c r="E65" s="68" t="s">
        <v>59</v>
      </c>
      <c r="F65" s="2"/>
      <c r="G65" s="12"/>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1"/>
      <c r="C66" s="72"/>
      <c r="D66" s="72"/>
      <c r="E66" s="68" t="s">
        <v>59</v>
      </c>
      <c r="F66" s="2"/>
      <c r="G66" s="12"/>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1"/>
      <c r="C67" s="72"/>
      <c r="D67" s="72"/>
      <c r="E67" s="68" t="s">
        <v>59</v>
      </c>
      <c r="F67" s="2"/>
      <c r="G67" s="12"/>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1"/>
      <c r="C68" s="72"/>
      <c r="D68" s="72"/>
      <c r="E68" s="68" t="s">
        <v>59</v>
      </c>
      <c r="F68" s="2"/>
      <c r="G68" s="12"/>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1"/>
      <c r="C69" s="72"/>
      <c r="D69" s="72"/>
      <c r="E69" s="68" t="s">
        <v>59</v>
      </c>
      <c r="F69" s="2"/>
      <c r="G69" s="12"/>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1"/>
      <c r="C70" s="72"/>
      <c r="D70" s="72"/>
      <c r="E70" s="68" t="s">
        <v>59</v>
      </c>
      <c r="F70" s="2"/>
      <c r="G70" s="12"/>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1"/>
      <c r="C71" s="72"/>
      <c r="D71" s="72"/>
      <c r="E71" s="68" t="s">
        <v>59</v>
      </c>
      <c r="F71" s="2"/>
      <c r="G71" s="12"/>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1"/>
      <c r="C72" s="72"/>
      <c r="D72" s="72"/>
      <c r="E72" s="68" t="s">
        <v>59</v>
      </c>
      <c r="F72" s="2"/>
      <c r="G72" s="12"/>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1"/>
      <c r="C73" s="72"/>
      <c r="D73" s="72"/>
      <c r="E73" s="68" t="s">
        <v>59</v>
      </c>
      <c r="F73" s="2"/>
      <c r="G73" s="12"/>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1"/>
      <c r="C74" s="72"/>
      <c r="D74" s="72"/>
      <c r="E74" s="68" t="s">
        <v>59</v>
      </c>
      <c r="F74" s="2"/>
      <c r="G74" s="12"/>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1"/>
      <c r="C75" s="72"/>
      <c r="D75" s="72"/>
      <c r="E75" s="68" t="s">
        <v>59</v>
      </c>
      <c r="F75" s="2"/>
      <c r="G75" s="12"/>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1"/>
      <c r="C76" s="72"/>
      <c r="D76" s="72"/>
      <c r="E76" s="68" t="s">
        <v>59</v>
      </c>
      <c r="F76" s="2"/>
      <c r="G76" s="12"/>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1"/>
      <c r="C77" s="72"/>
      <c r="D77" s="72"/>
      <c r="E77" s="68" t="s">
        <v>59</v>
      </c>
      <c r="F77" s="2"/>
      <c r="G77" s="12"/>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1"/>
      <c r="C78" s="72"/>
      <c r="D78" s="72"/>
      <c r="E78" s="68" t="s">
        <v>59</v>
      </c>
      <c r="F78" s="2"/>
      <c r="G78" s="12"/>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1"/>
      <c r="C79" s="72"/>
      <c r="D79" s="72"/>
      <c r="E79" s="68" t="s">
        <v>59</v>
      </c>
      <c r="F79" s="2"/>
      <c r="G79" s="12"/>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1"/>
      <c r="C80" s="72"/>
      <c r="D80" s="72"/>
      <c r="E80" s="68" t="s">
        <v>59</v>
      </c>
      <c r="F80" s="2"/>
      <c r="G80" s="12"/>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1"/>
      <c r="C81" s="72"/>
      <c r="D81" s="72"/>
      <c r="E81" s="68" t="s">
        <v>59</v>
      </c>
      <c r="F81" s="2"/>
      <c r="G81" s="12"/>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1"/>
      <c r="C82" s="72"/>
      <c r="D82" s="72"/>
      <c r="E82" s="68" t="s">
        <v>59</v>
      </c>
      <c r="F82" s="2"/>
      <c r="G82" s="12"/>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1"/>
      <c r="C83" s="72"/>
      <c r="D83" s="72"/>
      <c r="E83" s="68" t="s">
        <v>59</v>
      </c>
      <c r="F83" s="2"/>
      <c r="G83" s="12"/>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1"/>
      <c r="C84" s="72"/>
      <c r="D84" s="72"/>
      <c r="E84" s="68" t="s">
        <v>59</v>
      </c>
      <c r="F84" s="2"/>
      <c r="G84" s="12"/>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1"/>
      <c r="C85" s="72"/>
      <c r="D85" s="72"/>
      <c r="E85" s="68" t="s">
        <v>59</v>
      </c>
      <c r="F85" s="2"/>
      <c r="G85" s="12"/>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1"/>
      <c r="C86" s="72"/>
      <c r="D86" s="72"/>
      <c r="E86" s="68" t="s">
        <v>59</v>
      </c>
      <c r="F86" s="2"/>
      <c r="G86" s="12"/>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1"/>
      <c r="C87" s="72"/>
      <c r="D87" s="72"/>
      <c r="E87" s="68" t="s">
        <v>59</v>
      </c>
      <c r="F87" s="2"/>
      <c r="G87" s="12"/>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1"/>
      <c r="C88" s="72"/>
      <c r="D88" s="72"/>
      <c r="E88" s="68" t="s">
        <v>59</v>
      </c>
      <c r="F88" s="2"/>
      <c r="G88" s="12"/>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1"/>
      <c r="C89" s="72"/>
      <c r="D89" s="72"/>
      <c r="E89" s="68" t="s">
        <v>59</v>
      </c>
      <c r="F89" s="2"/>
      <c r="G89" s="12"/>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1"/>
      <c r="C90" s="72"/>
      <c r="D90" s="72"/>
      <c r="E90" s="68" t="s">
        <v>59</v>
      </c>
      <c r="F90" s="2"/>
      <c r="G90" s="12"/>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1"/>
      <c r="C91" s="72"/>
      <c r="D91" s="72"/>
      <c r="E91" s="68" t="s">
        <v>59</v>
      </c>
      <c r="F91" s="2"/>
      <c r="G91" s="12"/>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1"/>
      <c r="C92" s="72"/>
      <c r="D92" s="72"/>
      <c r="E92" s="68" t="s">
        <v>59</v>
      </c>
      <c r="F92" s="2"/>
      <c r="G92" s="12"/>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1"/>
      <c r="C93" s="72"/>
      <c r="D93" s="72"/>
      <c r="E93" s="68" t="s">
        <v>59</v>
      </c>
      <c r="F93" s="2"/>
      <c r="G93" s="12"/>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1"/>
      <c r="C94" s="72"/>
      <c r="D94" s="72"/>
      <c r="E94" s="68" t="s">
        <v>59</v>
      </c>
      <c r="F94" s="2"/>
      <c r="G94" s="12"/>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1"/>
      <c r="C95" s="72"/>
      <c r="D95" s="72"/>
      <c r="E95" s="68" t="s">
        <v>59</v>
      </c>
      <c r="F95" s="2"/>
      <c r="G95" s="12"/>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1"/>
      <c r="C96" s="72"/>
      <c r="D96" s="72"/>
      <c r="E96" s="68" t="s">
        <v>59</v>
      </c>
      <c r="F96" s="2"/>
      <c r="G96" s="12"/>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1"/>
      <c r="C97" s="72"/>
      <c r="D97" s="72"/>
      <c r="E97" s="68" t="s">
        <v>59</v>
      </c>
      <c r="F97" s="2"/>
      <c r="G97" s="12"/>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1"/>
      <c r="C98" s="72"/>
      <c r="D98" s="72"/>
      <c r="E98" s="68" t="s">
        <v>59</v>
      </c>
      <c r="F98" s="2"/>
      <c r="G98" s="12"/>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1"/>
      <c r="C99" s="72"/>
      <c r="D99" s="72"/>
      <c r="E99" s="68" t="s">
        <v>59</v>
      </c>
      <c r="F99" s="2"/>
      <c r="G99" s="12"/>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1"/>
      <c r="C100" s="72"/>
      <c r="D100" s="72"/>
      <c r="E100" s="68" t="s">
        <v>59</v>
      </c>
      <c r="F100" s="2"/>
      <c r="G100" s="12"/>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1"/>
      <c r="C101" s="72"/>
      <c r="D101" s="72"/>
      <c r="E101" s="68" t="s">
        <v>59</v>
      </c>
      <c r="F101" s="2"/>
      <c r="G101" s="12"/>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1"/>
      <c r="C102" s="72"/>
      <c r="D102" s="72"/>
      <c r="E102" s="68" t="s">
        <v>59</v>
      </c>
      <c r="F102" s="2"/>
      <c r="G102" s="12"/>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1"/>
      <c r="C103" s="72"/>
      <c r="D103" s="72"/>
      <c r="E103" s="68" t="s">
        <v>59</v>
      </c>
      <c r="F103" s="2"/>
      <c r="G103" s="12"/>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1"/>
      <c r="C104" s="72"/>
      <c r="D104" s="72"/>
      <c r="E104" s="68" t="s">
        <v>59</v>
      </c>
      <c r="F104" s="2"/>
      <c r="G104" s="12"/>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1"/>
      <c r="C105" s="72"/>
      <c r="D105" s="72"/>
      <c r="E105" s="68" t="s">
        <v>59</v>
      </c>
      <c r="F105" s="2"/>
      <c r="G105" s="12"/>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1"/>
      <c r="C106" s="72"/>
      <c r="D106" s="72"/>
      <c r="E106" s="68" t="s">
        <v>59</v>
      </c>
      <c r="F106" s="2"/>
      <c r="G106" s="12"/>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1"/>
      <c r="C107" s="72"/>
      <c r="D107" s="72"/>
      <c r="E107" s="68" t="s">
        <v>59</v>
      </c>
      <c r="F107" s="2"/>
      <c r="G107" s="12"/>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1"/>
      <c r="C108" s="72"/>
      <c r="D108" s="72"/>
      <c r="E108" s="68" t="s">
        <v>59</v>
      </c>
      <c r="F108" s="2"/>
      <c r="G108" s="12"/>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1"/>
      <c r="C109" s="72"/>
      <c r="D109" s="72"/>
      <c r="E109" s="68" t="s">
        <v>59</v>
      </c>
      <c r="F109" s="2"/>
      <c r="G109" s="12"/>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73"/>
      <c r="C110" s="74"/>
      <c r="D110" s="74"/>
      <c r="E110" s="75" t="s">
        <v>59</v>
      </c>
      <c r="F110" s="2"/>
      <c r="G110" s="12"/>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4 -- Main Lab Due: 13 Feb</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2" t="str">
        <f>IF(P6,P5,IF(T6,T5,IF(Y6,Y5,AA5)))</f>
        <v>You turned in this chapter's lab before the due date, well done!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4.0</v>
      </c>
      <c r="H4" s="23">
        <f t="array" ref="H4:J4">INDEX(LabInfo, G4)</f>
        <v>44240</v>
      </c>
      <c r="I4" s="9">
        <v>4.0</v>
      </c>
      <c r="J4" s="24">
        <v>6.0</v>
      </c>
      <c r="K4" s="19" t="s">
        <v>22</v>
      </c>
      <c r="L4" s="11">
        <f t="array" ref="L4">INDEX(B16:B111, COUNTA(B16:B111))</f>
        <v>44238</v>
      </c>
      <c r="M4" s="9">
        <f t="shared" ref="M4:O4" si="1">COUNTA(B16:B111)</f>
        <v>6</v>
      </c>
      <c r="N4" s="9">
        <f t="shared" si="1"/>
        <v>6</v>
      </c>
      <c r="O4" s="9">
        <f t="shared" si="1"/>
        <v>6</v>
      </c>
      <c r="P4" s="25" t="b">
        <f>AND(M4=N4,N4=O4)</f>
        <v>1</v>
      </c>
      <c r="Q4" s="26">
        <f>TIME(J4,0,0) - C6</f>
        <v>-0.07569444444</v>
      </c>
      <c r="R4" s="9">
        <f>I4-C5</f>
        <v>-1</v>
      </c>
      <c r="S4" s="20" t="s">
        <v>23</v>
      </c>
      <c r="T4" s="11">
        <f>C10</f>
        <v>44238</v>
      </c>
      <c r="U4" s="20">
        <f>MAX(0,R4)</f>
        <v>0</v>
      </c>
      <c r="V4" s="9">
        <f>IFERROR(SUM(AA16:AA111), 0)</f>
        <v>2</v>
      </c>
      <c r="W4" s="12">
        <f>SUM(U4:V4)</f>
        <v>2</v>
      </c>
      <c r="X4" s="11">
        <f>TODAY()</f>
        <v>45047</v>
      </c>
      <c r="Y4" s="10" t="b">
        <f>X4&lt;=H4</f>
        <v>0</v>
      </c>
      <c r="Z4" s="27">
        <f>IFERROR(TIME(2,0,0)-VLOOKUP(X4,T16:U111,2,FALSE), TIME(0,0,0))</f>
        <v>0</v>
      </c>
      <c r="AA4" s="9" t="b">
        <f>NOT(Y4)</f>
        <v>1</v>
      </c>
      <c r="AB4" s="9">
        <f>AF16</f>
        <v>-2</v>
      </c>
      <c r="AC4" s="9"/>
      <c r="AD4" s="9"/>
      <c r="AE4" s="9"/>
      <c r="AF4" s="9"/>
      <c r="AG4" s="9"/>
      <c r="AH4" s="9"/>
    </row>
    <row r="5">
      <c r="A5" s="28"/>
      <c r="B5" s="29" t="s">
        <v>24</v>
      </c>
      <c r="C5" s="30">
        <f>COUNTA($K$16:$K111)</f>
        <v>5</v>
      </c>
      <c r="D5" s="31"/>
      <c r="E5" s="32"/>
      <c r="F5" s="2"/>
      <c r="G5" s="12"/>
      <c r="H5" s="10"/>
      <c r="I5" s="12"/>
      <c r="J5" s="10"/>
      <c r="K5" s="33" t="s">
        <v>25</v>
      </c>
      <c r="L5" s="9"/>
      <c r="M5" s="9"/>
      <c r="N5" s="9"/>
      <c r="O5" s="9"/>
      <c r="P5" s="34" t="s">
        <v>26</v>
      </c>
      <c r="Q5" s="9" t="str">
        <f>TEXT(Q4, "h\h m\m")&amp;" more work time"</f>
        <v>22h 11m more work time</v>
      </c>
      <c r="R5" s="9" t="str">
        <f>R4&amp;" more day"&amp;IF(R4=1,"","s")&amp;" worked"</f>
        <v>-1 more days worked</v>
      </c>
      <c r="S5" s="9" t="str">
        <f>"you will need "&amp;IF(Q6,Q5,"")&amp;IF(AND(Q6,R6)," and ","")&amp;IF(R6,R5,"")&amp;" before (or on) the due date to invoke the non-late policy"</f>
        <v>you will need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turned in this chapter's lab before the due date, well done!</v>
      </c>
      <c r="U5" s="9" t="s">
        <v>27</v>
      </c>
      <c r="V5" s="9" t="s">
        <v>28</v>
      </c>
      <c r="W5" s="9" t="str">
        <f>"You would need "&amp;W4&amp;" late day"&amp;IF(W4=1,"","s")&amp;" to be able to invoke the non-late policy."</f>
        <v>You would need 2 late days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You have completed the pre-due date requirements to satisfy the non-late policy.
If you turn in the lab after the due date, you will still need to work at least 2 hours every work day after the due date (or use late days) to be graded as on time.</v>
      </c>
      <c r="Z5" s="12" t="str">
        <f>"if you work at least "&amp;TEXT(Z4, "h\h m\m")&amp;" more today"</f>
        <v>if you work at least 0h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would need -2 traditional late days to be graded for full credit</v>
      </c>
      <c r="AB5" s="9" t="str">
        <f>"You would need "&amp;AB4&amp;" traditional late day"&amp;IF(AB4=1,"","s")&amp;" to be graded for full credit"</f>
        <v>You would need -2 traditional late days to be graded for full credit</v>
      </c>
      <c r="AC5" s="9"/>
      <c r="AD5" s="9"/>
      <c r="AE5" s="9"/>
      <c r="AF5" s="9"/>
      <c r="AG5" s="9"/>
      <c r="AH5" s="9"/>
    </row>
    <row r="6">
      <c r="A6" s="28"/>
      <c r="B6" s="35" t="s">
        <v>29</v>
      </c>
      <c r="C6" s="36">
        <f>SUM($J$16:$J111)</f>
        <v>0.3256944444</v>
      </c>
      <c r="D6" s="37"/>
      <c r="E6" s="38"/>
      <c r="F6" s="2"/>
      <c r="G6" s="9"/>
      <c r="H6" s="10"/>
      <c r="I6" s="9"/>
      <c r="J6" s="10"/>
      <c r="K6" s="33" t="s">
        <v>30</v>
      </c>
      <c r="L6" s="11"/>
      <c r="M6" s="9"/>
      <c r="N6" s="9"/>
      <c r="O6" s="9"/>
      <c r="P6" s="25" t="b">
        <f>NOT(P4)</f>
        <v>0</v>
      </c>
      <c r="Q6" s="9" t="b">
        <f t="shared" ref="Q6:R6" si="2">Q4&gt;0</f>
        <v>0</v>
      </c>
      <c r="R6" s="9" t="b">
        <f t="shared" si="2"/>
        <v>0</v>
      </c>
      <c r="S6" s="20" t="b">
        <f>OR(Q6,R6)</f>
        <v>0</v>
      </c>
      <c r="T6" s="12" t="b">
        <f>T4&lt;&gt;""</f>
        <v>1</v>
      </c>
      <c r="U6" s="20" t="b">
        <f t="shared" ref="U6:V6" si="3">U4&gt;0</f>
        <v>0</v>
      </c>
      <c r="V6" s="9" t="b">
        <f t="shared" si="3"/>
        <v>1</v>
      </c>
      <c r="W6" s="12" t="b">
        <f>OR(U6,V6)</f>
        <v>1</v>
      </c>
      <c r="X6" s="12"/>
      <c r="Y6" s="39" t="b">
        <f>Y4</f>
        <v>0</v>
      </c>
      <c r="Z6" s="12" t="b">
        <f>Z4&gt;0</f>
        <v>0</v>
      </c>
      <c r="AA6" s="12"/>
      <c r="AB6" s="12" t="b">
        <f>AB4&lt;=3</f>
        <v>1</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22h 11m more work time before (or on) the due date to invoke the late policy.</v>
      </c>
      <c r="R7" s="12"/>
      <c r="S7" s="12"/>
      <c r="T7" s="12"/>
      <c r="U7" s="12"/>
      <c r="V7" s="12"/>
      <c r="W7" s="12" t="str">
        <f>"("&amp;IF(U6,IF(V6, U4&amp;" ","")&amp;U5,"")&amp;IF(AND(U6,V6)," and ","")&amp;IF(V6,IF(U6,V4&amp;" ","")&amp;V5,"")&amp;")"</f>
        <v>(to cover days after the due date without at least 2 hours of work)</v>
      </c>
      <c r="X7" s="12"/>
      <c r="Y7" s="12"/>
      <c r="Z7" s="12"/>
      <c r="AA7" s="12"/>
      <c r="AB7" s="12" t="str">
        <f>AB5&amp;"."</f>
        <v>You would need -2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v>44238.0</v>
      </c>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1</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2</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63">
        <v>44234.0</v>
      </c>
      <c r="C16" s="64">
        <v>0.6458333333333334</v>
      </c>
      <c r="D16" s="64">
        <v>0.6875</v>
      </c>
      <c r="E16" s="65">
        <f t="array" ref="E16:E111">IF(D16:D111="","",D16:D111-C16:C111)</f>
        <v>0.04166666667</v>
      </c>
      <c r="F16" s="2"/>
      <c r="G16" s="66">
        <f>IFERROR(__xludf.DUMMYFUNCTION("SORT(FILTER({$B$16:$B111,$E$16:$E111}, $B$16:$B111 &lt;= $H$4), 1, TRUE)"),44234.0)</f>
        <v>44234</v>
      </c>
      <c r="H16" s="39">
        <f>IFERROR(__xludf.DUMMYFUNCTION("""COMPUTED_VALUE"""),0.04166666666666663)</f>
        <v>0.04166666667</v>
      </c>
      <c r="I16" s="66">
        <f>IFERROR(__xludf.DUMMYFUNCTION("UNIQUE(G$16:G111)"),44234.0)</f>
        <v>44234</v>
      </c>
      <c r="J16" s="39">
        <f>IFERROR(__xludf.DUMMYFUNCTION("IF(I16="""",,SUM(FILTER(H$16:H111, G$16:G111=I16)))"),0.04166666666666663)</f>
        <v>0.04166666667</v>
      </c>
      <c r="K16" s="67">
        <f>IFERROR(__xludf.DUMMYFUNCTION("IFERROR(FILTER(I16:I111, HOUR(J16:J111) &gt;= 1),)"),44234.0)</f>
        <v>44234</v>
      </c>
      <c r="L16" s="12"/>
      <c r="M16" s="67">
        <f t="array" ref="M16:N16">IF(C10="", {TODAY(), TIME(0,0,0)}, {C10, TIME(2,0,0)})</f>
        <v>44238</v>
      </c>
      <c r="N16" s="27">
        <v>0.08333333333333333</v>
      </c>
      <c r="O16" s="24">
        <f>COUNTIF(B16:B111, "&gt;"&amp;H4)</f>
        <v>0</v>
      </c>
      <c r="P16" s="67">
        <f>H4</f>
        <v>44240</v>
      </c>
      <c r="Q16" s="27">
        <f>TIME(0,0,0)</f>
        <v>0</v>
      </c>
      <c r="R16" s="67">
        <f>IFERROR(__xludf.DUMMYFUNCTION("SORT(IF(O16&gt;0, {FILTER(P$16:Q111, P16:P111);M16:N16},{P16:Q16;M16:N16} ))"),44238.0)</f>
        <v>44238</v>
      </c>
      <c r="S16" s="39">
        <f>IFERROR(__xludf.DUMMYFUNCTION("""COMPUTED_VALUE"""),0.08333333333333333)</f>
        <v>0.08333333333</v>
      </c>
      <c r="T16" s="67">
        <f>IFERROR(__xludf.DUMMYFUNCTION("UNIQUE(R$16:R111)"),44238.0)</f>
        <v>44238</v>
      </c>
      <c r="U16" s="39">
        <f>IFERROR(__xludf.DUMMYFUNCTION("IF(T16="""",,SUM(FILTER(S$16:S111, R$16:R111=T16)))"),0.08333333333333333)</f>
        <v>0.08333333333</v>
      </c>
      <c r="V16" s="12"/>
      <c r="W16" s="12">
        <f t="array" ref="W16:W17">MATCH(T16:T111, SkippableDays)</f>
        <v>7</v>
      </c>
      <c r="X16" s="12"/>
      <c r="Y16" s="12"/>
      <c r="Z16" s="12"/>
      <c r="AA16" s="12">
        <f t="array" ref="AA16:AA17">IF(Y16:Y111 &gt;= 0, Y16:Y111, 0) + Z16:Z111</f>
        <v>0</v>
      </c>
      <c r="AB16" s="12"/>
      <c r="AC16" s="66">
        <f>H4</f>
        <v>44240</v>
      </c>
      <c r="AD16" s="12">
        <f>MATCH(AC16, SkippableDays)</f>
        <v>7</v>
      </c>
      <c r="AE16" s="12">
        <f>AC17-AC16</f>
        <v>-2</v>
      </c>
      <c r="AF16" s="12">
        <f>AE16-AE17+IF(ISERROR(MATCH(AC17, SkippableDays,0)),0,1)</f>
        <v>-2</v>
      </c>
      <c r="AG16" s="12"/>
      <c r="AH16" s="12"/>
    </row>
    <row r="17">
      <c r="A17" s="50"/>
      <c r="B17" s="63">
        <v>44235.0</v>
      </c>
      <c r="C17" s="64">
        <v>0.5625</v>
      </c>
      <c r="D17" s="64">
        <v>0.6041666666666666</v>
      </c>
      <c r="E17" s="68">
        <v>0.04166666666666663</v>
      </c>
      <c r="F17" s="2"/>
      <c r="G17" s="66">
        <f>IFERROR(__xludf.DUMMYFUNCTION("""COMPUTED_VALUE"""),44235.0)</f>
        <v>44235</v>
      </c>
      <c r="H17" s="39">
        <f>IFERROR(__xludf.DUMMYFUNCTION("""COMPUTED_VALUE"""),0.04166666666666663)</f>
        <v>0.04166666667</v>
      </c>
      <c r="I17" s="66">
        <f>IFERROR(__xludf.DUMMYFUNCTION("""COMPUTED_VALUE"""),44235.0)</f>
        <v>44235</v>
      </c>
      <c r="J17" s="39">
        <f>IFERROR(__xludf.DUMMYFUNCTION("IF(I17="""",,SUM(FILTER(H$16:H111, G$16:G111=I17)))"),0.09513888888888888)</f>
        <v>0.09513888889</v>
      </c>
      <c r="K17" s="67">
        <f>IFERROR(__xludf.DUMMYFUNCTION("""COMPUTED_VALUE"""),44235.0)</f>
        <v>44235</v>
      </c>
      <c r="L17" s="12"/>
      <c r="M17" s="67"/>
      <c r="N17" s="67"/>
      <c r="O17" s="67"/>
      <c r="P17" s="67" t="str">
        <f>IFERROR(__xludf.DUMMYFUNCTION("FILTER({$B$16:$B111,$E$16:$E111}, $B$16:$B111 &gt; $H$4)"),"#N/A")</f>
        <v>#N/A</v>
      </c>
      <c r="Q17" s="27"/>
      <c r="R17" s="67">
        <f>IFERROR(__xludf.DUMMYFUNCTION("""COMPUTED_VALUE"""),44240.0)</f>
        <v>44240</v>
      </c>
      <c r="S17" s="39">
        <f>IFERROR(__xludf.DUMMYFUNCTION("""COMPUTED_VALUE"""),0.0)</f>
        <v>0</v>
      </c>
      <c r="T17" s="67">
        <f>IFERROR(__xludf.DUMMYFUNCTION("""COMPUTED_VALUE"""),44240.0)</f>
        <v>44240</v>
      </c>
      <c r="U17" s="39">
        <f>IFERROR(__xludf.DUMMYFUNCTION("IF(T17="""",,SUM(FILTER(S$16:S111, R$16:R111=T17)))"),0.0)</f>
        <v>0</v>
      </c>
      <c r="V17" s="12">
        <f t="array" ref="V17">T17:T111 - T16:T111 - 1</f>
        <v>1</v>
      </c>
      <c r="W17" s="12">
        <v>7.0</v>
      </c>
      <c r="X17" s="12">
        <f t="array" ref="X17">W17:W111-W16:W111</f>
        <v>0</v>
      </c>
      <c r="Y17" s="12">
        <f t="array" ref="Y17">V17:V111 - X17:X111</f>
        <v>1</v>
      </c>
      <c r="Z17" s="12">
        <f t="array" ref="Z17">IF(HOUR(U17:U111) &gt;= 2, 0, 1)</f>
        <v>1</v>
      </c>
      <c r="AA17" s="12">
        <v>2.0</v>
      </c>
      <c r="AB17" s="12"/>
      <c r="AC17" s="67">
        <f>M16</f>
        <v>44238</v>
      </c>
      <c r="AD17" s="12">
        <f>MATCH(AC17, SkippableDays)</f>
        <v>7</v>
      </c>
      <c r="AE17" s="12">
        <f>AD17-AD16</f>
        <v>0</v>
      </c>
      <c r="AF17" s="12"/>
      <c r="AG17" s="12"/>
      <c r="AH17" s="12"/>
    </row>
    <row r="18">
      <c r="A18" s="50"/>
      <c r="B18" s="63">
        <v>44235.0</v>
      </c>
      <c r="C18" s="64">
        <v>0.6388888888888888</v>
      </c>
      <c r="D18" s="64">
        <v>0.6923611111111111</v>
      </c>
      <c r="E18" s="68">
        <v>0.053472222222222254</v>
      </c>
      <c r="F18" s="2"/>
      <c r="G18" s="66">
        <f>IFERROR(__xludf.DUMMYFUNCTION("""COMPUTED_VALUE"""),44235.0)</f>
        <v>44235</v>
      </c>
      <c r="H18" s="39">
        <f>IFERROR(__xludf.DUMMYFUNCTION("""COMPUTED_VALUE"""),0.053472222222222254)</f>
        <v>0.05347222222</v>
      </c>
      <c r="I18" s="66">
        <f>IFERROR(__xludf.DUMMYFUNCTION("""COMPUTED_VALUE"""),44236.0)</f>
        <v>44236</v>
      </c>
      <c r="J18" s="39">
        <f>IFERROR(__xludf.DUMMYFUNCTION("IF(I18="""",,SUM(FILTER(H$16:H111, G$16:G111=I18)))"),0.04444444444444451)</f>
        <v>0.04444444444</v>
      </c>
      <c r="K18" s="67">
        <f>IFERROR(__xludf.DUMMYFUNCTION("""COMPUTED_VALUE"""),44236.0)</f>
        <v>44236</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63">
        <v>44236.0</v>
      </c>
      <c r="C19" s="64">
        <v>0.5972222222222222</v>
      </c>
      <c r="D19" s="64">
        <v>0.6416666666666667</v>
      </c>
      <c r="E19" s="68">
        <v>0.04444444444444451</v>
      </c>
      <c r="F19" s="2"/>
      <c r="G19" s="66">
        <f>IFERROR(__xludf.DUMMYFUNCTION("""COMPUTED_VALUE"""),44236.0)</f>
        <v>44236</v>
      </c>
      <c r="H19" s="39">
        <f>IFERROR(__xludf.DUMMYFUNCTION("""COMPUTED_VALUE"""),0.04444444444444451)</f>
        <v>0.04444444444</v>
      </c>
      <c r="I19" s="66">
        <f>IFERROR(__xludf.DUMMYFUNCTION("""COMPUTED_VALUE"""),44237.0)</f>
        <v>44237</v>
      </c>
      <c r="J19" s="39">
        <f>IFERROR(__xludf.DUMMYFUNCTION("IF(I19="""",,SUM(FILTER(H$16:H111, G$16:G111=I19)))"),0.04166666666666663)</f>
        <v>0.04166666667</v>
      </c>
      <c r="K19" s="67">
        <f>IFERROR(__xludf.DUMMYFUNCTION("""COMPUTED_VALUE"""),44237.0)</f>
        <v>44237</v>
      </c>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63">
        <v>44237.0</v>
      </c>
      <c r="C20" s="69">
        <v>0.8333333333333334</v>
      </c>
      <c r="D20" s="69">
        <v>0.875</v>
      </c>
      <c r="E20" s="68">
        <v>0.04166666666666663</v>
      </c>
      <c r="F20" s="2"/>
      <c r="G20" s="66">
        <f>IFERROR(__xludf.DUMMYFUNCTION("""COMPUTED_VALUE"""),44237.0)</f>
        <v>44237</v>
      </c>
      <c r="H20" s="39">
        <f>IFERROR(__xludf.DUMMYFUNCTION("""COMPUTED_VALUE"""),0.04166666666666663)</f>
        <v>0.04166666667</v>
      </c>
      <c r="I20" s="66">
        <f>IFERROR(__xludf.DUMMYFUNCTION("""COMPUTED_VALUE"""),44238.0)</f>
        <v>44238</v>
      </c>
      <c r="J20" s="39">
        <f>IFERROR(__xludf.DUMMYFUNCTION("IF(I20="""",,SUM(FILTER(H$16:H111, G$16:G111=I20)))"),0.10277777777777786)</f>
        <v>0.1027777778</v>
      </c>
      <c r="K20" s="67">
        <f>IFERROR(__xludf.DUMMYFUNCTION("""COMPUTED_VALUE"""),44238.0)</f>
        <v>44238</v>
      </c>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0">
        <v>44238.0</v>
      </c>
      <c r="C21" s="69">
        <v>0.7277777777777777</v>
      </c>
      <c r="D21" s="69">
        <v>0.8305555555555556</v>
      </c>
      <c r="E21" s="68">
        <v>0.10277777777777786</v>
      </c>
      <c r="F21" s="2"/>
      <c r="G21" s="66">
        <f>IFERROR(__xludf.DUMMYFUNCTION("""COMPUTED_VALUE"""),44238.0)</f>
        <v>44238</v>
      </c>
      <c r="H21" s="39">
        <f>IFERROR(__xludf.DUMMYFUNCTION("""COMPUTED_VALUE"""),0.10277777777777786)</f>
        <v>0.1027777778</v>
      </c>
      <c r="I21" s="66"/>
      <c r="J21" s="39" t="str">
        <f>IFERROR(__xludf.DUMMYFUNCTION("IF(I21="""",,SUM(FILTER(H$16:H111, G$16:G111=I21)))"),"")</f>
        <v/>
      </c>
      <c r="K21" s="67"/>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0"/>
      <c r="C22" s="69"/>
      <c r="D22" s="69"/>
      <c r="E22" s="68" t="s">
        <v>59</v>
      </c>
      <c r="F22" s="2"/>
      <c r="G22" s="66"/>
      <c r="H22" s="39" t="str">
        <f>IFERROR(__xludf.DUMMYFUNCTION("""COMPUTED_VALUE"""),"")</f>
        <v/>
      </c>
      <c r="I22" s="12"/>
      <c r="J22" s="39" t="str">
        <f>IFERROR(__xludf.DUMMYFUNCTION("IF(I22="""",,SUM(FILTER(H$16:H111, G$16:G111=I22)))"),"")</f>
        <v/>
      </c>
      <c r="K22" s="67"/>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70"/>
      <c r="C23" s="69"/>
      <c r="D23" s="69"/>
      <c r="E23" s="68" t="s">
        <v>59</v>
      </c>
      <c r="F23" s="2"/>
      <c r="G23" s="66"/>
      <c r="H23" s="39" t="str">
        <f>IFERROR(__xludf.DUMMYFUNCTION("""COMPUTED_VALUE"""),"")</f>
        <v/>
      </c>
      <c r="I23" s="12"/>
      <c r="J23" s="39" t="str">
        <f>IFERROR(__xludf.DUMMYFUNCTION("IF(I23="""",,SUM(FILTER(H$16:H111, G$16:G111=I23)))"),"")</f>
        <v/>
      </c>
      <c r="K23" s="67"/>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0"/>
      <c r="C24" s="69"/>
      <c r="D24" s="69"/>
      <c r="E24" s="68" t="s">
        <v>59</v>
      </c>
      <c r="F24" s="2"/>
      <c r="G24" s="66"/>
      <c r="H24" s="39" t="str">
        <f>IFERROR(__xludf.DUMMYFUNCTION("""COMPUTED_VALUE"""),"")</f>
        <v/>
      </c>
      <c r="I24" s="12"/>
      <c r="J24" s="39" t="str">
        <f>IFERROR(__xludf.DUMMYFUNCTION("IF(I24="""",,SUM(FILTER(H$16:H111, G$16:G111=I24)))"),"")</f>
        <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0"/>
      <c r="C25" s="69"/>
      <c r="D25" s="69"/>
      <c r="E25" s="68" t="s">
        <v>59</v>
      </c>
      <c r="F25" s="2"/>
      <c r="G25" s="66"/>
      <c r="H25" s="39" t="str">
        <f>IFERROR(__xludf.DUMMYFUNCTION("""COMPUTED_VALUE"""),"")</f>
        <v/>
      </c>
      <c r="I25" s="12"/>
      <c r="J25" s="39" t="str">
        <f>IFERROR(__xludf.DUMMYFUNCTION("IF(I25="""",,SUM(FILTER(H$16:H111, G$16:G111=I25)))"),"")</f>
        <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0"/>
      <c r="C26" s="69"/>
      <c r="D26" s="69"/>
      <c r="E26" s="68" t="s">
        <v>59</v>
      </c>
      <c r="F26" s="2"/>
      <c r="G26" s="66"/>
      <c r="H26" s="39" t="str">
        <f>IFERROR(__xludf.DUMMYFUNCTION("""COMPUTED_VALUE"""),"")</f>
        <v/>
      </c>
      <c r="I26" s="12"/>
      <c r="J26" s="39" t="str">
        <f>IFERROR(__xludf.DUMMYFUNCTION("IF(I26="""",,SUM(FILTER(H$16:H111, G$16:G111=I26)))"),"")</f>
        <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1"/>
      <c r="C27" s="72"/>
      <c r="D27" s="72"/>
      <c r="E27" s="68" t="s">
        <v>59</v>
      </c>
      <c r="F27" s="2"/>
      <c r="G27" s="12"/>
      <c r="H27" s="39" t="str">
        <f>IFERROR(__xludf.DUMMYFUNCTION("""COMPUTED_VALUE"""),"")</f>
        <v/>
      </c>
      <c r="I27" s="12"/>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1"/>
      <c r="C28" s="72"/>
      <c r="D28" s="72"/>
      <c r="E28" s="68" t="s">
        <v>59</v>
      </c>
      <c r="F28" s="2"/>
      <c r="G28" s="12"/>
      <c r="H28" s="39" t="str">
        <f>IFERROR(__xludf.DUMMYFUNCTION("""COMPUTED_VALUE"""),"")</f>
        <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1"/>
      <c r="C29" s="72"/>
      <c r="D29" s="72"/>
      <c r="E29" s="68" t="s">
        <v>59</v>
      </c>
      <c r="F29" s="2"/>
      <c r="G29" s="12"/>
      <c r="H29" s="39" t="str">
        <f>IFERROR(__xludf.DUMMYFUNCTION("""COMPUTED_VALUE"""),"")</f>
        <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1"/>
      <c r="C30" s="72"/>
      <c r="D30" s="72"/>
      <c r="E30" s="68" t="s">
        <v>59</v>
      </c>
      <c r="F30" s="2"/>
      <c r="G30" s="12"/>
      <c r="H30" s="39" t="str">
        <f>IFERROR(__xludf.DUMMYFUNCTION("""COMPUTED_VALUE"""),"")</f>
        <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1"/>
      <c r="C31" s="72"/>
      <c r="D31" s="72"/>
      <c r="E31" s="68" t="s">
        <v>59</v>
      </c>
      <c r="F31" s="2"/>
      <c r="G31" s="12"/>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1"/>
      <c r="C32" s="72"/>
      <c r="D32" s="72"/>
      <c r="E32" s="68" t="s">
        <v>59</v>
      </c>
      <c r="F32" s="2"/>
      <c r="G32" s="12"/>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1"/>
      <c r="C33" s="72"/>
      <c r="D33" s="72"/>
      <c r="E33" s="68" t="s">
        <v>59</v>
      </c>
      <c r="F33" s="2"/>
      <c r="G33" s="12"/>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1"/>
      <c r="C34" s="72"/>
      <c r="D34" s="72"/>
      <c r="E34" s="68" t="s">
        <v>59</v>
      </c>
      <c r="F34" s="2"/>
      <c r="G34" s="12"/>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1"/>
      <c r="C35" s="72"/>
      <c r="D35" s="72"/>
      <c r="E35" s="68" t="s">
        <v>59</v>
      </c>
      <c r="F35" s="2"/>
      <c r="G35" s="12"/>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1"/>
      <c r="C36" s="72"/>
      <c r="D36" s="72"/>
      <c r="E36" s="68" t="s">
        <v>59</v>
      </c>
      <c r="F36" s="2"/>
      <c r="G36" s="12"/>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1"/>
      <c r="C37" s="72"/>
      <c r="D37" s="72"/>
      <c r="E37" s="68" t="s">
        <v>59</v>
      </c>
      <c r="F37" s="2"/>
      <c r="G37" s="12"/>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1"/>
      <c r="C38" s="72"/>
      <c r="D38" s="72"/>
      <c r="E38" s="68" t="s">
        <v>59</v>
      </c>
      <c r="F38" s="2"/>
      <c r="G38" s="12"/>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1"/>
      <c r="C39" s="72"/>
      <c r="D39" s="72"/>
      <c r="E39" s="68" t="s">
        <v>59</v>
      </c>
      <c r="F39" s="2"/>
      <c r="G39" s="12"/>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1"/>
      <c r="C40" s="72"/>
      <c r="D40" s="72"/>
      <c r="E40" s="68" t="s">
        <v>59</v>
      </c>
      <c r="F40" s="2"/>
      <c r="G40" s="12"/>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1"/>
      <c r="C41" s="72"/>
      <c r="D41" s="72"/>
      <c r="E41" s="68" t="s">
        <v>59</v>
      </c>
      <c r="F41" s="2"/>
      <c r="G41" s="12"/>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1"/>
      <c r="C42" s="72"/>
      <c r="D42" s="72"/>
      <c r="E42" s="68" t="s">
        <v>59</v>
      </c>
      <c r="F42" s="2"/>
      <c r="G42" s="12"/>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1"/>
      <c r="C43" s="72"/>
      <c r="D43" s="72"/>
      <c r="E43" s="68" t="s">
        <v>59</v>
      </c>
      <c r="F43" s="2"/>
      <c r="G43" s="12"/>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1"/>
      <c r="C44" s="72"/>
      <c r="D44" s="72"/>
      <c r="E44" s="68" t="s">
        <v>59</v>
      </c>
      <c r="F44" s="2"/>
      <c r="G44" s="12"/>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1"/>
      <c r="C45" s="72"/>
      <c r="D45" s="72"/>
      <c r="E45" s="68" t="s">
        <v>59</v>
      </c>
      <c r="F45" s="2"/>
      <c r="G45" s="12"/>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1"/>
      <c r="C46" s="72"/>
      <c r="D46" s="72"/>
      <c r="E46" s="68" t="s">
        <v>59</v>
      </c>
      <c r="F46" s="2"/>
      <c r="G46" s="12"/>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1"/>
      <c r="C47" s="72"/>
      <c r="D47" s="72"/>
      <c r="E47" s="68" t="s">
        <v>59</v>
      </c>
      <c r="F47" s="2"/>
      <c r="G47" s="12"/>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1"/>
      <c r="C48" s="72"/>
      <c r="D48" s="72"/>
      <c r="E48" s="68" t="s">
        <v>59</v>
      </c>
      <c r="F48" s="2"/>
      <c r="G48" s="12"/>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1"/>
      <c r="C49" s="72"/>
      <c r="D49" s="72"/>
      <c r="E49" s="68" t="s">
        <v>59</v>
      </c>
      <c r="F49" s="2"/>
      <c r="G49" s="12"/>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1"/>
      <c r="C50" s="72"/>
      <c r="D50" s="72"/>
      <c r="E50" s="68" t="s">
        <v>59</v>
      </c>
      <c r="F50" s="2"/>
      <c r="G50" s="12"/>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1"/>
      <c r="C51" s="72"/>
      <c r="D51" s="72"/>
      <c r="E51" s="68" t="s">
        <v>59</v>
      </c>
      <c r="F51" s="2"/>
      <c r="G51" s="12"/>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1"/>
      <c r="C52" s="72"/>
      <c r="D52" s="72"/>
      <c r="E52" s="68" t="s">
        <v>59</v>
      </c>
      <c r="F52" s="2"/>
      <c r="G52" s="12"/>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1"/>
      <c r="C53" s="72"/>
      <c r="D53" s="72"/>
      <c r="E53" s="68" t="s">
        <v>59</v>
      </c>
      <c r="F53" s="2"/>
      <c r="G53" s="12"/>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1"/>
      <c r="C54" s="72"/>
      <c r="D54" s="72"/>
      <c r="E54" s="68" t="s">
        <v>59</v>
      </c>
      <c r="F54" s="2"/>
      <c r="G54" s="12"/>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1"/>
      <c r="C55" s="72"/>
      <c r="D55" s="72"/>
      <c r="E55" s="68" t="s">
        <v>59</v>
      </c>
      <c r="F55" s="2"/>
      <c r="G55" s="12"/>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1"/>
      <c r="C56" s="72"/>
      <c r="D56" s="72"/>
      <c r="E56" s="68" t="s">
        <v>59</v>
      </c>
      <c r="F56" s="2"/>
      <c r="G56" s="12"/>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1"/>
      <c r="C57" s="72"/>
      <c r="D57" s="72"/>
      <c r="E57" s="68" t="s">
        <v>59</v>
      </c>
      <c r="F57" s="2"/>
      <c r="G57" s="12"/>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1"/>
      <c r="C58" s="72"/>
      <c r="D58" s="72"/>
      <c r="E58" s="68" t="s">
        <v>59</v>
      </c>
      <c r="F58" s="2"/>
      <c r="G58" s="12"/>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1"/>
      <c r="C59" s="72"/>
      <c r="D59" s="72"/>
      <c r="E59" s="68" t="s">
        <v>59</v>
      </c>
      <c r="F59" s="2"/>
      <c r="G59" s="12"/>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1"/>
      <c r="C60" s="72"/>
      <c r="D60" s="72"/>
      <c r="E60" s="68" t="s">
        <v>59</v>
      </c>
      <c r="F60" s="2"/>
      <c r="G60" s="12"/>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1"/>
      <c r="C61" s="72"/>
      <c r="D61" s="72"/>
      <c r="E61" s="68" t="s">
        <v>59</v>
      </c>
      <c r="F61" s="2"/>
      <c r="G61" s="12"/>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1"/>
      <c r="C62" s="72"/>
      <c r="D62" s="72"/>
      <c r="E62" s="68" t="s">
        <v>59</v>
      </c>
      <c r="F62" s="2"/>
      <c r="G62" s="12"/>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1"/>
      <c r="C63" s="72"/>
      <c r="D63" s="72"/>
      <c r="E63" s="68" t="s">
        <v>59</v>
      </c>
      <c r="F63" s="2"/>
      <c r="G63" s="12"/>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1"/>
      <c r="C64" s="72"/>
      <c r="D64" s="72"/>
      <c r="E64" s="68" t="s">
        <v>59</v>
      </c>
      <c r="F64" s="2"/>
      <c r="G64" s="12"/>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1"/>
      <c r="C65" s="72"/>
      <c r="D65" s="72"/>
      <c r="E65" s="68" t="s">
        <v>59</v>
      </c>
      <c r="F65" s="2"/>
      <c r="G65" s="12"/>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1"/>
      <c r="C66" s="72"/>
      <c r="D66" s="72"/>
      <c r="E66" s="68" t="s">
        <v>59</v>
      </c>
      <c r="F66" s="2"/>
      <c r="G66" s="12"/>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1"/>
      <c r="C67" s="72"/>
      <c r="D67" s="72"/>
      <c r="E67" s="68" t="s">
        <v>59</v>
      </c>
      <c r="F67" s="2"/>
      <c r="G67" s="12"/>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1"/>
      <c r="C68" s="72"/>
      <c r="D68" s="72"/>
      <c r="E68" s="68" t="s">
        <v>59</v>
      </c>
      <c r="F68" s="2"/>
      <c r="G68" s="12"/>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1"/>
      <c r="C69" s="72"/>
      <c r="D69" s="72"/>
      <c r="E69" s="68" t="s">
        <v>59</v>
      </c>
      <c r="F69" s="2"/>
      <c r="G69" s="12"/>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1"/>
      <c r="C70" s="72"/>
      <c r="D70" s="72"/>
      <c r="E70" s="68" t="s">
        <v>59</v>
      </c>
      <c r="F70" s="2"/>
      <c r="G70" s="12"/>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1"/>
      <c r="C71" s="72"/>
      <c r="D71" s="72"/>
      <c r="E71" s="68" t="s">
        <v>59</v>
      </c>
      <c r="F71" s="2"/>
      <c r="G71" s="12"/>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1"/>
      <c r="C72" s="72"/>
      <c r="D72" s="72"/>
      <c r="E72" s="68" t="s">
        <v>59</v>
      </c>
      <c r="F72" s="2"/>
      <c r="G72" s="12"/>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1"/>
      <c r="C73" s="72"/>
      <c r="D73" s="72"/>
      <c r="E73" s="68" t="s">
        <v>59</v>
      </c>
      <c r="F73" s="2"/>
      <c r="G73" s="12"/>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1"/>
      <c r="C74" s="72"/>
      <c r="D74" s="72"/>
      <c r="E74" s="68" t="s">
        <v>59</v>
      </c>
      <c r="F74" s="2"/>
      <c r="G74" s="12"/>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1"/>
      <c r="C75" s="72"/>
      <c r="D75" s="72"/>
      <c r="E75" s="68" t="s">
        <v>59</v>
      </c>
      <c r="F75" s="2"/>
      <c r="G75" s="12"/>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1"/>
      <c r="C76" s="72"/>
      <c r="D76" s="72"/>
      <c r="E76" s="68" t="s">
        <v>59</v>
      </c>
      <c r="F76" s="2"/>
      <c r="G76" s="12"/>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1"/>
      <c r="C77" s="72"/>
      <c r="D77" s="72"/>
      <c r="E77" s="68" t="s">
        <v>59</v>
      </c>
      <c r="F77" s="2"/>
      <c r="G77" s="12"/>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1"/>
      <c r="C78" s="72"/>
      <c r="D78" s="72"/>
      <c r="E78" s="68" t="s">
        <v>59</v>
      </c>
      <c r="F78" s="2"/>
      <c r="G78" s="12"/>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1"/>
      <c r="C79" s="72"/>
      <c r="D79" s="72"/>
      <c r="E79" s="68" t="s">
        <v>59</v>
      </c>
      <c r="F79" s="2"/>
      <c r="G79" s="12"/>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1"/>
      <c r="C80" s="72"/>
      <c r="D80" s="72"/>
      <c r="E80" s="68" t="s">
        <v>59</v>
      </c>
      <c r="F80" s="2"/>
      <c r="G80" s="12"/>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1"/>
      <c r="C81" s="72"/>
      <c r="D81" s="72"/>
      <c r="E81" s="68" t="s">
        <v>59</v>
      </c>
      <c r="F81" s="2"/>
      <c r="G81" s="12"/>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1"/>
      <c r="C82" s="72"/>
      <c r="D82" s="72"/>
      <c r="E82" s="68" t="s">
        <v>59</v>
      </c>
      <c r="F82" s="2"/>
      <c r="G82" s="12"/>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1"/>
      <c r="C83" s="72"/>
      <c r="D83" s="72"/>
      <c r="E83" s="68" t="s">
        <v>59</v>
      </c>
      <c r="F83" s="2"/>
      <c r="G83" s="12"/>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1"/>
      <c r="C84" s="72"/>
      <c r="D84" s="72"/>
      <c r="E84" s="68" t="s">
        <v>59</v>
      </c>
      <c r="F84" s="2"/>
      <c r="G84" s="12"/>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1"/>
      <c r="C85" s="72"/>
      <c r="D85" s="72"/>
      <c r="E85" s="68" t="s">
        <v>59</v>
      </c>
      <c r="F85" s="2"/>
      <c r="G85" s="12"/>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1"/>
      <c r="C86" s="72"/>
      <c r="D86" s="72"/>
      <c r="E86" s="68" t="s">
        <v>59</v>
      </c>
      <c r="F86" s="2"/>
      <c r="G86" s="12"/>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1"/>
      <c r="C87" s="72"/>
      <c r="D87" s="72"/>
      <c r="E87" s="68" t="s">
        <v>59</v>
      </c>
      <c r="F87" s="2"/>
      <c r="G87" s="12"/>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1"/>
      <c r="C88" s="72"/>
      <c r="D88" s="72"/>
      <c r="E88" s="68" t="s">
        <v>59</v>
      </c>
      <c r="F88" s="2"/>
      <c r="G88" s="12"/>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1"/>
      <c r="C89" s="72"/>
      <c r="D89" s="72"/>
      <c r="E89" s="68" t="s">
        <v>59</v>
      </c>
      <c r="F89" s="2"/>
      <c r="G89" s="12"/>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1"/>
      <c r="C90" s="72"/>
      <c r="D90" s="72"/>
      <c r="E90" s="68" t="s">
        <v>59</v>
      </c>
      <c r="F90" s="2"/>
      <c r="G90" s="12"/>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1"/>
      <c r="C91" s="72"/>
      <c r="D91" s="72"/>
      <c r="E91" s="68" t="s">
        <v>59</v>
      </c>
      <c r="F91" s="2"/>
      <c r="G91" s="12"/>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1"/>
      <c r="C92" s="72"/>
      <c r="D92" s="72"/>
      <c r="E92" s="68" t="s">
        <v>59</v>
      </c>
      <c r="F92" s="2"/>
      <c r="G92" s="12"/>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1"/>
      <c r="C93" s="72"/>
      <c r="D93" s="72"/>
      <c r="E93" s="68" t="s">
        <v>59</v>
      </c>
      <c r="F93" s="2"/>
      <c r="G93" s="12"/>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1"/>
      <c r="C94" s="72"/>
      <c r="D94" s="72"/>
      <c r="E94" s="68" t="s">
        <v>59</v>
      </c>
      <c r="F94" s="2"/>
      <c r="G94" s="12"/>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1"/>
      <c r="C95" s="72"/>
      <c r="D95" s="72"/>
      <c r="E95" s="68" t="s">
        <v>59</v>
      </c>
      <c r="F95" s="2"/>
      <c r="G95" s="12"/>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1"/>
      <c r="C96" s="72"/>
      <c r="D96" s="72"/>
      <c r="E96" s="68" t="s">
        <v>59</v>
      </c>
      <c r="F96" s="2"/>
      <c r="G96" s="12"/>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1"/>
      <c r="C97" s="72"/>
      <c r="D97" s="72"/>
      <c r="E97" s="68" t="s">
        <v>59</v>
      </c>
      <c r="F97" s="2"/>
      <c r="G97" s="12"/>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1"/>
      <c r="C98" s="72"/>
      <c r="D98" s="72"/>
      <c r="E98" s="68" t="s">
        <v>59</v>
      </c>
      <c r="F98" s="2"/>
      <c r="G98" s="12"/>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1"/>
      <c r="C99" s="72"/>
      <c r="D99" s="72"/>
      <c r="E99" s="68" t="s">
        <v>59</v>
      </c>
      <c r="F99" s="2"/>
      <c r="G99" s="12"/>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1"/>
      <c r="C100" s="72"/>
      <c r="D100" s="72"/>
      <c r="E100" s="68" t="s">
        <v>59</v>
      </c>
      <c r="F100" s="2"/>
      <c r="G100" s="12"/>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1"/>
      <c r="C101" s="72"/>
      <c r="D101" s="72"/>
      <c r="E101" s="68" t="s">
        <v>59</v>
      </c>
      <c r="F101" s="2"/>
      <c r="G101" s="12"/>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1"/>
      <c r="C102" s="72"/>
      <c r="D102" s="72"/>
      <c r="E102" s="68" t="s">
        <v>59</v>
      </c>
      <c r="F102" s="2"/>
      <c r="G102" s="12"/>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1"/>
      <c r="C103" s="72"/>
      <c r="D103" s="72"/>
      <c r="E103" s="68" t="s">
        <v>59</v>
      </c>
      <c r="F103" s="2"/>
      <c r="G103" s="12"/>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1"/>
      <c r="C104" s="72"/>
      <c r="D104" s="72"/>
      <c r="E104" s="68" t="s">
        <v>59</v>
      </c>
      <c r="F104" s="2"/>
      <c r="G104" s="12"/>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1"/>
      <c r="C105" s="72"/>
      <c r="D105" s="72"/>
      <c r="E105" s="68" t="s">
        <v>59</v>
      </c>
      <c r="F105" s="2"/>
      <c r="G105" s="12"/>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1"/>
      <c r="C106" s="72"/>
      <c r="D106" s="72"/>
      <c r="E106" s="68" t="s">
        <v>59</v>
      </c>
      <c r="F106" s="2"/>
      <c r="G106" s="12"/>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1"/>
      <c r="C107" s="72"/>
      <c r="D107" s="72"/>
      <c r="E107" s="68" t="s">
        <v>59</v>
      </c>
      <c r="F107" s="2"/>
      <c r="G107" s="12"/>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1"/>
      <c r="C108" s="72"/>
      <c r="D108" s="72"/>
      <c r="E108" s="68" t="s">
        <v>59</v>
      </c>
      <c r="F108" s="2"/>
      <c r="G108" s="12"/>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1"/>
      <c r="C109" s="72"/>
      <c r="D109" s="72"/>
      <c r="E109" s="68" t="s">
        <v>59</v>
      </c>
      <c r="F109" s="2"/>
      <c r="G109" s="12"/>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73"/>
      <c r="C110" s="74"/>
      <c r="D110" s="74"/>
      <c r="E110" s="75" t="s">
        <v>59</v>
      </c>
      <c r="F110" s="2"/>
      <c r="G110" s="12"/>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5 -- Main Lab Due: 1 Mar</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2" t="str">
        <f>IF(P6,P5,IF(T6,T5,IF(Y6,Y5,AA5)))</f>
        <v>You turned in this chapter's lab before the due date, well done!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5.0</v>
      </c>
      <c r="H4" s="23">
        <f t="array" ref="H4:J4">INDEX(LabInfo, G4)</f>
        <v>44256</v>
      </c>
      <c r="I4" s="9">
        <v>4.0</v>
      </c>
      <c r="J4" s="24">
        <v>6.0</v>
      </c>
      <c r="K4" s="19" t="s">
        <v>22</v>
      </c>
      <c r="L4" s="11">
        <f t="array" ref="L4">INDEX(B16:B111, COUNTA(B16:B111))</f>
        <v>44256</v>
      </c>
      <c r="M4" s="9">
        <f t="shared" ref="M4:O4" si="1">COUNTA(B16:B111)</f>
        <v>8</v>
      </c>
      <c r="N4" s="9">
        <f t="shared" si="1"/>
        <v>8</v>
      </c>
      <c r="O4" s="9">
        <f t="shared" si="1"/>
        <v>8</v>
      </c>
      <c r="P4" s="25" t="b">
        <f>AND(M4=N4,N4=O4)</f>
        <v>1</v>
      </c>
      <c r="Q4" s="26">
        <f>TIME(J4,0,0) - C6</f>
        <v>-0.09375</v>
      </c>
      <c r="R4" s="9">
        <f>I4-C5</f>
        <v>-2</v>
      </c>
      <c r="S4" s="20" t="s">
        <v>23</v>
      </c>
      <c r="T4" s="11">
        <f>C10</f>
        <v>44256</v>
      </c>
      <c r="U4" s="20">
        <f>MAX(0,R4)</f>
        <v>0</v>
      </c>
      <c r="V4" s="9">
        <f>IFERROR(SUM(AA16:AA111), 0)</f>
        <v>0</v>
      </c>
      <c r="W4" s="12">
        <f>SUM(U4:V4)</f>
        <v>0</v>
      </c>
      <c r="X4" s="11">
        <f>TODAY()</f>
        <v>45047</v>
      </c>
      <c r="Y4" s="10" t="b">
        <f>X4&lt;=H4</f>
        <v>0</v>
      </c>
      <c r="Z4" s="27">
        <f>IFERROR(TIME(2,0,0)-VLOOKUP(X4,T16:U111,2,FALSE), TIME(0,0,0))</f>
        <v>0</v>
      </c>
      <c r="AA4" s="9" t="b">
        <f>NOT(Y4)</f>
        <v>1</v>
      </c>
      <c r="AB4" s="9">
        <f>AF16</f>
        <v>0</v>
      </c>
      <c r="AC4" s="9"/>
      <c r="AD4" s="9"/>
      <c r="AE4" s="9"/>
      <c r="AF4" s="9"/>
      <c r="AG4" s="9"/>
      <c r="AH4" s="9"/>
    </row>
    <row r="5">
      <c r="A5" s="28"/>
      <c r="B5" s="29" t="s">
        <v>24</v>
      </c>
      <c r="C5" s="30">
        <f>COUNTA($K$16:$K111)</f>
        <v>6</v>
      </c>
      <c r="D5" s="31"/>
      <c r="E5" s="32"/>
      <c r="F5" s="2"/>
      <c r="G5" s="12"/>
      <c r="H5" s="10"/>
      <c r="I5" s="12"/>
      <c r="J5" s="10"/>
      <c r="K5" s="33" t="s">
        <v>25</v>
      </c>
      <c r="L5" s="9"/>
      <c r="M5" s="9"/>
      <c r="N5" s="9"/>
      <c r="O5" s="9"/>
      <c r="P5" s="34" t="s">
        <v>26</v>
      </c>
      <c r="Q5" s="9" t="str">
        <f>TEXT(Q4, "h\h m\m")&amp;" more work time"</f>
        <v>21h 45m more work time</v>
      </c>
      <c r="R5" s="9" t="str">
        <f>R4&amp;" more day"&amp;IF(R4=1,"","s")&amp;" worked"</f>
        <v>-2 more days worked</v>
      </c>
      <c r="S5" s="9" t="str">
        <f>"you will need "&amp;IF(Q6,Q5,"")&amp;IF(AND(Q6,R6)," and ","")&amp;IF(R6,R5,"")&amp;" before (or on) the due date to invoke the non-late policy"</f>
        <v>you will need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turned in this chapter's lab before the due date, well done!</v>
      </c>
      <c r="U5" s="9" t="s">
        <v>27</v>
      </c>
      <c r="V5" s="9" t="s">
        <v>28</v>
      </c>
      <c r="W5" s="9" t="str">
        <f>"You would need "&amp;W4&amp;" late day"&amp;IF(W4=1,"","s")&amp;" to be able to invoke the non-late policy."</f>
        <v>You would need 0 late days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You have completed the pre-due date requirements to satisfy the non-late policy.
If you turn in the lab after the due date, you will still need to work at least 2 hours every work day after the due date (or use late days) to be graded as on time.</v>
      </c>
      <c r="Z5" s="12" t="str">
        <f>"if you work at least "&amp;TEXT(Z4, "h\h m\m")&amp;" more today"</f>
        <v>if you work at least 0h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have been meeting the standard of diligence! If you turn in the lab today, it can be graded for full credit.</v>
      </c>
      <c r="AB5" s="9" t="str">
        <f>"You would need "&amp;AB4&amp;" traditional late day"&amp;IF(AB4=1,"","s")&amp;" to be graded for full credit"</f>
        <v>You would need 0 traditional late days to be graded for full credit</v>
      </c>
      <c r="AC5" s="9"/>
      <c r="AD5" s="9"/>
      <c r="AE5" s="9"/>
      <c r="AF5" s="9"/>
      <c r="AG5" s="9"/>
      <c r="AH5" s="9"/>
    </row>
    <row r="6">
      <c r="A6" s="28"/>
      <c r="B6" s="35" t="s">
        <v>29</v>
      </c>
      <c r="C6" s="36">
        <f>SUM($J$16:$J111)</f>
        <v>0.34375</v>
      </c>
      <c r="D6" s="37"/>
      <c r="E6" s="38"/>
      <c r="F6" s="2"/>
      <c r="G6" s="9"/>
      <c r="H6" s="10"/>
      <c r="I6" s="9"/>
      <c r="J6" s="10"/>
      <c r="K6" s="33" t="s">
        <v>30</v>
      </c>
      <c r="L6" s="11"/>
      <c r="M6" s="9"/>
      <c r="N6" s="9"/>
      <c r="O6" s="9"/>
      <c r="P6" s="25" t="b">
        <f>NOT(P4)</f>
        <v>0</v>
      </c>
      <c r="Q6" s="9" t="b">
        <f t="shared" ref="Q6:R6" si="2">Q4&gt;0</f>
        <v>0</v>
      </c>
      <c r="R6" s="9" t="b">
        <f t="shared" si="2"/>
        <v>0</v>
      </c>
      <c r="S6" s="20" t="b">
        <f>OR(Q6,R6)</f>
        <v>0</v>
      </c>
      <c r="T6" s="12" t="b">
        <f>T4&lt;&gt;""</f>
        <v>1</v>
      </c>
      <c r="U6" s="20" t="b">
        <f t="shared" ref="U6:V6" si="3">U4&gt;0</f>
        <v>0</v>
      </c>
      <c r="V6" s="9" t="b">
        <f t="shared" si="3"/>
        <v>0</v>
      </c>
      <c r="W6" s="12" t="b">
        <f>OR(U6,V6)</f>
        <v>0</v>
      </c>
      <c r="X6" s="12"/>
      <c r="Y6" s="39" t="b">
        <f>Y4</f>
        <v>0</v>
      </c>
      <c r="Z6" s="12" t="b">
        <f>Z4&gt;0</f>
        <v>0</v>
      </c>
      <c r="AA6" s="12"/>
      <c r="AB6" s="12" t="b">
        <f>AB4&lt;=3</f>
        <v>1</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21h 45m more work time before (or on) the due date to invoke the late policy.</v>
      </c>
      <c r="R7" s="12"/>
      <c r="S7" s="12"/>
      <c r="T7" s="12"/>
      <c r="U7" s="12"/>
      <c r="V7" s="12"/>
      <c r="W7" s="12" t="str">
        <f>"("&amp;IF(U6,IF(V6, U4&amp;" ","")&amp;U5,"")&amp;IF(AND(U6,V6)," and ","")&amp;IF(V6,IF(U6,V4&amp;" ","")&amp;V5,"")&amp;")"</f>
        <v>()</v>
      </c>
      <c r="X7" s="12"/>
      <c r="Y7" s="12"/>
      <c r="Z7" s="12"/>
      <c r="AA7" s="12"/>
      <c r="AB7" s="12" t="str">
        <f>AB5&amp;"."</f>
        <v>You would need 0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v>44256.0</v>
      </c>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1</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1</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63">
        <v>44245.0</v>
      </c>
      <c r="C16" s="64">
        <v>0.6027777777777777</v>
      </c>
      <c r="D16" s="64">
        <v>0.6486111111111111</v>
      </c>
      <c r="E16" s="65">
        <f t="array" ref="E16:E111">IF(D16:D111="","",D16:D111-C16:C111)</f>
        <v>0.04583333333</v>
      </c>
      <c r="F16" s="2"/>
      <c r="G16" s="66">
        <f>IFERROR(__xludf.DUMMYFUNCTION("SORT(FILTER({$B$16:$B111,$E$16:$E111}, $B$16:$B111 &lt;= $H$4), 1, TRUE)"),44245.0)</f>
        <v>44245</v>
      </c>
      <c r="H16" s="39">
        <f>IFERROR(__xludf.DUMMYFUNCTION("""COMPUTED_VALUE"""),0.04583333333333339)</f>
        <v>0.04583333333</v>
      </c>
      <c r="I16" s="66">
        <f>IFERROR(__xludf.DUMMYFUNCTION("UNIQUE(G$16:G111)"),44245.0)</f>
        <v>44245</v>
      </c>
      <c r="J16" s="39">
        <f>IFERROR(__xludf.DUMMYFUNCTION("IF(I16="""",,SUM(FILTER(H$16:H111, G$16:G111=I16)))"),0.04583333333333339)</f>
        <v>0.04583333333</v>
      </c>
      <c r="K16" s="67">
        <f>IFERROR(__xludf.DUMMYFUNCTION("IFERROR(FILTER(I16:I111, HOUR(J16:J111) &gt;= 1),)"),44245.0)</f>
        <v>44245</v>
      </c>
      <c r="L16" s="12"/>
      <c r="M16" s="67">
        <f t="array" ref="M16:N16">IF(C10="", {TODAY(), TIME(0,0,0)}, {C10, TIME(2,0,0)})</f>
        <v>44256</v>
      </c>
      <c r="N16" s="27">
        <v>0.08333333333333333</v>
      </c>
      <c r="O16" s="24">
        <f>COUNTIF(B16:B111, "&gt;"&amp;H4)</f>
        <v>0</v>
      </c>
      <c r="P16" s="67">
        <f>H4</f>
        <v>44256</v>
      </c>
      <c r="Q16" s="27">
        <f>TIME(0,0,0)</f>
        <v>0</v>
      </c>
      <c r="R16" s="67">
        <f>IFERROR(__xludf.DUMMYFUNCTION("SORT(IF(O16&gt;0, {FILTER(P$16:Q111, P16:P111);M16:N16},{P16:Q16;M16:N16} ))"),44256.0)</f>
        <v>44256</v>
      </c>
      <c r="S16" s="39">
        <f>IFERROR(__xludf.DUMMYFUNCTION("""COMPUTED_VALUE"""),0.0)</f>
        <v>0</v>
      </c>
      <c r="T16" s="67">
        <f>IFERROR(__xludf.DUMMYFUNCTION("UNIQUE(R$16:R111)"),44256.0)</f>
        <v>44256</v>
      </c>
      <c r="U16" s="39">
        <f>IFERROR(__xludf.DUMMYFUNCTION("IF(T16="""",,SUM(FILTER(S$16:S111, R$16:R111=T16)))"),0.08333333333333333)</f>
        <v>0.08333333333</v>
      </c>
      <c r="V16" s="12"/>
      <c r="W16" s="12">
        <f t="array" ref="W16">MATCH(T16:T111, SkippableDays)</f>
        <v>11</v>
      </c>
      <c r="X16" s="12"/>
      <c r="Y16" s="12"/>
      <c r="Z16" s="12"/>
      <c r="AA16" s="12">
        <f t="array" ref="AA16">IF(Y16:Y111 &gt;= 0, Y16:Y111, 0) + Z16:Z111</f>
        <v>0</v>
      </c>
      <c r="AB16" s="12"/>
      <c r="AC16" s="66">
        <f>H4</f>
        <v>44256</v>
      </c>
      <c r="AD16" s="12">
        <f>MATCH(AC16, SkippableDays)</f>
        <v>11</v>
      </c>
      <c r="AE16" s="12">
        <f>AC17-AC16</f>
        <v>0</v>
      </c>
      <c r="AF16" s="12">
        <f>AE16-AE17+IF(ISERROR(MATCH(AC17, SkippableDays,0)),0,1)</f>
        <v>0</v>
      </c>
      <c r="AG16" s="12"/>
      <c r="AH16" s="12"/>
    </row>
    <row r="17">
      <c r="A17" s="50"/>
      <c r="B17" s="63">
        <v>44246.0</v>
      </c>
      <c r="C17" s="64">
        <v>0.4166666666666667</v>
      </c>
      <c r="D17" s="64">
        <v>0.4597222222222222</v>
      </c>
      <c r="E17" s="68">
        <v>0.043055555555555514</v>
      </c>
      <c r="F17" s="2"/>
      <c r="G17" s="66">
        <f>IFERROR(__xludf.DUMMYFUNCTION("""COMPUTED_VALUE"""),44246.0)</f>
        <v>44246</v>
      </c>
      <c r="H17" s="39">
        <f>IFERROR(__xludf.DUMMYFUNCTION("""COMPUTED_VALUE"""),0.043055555555555514)</f>
        <v>0.04305555556</v>
      </c>
      <c r="I17" s="66">
        <f>IFERROR(__xludf.DUMMYFUNCTION("""COMPUTED_VALUE"""),44246.0)</f>
        <v>44246</v>
      </c>
      <c r="J17" s="39">
        <f>IFERROR(__xludf.DUMMYFUNCTION("IF(I17="""",,SUM(FILTER(H$16:H111, G$16:G111=I17)))"),0.043055555555555514)</f>
        <v>0.04305555556</v>
      </c>
      <c r="K17" s="67">
        <f>IFERROR(__xludf.DUMMYFUNCTION("""COMPUTED_VALUE"""),44246.0)</f>
        <v>44246</v>
      </c>
      <c r="L17" s="12"/>
      <c r="M17" s="67"/>
      <c r="N17" s="67"/>
      <c r="O17" s="67"/>
      <c r="P17" s="67" t="str">
        <f>IFERROR(__xludf.DUMMYFUNCTION("FILTER({$B$16:$B111,$E$16:$E111}, $B$16:$B111 &gt; $H$4)"),"#N/A")</f>
        <v>#N/A</v>
      </c>
      <c r="Q17" s="27"/>
      <c r="R17" s="67">
        <f>IFERROR(__xludf.DUMMYFUNCTION("""COMPUTED_VALUE"""),44256.0)</f>
        <v>44256</v>
      </c>
      <c r="S17" s="39">
        <f>IFERROR(__xludf.DUMMYFUNCTION("""COMPUTED_VALUE"""),0.08333333333333333)</f>
        <v>0.08333333333</v>
      </c>
      <c r="T17" s="67"/>
      <c r="U17" s="39" t="str">
        <f>IFERROR(__xludf.DUMMYFUNCTION("IF(T17="""",,SUM(FILTER(S$16:S111, R$16:R111=T17)))"),"")</f>
        <v/>
      </c>
      <c r="V17" s="12" t="str">
        <f t="array" ref="V17">T17:T111 - T16:T111 - 1</f>
        <v>#REF!</v>
      </c>
      <c r="W17" s="12"/>
      <c r="X17" s="12" t="str">
        <f t="array" ref="X17">W17:W111-W16:W111</f>
        <v>#REF!</v>
      </c>
      <c r="Y17" s="12" t="str">
        <f t="array" ref="Y17">V17:V111 - X17:X111</f>
        <v>#REF!</v>
      </c>
      <c r="Z17" s="12" t="str">
        <f t="array" ref="Z17">IF(HOUR(U17:U111) &gt;= 2, 0, 1)</f>
        <v>#REF!</v>
      </c>
      <c r="AA17" s="12"/>
      <c r="AB17" s="12"/>
      <c r="AC17" s="67">
        <f>M16</f>
        <v>44256</v>
      </c>
      <c r="AD17" s="12">
        <f>MATCH(AC17, SkippableDays)</f>
        <v>11</v>
      </c>
      <c r="AE17" s="12">
        <f>AD17-AD16</f>
        <v>0</v>
      </c>
      <c r="AF17" s="12"/>
      <c r="AG17" s="12"/>
      <c r="AH17" s="12"/>
    </row>
    <row r="18">
      <c r="A18" s="50"/>
      <c r="B18" s="63">
        <v>44248.0</v>
      </c>
      <c r="C18" s="64">
        <v>0.6034722222222222</v>
      </c>
      <c r="D18" s="64">
        <v>0.6708333333333333</v>
      </c>
      <c r="E18" s="68">
        <v>0.0673611111111111</v>
      </c>
      <c r="F18" s="2"/>
      <c r="G18" s="66">
        <f>IFERROR(__xludf.DUMMYFUNCTION("""COMPUTED_VALUE"""),44248.0)</f>
        <v>44248</v>
      </c>
      <c r="H18" s="39">
        <f>IFERROR(__xludf.DUMMYFUNCTION("""COMPUTED_VALUE"""),0.0673611111111111)</f>
        <v>0.06736111111</v>
      </c>
      <c r="I18" s="66">
        <f>IFERROR(__xludf.DUMMYFUNCTION("""COMPUTED_VALUE"""),44248.0)</f>
        <v>44248</v>
      </c>
      <c r="J18" s="39">
        <f>IFERROR(__xludf.DUMMYFUNCTION("IF(I18="""",,SUM(FILTER(H$16:H111, G$16:G111=I18)))"),0.0673611111111111)</f>
        <v>0.06736111111</v>
      </c>
      <c r="K18" s="67">
        <f>IFERROR(__xludf.DUMMYFUNCTION("""COMPUTED_VALUE"""),44248.0)</f>
        <v>44248</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63">
        <v>44249.0</v>
      </c>
      <c r="C19" s="64">
        <v>0.7277777777777777</v>
      </c>
      <c r="D19" s="64">
        <v>0.7486111111111111</v>
      </c>
      <c r="E19" s="68">
        <v>0.02083333333333337</v>
      </c>
      <c r="F19" s="2"/>
      <c r="G19" s="66">
        <f>IFERROR(__xludf.DUMMYFUNCTION("""COMPUTED_VALUE"""),44249.0)</f>
        <v>44249</v>
      </c>
      <c r="H19" s="39">
        <f>IFERROR(__xludf.DUMMYFUNCTION("""COMPUTED_VALUE"""),0.02083333333333337)</f>
        <v>0.02083333333</v>
      </c>
      <c r="I19" s="66">
        <f>IFERROR(__xludf.DUMMYFUNCTION("""COMPUTED_VALUE"""),44249.0)</f>
        <v>44249</v>
      </c>
      <c r="J19" s="39">
        <f>IFERROR(__xludf.DUMMYFUNCTION("IF(I19="""",,SUM(FILTER(H$16:H111, G$16:G111=I19)))"),0.02083333333333337)</f>
        <v>0.02083333333</v>
      </c>
      <c r="K19" s="67">
        <f>IFERROR(__xludf.DUMMYFUNCTION("""COMPUTED_VALUE"""),44251.0)</f>
        <v>44251</v>
      </c>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63">
        <v>44251.0</v>
      </c>
      <c r="C20" s="69">
        <v>0.4625</v>
      </c>
      <c r="D20" s="69">
        <v>0.49375</v>
      </c>
      <c r="E20" s="68">
        <v>0.03125</v>
      </c>
      <c r="F20" s="2"/>
      <c r="G20" s="66">
        <f>IFERROR(__xludf.DUMMYFUNCTION("""COMPUTED_VALUE"""),44251.0)</f>
        <v>44251</v>
      </c>
      <c r="H20" s="39">
        <f>IFERROR(__xludf.DUMMYFUNCTION("""COMPUTED_VALUE"""),0.03125)</f>
        <v>0.03125</v>
      </c>
      <c r="I20" s="66">
        <f>IFERROR(__xludf.DUMMYFUNCTION("""COMPUTED_VALUE"""),44251.0)</f>
        <v>44251</v>
      </c>
      <c r="J20" s="39">
        <f>IFERROR(__xludf.DUMMYFUNCTION("IF(I20="""",,SUM(FILTER(H$16:H111, G$16:G111=I20)))"),0.05208333333333337)</f>
        <v>0.05208333333</v>
      </c>
      <c r="K20" s="67">
        <f>IFERROR(__xludf.DUMMYFUNCTION("""COMPUTED_VALUE"""),44252.0)</f>
        <v>44252</v>
      </c>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0">
        <v>44251.0</v>
      </c>
      <c r="C21" s="69">
        <v>0.5625</v>
      </c>
      <c r="D21" s="69">
        <v>0.5833333333333334</v>
      </c>
      <c r="E21" s="68">
        <v>0.02083333333333337</v>
      </c>
      <c r="F21" s="2"/>
      <c r="G21" s="66">
        <f>IFERROR(__xludf.DUMMYFUNCTION("""COMPUTED_VALUE"""),44251.0)</f>
        <v>44251</v>
      </c>
      <c r="H21" s="39">
        <f>IFERROR(__xludf.DUMMYFUNCTION("""COMPUTED_VALUE"""),0.02083333333333337)</f>
        <v>0.02083333333</v>
      </c>
      <c r="I21" s="66">
        <f>IFERROR(__xludf.DUMMYFUNCTION("""COMPUTED_VALUE"""),44252.0)</f>
        <v>44252</v>
      </c>
      <c r="J21" s="39">
        <f>IFERROR(__xludf.DUMMYFUNCTION("IF(I21="""",,SUM(FILTER(H$16:H111, G$16:G111=I21)))"),0.04166666666666663)</f>
        <v>0.04166666667</v>
      </c>
      <c r="K21" s="67">
        <f>IFERROR(__xludf.DUMMYFUNCTION("""COMPUTED_VALUE"""),44256.0)</f>
        <v>44256</v>
      </c>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0">
        <v>44252.0</v>
      </c>
      <c r="C22" s="69">
        <v>0.4166666666666667</v>
      </c>
      <c r="D22" s="69">
        <v>0.4583333333333333</v>
      </c>
      <c r="E22" s="68">
        <v>0.04166666666666663</v>
      </c>
      <c r="F22" s="2"/>
      <c r="G22" s="66">
        <f>IFERROR(__xludf.DUMMYFUNCTION("""COMPUTED_VALUE"""),44252.0)</f>
        <v>44252</v>
      </c>
      <c r="H22" s="39">
        <f>IFERROR(__xludf.DUMMYFUNCTION("""COMPUTED_VALUE"""),0.04166666666666663)</f>
        <v>0.04166666667</v>
      </c>
      <c r="I22" s="66">
        <f>IFERROR(__xludf.DUMMYFUNCTION("""COMPUTED_VALUE"""),44256.0)</f>
        <v>44256</v>
      </c>
      <c r="J22" s="39">
        <f>IFERROR(__xludf.DUMMYFUNCTION("IF(I22="""",,SUM(FILTER(H$16:H111, G$16:G111=I22)))"),0.07291666666666663)</f>
        <v>0.07291666667</v>
      </c>
      <c r="K22" s="67"/>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63">
        <v>44256.0</v>
      </c>
      <c r="C23" s="64">
        <v>0.5</v>
      </c>
      <c r="D23" s="69">
        <v>0.5729166666666666</v>
      </c>
      <c r="E23" s="68">
        <v>0.07291666666666663</v>
      </c>
      <c r="F23" s="2"/>
      <c r="G23" s="66">
        <f>IFERROR(__xludf.DUMMYFUNCTION("""COMPUTED_VALUE"""),44256.0)</f>
        <v>44256</v>
      </c>
      <c r="H23" s="39">
        <f>IFERROR(__xludf.DUMMYFUNCTION("""COMPUTED_VALUE"""),0.07291666666666663)</f>
        <v>0.07291666667</v>
      </c>
      <c r="I23" s="66"/>
      <c r="J23" s="39" t="str">
        <f>IFERROR(__xludf.DUMMYFUNCTION("IF(I23="""",,SUM(FILTER(H$16:H111, G$16:G111=I23)))"),"")</f>
        <v/>
      </c>
      <c r="K23" s="67"/>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0"/>
      <c r="C24" s="69"/>
      <c r="D24" s="69"/>
      <c r="E24" s="68" t="s">
        <v>59</v>
      </c>
      <c r="F24" s="2"/>
      <c r="G24" s="66"/>
      <c r="H24" s="39" t="str">
        <f>IFERROR(__xludf.DUMMYFUNCTION("""COMPUTED_VALUE"""),"")</f>
        <v/>
      </c>
      <c r="I24" s="12"/>
      <c r="J24" s="39" t="str">
        <f>IFERROR(__xludf.DUMMYFUNCTION("IF(I24="""",,SUM(FILTER(H$16:H111, G$16:G111=I24)))"),"")</f>
        <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0"/>
      <c r="C25" s="69"/>
      <c r="D25" s="69"/>
      <c r="E25" s="68" t="s">
        <v>59</v>
      </c>
      <c r="F25" s="2"/>
      <c r="G25" s="66"/>
      <c r="H25" s="39" t="str">
        <f>IFERROR(__xludf.DUMMYFUNCTION("""COMPUTED_VALUE"""),"")</f>
        <v/>
      </c>
      <c r="I25" s="12"/>
      <c r="J25" s="39" t="str">
        <f>IFERROR(__xludf.DUMMYFUNCTION("IF(I25="""",,SUM(FILTER(H$16:H111, G$16:G111=I25)))"),"")</f>
        <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0"/>
      <c r="C26" s="69"/>
      <c r="D26" s="69"/>
      <c r="E26" s="68" t="s">
        <v>59</v>
      </c>
      <c r="F26" s="2"/>
      <c r="G26" s="66"/>
      <c r="H26" s="39" t="str">
        <f>IFERROR(__xludf.DUMMYFUNCTION("""COMPUTED_VALUE"""),"")</f>
        <v/>
      </c>
      <c r="I26" s="12"/>
      <c r="J26" s="39" t="str">
        <f>IFERROR(__xludf.DUMMYFUNCTION("IF(I26="""",,SUM(FILTER(H$16:H111, G$16:G111=I26)))"),"")</f>
        <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1"/>
      <c r="C27" s="72"/>
      <c r="D27" s="72"/>
      <c r="E27" s="68" t="s">
        <v>59</v>
      </c>
      <c r="F27" s="2"/>
      <c r="G27" s="12"/>
      <c r="H27" s="39" t="str">
        <f>IFERROR(__xludf.DUMMYFUNCTION("""COMPUTED_VALUE"""),"")</f>
        <v/>
      </c>
      <c r="I27" s="12"/>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1"/>
      <c r="C28" s="72"/>
      <c r="D28" s="72"/>
      <c r="E28" s="68" t="s">
        <v>59</v>
      </c>
      <c r="F28" s="2"/>
      <c r="G28" s="12"/>
      <c r="H28" s="39" t="str">
        <f>IFERROR(__xludf.DUMMYFUNCTION("""COMPUTED_VALUE"""),"")</f>
        <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1"/>
      <c r="C29" s="72"/>
      <c r="D29" s="72"/>
      <c r="E29" s="68" t="s">
        <v>59</v>
      </c>
      <c r="F29" s="2"/>
      <c r="G29" s="12"/>
      <c r="H29" s="39" t="str">
        <f>IFERROR(__xludf.DUMMYFUNCTION("""COMPUTED_VALUE"""),"")</f>
        <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1"/>
      <c r="C30" s="72"/>
      <c r="D30" s="72"/>
      <c r="E30" s="68" t="s">
        <v>59</v>
      </c>
      <c r="F30" s="2"/>
      <c r="G30" s="12"/>
      <c r="H30" s="39" t="str">
        <f>IFERROR(__xludf.DUMMYFUNCTION("""COMPUTED_VALUE"""),"")</f>
        <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1"/>
      <c r="C31" s="72"/>
      <c r="D31" s="72"/>
      <c r="E31" s="68" t="s">
        <v>59</v>
      </c>
      <c r="F31" s="2"/>
      <c r="G31" s="12"/>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1"/>
      <c r="C32" s="72"/>
      <c r="D32" s="72"/>
      <c r="E32" s="68" t="s">
        <v>59</v>
      </c>
      <c r="F32" s="2"/>
      <c r="G32" s="12"/>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1"/>
      <c r="C33" s="72"/>
      <c r="D33" s="72"/>
      <c r="E33" s="68" t="s">
        <v>59</v>
      </c>
      <c r="F33" s="2"/>
      <c r="G33" s="12"/>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1"/>
      <c r="C34" s="72"/>
      <c r="D34" s="72"/>
      <c r="E34" s="68" t="s">
        <v>59</v>
      </c>
      <c r="F34" s="2"/>
      <c r="G34" s="12"/>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1"/>
      <c r="C35" s="72"/>
      <c r="D35" s="72"/>
      <c r="E35" s="68" t="s">
        <v>59</v>
      </c>
      <c r="F35" s="2"/>
      <c r="G35" s="12"/>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1"/>
      <c r="C36" s="72"/>
      <c r="D36" s="72"/>
      <c r="E36" s="68" t="s">
        <v>59</v>
      </c>
      <c r="F36" s="2"/>
      <c r="G36" s="12"/>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1"/>
      <c r="C37" s="72"/>
      <c r="D37" s="72"/>
      <c r="E37" s="68" t="s">
        <v>59</v>
      </c>
      <c r="F37" s="2"/>
      <c r="G37" s="12"/>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1"/>
      <c r="C38" s="72"/>
      <c r="D38" s="72"/>
      <c r="E38" s="68" t="s">
        <v>59</v>
      </c>
      <c r="F38" s="2"/>
      <c r="G38" s="12"/>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1"/>
      <c r="C39" s="72"/>
      <c r="D39" s="72"/>
      <c r="E39" s="68" t="s">
        <v>59</v>
      </c>
      <c r="F39" s="2"/>
      <c r="G39" s="12"/>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1"/>
      <c r="C40" s="72"/>
      <c r="D40" s="72"/>
      <c r="E40" s="68" t="s">
        <v>59</v>
      </c>
      <c r="F40" s="2"/>
      <c r="G40" s="12"/>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1"/>
      <c r="C41" s="72"/>
      <c r="D41" s="72"/>
      <c r="E41" s="68" t="s">
        <v>59</v>
      </c>
      <c r="F41" s="2"/>
      <c r="G41" s="12"/>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1"/>
      <c r="C42" s="72"/>
      <c r="D42" s="72"/>
      <c r="E42" s="68" t="s">
        <v>59</v>
      </c>
      <c r="F42" s="2"/>
      <c r="G42" s="12"/>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1"/>
      <c r="C43" s="72"/>
      <c r="D43" s="72"/>
      <c r="E43" s="68" t="s">
        <v>59</v>
      </c>
      <c r="F43" s="2"/>
      <c r="G43" s="12"/>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1"/>
      <c r="C44" s="72"/>
      <c r="D44" s="72"/>
      <c r="E44" s="68" t="s">
        <v>59</v>
      </c>
      <c r="F44" s="2"/>
      <c r="G44" s="12"/>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1"/>
      <c r="C45" s="72"/>
      <c r="D45" s="72"/>
      <c r="E45" s="68" t="s">
        <v>59</v>
      </c>
      <c r="F45" s="2"/>
      <c r="G45" s="12"/>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1"/>
      <c r="C46" s="72"/>
      <c r="D46" s="72"/>
      <c r="E46" s="68" t="s">
        <v>59</v>
      </c>
      <c r="F46" s="2"/>
      <c r="G46" s="12"/>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1"/>
      <c r="C47" s="72"/>
      <c r="D47" s="72"/>
      <c r="E47" s="68" t="s">
        <v>59</v>
      </c>
      <c r="F47" s="2"/>
      <c r="G47" s="12"/>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1"/>
      <c r="C48" s="72"/>
      <c r="D48" s="72"/>
      <c r="E48" s="68" t="s">
        <v>59</v>
      </c>
      <c r="F48" s="2"/>
      <c r="G48" s="12"/>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1"/>
      <c r="C49" s="72"/>
      <c r="D49" s="72"/>
      <c r="E49" s="68" t="s">
        <v>59</v>
      </c>
      <c r="F49" s="2"/>
      <c r="G49" s="12"/>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1"/>
      <c r="C50" s="72"/>
      <c r="D50" s="72"/>
      <c r="E50" s="68" t="s">
        <v>59</v>
      </c>
      <c r="F50" s="2"/>
      <c r="G50" s="12"/>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1"/>
      <c r="C51" s="72"/>
      <c r="D51" s="72"/>
      <c r="E51" s="68" t="s">
        <v>59</v>
      </c>
      <c r="F51" s="2"/>
      <c r="G51" s="12"/>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1"/>
      <c r="C52" s="72"/>
      <c r="D52" s="72"/>
      <c r="E52" s="68" t="s">
        <v>59</v>
      </c>
      <c r="F52" s="2"/>
      <c r="G52" s="12"/>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1"/>
      <c r="C53" s="72"/>
      <c r="D53" s="72"/>
      <c r="E53" s="68" t="s">
        <v>59</v>
      </c>
      <c r="F53" s="2"/>
      <c r="G53" s="12"/>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1"/>
      <c r="C54" s="72"/>
      <c r="D54" s="72"/>
      <c r="E54" s="68" t="s">
        <v>59</v>
      </c>
      <c r="F54" s="2"/>
      <c r="G54" s="12"/>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1"/>
      <c r="C55" s="72"/>
      <c r="D55" s="72"/>
      <c r="E55" s="68" t="s">
        <v>59</v>
      </c>
      <c r="F55" s="2"/>
      <c r="G55" s="12"/>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1"/>
      <c r="C56" s="72"/>
      <c r="D56" s="72"/>
      <c r="E56" s="68" t="s">
        <v>59</v>
      </c>
      <c r="F56" s="2"/>
      <c r="G56" s="12"/>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1"/>
      <c r="C57" s="72"/>
      <c r="D57" s="72"/>
      <c r="E57" s="68" t="s">
        <v>59</v>
      </c>
      <c r="F57" s="2"/>
      <c r="G57" s="12"/>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1"/>
      <c r="C58" s="72"/>
      <c r="D58" s="72"/>
      <c r="E58" s="68" t="s">
        <v>59</v>
      </c>
      <c r="F58" s="2"/>
      <c r="G58" s="12"/>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1"/>
      <c r="C59" s="72"/>
      <c r="D59" s="72"/>
      <c r="E59" s="68" t="s">
        <v>59</v>
      </c>
      <c r="F59" s="2"/>
      <c r="G59" s="12"/>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1"/>
      <c r="C60" s="72"/>
      <c r="D60" s="72"/>
      <c r="E60" s="68" t="s">
        <v>59</v>
      </c>
      <c r="F60" s="2"/>
      <c r="G60" s="12"/>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1"/>
      <c r="C61" s="72"/>
      <c r="D61" s="72"/>
      <c r="E61" s="68" t="s">
        <v>59</v>
      </c>
      <c r="F61" s="2"/>
      <c r="G61" s="12"/>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1"/>
      <c r="C62" s="72"/>
      <c r="D62" s="72"/>
      <c r="E62" s="68" t="s">
        <v>59</v>
      </c>
      <c r="F62" s="2"/>
      <c r="G62" s="12"/>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1"/>
      <c r="C63" s="72"/>
      <c r="D63" s="72"/>
      <c r="E63" s="68" t="s">
        <v>59</v>
      </c>
      <c r="F63" s="2"/>
      <c r="G63" s="12"/>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1"/>
      <c r="C64" s="72"/>
      <c r="D64" s="72"/>
      <c r="E64" s="68" t="s">
        <v>59</v>
      </c>
      <c r="F64" s="2"/>
      <c r="G64" s="12"/>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1"/>
      <c r="C65" s="72"/>
      <c r="D65" s="72"/>
      <c r="E65" s="68" t="s">
        <v>59</v>
      </c>
      <c r="F65" s="2"/>
      <c r="G65" s="12"/>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1"/>
      <c r="C66" s="72"/>
      <c r="D66" s="72"/>
      <c r="E66" s="68" t="s">
        <v>59</v>
      </c>
      <c r="F66" s="2"/>
      <c r="G66" s="12"/>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1"/>
      <c r="C67" s="72"/>
      <c r="D67" s="72"/>
      <c r="E67" s="68" t="s">
        <v>59</v>
      </c>
      <c r="F67" s="2"/>
      <c r="G67" s="12"/>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1"/>
      <c r="C68" s="72"/>
      <c r="D68" s="72"/>
      <c r="E68" s="68" t="s">
        <v>59</v>
      </c>
      <c r="F68" s="2"/>
      <c r="G68" s="12"/>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1"/>
      <c r="C69" s="72"/>
      <c r="D69" s="72"/>
      <c r="E69" s="68" t="s">
        <v>59</v>
      </c>
      <c r="F69" s="2"/>
      <c r="G69" s="12"/>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1"/>
      <c r="C70" s="72"/>
      <c r="D70" s="72"/>
      <c r="E70" s="68" t="s">
        <v>59</v>
      </c>
      <c r="F70" s="2"/>
      <c r="G70" s="12"/>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1"/>
      <c r="C71" s="72"/>
      <c r="D71" s="72"/>
      <c r="E71" s="68" t="s">
        <v>59</v>
      </c>
      <c r="F71" s="2"/>
      <c r="G71" s="12"/>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1"/>
      <c r="C72" s="72"/>
      <c r="D72" s="72"/>
      <c r="E72" s="68" t="s">
        <v>59</v>
      </c>
      <c r="F72" s="2"/>
      <c r="G72" s="12"/>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1"/>
      <c r="C73" s="72"/>
      <c r="D73" s="72"/>
      <c r="E73" s="68" t="s">
        <v>59</v>
      </c>
      <c r="F73" s="2"/>
      <c r="G73" s="12"/>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1"/>
      <c r="C74" s="72"/>
      <c r="D74" s="72"/>
      <c r="E74" s="68" t="s">
        <v>59</v>
      </c>
      <c r="F74" s="2"/>
      <c r="G74" s="12"/>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1"/>
      <c r="C75" s="72"/>
      <c r="D75" s="72"/>
      <c r="E75" s="68" t="s">
        <v>59</v>
      </c>
      <c r="F75" s="2"/>
      <c r="G75" s="12"/>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1"/>
      <c r="C76" s="72"/>
      <c r="D76" s="72"/>
      <c r="E76" s="68" t="s">
        <v>59</v>
      </c>
      <c r="F76" s="2"/>
      <c r="G76" s="12"/>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1"/>
      <c r="C77" s="72"/>
      <c r="D77" s="72"/>
      <c r="E77" s="68" t="s">
        <v>59</v>
      </c>
      <c r="F77" s="2"/>
      <c r="G77" s="12"/>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1"/>
      <c r="C78" s="72"/>
      <c r="D78" s="72"/>
      <c r="E78" s="68" t="s">
        <v>59</v>
      </c>
      <c r="F78" s="2"/>
      <c r="G78" s="12"/>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1"/>
      <c r="C79" s="72"/>
      <c r="D79" s="72"/>
      <c r="E79" s="68" t="s">
        <v>59</v>
      </c>
      <c r="F79" s="2"/>
      <c r="G79" s="12"/>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1"/>
      <c r="C80" s="72"/>
      <c r="D80" s="72"/>
      <c r="E80" s="68" t="s">
        <v>59</v>
      </c>
      <c r="F80" s="2"/>
      <c r="G80" s="12"/>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1"/>
      <c r="C81" s="72"/>
      <c r="D81" s="72"/>
      <c r="E81" s="68" t="s">
        <v>59</v>
      </c>
      <c r="F81" s="2"/>
      <c r="G81" s="12"/>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1"/>
      <c r="C82" s="72"/>
      <c r="D82" s="72"/>
      <c r="E82" s="68" t="s">
        <v>59</v>
      </c>
      <c r="F82" s="2"/>
      <c r="G82" s="12"/>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1"/>
      <c r="C83" s="72"/>
      <c r="D83" s="72"/>
      <c r="E83" s="68" t="s">
        <v>59</v>
      </c>
      <c r="F83" s="2"/>
      <c r="G83" s="12"/>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1"/>
      <c r="C84" s="72"/>
      <c r="D84" s="72"/>
      <c r="E84" s="68" t="s">
        <v>59</v>
      </c>
      <c r="F84" s="2"/>
      <c r="G84" s="12"/>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1"/>
      <c r="C85" s="72"/>
      <c r="D85" s="72"/>
      <c r="E85" s="68" t="s">
        <v>59</v>
      </c>
      <c r="F85" s="2"/>
      <c r="G85" s="12"/>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1"/>
      <c r="C86" s="72"/>
      <c r="D86" s="72"/>
      <c r="E86" s="68" t="s">
        <v>59</v>
      </c>
      <c r="F86" s="2"/>
      <c r="G86" s="12"/>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1"/>
      <c r="C87" s="72"/>
      <c r="D87" s="72"/>
      <c r="E87" s="68" t="s">
        <v>59</v>
      </c>
      <c r="F87" s="2"/>
      <c r="G87" s="12"/>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1"/>
      <c r="C88" s="72"/>
      <c r="D88" s="72"/>
      <c r="E88" s="68" t="s">
        <v>59</v>
      </c>
      <c r="F88" s="2"/>
      <c r="G88" s="12"/>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1"/>
      <c r="C89" s="72"/>
      <c r="D89" s="72"/>
      <c r="E89" s="68" t="s">
        <v>59</v>
      </c>
      <c r="F89" s="2"/>
      <c r="G89" s="12"/>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1"/>
      <c r="C90" s="72"/>
      <c r="D90" s="72"/>
      <c r="E90" s="68" t="s">
        <v>59</v>
      </c>
      <c r="F90" s="2"/>
      <c r="G90" s="12"/>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1"/>
      <c r="C91" s="72"/>
      <c r="D91" s="72"/>
      <c r="E91" s="68" t="s">
        <v>59</v>
      </c>
      <c r="F91" s="2"/>
      <c r="G91" s="12"/>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1"/>
      <c r="C92" s="72"/>
      <c r="D92" s="72"/>
      <c r="E92" s="68" t="s">
        <v>59</v>
      </c>
      <c r="F92" s="2"/>
      <c r="G92" s="12"/>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1"/>
      <c r="C93" s="72"/>
      <c r="D93" s="72"/>
      <c r="E93" s="68" t="s">
        <v>59</v>
      </c>
      <c r="F93" s="2"/>
      <c r="G93" s="12"/>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1"/>
      <c r="C94" s="72"/>
      <c r="D94" s="72"/>
      <c r="E94" s="68" t="s">
        <v>59</v>
      </c>
      <c r="F94" s="2"/>
      <c r="G94" s="12"/>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1"/>
      <c r="C95" s="72"/>
      <c r="D95" s="72"/>
      <c r="E95" s="68" t="s">
        <v>59</v>
      </c>
      <c r="F95" s="2"/>
      <c r="G95" s="12"/>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1"/>
      <c r="C96" s="72"/>
      <c r="D96" s="72"/>
      <c r="E96" s="68" t="s">
        <v>59</v>
      </c>
      <c r="F96" s="2"/>
      <c r="G96" s="12"/>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1"/>
      <c r="C97" s="72"/>
      <c r="D97" s="72"/>
      <c r="E97" s="68" t="s">
        <v>59</v>
      </c>
      <c r="F97" s="2"/>
      <c r="G97" s="12"/>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1"/>
      <c r="C98" s="72"/>
      <c r="D98" s="72"/>
      <c r="E98" s="68" t="s">
        <v>59</v>
      </c>
      <c r="F98" s="2"/>
      <c r="G98" s="12"/>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1"/>
      <c r="C99" s="72"/>
      <c r="D99" s="72"/>
      <c r="E99" s="68" t="s">
        <v>59</v>
      </c>
      <c r="F99" s="2"/>
      <c r="G99" s="12"/>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1"/>
      <c r="C100" s="72"/>
      <c r="D100" s="72"/>
      <c r="E100" s="68" t="s">
        <v>59</v>
      </c>
      <c r="F100" s="2"/>
      <c r="G100" s="12"/>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1"/>
      <c r="C101" s="72"/>
      <c r="D101" s="72"/>
      <c r="E101" s="68" t="s">
        <v>59</v>
      </c>
      <c r="F101" s="2"/>
      <c r="G101" s="12"/>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1"/>
      <c r="C102" s="72"/>
      <c r="D102" s="72"/>
      <c r="E102" s="68" t="s">
        <v>59</v>
      </c>
      <c r="F102" s="2"/>
      <c r="G102" s="12"/>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1"/>
      <c r="C103" s="72"/>
      <c r="D103" s="72"/>
      <c r="E103" s="68" t="s">
        <v>59</v>
      </c>
      <c r="F103" s="2"/>
      <c r="G103" s="12"/>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1"/>
      <c r="C104" s="72"/>
      <c r="D104" s="72"/>
      <c r="E104" s="68" t="s">
        <v>59</v>
      </c>
      <c r="F104" s="2"/>
      <c r="G104" s="12"/>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1"/>
      <c r="C105" s="72"/>
      <c r="D105" s="72"/>
      <c r="E105" s="68" t="s">
        <v>59</v>
      </c>
      <c r="F105" s="2"/>
      <c r="G105" s="12"/>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1"/>
      <c r="C106" s="72"/>
      <c r="D106" s="72"/>
      <c r="E106" s="68" t="s">
        <v>59</v>
      </c>
      <c r="F106" s="2"/>
      <c r="G106" s="12"/>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1"/>
      <c r="C107" s="72"/>
      <c r="D107" s="72"/>
      <c r="E107" s="68" t="s">
        <v>59</v>
      </c>
      <c r="F107" s="2"/>
      <c r="G107" s="12"/>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1"/>
      <c r="C108" s="72"/>
      <c r="D108" s="72"/>
      <c r="E108" s="68" t="s">
        <v>59</v>
      </c>
      <c r="F108" s="2"/>
      <c r="G108" s="12"/>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1"/>
      <c r="C109" s="72"/>
      <c r="D109" s="72"/>
      <c r="E109" s="68" t="s">
        <v>59</v>
      </c>
      <c r="F109" s="2"/>
      <c r="G109" s="12"/>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73"/>
      <c r="C110" s="74"/>
      <c r="D110" s="74"/>
      <c r="E110" s="75" t="s">
        <v>59</v>
      </c>
      <c r="F110" s="2"/>
      <c r="G110" s="12"/>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6 -- Main Lab Due: 12 Mar</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2" t="str">
        <f>IF(P6,P5,IF(T6,T5,IF(Y6,Y5,AA5)))</f>
        <v>You turned in this chapter's lab before the due date, well done!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6.0</v>
      </c>
      <c r="H4" s="23">
        <f t="array" ref="H4:J4">INDEX(LabInfo, G4)</f>
        <v>44267</v>
      </c>
      <c r="I4" s="9">
        <v>5.0</v>
      </c>
      <c r="J4" s="24">
        <v>8.0</v>
      </c>
      <c r="K4" s="19" t="s">
        <v>22</v>
      </c>
      <c r="L4" s="11">
        <f t="array" ref="L4">INDEX(B16:B111, COUNTA(B16:B111))</f>
        <v>44264</v>
      </c>
      <c r="M4" s="9">
        <f t="shared" ref="M4:O4" si="1">COUNTA(B16:B111)</f>
        <v>11</v>
      </c>
      <c r="N4" s="9">
        <f t="shared" si="1"/>
        <v>11</v>
      </c>
      <c r="O4" s="9">
        <f t="shared" si="1"/>
        <v>11</v>
      </c>
      <c r="P4" s="25" t="b">
        <f>AND(M4=N4,N4=O4)</f>
        <v>1</v>
      </c>
      <c r="Q4" s="26">
        <f>TIME(J4,0,0) - C6</f>
        <v>-0.2194444444</v>
      </c>
      <c r="R4" s="9">
        <f>I4-C5</f>
        <v>-2</v>
      </c>
      <c r="S4" s="20" t="s">
        <v>23</v>
      </c>
      <c r="T4" s="11">
        <f>C10</f>
        <v>44265</v>
      </c>
      <c r="U4" s="20">
        <f>MAX(0,R4)</f>
        <v>0</v>
      </c>
      <c r="V4" s="9">
        <f>IFERROR(SUM(AA16:AA111), 0)</f>
        <v>2</v>
      </c>
      <c r="W4" s="12">
        <f>SUM(U4:V4)</f>
        <v>2</v>
      </c>
      <c r="X4" s="11">
        <f>TODAY()</f>
        <v>45047</v>
      </c>
      <c r="Y4" s="10" t="b">
        <f>X4&lt;=H4</f>
        <v>0</v>
      </c>
      <c r="Z4" s="27">
        <f>IFERROR(TIME(2,0,0)-VLOOKUP(X4,T16:U111,2,FALSE), TIME(0,0,0))</f>
        <v>0</v>
      </c>
      <c r="AA4" s="9" t="b">
        <f>NOT(Y4)</f>
        <v>1</v>
      </c>
      <c r="AB4" s="9">
        <f>AF16</f>
        <v>-2</v>
      </c>
      <c r="AC4" s="9"/>
      <c r="AD4" s="9"/>
      <c r="AE4" s="9"/>
      <c r="AF4" s="9"/>
      <c r="AG4" s="9"/>
      <c r="AH4" s="9"/>
    </row>
    <row r="5">
      <c r="A5" s="28"/>
      <c r="B5" s="29" t="s">
        <v>24</v>
      </c>
      <c r="C5" s="30">
        <f>COUNTA($K$16:$K111)</f>
        <v>7</v>
      </c>
      <c r="D5" s="31"/>
      <c r="E5" s="32"/>
      <c r="F5" s="2"/>
      <c r="G5" s="12"/>
      <c r="H5" s="10"/>
      <c r="I5" s="12"/>
      <c r="J5" s="10"/>
      <c r="K5" s="33" t="s">
        <v>25</v>
      </c>
      <c r="L5" s="9"/>
      <c r="M5" s="9"/>
      <c r="N5" s="9"/>
      <c r="O5" s="9"/>
      <c r="P5" s="34" t="s">
        <v>26</v>
      </c>
      <c r="Q5" s="9" t="str">
        <f>TEXT(Q4, "h\h m\m")&amp;" more work time"</f>
        <v>18h 44m more work time</v>
      </c>
      <c r="R5" s="9" t="str">
        <f>R4&amp;" more day"&amp;IF(R4=1,"","s")&amp;" worked"</f>
        <v>-2 more days worked</v>
      </c>
      <c r="S5" s="9" t="str">
        <f>"you will need "&amp;IF(Q6,Q5,"")&amp;IF(AND(Q6,R6)," and ","")&amp;IF(R6,R5,"")&amp;" before (or on) the due date to invoke the non-late policy"</f>
        <v>you will need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turned in this chapter's lab before the due date, well done!</v>
      </c>
      <c r="U5" s="9" t="s">
        <v>27</v>
      </c>
      <c r="V5" s="9" t="s">
        <v>28</v>
      </c>
      <c r="W5" s="9" t="str">
        <f>"You would need "&amp;W4&amp;" late day"&amp;IF(W4=1,"","s")&amp;" to be able to invoke the non-late policy."</f>
        <v>You would need 2 late days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You have completed the pre-due date requirements to satisfy the non-late policy.
If you turn in the lab after the due date, you will still need to work at least 2 hours every work day after the due date (or use late days) to be graded as on time.</v>
      </c>
      <c r="Z5" s="12" t="str">
        <f>"if you work at least "&amp;TEXT(Z4, "h\h m\m")&amp;" more today"</f>
        <v>if you work at least 0h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would need -2 traditional late days to be graded for full credit</v>
      </c>
      <c r="AB5" s="9" t="str">
        <f>"You would need "&amp;AB4&amp;" traditional late day"&amp;IF(AB4=1,"","s")&amp;" to be graded for full credit"</f>
        <v>You would need -2 traditional late days to be graded for full credit</v>
      </c>
      <c r="AC5" s="9"/>
      <c r="AD5" s="9"/>
      <c r="AE5" s="9"/>
      <c r="AF5" s="9"/>
      <c r="AG5" s="9"/>
      <c r="AH5" s="9"/>
    </row>
    <row r="6">
      <c r="A6" s="28"/>
      <c r="B6" s="35" t="s">
        <v>29</v>
      </c>
      <c r="C6" s="36">
        <f>SUM($J$16:$J111)</f>
        <v>0.5527777778</v>
      </c>
      <c r="D6" s="37"/>
      <c r="E6" s="38"/>
      <c r="F6" s="2"/>
      <c r="G6" s="9"/>
      <c r="H6" s="10"/>
      <c r="I6" s="9"/>
      <c r="J6" s="10"/>
      <c r="K6" s="33" t="s">
        <v>30</v>
      </c>
      <c r="L6" s="11"/>
      <c r="M6" s="9"/>
      <c r="N6" s="9"/>
      <c r="O6" s="9"/>
      <c r="P6" s="25" t="b">
        <f>NOT(P4)</f>
        <v>0</v>
      </c>
      <c r="Q6" s="9" t="b">
        <f t="shared" ref="Q6:R6" si="2">Q4&gt;0</f>
        <v>0</v>
      </c>
      <c r="R6" s="9" t="b">
        <f t="shared" si="2"/>
        <v>0</v>
      </c>
      <c r="S6" s="20" t="b">
        <f>OR(Q6,R6)</f>
        <v>0</v>
      </c>
      <c r="T6" s="12" t="b">
        <f>T4&lt;&gt;""</f>
        <v>1</v>
      </c>
      <c r="U6" s="20" t="b">
        <f t="shared" ref="U6:V6" si="3">U4&gt;0</f>
        <v>0</v>
      </c>
      <c r="V6" s="9" t="b">
        <f t="shared" si="3"/>
        <v>1</v>
      </c>
      <c r="W6" s="12" t="b">
        <f>OR(U6,V6)</f>
        <v>1</v>
      </c>
      <c r="X6" s="12"/>
      <c r="Y6" s="39" t="b">
        <f>Y4</f>
        <v>0</v>
      </c>
      <c r="Z6" s="12" t="b">
        <f>Z4&gt;0</f>
        <v>0</v>
      </c>
      <c r="AA6" s="12"/>
      <c r="AB6" s="12" t="b">
        <f>AB4&lt;=3</f>
        <v>1</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18h 44m more work time before (or on) the due date to invoke the late policy.</v>
      </c>
      <c r="R7" s="12"/>
      <c r="S7" s="12"/>
      <c r="T7" s="12"/>
      <c r="U7" s="12"/>
      <c r="V7" s="12"/>
      <c r="W7" s="12" t="str">
        <f>"("&amp;IF(U6,IF(V6, U4&amp;" ","")&amp;U5,"")&amp;IF(AND(U6,V6)," and ","")&amp;IF(V6,IF(U6,V4&amp;" ","")&amp;V5,"")&amp;")"</f>
        <v>(to cover days after the due date without at least 2 hours of work)</v>
      </c>
      <c r="X7" s="12"/>
      <c r="Y7" s="12"/>
      <c r="Z7" s="12"/>
      <c r="AA7" s="12"/>
      <c r="AB7" s="12" t="str">
        <f>AB5&amp;"."</f>
        <v>You would need -2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v>44265.0</v>
      </c>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1</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2</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70">
        <v>44253.0</v>
      </c>
      <c r="C16" s="69">
        <v>0.4513888888888889</v>
      </c>
      <c r="D16" s="64">
        <v>0.4930555555555556</v>
      </c>
      <c r="E16" s="65">
        <f t="array" ref="E16:E111">IF(D16:D111="","",D16:D111-C16:C111)</f>
        <v>0.04166666667</v>
      </c>
      <c r="F16" s="2"/>
      <c r="G16" s="66">
        <f>IFERROR(__xludf.DUMMYFUNCTION("SORT(FILTER({$B$16:$B111,$E$16:$E111}, $B$16:$B111 &lt;= $H$4), 1, TRUE)"),44253.0)</f>
        <v>44253</v>
      </c>
      <c r="H16" s="39">
        <f>IFERROR(__xludf.DUMMYFUNCTION("""COMPUTED_VALUE"""),0.041666666666666685)</f>
        <v>0.04166666667</v>
      </c>
      <c r="I16" s="66">
        <f>IFERROR(__xludf.DUMMYFUNCTION("UNIQUE(G$16:G111)"),44253.0)</f>
        <v>44253</v>
      </c>
      <c r="J16" s="39">
        <f>IFERROR(__xludf.DUMMYFUNCTION("IF(I16="""",,SUM(FILTER(H$16:H111, G$16:G111=I16)))"),0.041666666666666685)</f>
        <v>0.04166666667</v>
      </c>
      <c r="K16" s="67">
        <f>IFERROR(__xludf.DUMMYFUNCTION("IFERROR(FILTER(I16:I111, HOUR(J16:J111) &gt;= 1),)"),44253.0)</f>
        <v>44253</v>
      </c>
      <c r="L16" s="12"/>
      <c r="M16" s="67">
        <f t="array" ref="M16:N16">IF(C10="", {TODAY(), TIME(0,0,0)}, {C10, TIME(2,0,0)})</f>
        <v>44265</v>
      </c>
      <c r="N16" s="27">
        <v>0.08333333333333333</v>
      </c>
      <c r="O16" s="24">
        <f>COUNTIF(B16:B111, "&gt;"&amp;H4)</f>
        <v>0</v>
      </c>
      <c r="P16" s="67">
        <f>H4</f>
        <v>44267</v>
      </c>
      <c r="Q16" s="27">
        <f>TIME(0,0,0)</f>
        <v>0</v>
      </c>
      <c r="R16" s="67">
        <f>IFERROR(__xludf.DUMMYFUNCTION("SORT(IF(O16&gt;0, {FILTER(P$16:Q111, P16:P111);M16:N16},{P16:Q16;M16:N16} ))"),44265.0)</f>
        <v>44265</v>
      </c>
      <c r="S16" s="39">
        <f>IFERROR(__xludf.DUMMYFUNCTION("""COMPUTED_VALUE"""),0.08333333333333333)</f>
        <v>0.08333333333</v>
      </c>
      <c r="T16" s="67">
        <f>IFERROR(__xludf.DUMMYFUNCTION("UNIQUE(R$16:R111)"),44265.0)</f>
        <v>44265</v>
      </c>
      <c r="U16" s="39">
        <f>IFERROR(__xludf.DUMMYFUNCTION("IF(T16="""",,SUM(FILTER(S$16:S111, R$16:R111=T16)))"),0.08333333333333333)</f>
        <v>0.08333333333</v>
      </c>
      <c r="V16" s="12"/>
      <c r="W16" s="12">
        <f t="array" ref="W16:W17">MATCH(T16:T111, SkippableDays)</f>
        <v>12</v>
      </c>
      <c r="X16" s="12"/>
      <c r="Y16" s="12"/>
      <c r="Z16" s="12"/>
      <c r="AA16" s="12">
        <f t="array" ref="AA16:AA17">IF(Y16:Y111 &gt;= 0, Y16:Y111, 0) + Z16:Z111</f>
        <v>0</v>
      </c>
      <c r="AB16" s="12"/>
      <c r="AC16" s="66">
        <f>H4</f>
        <v>44267</v>
      </c>
      <c r="AD16" s="12">
        <f>MATCH(AC16, SkippableDays)</f>
        <v>12</v>
      </c>
      <c r="AE16" s="12">
        <f>AC17-AC16</f>
        <v>-2</v>
      </c>
      <c r="AF16" s="12">
        <f>AE16-AE17+IF(ISERROR(MATCH(AC17, SkippableDays,0)),0,1)</f>
        <v>-2</v>
      </c>
      <c r="AG16" s="12"/>
      <c r="AH16" s="12"/>
    </row>
    <row r="17">
      <c r="A17" s="50"/>
      <c r="B17" s="63">
        <v>44255.0</v>
      </c>
      <c r="C17" s="64">
        <v>0.4486111111111111</v>
      </c>
      <c r="D17" s="64">
        <v>0.4583333333333333</v>
      </c>
      <c r="E17" s="68">
        <v>0.009722222222222188</v>
      </c>
      <c r="F17" s="2"/>
      <c r="G17" s="66">
        <f>IFERROR(__xludf.DUMMYFUNCTION("""COMPUTED_VALUE"""),44255.0)</f>
        <v>44255</v>
      </c>
      <c r="H17" s="39">
        <f>IFERROR(__xludf.DUMMYFUNCTION("""COMPUTED_VALUE"""),0.009722222222222188)</f>
        <v>0.009722222222</v>
      </c>
      <c r="I17" s="66">
        <f>IFERROR(__xludf.DUMMYFUNCTION("""COMPUTED_VALUE"""),44255.0)</f>
        <v>44255</v>
      </c>
      <c r="J17" s="39">
        <f>IFERROR(__xludf.DUMMYFUNCTION("IF(I17="""",,SUM(FILTER(H$16:H111, G$16:G111=I17)))"),0.009722222222222188)</f>
        <v>0.009722222222</v>
      </c>
      <c r="K17" s="67">
        <f>IFERROR(__xludf.DUMMYFUNCTION("""COMPUTED_VALUE"""),44256.0)</f>
        <v>44256</v>
      </c>
      <c r="L17" s="12"/>
      <c r="M17" s="67"/>
      <c r="N17" s="67"/>
      <c r="O17" s="67"/>
      <c r="P17" s="67" t="str">
        <f>IFERROR(__xludf.DUMMYFUNCTION("FILTER({$B$16:$B111,$E$16:$E111}, $B$16:$B111 &gt; $H$4)"),"#N/A")</f>
        <v>#N/A</v>
      </c>
      <c r="Q17" s="27"/>
      <c r="R17" s="67">
        <f>IFERROR(__xludf.DUMMYFUNCTION("""COMPUTED_VALUE"""),44267.0)</f>
        <v>44267</v>
      </c>
      <c r="S17" s="39">
        <f>IFERROR(__xludf.DUMMYFUNCTION("""COMPUTED_VALUE"""),0.0)</f>
        <v>0</v>
      </c>
      <c r="T17" s="67">
        <f>IFERROR(__xludf.DUMMYFUNCTION("""COMPUTED_VALUE"""),44267.0)</f>
        <v>44267</v>
      </c>
      <c r="U17" s="39">
        <f>IFERROR(__xludf.DUMMYFUNCTION("IF(T17="""",,SUM(FILTER(S$16:S111, R$16:R111=T17)))"),0.0)</f>
        <v>0</v>
      </c>
      <c r="V17" s="12">
        <f t="array" ref="V17">T17:T111 - T16:T111 - 1</f>
        <v>1</v>
      </c>
      <c r="W17" s="12">
        <v>12.0</v>
      </c>
      <c r="X17" s="12">
        <f t="array" ref="X17">W17:W111-W16:W111</f>
        <v>0</v>
      </c>
      <c r="Y17" s="12">
        <f t="array" ref="Y17">V17:V111 - X17:X111</f>
        <v>1</v>
      </c>
      <c r="Z17" s="12">
        <f t="array" ref="Z17">IF(HOUR(U17:U111) &gt;= 2, 0, 1)</f>
        <v>1</v>
      </c>
      <c r="AA17" s="12">
        <v>2.0</v>
      </c>
      <c r="AB17" s="12"/>
      <c r="AC17" s="67">
        <f>M16</f>
        <v>44265</v>
      </c>
      <c r="AD17" s="12">
        <f>MATCH(AC17, SkippableDays)</f>
        <v>12</v>
      </c>
      <c r="AE17" s="12">
        <f>AD17-AD16</f>
        <v>0</v>
      </c>
      <c r="AF17" s="12"/>
      <c r="AG17" s="12"/>
      <c r="AH17" s="12"/>
    </row>
    <row r="18">
      <c r="A18" s="50"/>
      <c r="B18" s="63">
        <v>44256.0</v>
      </c>
      <c r="C18" s="64">
        <v>0.4756944444444444</v>
      </c>
      <c r="D18" s="64">
        <v>0.5</v>
      </c>
      <c r="E18" s="68">
        <v>0.02430555555555558</v>
      </c>
      <c r="F18" s="2"/>
      <c r="G18" s="66">
        <f>IFERROR(__xludf.DUMMYFUNCTION("""COMPUTED_VALUE"""),44256.0)</f>
        <v>44256</v>
      </c>
      <c r="H18" s="39">
        <f>IFERROR(__xludf.DUMMYFUNCTION("""COMPUTED_VALUE"""),0.02430555555555558)</f>
        <v>0.02430555556</v>
      </c>
      <c r="I18" s="66">
        <f>IFERROR(__xludf.DUMMYFUNCTION("""COMPUTED_VALUE"""),44256.0)</f>
        <v>44256</v>
      </c>
      <c r="J18" s="39">
        <f>IFERROR(__xludf.DUMMYFUNCTION("IF(I18="""",,SUM(FILTER(H$16:H111, G$16:G111=I18)))"),0.05486111111111114)</f>
        <v>0.05486111111</v>
      </c>
      <c r="K18" s="67">
        <f>IFERROR(__xludf.DUMMYFUNCTION("""COMPUTED_VALUE"""),44257.0)</f>
        <v>44257</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63">
        <v>44256.0</v>
      </c>
      <c r="C19" s="64">
        <v>0.5798611111111112</v>
      </c>
      <c r="D19" s="64">
        <v>0.6104166666666667</v>
      </c>
      <c r="E19" s="68">
        <v>0.030555555555555558</v>
      </c>
      <c r="F19" s="2"/>
      <c r="G19" s="66">
        <f>IFERROR(__xludf.DUMMYFUNCTION("""COMPUTED_VALUE"""),44256.0)</f>
        <v>44256</v>
      </c>
      <c r="H19" s="39">
        <f>IFERROR(__xludf.DUMMYFUNCTION("""COMPUTED_VALUE"""),0.030555555555555558)</f>
        <v>0.03055555556</v>
      </c>
      <c r="I19" s="66">
        <f>IFERROR(__xludf.DUMMYFUNCTION("""COMPUTED_VALUE"""),44257.0)</f>
        <v>44257</v>
      </c>
      <c r="J19" s="39">
        <f>IFERROR(__xludf.DUMMYFUNCTION("IF(I19="""",,SUM(FILTER(H$16:H111, G$16:G111=I19)))"),0.04513888888888895)</f>
        <v>0.04513888889</v>
      </c>
      <c r="K19" s="67">
        <f>IFERROR(__xludf.DUMMYFUNCTION("""COMPUTED_VALUE"""),44258.0)</f>
        <v>44258</v>
      </c>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63">
        <v>44257.0</v>
      </c>
      <c r="C20" s="69">
        <v>0.6076388888888888</v>
      </c>
      <c r="D20" s="69">
        <v>0.6527777777777778</v>
      </c>
      <c r="E20" s="68">
        <v>0.04513888888888895</v>
      </c>
      <c r="F20" s="2"/>
      <c r="G20" s="66">
        <f>IFERROR(__xludf.DUMMYFUNCTION("""COMPUTED_VALUE"""),44257.0)</f>
        <v>44257</v>
      </c>
      <c r="H20" s="39">
        <f>IFERROR(__xludf.DUMMYFUNCTION("""COMPUTED_VALUE"""),0.04513888888888895)</f>
        <v>0.04513888889</v>
      </c>
      <c r="I20" s="66">
        <f>IFERROR(__xludf.DUMMYFUNCTION("""COMPUTED_VALUE"""),44258.0)</f>
        <v>44258</v>
      </c>
      <c r="J20" s="39">
        <f>IFERROR(__xludf.DUMMYFUNCTION("IF(I20="""",,SUM(FILTER(H$16:H111, G$16:G111=I20)))"),0.07291666666666669)</f>
        <v>0.07291666667</v>
      </c>
      <c r="K20" s="67">
        <f>IFERROR(__xludf.DUMMYFUNCTION("""COMPUTED_VALUE"""),44259.0)</f>
        <v>44259</v>
      </c>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0">
        <v>44258.0</v>
      </c>
      <c r="C21" s="69">
        <v>0.4270833333333333</v>
      </c>
      <c r="D21" s="69">
        <v>0.5</v>
      </c>
      <c r="E21" s="68">
        <v>0.07291666666666669</v>
      </c>
      <c r="F21" s="2"/>
      <c r="G21" s="66">
        <f>IFERROR(__xludf.DUMMYFUNCTION("""COMPUTED_VALUE"""),44258.0)</f>
        <v>44258</v>
      </c>
      <c r="H21" s="39">
        <f>IFERROR(__xludf.DUMMYFUNCTION("""COMPUTED_VALUE"""),0.07291666666666669)</f>
        <v>0.07291666667</v>
      </c>
      <c r="I21" s="66">
        <f>IFERROR(__xludf.DUMMYFUNCTION("""COMPUTED_VALUE"""),44259.0)</f>
        <v>44259</v>
      </c>
      <c r="J21" s="39">
        <f>IFERROR(__xludf.DUMMYFUNCTION("IF(I21="""",,SUM(FILTER(H$16:H111, G$16:G111=I21)))"),0.04166666666666663)</f>
        <v>0.04166666667</v>
      </c>
      <c r="K21" s="67">
        <f>IFERROR(__xludf.DUMMYFUNCTION("""COMPUTED_VALUE"""),44262.0)</f>
        <v>44262</v>
      </c>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0">
        <v>44259.0</v>
      </c>
      <c r="C22" s="69">
        <v>0.9236111111111112</v>
      </c>
      <c r="D22" s="69">
        <v>0.9652777777777778</v>
      </c>
      <c r="E22" s="68">
        <v>0.04166666666666663</v>
      </c>
      <c r="F22" s="2"/>
      <c r="G22" s="66">
        <f>IFERROR(__xludf.DUMMYFUNCTION("""COMPUTED_VALUE"""),44259.0)</f>
        <v>44259</v>
      </c>
      <c r="H22" s="39">
        <f>IFERROR(__xludf.DUMMYFUNCTION("""COMPUTED_VALUE"""),0.04166666666666663)</f>
        <v>0.04166666667</v>
      </c>
      <c r="I22" s="66">
        <f>IFERROR(__xludf.DUMMYFUNCTION("""COMPUTED_VALUE"""),44262.0)</f>
        <v>44262</v>
      </c>
      <c r="J22" s="39">
        <f>IFERROR(__xludf.DUMMYFUNCTION("IF(I22="""",,SUM(FILTER(H$16:H111, G$16:G111=I22)))"),0.057638888888888906)</f>
        <v>0.05763888889</v>
      </c>
      <c r="K22" s="67">
        <f>IFERROR(__xludf.DUMMYFUNCTION("""COMPUTED_VALUE"""),44264.0)</f>
        <v>44264</v>
      </c>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70">
        <v>44262.0</v>
      </c>
      <c r="C23" s="69">
        <v>0.6784722222222223</v>
      </c>
      <c r="D23" s="69">
        <v>0.7361111111111112</v>
      </c>
      <c r="E23" s="68">
        <v>0.057638888888888906</v>
      </c>
      <c r="F23" s="2"/>
      <c r="G23" s="66">
        <f>IFERROR(__xludf.DUMMYFUNCTION("""COMPUTED_VALUE"""),44262.0)</f>
        <v>44262</v>
      </c>
      <c r="H23" s="39">
        <f>IFERROR(__xludf.DUMMYFUNCTION("""COMPUTED_VALUE"""),0.057638888888888906)</f>
        <v>0.05763888889</v>
      </c>
      <c r="I23" s="66">
        <f>IFERROR(__xludf.DUMMYFUNCTION("""COMPUTED_VALUE"""),44264.0)</f>
        <v>44264</v>
      </c>
      <c r="J23" s="39">
        <f>IFERROR(__xludf.DUMMYFUNCTION("IF(I23="""",,SUM(FILTER(H$16:H111, G$16:G111=I23)))"),0.22916666666666663)</f>
        <v>0.2291666667</v>
      </c>
      <c r="K23" s="67"/>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0">
        <v>44264.0</v>
      </c>
      <c r="C24" s="69">
        <v>0.5520833333333334</v>
      </c>
      <c r="D24" s="69">
        <v>0.6527777777777778</v>
      </c>
      <c r="E24" s="68">
        <v>0.10069444444444442</v>
      </c>
      <c r="F24" s="2"/>
      <c r="G24" s="66">
        <f>IFERROR(__xludf.DUMMYFUNCTION("""COMPUTED_VALUE"""),44264.0)</f>
        <v>44264</v>
      </c>
      <c r="H24" s="39">
        <f>IFERROR(__xludf.DUMMYFUNCTION("""COMPUTED_VALUE"""),0.10069444444444442)</f>
        <v>0.1006944444</v>
      </c>
      <c r="I24" s="12"/>
      <c r="J24" s="39" t="str">
        <f>IFERROR(__xludf.DUMMYFUNCTION("IF(I24="""",,SUM(FILTER(H$16:H111, G$16:G111=I24)))"),"")</f>
        <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0">
        <v>44264.0</v>
      </c>
      <c r="C25" s="69">
        <v>0.71875</v>
      </c>
      <c r="D25" s="69">
        <v>0.7291666666666666</v>
      </c>
      <c r="E25" s="68">
        <v>0.01041666666666663</v>
      </c>
      <c r="F25" s="2"/>
      <c r="G25" s="66">
        <f>IFERROR(__xludf.DUMMYFUNCTION("""COMPUTED_VALUE"""),44264.0)</f>
        <v>44264</v>
      </c>
      <c r="H25" s="39">
        <f>IFERROR(__xludf.DUMMYFUNCTION("""COMPUTED_VALUE"""),0.01041666666666663)</f>
        <v>0.01041666667</v>
      </c>
      <c r="I25" s="12"/>
      <c r="J25" s="39" t="str">
        <f>IFERROR(__xludf.DUMMYFUNCTION("IF(I25="""",,SUM(FILTER(H$16:H111, G$16:G111=I25)))"),"")</f>
        <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0">
        <v>44264.0</v>
      </c>
      <c r="C26" s="69">
        <v>0.6041666666666666</v>
      </c>
      <c r="D26" s="69">
        <v>0.7222222222222222</v>
      </c>
      <c r="E26" s="68">
        <v>0.11805555555555558</v>
      </c>
      <c r="F26" s="2"/>
      <c r="G26" s="66">
        <f>IFERROR(__xludf.DUMMYFUNCTION("""COMPUTED_VALUE"""),44264.0)</f>
        <v>44264</v>
      </c>
      <c r="H26" s="39">
        <f>IFERROR(__xludf.DUMMYFUNCTION("""COMPUTED_VALUE"""),0.11805555555555558)</f>
        <v>0.1180555556</v>
      </c>
      <c r="I26" s="12"/>
      <c r="J26" s="39" t="str">
        <f>IFERROR(__xludf.DUMMYFUNCTION("IF(I26="""",,SUM(FILTER(H$16:H111, G$16:G111=I26)))"),"")</f>
        <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1"/>
      <c r="C27" s="72"/>
      <c r="D27" s="72"/>
      <c r="E27" s="68" t="s">
        <v>59</v>
      </c>
      <c r="F27" s="2"/>
      <c r="G27" s="12"/>
      <c r="H27" s="39" t="str">
        <f>IFERROR(__xludf.DUMMYFUNCTION("""COMPUTED_VALUE"""),"")</f>
        <v/>
      </c>
      <c r="I27" s="12"/>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1"/>
      <c r="C28" s="72"/>
      <c r="D28" s="72"/>
      <c r="E28" s="68" t="s">
        <v>59</v>
      </c>
      <c r="F28" s="2"/>
      <c r="G28" s="12"/>
      <c r="H28" s="39" t="str">
        <f>IFERROR(__xludf.DUMMYFUNCTION("""COMPUTED_VALUE"""),"")</f>
        <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1"/>
      <c r="C29" s="72"/>
      <c r="D29" s="72"/>
      <c r="E29" s="68" t="s">
        <v>59</v>
      </c>
      <c r="F29" s="2"/>
      <c r="G29" s="12"/>
      <c r="H29" s="39" t="str">
        <f>IFERROR(__xludf.DUMMYFUNCTION("""COMPUTED_VALUE"""),"")</f>
        <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1"/>
      <c r="C30" s="72"/>
      <c r="D30" s="72"/>
      <c r="E30" s="68" t="s">
        <v>59</v>
      </c>
      <c r="F30" s="2"/>
      <c r="G30" s="12"/>
      <c r="H30" s="39" t="str">
        <f>IFERROR(__xludf.DUMMYFUNCTION("""COMPUTED_VALUE"""),"")</f>
        <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1"/>
      <c r="C31" s="72"/>
      <c r="D31" s="72"/>
      <c r="E31" s="68" t="s">
        <v>59</v>
      </c>
      <c r="F31" s="2"/>
      <c r="G31" s="12"/>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1"/>
      <c r="C32" s="72"/>
      <c r="D32" s="72"/>
      <c r="E32" s="68" t="s">
        <v>59</v>
      </c>
      <c r="F32" s="2"/>
      <c r="G32" s="12"/>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1"/>
      <c r="C33" s="72"/>
      <c r="D33" s="72"/>
      <c r="E33" s="68" t="s">
        <v>59</v>
      </c>
      <c r="F33" s="2"/>
      <c r="G33" s="12"/>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1"/>
      <c r="C34" s="72"/>
      <c r="D34" s="72"/>
      <c r="E34" s="68" t="s">
        <v>59</v>
      </c>
      <c r="F34" s="2"/>
      <c r="G34" s="12"/>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1"/>
      <c r="C35" s="72"/>
      <c r="D35" s="72"/>
      <c r="E35" s="68" t="s">
        <v>59</v>
      </c>
      <c r="F35" s="2"/>
      <c r="G35" s="12"/>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1"/>
      <c r="C36" s="72"/>
      <c r="D36" s="72"/>
      <c r="E36" s="68" t="s">
        <v>59</v>
      </c>
      <c r="F36" s="2"/>
      <c r="G36" s="12"/>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1"/>
      <c r="C37" s="72"/>
      <c r="D37" s="72"/>
      <c r="E37" s="68" t="s">
        <v>59</v>
      </c>
      <c r="F37" s="2"/>
      <c r="G37" s="12"/>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1"/>
      <c r="C38" s="72"/>
      <c r="D38" s="72"/>
      <c r="E38" s="68" t="s">
        <v>59</v>
      </c>
      <c r="F38" s="2"/>
      <c r="G38" s="12"/>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1"/>
      <c r="C39" s="72"/>
      <c r="D39" s="72"/>
      <c r="E39" s="68" t="s">
        <v>59</v>
      </c>
      <c r="F39" s="2"/>
      <c r="G39" s="12"/>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1"/>
      <c r="C40" s="72"/>
      <c r="D40" s="72"/>
      <c r="E40" s="68" t="s">
        <v>59</v>
      </c>
      <c r="F40" s="2"/>
      <c r="G40" s="12"/>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1"/>
      <c r="C41" s="72"/>
      <c r="D41" s="72"/>
      <c r="E41" s="68" t="s">
        <v>59</v>
      </c>
      <c r="F41" s="2"/>
      <c r="G41" s="12"/>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1"/>
      <c r="C42" s="72"/>
      <c r="D42" s="72"/>
      <c r="E42" s="68" t="s">
        <v>59</v>
      </c>
      <c r="F42" s="2"/>
      <c r="G42" s="12"/>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1"/>
      <c r="C43" s="72"/>
      <c r="D43" s="72"/>
      <c r="E43" s="68" t="s">
        <v>59</v>
      </c>
      <c r="F43" s="2"/>
      <c r="G43" s="12"/>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1"/>
      <c r="C44" s="72"/>
      <c r="D44" s="72"/>
      <c r="E44" s="68" t="s">
        <v>59</v>
      </c>
      <c r="F44" s="2"/>
      <c r="G44" s="12"/>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1"/>
      <c r="C45" s="72"/>
      <c r="D45" s="72"/>
      <c r="E45" s="68" t="s">
        <v>59</v>
      </c>
      <c r="F45" s="2"/>
      <c r="G45" s="12"/>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1"/>
      <c r="C46" s="72"/>
      <c r="D46" s="72"/>
      <c r="E46" s="68" t="s">
        <v>59</v>
      </c>
      <c r="F46" s="2"/>
      <c r="G46" s="12"/>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1"/>
      <c r="C47" s="72"/>
      <c r="D47" s="72"/>
      <c r="E47" s="68" t="s">
        <v>59</v>
      </c>
      <c r="F47" s="2"/>
      <c r="G47" s="12"/>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1"/>
      <c r="C48" s="72"/>
      <c r="D48" s="72"/>
      <c r="E48" s="68" t="s">
        <v>59</v>
      </c>
      <c r="F48" s="2"/>
      <c r="G48" s="12"/>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1"/>
      <c r="C49" s="72"/>
      <c r="D49" s="72"/>
      <c r="E49" s="68" t="s">
        <v>59</v>
      </c>
      <c r="F49" s="2"/>
      <c r="G49" s="12"/>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1"/>
      <c r="C50" s="72"/>
      <c r="D50" s="72"/>
      <c r="E50" s="68" t="s">
        <v>59</v>
      </c>
      <c r="F50" s="2"/>
      <c r="G50" s="12"/>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1"/>
      <c r="C51" s="72"/>
      <c r="D51" s="72"/>
      <c r="E51" s="68" t="s">
        <v>59</v>
      </c>
      <c r="F51" s="2"/>
      <c r="G51" s="12"/>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1"/>
      <c r="C52" s="72"/>
      <c r="D52" s="72"/>
      <c r="E52" s="68" t="s">
        <v>59</v>
      </c>
      <c r="F52" s="2"/>
      <c r="G52" s="12"/>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1"/>
      <c r="C53" s="72"/>
      <c r="D53" s="72"/>
      <c r="E53" s="68" t="s">
        <v>59</v>
      </c>
      <c r="F53" s="2"/>
      <c r="G53" s="12"/>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1"/>
      <c r="C54" s="72"/>
      <c r="D54" s="72"/>
      <c r="E54" s="68" t="s">
        <v>59</v>
      </c>
      <c r="F54" s="2"/>
      <c r="G54" s="12"/>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1"/>
      <c r="C55" s="72"/>
      <c r="D55" s="72"/>
      <c r="E55" s="68" t="s">
        <v>59</v>
      </c>
      <c r="F55" s="2"/>
      <c r="G55" s="12"/>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1"/>
      <c r="C56" s="72"/>
      <c r="D56" s="72"/>
      <c r="E56" s="68" t="s">
        <v>59</v>
      </c>
      <c r="F56" s="2"/>
      <c r="G56" s="12"/>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1"/>
      <c r="C57" s="72"/>
      <c r="D57" s="72"/>
      <c r="E57" s="68" t="s">
        <v>59</v>
      </c>
      <c r="F57" s="2"/>
      <c r="G57" s="12"/>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1"/>
      <c r="C58" s="72"/>
      <c r="D58" s="72"/>
      <c r="E58" s="68" t="s">
        <v>59</v>
      </c>
      <c r="F58" s="2"/>
      <c r="G58" s="12"/>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1"/>
      <c r="C59" s="72"/>
      <c r="D59" s="72"/>
      <c r="E59" s="68" t="s">
        <v>59</v>
      </c>
      <c r="F59" s="2"/>
      <c r="G59" s="12"/>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1"/>
      <c r="C60" s="72"/>
      <c r="D60" s="72"/>
      <c r="E60" s="68" t="s">
        <v>59</v>
      </c>
      <c r="F60" s="2"/>
      <c r="G60" s="12"/>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1"/>
      <c r="C61" s="72"/>
      <c r="D61" s="72"/>
      <c r="E61" s="68" t="s">
        <v>59</v>
      </c>
      <c r="F61" s="2"/>
      <c r="G61" s="12"/>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1"/>
      <c r="C62" s="72"/>
      <c r="D62" s="72"/>
      <c r="E62" s="68" t="s">
        <v>59</v>
      </c>
      <c r="F62" s="2"/>
      <c r="G62" s="12"/>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1"/>
      <c r="C63" s="72"/>
      <c r="D63" s="72"/>
      <c r="E63" s="68" t="s">
        <v>59</v>
      </c>
      <c r="F63" s="2"/>
      <c r="G63" s="12"/>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1"/>
      <c r="C64" s="72"/>
      <c r="D64" s="72"/>
      <c r="E64" s="68" t="s">
        <v>59</v>
      </c>
      <c r="F64" s="2"/>
      <c r="G64" s="12"/>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1"/>
      <c r="C65" s="72"/>
      <c r="D65" s="72"/>
      <c r="E65" s="68" t="s">
        <v>59</v>
      </c>
      <c r="F65" s="2"/>
      <c r="G65" s="12"/>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1"/>
      <c r="C66" s="72"/>
      <c r="D66" s="72"/>
      <c r="E66" s="68" t="s">
        <v>59</v>
      </c>
      <c r="F66" s="2"/>
      <c r="G66" s="12"/>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1"/>
      <c r="C67" s="72"/>
      <c r="D67" s="72"/>
      <c r="E67" s="68" t="s">
        <v>59</v>
      </c>
      <c r="F67" s="2"/>
      <c r="G67" s="12"/>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1"/>
      <c r="C68" s="72"/>
      <c r="D68" s="72"/>
      <c r="E68" s="68" t="s">
        <v>59</v>
      </c>
      <c r="F68" s="2"/>
      <c r="G68" s="12"/>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1"/>
      <c r="C69" s="72"/>
      <c r="D69" s="72"/>
      <c r="E69" s="68" t="s">
        <v>59</v>
      </c>
      <c r="F69" s="2"/>
      <c r="G69" s="12"/>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1"/>
      <c r="C70" s="72"/>
      <c r="D70" s="72"/>
      <c r="E70" s="68" t="s">
        <v>59</v>
      </c>
      <c r="F70" s="2"/>
      <c r="G70" s="12"/>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1"/>
      <c r="C71" s="72"/>
      <c r="D71" s="72"/>
      <c r="E71" s="68" t="s">
        <v>59</v>
      </c>
      <c r="F71" s="2"/>
      <c r="G71" s="12"/>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1"/>
      <c r="C72" s="72"/>
      <c r="D72" s="72"/>
      <c r="E72" s="68" t="s">
        <v>59</v>
      </c>
      <c r="F72" s="2"/>
      <c r="G72" s="12"/>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1"/>
      <c r="C73" s="72"/>
      <c r="D73" s="72"/>
      <c r="E73" s="68" t="s">
        <v>59</v>
      </c>
      <c r="F73" s="2"/>
      <c r="G73" s="12"/>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1"/>
      <c r="C74" s="72"/>
      <c r="D74" s="72"/>
      <c r="E74" s="68" t="s">
        <v>59</v>
      </c>
      <c r="F74" s="2"/>
      <c r="G74" s="12"/>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1"/>
      <c r="C75" s="72"/>
      <c r="D75" s="72"/>
      <c r="E75" s="68" t="s">
        <v>59</v>
      </c>
      <c r="F75" s="2"/>
      <c r="G75" s="12"/>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1"/>
      <c r="C76" s="72"/>
      <c r="D76" s="72"/>
      <c r="E76" s="68" t="s">
        <v>59</v>
      </c>
      <c r="F76" s="2"/>
      <c r="G76" s="12"/>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1"/>
      <c r="C77" s="72"/>
      <c r="D77" s="72"/>
      <c r="E77" s="68" t="s">
        <v>59</v>
      </c>
      <c r="F77" s="2"/>
      <c r="G77" s="12"/>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1"/>
      <c r="C78" s="72"/>
      <c r="D78" s="72"/>
      <c r="E78" s="68" t="s">
        <v>59</v>
      </c>
      <c r="F78" s="2"/>
      <c r="G78" s="12"/>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1"/>
      <c r="C79" s="72"/>
      <c r="D79" s="72"/>
      <c r="E79" s="68" t="s">
        <v>59</v>
      </c>
      <c r="F79" s="2"/>
      <c r="G79" s="12"/>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1"/>
      <c r="C80" s="72"/>
      <c r="D80" s="72"/>
      <c r="E80" s="68" t="s">
        <v>59</v>
      </c>
      <c r="F80" s="2"/>
      <c r="G80" s="12"/>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1"/>
      <c r="C81" s="72"/>
      <c r="D81" s="72"/>
      <c r="E81" s="68" t="s">
        <v>59</v>
      </c>
      <c r="F81" s="2"/>
      <c r="G81" s="12"/>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1"/>
      <c r="C82" s="72"/>
      <c r="D82" s="72"/>
      <c r="E82" s="68" t="s">
        <v>59</v>
      </c>
      <c r="F82" s="2"/>
      <c r="G82" s="12"/>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1"/>
      <c r="C83" s="72"/>
      <c r="D83" s="72"/>
      <c r="E83" s="68" t="s">
        <v>59</v>
      </c>
      <c r="F83" s="2"/>
      <c r="G83" s="12"/>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1"/>
      <c r="C84" s="72"/>
      <c r="D84" s="72"/>
      <c r="E84" s="68" t="s">
        <v>59</v>
      </c>
      <c r="F84" s="2"/>
      <c r="G84" s="12"/>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1"/>
      <c r="C85" s="72"/>
      <c r="D85" s="72"/>
      <c r="E85" s="68" t="s">
        <v>59</v>
      </c>
      <c r="F85" s="2"/>
      <c r="G85" s="12"/>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1"/>
      <c r="C86" s="72"/>
      <c r="D86" s="72"/>
      <c r="E86" s="68" t="s">
        <v>59</v>
      </c>
      <c r="F86" s="2"/>
      <c r="G86" s="12"/>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1"/>
      <c r="C87" s="72"/>
      <c r="D87" s="72"/>
      <c r="E87" s="68" t="s">
        <v>59</v>
      </c>
      <c r="F87" s="2"/>
      <c r="G87" s="12"/>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1"/>
      <c r="C88" s="72"/>
      <c r="D88" s="72"/>
      <c r="E88" s="68" t="s">
        <v>59</v>
      </c>
      <c r="F88" s="2"/>
      <c r="G88" s="12"/>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1"/>
      <c r="C89" s="72"/>
      <c r="D89" s="72"/>
      <c r="E89" s="68" t="s">
        <v>59</v>
      </c>
      <c r="F89" s="2"/>
      <c r="G89" s="12"/>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1"/>
      <c r="C90" s="72"/>
      <c r="D90" s="72"/>
      <c r="E90" s="68" t="s">
        <v>59</v>
      </c>
      <c r="F90" s="2"/>
      <c r="G90" s="12"/>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1"/>
      <c r="C91" s="72"/>
      <c r="D91" s="72"/>
      <c r="E91" s="68" t="s">
        <v>59</v>
      </c>
      <c r="F91" s="2"/>
      <c r="G91" s="12"/>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1"/>
      <c r="C92" s="72"/>
      <c r="D92" s="72"/>
      <c r="E92" s="68" t="s">
        <v>59</v>
      </c>
      <c r="F92" s="2"/>
      <c r="G92" s="12"/>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1"/>
      <c r="C93" s="72"/>
      <c r="D93" s="72"/>
      <c r="E93" s="68" t="s">
        <v>59</v>
      </c>
      <c r="F93" s="2"/>
      <c r="G93" s="12"/>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1"/>
      <c r="C94" s="72"/>
      <c r="D94" s="72"/>
      <c r="E94" s="68" t="s">
        <v>59</v>
      </c>
      <c r="F94" s="2"/>
      <c r="G94" s="12"/>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1"/>
      <c r="C95" s="72"/>
      <c r="D95" s="72"/>
      <c r="E95" s="68" t="s">
        <v>59</v>
      </c>
      <c r="F95" s="2"/>
      <c r="G95" s="12"/>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1"/>
      <c r="C96" s="72"/>
      <c r="D96" s="72"/>
      <c r="E96" s="68" t="s">
        <v>59</v>
      </c>
      <c r="F96" s="2"/>
      <c r="G96" s="12"/>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1"/>
      <c r="C97" s="72"/>
      <c r="D97" s="72"/>
      <c r="E97" s="68" t="s">
        <v>59</v>
      </c>
      <c r="F97" s="2"/>
      <c r="G97" s="12"/>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1"/>
      <c r="C98" s="72"/>
      <c r="D98" s="72"/>
      <c r="E98" s="68" t="s">
        <v>59</v>
      </c>
      <c r="F98" s="2"/>
      <c r="G98" s="12"/>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1"/>
      <c r="C99" s="72"/>
      <c r="D99" s="72"/>
      <c r="E99" s="68" t="s">
        <v>59</v>
      </c>
      <c r="F99" s="2"/>
      <c r="G99" s="12"/>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1"/>
      <c r="C100" s="72"/>
      <c r="D100" s="72"/>
      <c r="E100" s="68" t="s">
        <v>59</v>
      </c>
      <c r="F100" s="2"/>
      <c r="G100" s="12"/>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1"/>
      <c r="C101" s="72"/>
      <c r="D101" s="72"/>
      <c r="E101" s="68" t="s">
        <v>59</v>
      </c>
      <c r="F101" s="2"/>
      <c r="G101" s="12"/>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1"/>
      <c r="C102" s="72"/>
      <c r="D102" s="72"/>
      <c r="E102" s="68" t="s">
        <v>59</v>
      </c>
      <c r="F102" s="2"/>
      <c r="G102" s="12"/>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1"/>
      <c r="C103" s="72"/>
      <c r="D103" s="72"/>
      <c r="E103" s="68" t="s">
        <v>59</v>
      </c>
      <c r="F103" s="2"/>
      <c r="G103" s="12"/>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1"/>
      <c r="C104" s="72"/>
      <c r="D104" s="72"/>
      <c r="E104" s="68" t="s">
        <v>59</v>
      </c>
      <c r="F104" s="2"/>
      <c r="G104" s="12"/>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1"/>
      <c r="C105" s="72"/>
      <c r="D105" s="72"/>
      <c r="E105" s="68" t="s">
        <v>59</v>
      </c>
      <c r="F105" s="2"/>
      <c r="G105" s="12"/>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1"/>
      <c r="C106" s="72"/>
      <c r="D106" s="72"/>
      <c r="E106" s="68" t="s">
        <v>59</v>
      </c>
      <c r="F106" s="2"/>
      <c r="G106" s="12"/>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1"/>
      <c r="C107" s="72"/>
      <c r="D107" s="72"/>
      <c r="E107" s="68" t="s">
        <v>59</v>
      </c>
      <c r="F107" s="2"/>
      <c r="G107" s="12"/>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1"/>
      <c r="C108" s="72"/>
      <c r="D108" s="72"/>
      <c r="E108" s="68" t="s">
        <v>59</v>
      </c>
      <c r="F108" s="2"/>
      <c r="G108" s="12"/>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1"/>
      <c r="C109" s="72"/>
      <c r="D109" s="72"/>
      <c r="E109" s="68" t="s">
        <v>59</v>
      </c>
      <c r="F109" s="2"/>
      <c r="G109" s="12"/>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73"/>
      <c r="C110" s="74"/>
      <c r="D110" s="74"/>
      <c r="E110" s="75" t="s">
        <v>59</v>
      </c>
      <c r="F110" s="2"/>
      <c r="G110" s="12"/>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2.63" defaultRowHeight="15.75"/>
  <cols>
    <col customWidth="1" min="1" max="1" width="2.75"/>
    <col customWidth="1" min="2" max="2" width="19.5"/>
    <col customWidth="1" min="3" max="5" width="15.5"/>
    <col customWidth="1" min="6" max="6" width="2.75"/>
    <col customWidth="1" hidden="1" min="7" max="7" width="13.38"/>
    <col customWidth="1" hidden="1" min="8" max="8" width="9.5"/>
    <col customWidth="1" hidden="1" min="9" max="9" width="10.88"/>
    <col customWidth="1" hidden="1" min="10" max="10" width="11.25"/>
    <col customWidth="1" hidden="1" min="11" max="11" width="18.75"/>
    <col customWidth="1" hidden="1" min="12" max="12" width="19.13"/>
    <col customWidth="1" hidden="1" min="13" max="15" width="16.0"/>
    <col customWidth="1" hidden="1" min="16" max="16" width="16.63"/>
    <col customWidth="1" hidden="1" min="17" max="17" width="15.75"/>
    <col customWidth="1" hidden="1" min="18" max="18" width="19.63"/>
    <col customWidth="1" hidden="1" min="19" max="20" width="20.63"/>
    <col customWidth="1" hidden="1" min="21" max="21" width="25.75"/>
    <col customWidth="1" hidden="1" min="22" max="22" width="26.13"/>
    <col customWidth="1" hidden="1" min="23" max="23" width="19.0"/>
    <col customWidth="1" hidden="1" min="24" max="24" width="16.38"/>
    <col customWidth="1" hidden="1" min="25" max="25" width="19.38"/>
    <col customWidth="1" hidden="1" min="26" max="26" width="20.38"/>
    <col customWidth="1" hidden="1" min="27" max="28" width="18.88"/>
    <col customWidth="1" hidden="1" min="29" max="29" width="23.75"/>
    <col customWidth="1" hidden="1" min="30" max="30" width="12.88"/>
    <col customWidth="1" hidden="1" min="31" max="31" width="24.5"/>
    <col customWidth="1" hidden="1" min="32" max="32" width="36.0"/>
    <col customWidth="1" hidden="1" min="33" max="34" width="18.88"/>
  </cols>
  <sheetData>
    <row r="1">
      <c r="A1" s="1"/>
      <c r="B1" s="1"/>
      <c r="C1" s="1"/>
      <c r="D1" s="1"/>
      <c r="E1" s="1"/>
      <c r="F1" s="2"/>
      <c r="G1" s="3"/>
      <c r="H1" s="4"/>
      <c r="I1" s="3"/>
      <c r="J1" s="4"/>
      <c r="K1" s="5"/>
      <c r="L1" s="3"/>
      <c r="M1" s="3"/>
      <c r="N1" s="3"/>
      <c r="O1" s="3"/>
      <c r="P1" s="3"/>
      <c r="Q1" s="2"/>
      <c r="R1" s="2"/>
      <c r="S1" s="2"/>
      <c r="T1" s="2"/>
      <c r="U1" s="2"/>
      <c r="V1" s="2"/>
      <c r="W1" s="2"/>
      <c r="X1" s="2"/>
      <c r="Y1" s="2"/>
      <c r="Z1" s="2"/>
      <c r="AA1" s="2"/>
      <c r="AB1" s="2"/>
      <c r="AC1" s="2"/>
      <c r="AD1" s="2"/>
      <c r="AE1" s="2"/>
      <c r="AF1" s="2"/>
      <c r="AG1" s="2"/>
      <c r="AH1" s="2"/>
    </row>
    <row r="2">
      <c r="A2" s="1"/>
      <c r="B2" s="6" t="str">
        <f>"Chapter "&amp;G4&amp;" -- Main Lab Due: "&amp;TEXT(H4, "d mmm")</f>
        <v>Chapter 7 -- Main Lab Due: 5 Apr</v>
      </c>
      <c r="C2" s="7"/>
      <c r="D2" s="7"/>
      <c r="E2" s="8"/>
      <c r="F2" s="2"/>
      <c r="G2" s="9"/>
      <c r="H2" s="9"/>
      <c r="I2" s="9"/>
      <c r="J2" s="10"/>
      <c r="K2" s="11"/>
      <c r="L2" s="9"/>
      <c r="M2" s="9"/>
      <c r="N2" s="9"/>
      <c r="O2" s="9"/>
      <c r="P2" s="9"/>
      <c r="Q2" s="12"/>
      <c r="R2" s="12"/>
      <c r="S2" s="12"/>
      <c r="T2" s="12"/>
      <c r="U2" s="12"/>
      <c r="V2" s="12"/>
      <c r="W2" s="12"/>
      <c r="X2" s="12"/>
      <c r="Y2" s="12"/>
      <c r="Z2" s="12"/>
      <c r="AA2" s="12"/>
      <c r="AB2" s="12"/>
      <c r="AC2" s="12"/>
      <c r="AD2" s="12"/>
      <c r="AE2" s="12"/>
      <c r="AF2" s="12"/>
      <c r="AG2" s="12"/>
      <c r="AH2" s="12"/>
    </row>
    <row r="3">
      <c r="A3" s="13"/>
      <c r="B3" s="142" t="str">
        <f>IF(P6,P5,IF(T6,T5,IF(Y6,Y5,AA5)))</f>
        <v>You turned in this chapter's lab before the due date, well done!</v>
      </c>
      <c r="C3" s="15"/>
      <c r="D3" s="15"/>
      <c r="E3" s="16"/>
      <c r="F3" s="2"/>
      <c r="G3" s="9" t="s">
        <v>0</v>
      </c>
      <c r="H3" s="17" t="s">
        <v>1</v>
      </c>
      <c r="I3" s="18" t="s">
        <v>2</v>
      </c>
      <c r="J3" s="18" t="s">
        <v>3</v>
      </c>
      <c r="K3" s="19" t="s">
        <v>4</v>
      </c>
      <c r="L3" s="9" t="s">
        <v>5</v>
      </c>
      <c r="M3" s="9" t="s">
        <v>6</v>
      </c>
      <c r="N3" s="9" t="s">
        <v>7</v>
      </c>
      <c r="O3" s="9" t="s">
        <v>8</v>
      </c>
      <c r="P3" s="9" t="s">
        <v>9</v>
      </c>
      <c r="Q3" s="9" t="s">
        <v>10</v>
      </c>
      <c r="R3" s="9" t="s">
        <v>11</v>
      </c>
      <c r="S3" s="20" t="s">
        <v>12</v>
      </c>
      <c r="T3" s="9" t="s">
        <v>13</v>
      </c>
      <c r="U3" s="9" t="s">
        <v>14</v>
      </c>
      <c r="V3" s="9" t="s">
        <v>15</v>
      </c>
      <c r="W3" s="9" t="s">
        <v>16</v>
      </c>
      <c r="X3" s="9" t="s">
        <v>17</v>
      </c>
      <c r="Y3" s="9" t="s">
        <v>18</v>
      </c>
      <c r="Z3" s="9" t="s">
        <v>19</v>
      </c>
      <c r="AA3" s="9" t="s">
        <v>20</v>
      </c>
      <c r="AB3" s="18" t="s">
        <v>21</v>
      </c>
      <c r="AC3" s="9"/>
      <c r="AD3" s="9"/>
      <c r="AE3" s="9"/>
      <c r="AF3" s="9"/>
      <c r="AG3" s="9"/>
      <c r="AH3" s="9"/>
    </row>
    <row r="4">
      <c r="A4" s="2"/>
      <c r="B4" s="21"/>
      <c r="C4" s="2"/>
      <c r="D4" s="2"/>
      <c r="E4" s="22"/>
      <c r="F4" s="2"/>
      <c r="G4" s="9">
        <v>7.0</v>
      </c>
      <c r="H4" s="23">
        <f t="array" ref="H4:J4">INDEX(LabInfo, G4)</f>
        <v>44291</v>
      </c>
      <c r="I4" s="9">
        <v>5.0</v>
      </c>
      <c r="J4" s="24">
        <v>8.0</v>
      </c>
      <c r="K4" s="19" t="s">
        <v>22</v>
      </c>
      <c r="L4" s="11">
        <f t="array" ref="L4">INDEX(B16:B111, COUNTA(B16:B111))</f>
        <v>44291</v>
      </c>
      <c r="M4" s="9">
        <f t="shared" ref="M4:O4" si="1">COUNTA(B16:B111)</f>
        <v>15</v>
      </c>
      <c r="N4" s="9">
        <f t="shared" si="1"/>
        <v>15</v>
      </c>
      <c r="O4" s="9">
        <f t="shared" si="1"/>
        <v>15</v>
      </c>
      <c r="P4" s="25" t="b">
        <f>AND(M4=N4,N4=O4)</f>
        <v>1</v>
      </c>
      <c r="Q4" s="26">
        <f>TIME(J4,0,0) - C6</f>
        <v>-0.8375</v>
      </c>
      <c r="R4" s="9">
        <f>I4-C5</f>
        <v>-3</v>
      </c>
      <c r="S4" s="20" t="s">
        <v>23</v>
      </c>
      <c r="T4" s="11">
        <f>C10</f>
        <v>44291</v>
      </c>
      <c r="U4" s="20">
        <f>MAX(0,R4)</f>
        <v>0</v>
      </c>
      <c r="V4" s="9">
        <f>IFERROR(SUM(AA16:AA111), 0)</f>
        <v>0</v>
      </c>
      <c r="W4" s="12">
        <f>SUM(U4:V4)</f>
        <v>0</v>
      </c>
      <c r="X4" s="11">
        <f>TODAY()</f>
        <v>45047</v>
      </c>
      <c r="Y4" s="10" t="b">
        <f>X4&lt;=H4</f>
        <v>0</v>
      </c>
      <c r="Z4" s="27">
        <f>IFERROR(TIME(2,0,0)-VLOOKUP(X4,T16:U111,2,FALSE), TIME(0,0,0))</f>
        <v>0</v>
      </c>
      <c r="AA4" s="9" t="b">
        <f>NOT(Y4)</f>
        <v>1</v>
      </c>
      <c r="AB4" s="9">
        <f>AF16</f>
        <v>0</v>
      </c>
      <c r="AC4" s="9"/>
      <c r="AD4" s="9"/>
      <c r="AE4" s="9"/>
      <c r="AF4" s="9"/>
      <c r="AG4" s="9"/>
      <c r="AH4" s="9"/>
    </row>
    <row r="5">
      <c r="A5" s="28"/>
      <c r="B5" s="29" t="s">
        <v>24</v>
      </c>
      <c r="C5" s="30">
        <f>COUNTA($K$16:$K111)</f>
        <v>8</v>
      </c>
      <c r="D5" s="31"/>
      <c r="E5" s="32"/>
      <c r="F5" s="2"/>
      <c r="G5" s="12"/>
      <c r="H5" s="10"/>
      <c r="I5" s="12"/>
      <c r="J5" s="10"/>
      <c r="K5" s="33" t="s">
        <v>25</v>
      </c>
      <c r="L5" s="9"/>
      <c r="M5" s="9"/>
      <c r="N5" s="9"/>
      <c r="O5" s="9"/>
      <c r="P5" s="34" t="s">
        <v>26</v>
      </c>
      <c r="Q5" s="9" t="str">
        <f>TEXT(Q4, "h\h m\m")&amp;" more work time"</f>
        <v>3h 54m more work time</v>
      </c>
      <c r="R5" s="9" t="str">
        <f>R4&amp;" more day"&amp;IF(R4=1,"","s")&amp;" worked"</f>
        <v>-3 more days worked</v>
      </c>
      <c r="S5" s="9" t="str">
        <f>"you will need "&amp;IF(Q6,Q5,"")&amp;IF(AND(Q6,R6)," and ","")&amp;IF(R6,R5,"")&amp;" before (or on) the due date to invoke the non-late policy"</f>
        <v>you will need  before (or on) the due date to invoke the non-late policy</v>
      </c>
      <c r="T5" s="10" t="str">
        <f>IF(T4&lt;L4,"You have log entries after your turn-in date.
Please fix this.",IF(T4&lt;=H4, "You turned in this chapter's lab before the due date, well done!", IF(Q6,IF(AB6,AB7,Q7), IF(W6,IF(AND(AB6,AB4&lt;=W4),AB7,W5&amp;"
"&amp;W7),"You have met the standard of diligence, and your lab can be graded for full credit!"))))</f>
        <v>You turned in this chapter's lab before the due date, well done!</v>
      </c>
      <c r="U5" s="9" t="s">
        <v>27</v>
      </c>
      <c r="V5" s="9" t="s">
        <v>28</v>
      </c>
      <c r="W5" s="9" t="str">
        <f>"You would need "&amp;W4&amp;" late day"&amp;IF(W4=1,"","s")&amp;" to be able to invoke the non-late policy."</f>
        <v>You would need 0 late days to be able to invoke the non-late policy.</v>
      </c>
      <c r="X5" s="10"/>
      <c r="Y5" s="10" t="str">
        <f>IF(S6,"If you turn in this lab after the due date, "&amp;S5&amp;".
Also, you would","You have completed the pre-due date requirements to satisfy the non-late policy.
If you turn in the lab after the due date, you will still")&amp;" need to work at least 2 hours every work day after the due date (or use late days) to be graded as on time."</f>
        <v>You have completed the pre-due date requirements to satisfy the non-late policy.
If you turn in the lab after the due date, you will still need to work at least 2 hours every work day after the due date (or use late days) to be graded as on time.</v>
      </c>
      <c r="Z5" s="12" t="str">
        <f>"if you work at least "&amp;TEXT(Z4, "h\h m\m")&amp;" more today"</f>
        <v>if you work at least 0h 0m more today</v>
      </c>
      <c r="AA5" s="9" t="str">
        <f>IF(Q6,IF(AB6,AB5&amp;" if you turn in the lab today.",Q7),IF(AND(AB6,AB4&lt;W4),AB5, IF(W6,W5&amp;"
"&amp;W7&amp;IF(Z6,"
You will need one less "&amp;Z5&amp;", or turn the lab in today.",""),"You have been meeting the standard of diligence! If you turn in the lab today, it can be graded for full credit.")))</f>
        <v>You have been meeting the standard of diligence! If you turn in the lab today, it can be graded for full credit.</v>
      </c>
      <c r="AB5" s="9" t="str">
        <f>"You would need "&amp;AB4&amp;" traditional late day"&amp;IF(AB4=1,"","s")&amp;" to be graded for full credit"</f>
        <v>You would need 0 traditional late days to be graded for full credit</v>
      </c>
      <c r="AC5" s="9"/>
      <c r="AD5" s="9"/>
      <c r="AE5" s="9"/>
      <c r="AF5" s="9"/>
      <c r="AG5" s="9"/>
      <c r="AH5" s="9"/>
    </row>
    <row r="6">
      <c r="A6" s="28"/>
      <c r="B6" s="35" t="s">
        <v>29</v>
      </c>
      <c r="C6" s="36">
        <f>SUM($J$16:$J111)</f>
        <v>1.170833333</v>
      </c>
      <c r="D6" s="37"/>
      <c r="E6" s="38"/>
      <c r="F6" s="2"/>
      <c r="G6" s="9"/>
      <c r="H6" s="10"/>
      <c r="I6" s="9"/>
      <c r="J6" s="10"/>
      <c r="K6" s="33" t="s">
        <v>30</v>
      </c>
      <c r="L6" s="11"/>
      <c r="M6" s="9"/>
      <c r="N6" s="9"/>
      <c r="O6" s="9"/>
      <c r="P6" s="25" t="b">
        <f>NOT(P4)</f>
        <v>0</v>
      </c>
      <c r="Q6" s="9" t="b">
        <f t="shared" ref="Q6:R6" si="2">Q4&gt;0</f>
        <v>0</v>
      </c>
      <c r="R6" s="9" t="b">
        <f t="shared" si="2"/>
        <v>0</v>
      </c>
      <c r="S6" s="20" t="b">
        <f>OR(Q6,R6)</f>
        <v>0</v>
      </c>
      <c r="T6" s="12" t="b">
        <f>T4&lt;&gt;""</f>
        <v>1</v>
      </c>
      <c r="U6" s="20" t="b">
        <f t="shared" ref="U6:V6" si="3">U4&gt;0</f>
        <v>0</v>
      </c>
      <c r="V6" s="9" t="b">
        <f t="shared" si="3"/>
        <v>0</v>
      </c>
      <c r="W6" s="12" t="b">
        <f>OR(U6,V6)</f>
        <v>0</v>
      </c>
      <c r="X6" s="12"/>
      <c r="Y6" s="39" t="b">
        <f>Y4</f>
        <v>0</v>
      </c>
      <c r="Z6" s="12" t="b">
        <f>Z4&gt;0</f>
        <v>0</v>
      </c>
      <c r="AA6" s="12"/>
      <c r="AB6" s="12" t="b">
        <f>AB4&lt;=3</f>
        <v>1</v>
      </c>
      <c r="AC6" s="12"/>
      <c r="AD6" s="12"/>
      <c r="AE6" s="12"/>
      <c r="AF6" s="12"/>
      <c r="AG6" s="12"/>
      <c r="AH6" s="12"/>
    </row>
    <row r="7">
      <c r="A7" s="28"/>
      <c r="B7" s="40"/>
      <c r="C7" s="41"/>
      <c r="E7" s="42"/>
      <c r="F7" s="2"/>
      <c r="G7" s="9"/>
      <c r="H7" s="10"/>
      <c r="I7" s="9"/>
      <c r="J7" s="10"/>
      <c r="K7" s="19" t="s">
        <v>31</v>
      </c>
      <c r="L7" s="11"/>
      <c r="M7" s="11"/>
      <c r="N7" s="11"/>
      <c r="O7" s="11"/>
      <c r="P7" s="11"/>
      <c r="Q7" s="9" t="str">
        <f>"You would have needed "&amp;Q5&amp;" before (or on) the due date to invoke the late policy."</f>
        <v>You would have needed 3h 54m more work time before (or on) the due date to invoke the late policy.</v>
      </c>
      <c r="R7" s="12"/>
      <c r="S7" s="12"/>
      <c r="T7" s="12"/>
      <c r="U7" s="12"/>
      <c r="V7" s="12"/>
      <c r="W7" s="12" t="str">
        <f>"("&amp;IF(U6,IF(V6, U4&amp;" ","")&amp;U5,"")&amp;IF(AND(U6,V6)," and ","")&amp;IF(V6,IF(U6,V4&amp;" ","")&amp;V5,"")&amp;")"</f>
        <v>()</v>
      </c>
      <c r="X7" s="12"/>
      <c r="Y7" s="12"/>
      <c r="Z7" s="12"/>
      <c r="AA7" s="12"/>
      <c r="AB7" s="12" t="str">
        <f>AB5&amp;"."</f>
        <v>You would need 0 traditional late days to be graded for full credit.</v>
      </c>
      <c r="AC7" s="12"/>
      <c r="AD7" s="12"/>
      <c r="AE7" s="12"/>
      <c r="AF7" s="12"/>
      <c r="AG7" s="12"/>
      <c r="AH7" s="12"/>
    </row>
    <row r="8" ht="9.75" customHeight="1">
      <c r="A8" s="28"/>
      <c r="B8" s="43"/>
      <c r="C8" s="44"/>
      <c r="D8" s="3"/>
      <c r="E8" s="45"/>
      <c r="F8" s="2"/>
      <c r="G8" s="20"/>
      <c r="H8" s="20"/>
      <c r="I8" s="20"/>
      <c r="J8" s="20"/>
      <c r="K8" s="25"/>
      <c r="L8" s="25"/>
      <c r="M8" s="25"/>
      <c r="N8" s="25"/>
      <c r="O8" s="25"/>
      <c r="P8" s="25"/>
      <c r="Q8" s="20"/>
      <c r="R8" s="20"/>
      <c r="S8" s="20"/>
      <c r="T8" s="20"/>
      <c r="U8" s="20"/>
      <c r="V8" s="20"/>
      <c r="W8" s="20"/>
      <c r="X8" s="12"/>
      <c r="Y8" s="12"/>
      <c r="Z8" s="12"/>
      <c r="AA8" s="12"/>
      <c r="AB8" s="12"/>
      <c r="AC8" s="12"/>
      <c r="AD8" s="12"/>
      <c r="AE8" s="12"/>
      <c r="AF8" s="12"/>
      <c r="AG8" s="12"/>
      <c r="AH8" s="12"/>
    </row>
    <row r="9" ht="15.75" customHeight="1">
      <c r="A9" s="28"/>
      <c r="B9" s="46" t="s">
        <v>32</v>
      </c>
      <c r="C9" s="47"/>
      <c r="D9" s="3"/>
      <c r="E9" s="45"/>
      <c r="F9" s="2"/>
      <c r="G9" s="20"/>
      <c r="H9" s="20"/>
      <c r="I9" s="20"/>
      <c r="J9" s="20"/>
      <c r="K9" s="25"/>
      <c r="L9" s="25"/>
      <c r="M9" s="25"/>
      <c r="N9" s="25"/>
      <c r="O9" s="25"/>
      <c r="P9" s="25"/>
      <c r="Q9" s="20"/>
      <c r="R9" s="20"/>
      <c r="S9" s="20"/>
      <c r="T9" s="20"/>
      <c r="U9" s="20"/>
      <c r="V9" s="20"/>
      <c r="W9" s="20"/>
      <c r="X9" s="12"/>
      <c r="Y9" s="12"/>
      <c r="Z9" s="12"/>
      <c r="AA9" s="12"/>
      <c r="AB9" s="12"/>
      <c r="AC9" s="12"/>
      <c r="AD9" s="12"/>
      <c r="AE9" s="12"/>
      <c r="AF9" s="12"/>
      <c r="AG9" s="12"/>
      <c r="AH9" s="12"/>
    </row>
    <row r="10" ht="15.75" customHeight="1">
      <c r="A10" s="28"/>
      <c r="B10" s="48" t="s">
        <v>33</v>
      </c>
      <c r="C10" s="49">
        <v>44291.0</v>
      </c>
      <c r="D10" s="3"/>
      <c r="E10" s="45"/>
      <c r="F10" s="2"/>
      <c r="G10" s="20"/>
      <c r="H10" s="20"/>
      <c r="I10" s="20"/>
      <c r="J10" s="20"/>
      <c r="K10" s="25"/>
      <c r="L10" s="25"/>
      <c r="M10" s="25"/>
      <c r="N10" s="25"/>
      <c r="O10" s="25"/>
      <c r="P10" s="25"/>
      <c r="Q10" s="20"/>
      <c r="R10" s="20"/>
      <c r="S10" s="20"/>
      <c r="T10" s="20"/>
      <c r="U10" s="20"/>
      <c r="V10" s="20"/>
      <c r="W10" s="20"/>
      <c r="X10" s="12"/>
      <c r="Y10" s="12"/>
      <c r="Z10" s="12"/>
      <c r="AA10" s="12"/>
      <c r="AB10" s="12"/>
      <c r="AC10" s="12"/>
      <c r="AD10" s="12"/>
      <c r="AE10" s="12"/>
      <c r="AF10" s="12"/>
      <c r="AG10" s="12"/>
      <c r="AH10" s="12"/>
    </row>
    <row r="11" ht="21.0" customHeight="1">
      <c r="A11" s="28"/>
      <c r="B11" s="43"/>
      <c r="C11" s="44"/>
      <c r="D11" s="3"/>
      <c r="E11" s="45"/>
      <c r="F11" s="2"/>
      <c r="G11" s="20"/>
      <c r="H11" s="20"/>
      <c r="I11" s="20"/>
      <c r="J11" s="20"/>
      <c r="K11" s="25"/>
      <c r="L11" s="25"/>
      <c r="M11" s="25"/>
      <c r="N11" s="25"/>
      <c r="O11" s="25"/>
      <c r="P11" s="25"/>
      <c r="Q11" s="20"/>
      <c r="R11" s="20"/>
      <c r="S11" s="20"/>
      <c r="T11" s="20"/>
      <c r="U11" s="20"/>
      <c r="V11" s="20"/>
      <c r="W11" s="20"/>
      <c r="X11" s="12"/>
      <c r="Y11" s="12"/>
      <c r="Z11" s="12"/>
      <c r="AA11" s="12"/>
      <c r="AB11" s="12"/>
      <c r="AC11" s="12"/>
      <c r="AD11" s="12"/>
      <c r="AE11" s="12"/>
      <c r="AF11" s="12"/>
      <c r="AG11" s="12"/>
      <c r="AH11" s="12"/>
    </row>
    <row r="12">
      <c r="A12" s="3"/>
      <c r="B12" s="46" t="s">
        <v>34</v>
      </c>
      <c r="C12" s="15"/>
      <c r="D12" s="47"/>
      <c r="E12" s="45"/>
      <c r="F12" s="2"/>
      <c r="G12" s="20"/>
      <c r="H12" s="20"/>
      <c r="I12" s="20"/>
      <c r="J12" s="20"/>
      <c r="K12" s="25"/>
      <c r="L12" s="25"/>
      <c r="M12" s="25"/>
      <c r="N12" s="25"/>
      <c r="O12" s="25"/>
      <c r="P12" s="25"/>
      <c r="Q12" s="20" t="b">
        <f>AND(M4=N4,N4=O4)</f>
        <v>1</v>
      </c>
      <c r="R12" s="34" t="s">
        <v>26</v>
      </c>
      <c r="S12" s="20"/>
      <c r="T12" s="20"/>
      <c r="U12" s="20"/>
      <c r="V12" s="20"/>
      <c r="W12" s="20"/>
      <c r="X12" s="20"/>
      <c r="Y12" s="20"/>
      <c r="Z12" s="20"/>
      <c r="AA12" s="20"/>
      <c r="AB12" s="20"/>
      <c r="AC12" s="20"/>
      <c r="AD12" s="20"/>
      <c r="AE12" s="20"/>
      <c r="AF12" s="20"/>
      <c r="AG12" s="20"/>
      <c r="AH12" s="20"/>
    </row>
    <row r="13">
      <c r="A13" s="50"/>
      <c r="B13" s="51">
        <v>44208.0</v>
      </c>
      <c r="C13" s="52">
        <v>0.5416666666666666</v>
      </c>
      <c r="D13" s="53">
        <v>0.5833333333333334</v>
      </c>
      <c r="E13" s="45"/>
      <c r="F13" s="2"/>
      <c r="G13" s="20"/>
      <c r="H13" s="20"/>
      <c r="I13" s="20"/>
      <c r="J13" s="20"/>
      <c r="K13" s="20"/>
      <c r="L13" s="20"/>
      <c r="M13" s="20"/>
      <c r="N13" s="20"/>
      <c r="O13" s="20"/>
      <c r="P13" s="20"/>
      <c r="Q13" s="20"/>
      <c r="R13" s="20"/>
      <c r="S13" s="20"/>
      <c r="T13" s="20"/>
      <c r="U13" s="54"/>
      <c r="V13" s="20"/>
      <c r="W13" s="20">
        <f>COUNTA(T16:T111)</f>
        <v>1</v>
      </c>
      <c r="X13" s="20"/>
      <c r="Y13" s="20"/>
      <c r="Z13" s="20"/>
      <c r="AA13" s="20"/>
      <c r="AB13" s="20"/>
      <c r="AC13" s="20"/>
      <c r="AD13" s="20"/>
      <c r="AE13" s="20"/>
      <c r="AF13" s="20"/>
      <c r="AG13" s="20"/>
      <c r="AH13" s="20"/>
    </row>
    <row r="14">
      <c r="A14" s="3"/>
      <c r="B14" s="55"/>
      <c r="C14" s="3"/>
      <c r="D14" s="3"/>
      <c r="E14" s="45"/>
      <c r="F14" s="2"/>
      <c r="G14" s="56" t="s">
        <v>35</v>
      </c>
      <c r="H14" s="57"/>
      <c r="I14" s="57"/>
      <c r="J14" s="57"/>
      <c r="K14" s="58"/>
      <c r="L14" s="20"/>
      <c r="M14" s="56" t="s">
        <v>36</v>
      </c>
      <c r="N14" s="57"/>
      <c r="O14" s="57"/>
      <c r="P14" s="57"/>
      <c r="Q14" s="57"/>
      <c r="R14" s="57"/>
      <c r="S14" s="57"/>
      <c r="T14" s="57"/>
      <c r="U14" s="57"/>
      <c r="V14" s="57"/>
      <c r="W14" s="57"/>
      <c r="X14" s="57"/>
      <c r="Y14" s="57"/>
      <c r="Z14" s="57"/>
      <c r="AA14" s="58"/>
      <c r="AB14" s="20"/>
      <c r="AC14" s="56" t="s">
        <v>37</v>
      </c>
      <c r="AD14" s="57"/>
      <c r="AE14" s="57"/>
      <c r="AF14" s="58"/>
      <c r="AG14" s="20"/>
      <c r="AH14" s="20"/>
    </row>
    <row r="15">
      <c r="A15" s="59"/>
      <c r="B15" s="60" t="s">
        <v>38</v>
      </c>
      <c r="C15" s="61" t="s">
        <v>39</v>
      </c>
      <c r="D15" s="61" t="s">
        <v>40</v>
      </c>
      <c r="E15" s="62" t="s">
        <v>41</v>
      </c>
      <c r="F15" s="2"/>
      <c r="G15" s="9" t="s">
        <v>38</v>
      </c>
      <c r="H15" s="10" t="s">
        <v>41</v>
      </c>
      <c r="I15" s="9" t="s">
        <v>42</v>
      </c>
      <c r="J15" s="10" t="s">
        <v>43</v>
      </c>
      <c r="K15" s="11" t="s">
        <v>44</v>
      </c>
      <c r="L15" s="9"/>
      <c r="M15" s="20" t="s">
        <v>45</v>
      </c>
      <c r="N15" s="20" t="s">
        <v>46</v>
      </c>
      <c r="O15" s="9" t="s">
        <v>47</v>
      </c>
      <c r="P15" s="9" t="s">
        <v>38</v>
      </c>
      <c r="Q15" s="10" t="s">
        <v>41</v>
      </c>
      <c r="R15" s="9" t="s">
        <v>48</v>
      </c>
      <c r="S15" s="9" t="s">
        <v>49</v>
      </c>
      <c r="T15" s="9" t="s">
        <v>42</v>
      </c>
      <c r="U15" s="10" t="s">
        <v>43</v>
      </c>
      <c r="V15" s="9" t="s">
        <v>50</v>
      </c>
      <c r="W15" s="9" t="s">
        <v>51</v>
      </c>
      <c r="X15" s="9" t="s">
        <v>52</v>
      </c>
      <c r="Y15" s="9" t="s">
        <v>53</v>
      </c>
      <c r="Z15" s="9" t="s">
        <v>54</v>
      </c>
      <c r="AA15" s="9" t="s">
        <v>55</v>
      </c>
      <c r="AB15" s="9"/>
      <c r="AC15" s="9" t="s">
        <v>56</v>
      </c>
      <c r="AD15" s="9" t="s">
        <v>51</v>
      </c>
      <c r="AE15" s="9" t="s">
        <v>57</v>
      </c>
      <c r="AF15" s="9" t="s">
        <v>58</v>
      </c>
      <c r="AG15" s="9"/>
      <c r="AH15" s="9"/>
    </row>
    <row r="16">
      <c r="A16" s="50"/>
      <c r="B16" s="63">
        <v>44269.0</v>
      </c>
      <c r="C16" s="64">
        <v>0.5395833333333333</v>
      </c>
      <c r="D16" s="64">
        <v>0.6215277777777778</v>
      </c>
      <c r="E16" s="65">
        <f t="array" ref="E16:E111">IF(D16:D111="","",D16:D111-C16:C111)</f>
        <v>0.08194444444</v>
      </c>
      <c r="F16" s="2"/>
      <c r="G16" s="66">
        <f>IFERROR(__xludf.DUMMYFUNCTION("SORT(FILTER({$B$16:$B111,$E$16:$E111}, $B$16:$B111 &lt;= $H$4), 1, TRUE)"),44269.0)</f>
        <v>44269</v>
      </c>
      <c r="H16" s="39">
        <f>IFERROR(__xludf.DUMMYFUNCTION("""COMPUTED_VALUE"""),0.08194444444444449)</f>
        <v>0.08194444444</v>
      </c>
      <c r="I16" s="66">
        <f>IFERROR(__xludf.DUMMYFUNCTION("UNIQUE(G$16:G111)"),44269.0)</f>
        <v>44269</v>
      </c>
      <c r="J16" s="39">
        <f>IFERROR(__xludf.DUMMYFUNCTION("IF(I16="""",,SUM(FILTER(H$16:H111, G$16:G111=I16)))"),0.08194444444444449)</f>
        <v>0.08194444444</v>
      </c>
      <c r="K16" s="67">
        <f>IFERROR(__xludf.DUMMYFUNCTION("IFERROR(FILTER(I16:I111, HOUR(J16:J111) &gt;= 1),)"),44269.0)</f>
        <v>44269</v>
      </c>
      <c r="L16" s="12"/>
      <c r="M16" s="67">
        <f t="array" ref="M16:N16">IF(C10="", {TODAY(), TIME(0,0,0)}, {C10, TIME(2,0,0)})</f>
        <v>44291</v>
      </c>
      <c r="N16" s="27">
        <v>0.08333333333333333</v>
      </c>
      <c r="O16" s="24">
        <f>COUNTIF(B16:B111, "&gt;"&amp;H4)</f>
        <v>0</v>
      </c>
      <c r="P16" s="67">
        <f>H4</f>
        <v>44291</v>
      </c>
      <c r="Q16" s="27">
        <f>TIME(0,0,0)</f>
        <v>0</v>
      </c>
      <c r="R16" s="67">
        <f>IFERROR(__xludf.DUMMYFUNCTION("SORT(IF(O16&gt;0, {FILTER(P$16:Q111, P16:P111);M16:N16},{P16:Q16;M16:N16} ))"),44291.0)</f>
        <v>44291</v>
      </c>
      <c r="S16" s="39">
        <f>IFERROR(__xludf.DUMMYFUNCTION("""COMPUTED_VALUE"""),0.0)</f>
        <v>0</v>
      </c>
      <c r="T16" s="67">
        <f>IFERROR(__xludf.DUMMYFUNCTION("UNIQUE(R$16:R111)"),44291.0)</f>
        <v>44291</v>
      </c>
      <c r="U16" s="39">
        <f>IFERROR(__xludf.DUMMYFUNCTION("IF(T16="""",,SUM(FILTER(S$16:S111, R$16:R111=T16)))"),0.08333333333333333)</f>
        <v>0.08333333333</v>
      </c>
      <c r="V16" s="12"/>
      <c r="W16" s="12">
        <f t="array" ref="W16">MATCH(T16:T111, SkippableDays)</f>
        <v>18</v>
      </c>
      <c r="X16" s="12"/>
      <c r="Y16" s="12"/>
      <c r="Z16" s="12"/>
      <c r="AA16" s="12">
        <f t="array" ref="AA16">IF(Y16:Y111 &gt;= 0, Y16:Y111, 0) + Z16:Z111</f>
        <v>0</v>
      </c>
      <c r="AB16" s="12"/>
      <c r="AC16" s="66">
        <f>H4</f>
        <v>44291</v>
      </c>
      <c r="AD16" s="12">
        <f>MATCH(AC16, SkippableDays)</f>
        <v>18</v>
      </c>
      <c r="AE16" s="12">
        <f>AC17-AC16</f>
        <v>0</v>
      </c>
      <c r="AF16" s="12">
        <f>AE16-AE17+IF(ISERROR(MATCH(AC17, SkippableDays,0)),0,1)</f>
        <v>0</v>
      </c>
      <c r="AG16" s="12"/>
      <c r="AH16" s="12"/>
    </row>
    <row r="17">
      <c r="A17" s="50"/>
      <c r="B17" s="63">
        <v>44270.0</v>
      </c>
      <c r="C17" s="64">
        <v>0.6145833333333334</v>
      </c>
      <c r="D17" s="64">
        <v>0.65625</v>
      </c>
      <c r="E17" s="68">
        <v>0.04166666666666663</v>
      </c>
      <c r="F17" s="2"/>
      <c r="G17" s="66">
        <f>IFERROR(__xludf.DUMMYFUNCTION("""COMPUTED_VALUE"""),44270.0)</f>
        <v>44270</v>
      </c>
      <c r="H17" s="39">
        <f>IFERROR(__xludf.DUMMYFUNCTION("""COMPUTED_VALUE"""),0.04166666666666663)</f>
        <v>0.04166666667</v>
      </c>
      <c r="I17" s="66">
        <f>IFERROR(__xludf.DUMMYFUNCTION("""COMPUTED_VALUE"""),44270.0)</f>
        <v>44270</v>
      </c>
      <c r="J17" s="39">
        <f>IFERROR(__xludf.DUMMYFUNCTION("IF(I17="""",,SUM(FILTER(H$16:H111, G$16:G111=I17)))"),0.04166666666666663)</f>
        <v>0.04166666667</v>
      </c>
      <c r="K17" s="67">
        <f>IFERROR(__xludf.DUMMYFUNCTION("""COMPUTED_VALUE"""),44270.0)</f>
        <v>44270</v>
      </c>
      <c r="L17" s="12"/>
      <c r="M17" s="67"/>
      <c r="N17" s="67"/>
      <c r="O17" s="67"/>
      <c r="P17" s="67" t="str">
        <f>IFERROR(__xludf.DUMMYFUNCTION("FILTER({$B$16:$B111,$E$16:$E111}, $B$16:$B111 &gt; $H$4)"),"#N/A")</f>
        <v>#N/A</v>
      </c>
      <c r="Q17" s="27"/>
      <c r="R17" s="67">
        <f>IFERROR(__xludf.DUMMYFUNCTION("""COMPUTED_VALUE"""),44291.0)</f>
        <v>44291</v>
      </c>
      <c r="S17" s="39">
        <f>IFERROR(__xludf.DUMMYFUNCTION("""COMPUTED_VALUE"""),0.08333333333333333)</f>
        <v>0.08333333333</v>
      </c>
      <c r="T17" s="67"/>
      <c r="U17" s="39" t="str">
        <f>IFERROR(__xludf.DUMMYFUNCTION("IF(T17="""",,SUM(FILTER(S$16:S111, R$16:R111=T17)))"),"")</f>
        <v/>
      </c>
      <c r="V17" s="12" t="str">
        <f t="array" ref="V17">T17:T111 - T16:T111 - 1</f>
        <v>#REF!</v>
      </c>
      <c r="W17" s="12"/>
      <c r="X17" s="12" t="str">
        <f t="array" ref="X17">W17:W111-W16:W111</f>
        <v>#REF!</v>
      </c>
      <c r="Y17" s="12" t="str">
        <f t="array" ref="Y17">V17:V111 - X17:X111</f>
        <v>#REF!</v>
      </c>
      <c r="Z17" s="12" t="str">
        <f t="array" ref="Z17">IF(HOUR(U17:U111) &gt;= 2, 0, 1)</f>
        <v>#REF!</v>
      </c>
      <c r="AA17" s="12"/>
      <c r="AB17" s="12"/>
      <c r="AC17" s="67">
        <f>M16</f>
        <v>44291</v>
      </c>
      <c r="AD17" s="12">
        <f>MATCH(AC17, SkippableDays)</f>
        <v>18</v>
      </c>
      <c r="AE17" s="12">
        <f>AD17-AD16</f>
        <v>0</v>
      </c>
      <c r="AF17" s="12"/>
      <c r="AG17" s="12"/>
      <c r="AH17" s="12"/>
    </row>
    <row r="18">
      <c r="A18" s="50"/>
      <c r="B18" s="63">
        <v>44272.0</v>
      </c>
      <c r="C18" s="64">
        <v>0.7340277777777777</v>
      </c>
      <c r="D18" s="64">
        <v>0.7520833333333333</v>
      </c>
      <c r="E18" s="68">
        <v>0.018055555555555602</v>
      </c>
      <c r="F18" s="2"/>
      <c r="G18" s="66">
        <f>IFERROR(__xludf.DUMMYFUNCTION("""COMPUTED_VALUE"""),44272.0)</f>
        <v>44272</v>
      </c>
      <c r="H18" s="39">
        <f>IFERROR(__xludf.DUMMYFUNCTION("""COMPUTED_VALUE"""),0.018055555555555602)</f>
        <v>0.01805555556</v>
      </c>
      <c r="I18" s="66">
        <f>IFERROR(__xludf.DUMMYFUNCTION("""COMPUTED_VALUE"""),44272.0)</f>
        <v>44272</v>
      </c>
      <c r="J18" s="39">
        <f>IFERROR(__xludf.DUMMYFUNCTION("IF(I18="""",,SUM(FILTER(H$16:H111, G$16:G111=I18)))"),0.018055555555555602)</f>
        <v>0.01805555556</v>
      </c>
      <c r="K18" s="67">
        <f>IFERROR(__xludf.DUMMYFUNCTION("""COMPUTED_VALUE"""),44278.0)</f>
        <v>44278</v>
      </c>
      <c r="L18" s="12"/>
      <c r="M18" s="67"/>
      <c r="N18" s="67"/>
      <c r="O18" s="67"/>
      <c r="P18" s="67"/>
      <c r="Q18" s="27"/>
      <c r="R18" s="12"/>
      <c r="S18" s="39"/>
      <c r="T18" s="67"/>
      <c r="U18" s="39" t="str">
        <f>IFERROR(__xludf.DUMMYFUNCTION("IF(T18="""",,SUM(FILTER(S$16:S111, R$16:R111=T18)))"),"")</f>
        <v/>
      </c>
      <c r="V18" s="12"/>
      <c r="W18" s="12"/>
      <c r="X18" s="12"/>
      <c r="Y18" s="12"/>
      <c r="Z18" s="12"/>
      <c r="AA18" s="12"/>
      <c r="AB18" s="12"/>
      <c r="AC18" s="12"/>
      <c r="AD18" s="12"/>
      <c r="AE18" s="12"/>
      <c r="AF18" s="12"/>
      <c r="AG18" s="12"/>
      <c r="AH18" s="12"/>
    </row>
    <row r="19">
      <c r="A19" s="50"/>
      <c r="B19" s="63">
        <v>44277.0</v>
      </c>
      <c r="C19" s="64">
        <v>0.7597222222222222</v>
      </c>
      <c r="D19" s="64">
        <v>0.7694444444444445</v>
      </c>
      <c r="E19" s="68">
        <v>0.009722222222222299</v>
      </c>
      <c r="F19" s="2"/>
      <c r="G19" s="66">
        <f>IFERROR(__xludf.DUMMYFUNCTION("""COMPUTED_VALUE"""),44277.0)</f>
        <v>44277</v>
      </c>
      <c r="H19" s="39">
        <f>IFERROR(__xludf.DUMMYFUNCTION("""COMPUTED_VALUE"""),0.009722222222222299)</f>
        <v>0.009722222222</v>
      </c>
      <c r="I19" s="66">
        <f>IFERROR(__xludf.DUMMYFUNCTION("""COMPUTED_VALUE"""),44277.0)</f>
        <v>44277</v>
      </c>
      <c r="J19" s="39">
        <f>IFERROR(__xludf.DUMMYFUNCTION("IF(I19="""",,SUM(FILTER(H$16:H111, G$16:G111=I19)))"),0.009722222222222299)</f>
        <v>0.009722222222</v>
      </c>
      <c r="K19" s="67">
        <f>IFERROR(__xludf.DUMMYFUNCTION("""COMPUTED_VALUE"""),44280.0)</f>
        <v>44280</v>
      </c>
      <c r="L19" s="12"/>
      <c r="M19" s="67"/>
      <c r="N19" s="67"/>
      <c r="O19" s="67"/>
      <c r="P19" s="67"/>
      <c r="Q19" s="27"/>
      <c r="R19" s="12"/>
      <c r="S19" s="39"/>
      <c r="T19" s="67"/>
      <c r="U19" s="39" t="str">
        <f>IFERROR(__xludf.DUMMYFUNCTION("IF(T19="""",,SUM(FILTER(S$16:S111, R$16:R111=T19)))"),"")</f>
        <v/>
      </c>
      <c r="V19" s="12"/>
      <c r="W19" s="12"/>
      <c r="X19" s="12"/>
      <c r="Y19" s="12"/>
      <c r="Z19" s="12"/>
      <c r="AA19" s="12"/>
      <c r="AB19" s="12"/>
      <c r="AC19" s="12"/>
      <c r="AD19" s="12"/>
      <c r="AE19" s="12"/>
      <c r="AF19" s="12"/>
      <c r="AG19" s="12"/>
      <c r="AH19" s="12"/>
    </row>
    <row r="20">
      <c r="A20" s="50"/>
      <c r="B20" s="63">
        <v>44278.0</v>
      </c>
      <c r="C20" s="69">
        <v>0.4388888888888889</v>
      </c>
      <c r="D20" s="69">
        <v>0.5097222222222222</v>
      </c>
      <c r="E20" s="68">
        <v>0.0708333333333333</v>
      </c>
      <c r="F20" s="2"/>
      <c r="G20" s="66">
        <f>IFERROR(__xludf.DUMMYFUNCTION("""COMPUTED_VALUE"""),44278.0)</f>
        <v>44278</v>
      </c>
      <c r="H20" s="39">
        <f>IFERROR(__xludf.DUMMYFUNCTION("""COMPUTED_VALUE"""),0.0708333333333333)</f>
        <v>0.07083333333</v>
      </c>
      <c r="I20" s="66">
        <f>IFERROR(__xludf.DUMMYFUNCTION("""COMPUTED_VALUE"""),44278.0)</f>
        <v>44278</v>
      </c>
      <c r="J20" s="39">
        <f>IFERROR(__xludf.DUMMYFUNCTION("IF(I20="""",,SUM(FILTER(H$16:H111, G$16:G111=I20)))"),0.0708333333333333)</f>
        <v>0.07083333333</v>
      </c>
      <c r="K20" s="67">
        <f>IFERROR(__xludf.DUMMYFUNCTION("""COMPUTED_VALUE"""),44284.0)</f>
        <v>44284</v>
      </c>
      <c r="L20" s="12"/>
      <c r="M20" s="67"/>
      <c r="N20" s="67"/>
      <c r="O20" s="67"/>
      <c r="P20" s="67"/>
      <c r="Q20" s="27"/>
      <c r="R20" s="12"/>
      <c r="S20" s="39"/>
      <c r="T20" s="67"/>
      <c r="U20" s="39" t="str">
        <f>IFERROR(__xludf.DUMMYFUNCTION("IF(T20="""",,SUM(FILTER(S$16:S111, R$16:R111=T20)))"),"")</f>
        <v/>
      </c>
      <c r="V20" s="12"/>
      <c r="W20" s="12"/>
      <c r="X20" s="12"/>
      <c r="Y20" s="12"/>
      <c r="Z20" s="12"/>
      <c r="AA20" s="12"/>
      <c r="AB20" s="12"/>
      <c r="AC20" s="12"/>
      <c r="AD20" s="12"/>
      <c r="AE20" s="12"/>
      <c r="AF20" s="12"/>
      <c r="AG20" s="12"/>
      <c r="AH20" s="12"/>
    </row>
    <row r="21">
      <c r="A21" s="50"/>
      <c r="B21" s="70">
        <v>44280.0</v>
      </c>
      <c r="C21" s="69">
        <v>0.7361111111111112</v>
      </c>
      <c r="D21" s="69">
        <v>0.8333333333333334</v>
      </c>
      <c r="E21" s="68">
        <v>0.09722222222222221</v>
      </c>
      <c r="F21" s="2"/>
      <c r="G21" s="66">
        <f>IFERROR(__xludf.DUMMYFUNCTION("""COMPUTED_VALUE"""),44280.0)</f>
        <v>44280</v>
      </c>
      <c r="H21" s="39">
        <f>IFERROR(__xludf.DUMMYFUNCTION("""COMPUTED_VALUE"""),0.09722222222222221)</f>
        <v>0.09722222222</v>
      </c>
      <c r="I21" s="66">
        <f>IFERROR(__xludf.DUMMYFUNCTION("""COMPUTED_VALUE"""),44280.0)</f>
        <v>44280</v>
      </c>
      <c r="J21" s="39">
        <f>IFERROR(__xludf.DUMMYFUNCTION("IF(I21="""",,SUM(FILTER(H$16:H111, G$16:G111=I21)))"),0.09722222222222221)</f>
        <v>0.09722222222</v>
      </c>
      <c r="K21" s="67">
        <f>IFERROR(__xludf.DUMMYFUNCTION("""COMPUTED_VALUE"""),44285.0)</f>
        <v>44285</v>
      </c>
      <c r="L21" s="12"/>
      <c r="M21" s="67"/>
      <c r="N21" s="67"/>
      <c r="O21" s="67"/>
      <c r="P21" s="67"/>
      <c r="Q21" s="27"/>
      <c r="R21" s="12"/>
      <c r="S21" s="39"/>
      <c r="T21" s="67"/>
      <c r="U21" s="39" t="str">
        <f>IFERROR(__xludf.DUMMYFUNCTION("IF(T21="""",,SUM(FILTER(S$16:S111, R$16:R111=T21)))"),"")</f>
        <v/>
      </c>
      <c r="V21" s="12"/>
      <c r="W21" s="12"/>
      <c r="X21" s="12"/>
      <c r="Y21" s="12"/>
      <c r="Z21" s="12"/>
      <c r="AA21" s="12"/>
      <c r="AB21" s="12"/>
      <c r="AC21" s="12"/>
      <c r="AD21" s="12"/>
      <c r="AE21" s="12"/>
      <c r="AF21" s="12"/>
      <c r="AG21" s="12"/>
      <c r="AH21" s="12"/>
    </row>
    <row r="22">
      <c r="A22" s="50"/>
      <c r="B22" s="70">
        <v>44284.0</v>
      </c>
      <c r="C22" s="69">
        <v>0.625</v>
      </c>
      <c r="D22" s="69">
        <v>0.6770833333333334</v>
      </c>
      <c r="E22" s="68">
        <v>0.05208333333333337</v>
      </c>
      <c r="F22" s="2"/>
      <c r="G22" s="66">
        <f>IFERROR(__xludf.DUMMYFUNCTION("""COMPUTED_VALUE"""),44284.0)</f>
        <v>44284</v>
      </c>
      <c r="H22" s="39">
        <f>IFERROR(__xludf.DUMMYFUNCTION("""COMPUTED_VALUE"""),0.05208333333333337)</f>
        <v>0.05208333333</v>
      </c>
      <c r="I22" s="66">
        <f>IFERROR(__xludf.DUMMYFUNCTION("""COMPUTED_VALUE"""),44284.0)</f>
        <v>44284</v>
      </c>
      <c r="J22" s="39">
        <f>IFERROR(__xludf.DUMMYFUNCTION("IF(I22="""",,SUM(FILTER(H$16:H111, G$16:G111=I22)))"),0.09583333333333333)</f>
        <v>0.09583333333</v>
      </c>
      <c r="K22" s="67">
        <f>IFERROR(__xludf.DUMMYFUNCTION("""COMPUTED_VALUE"""),44286.0)</f>
        <v>44286</v>
      </c>
      <c r="L22" s="12"/>
      <c r="M22" s="67"/>
      <c r="N22" s="67"/>
      <c r="O22" s="67"/>
      <c r="P22" s="67"/>
      <c r="Q22" s="27"/>
      <c r="R22" s="12"/>
      <c r="S22" s="39"/>
      <c r="T22" s="67"/>
      <c r="U22" s="39" t="str">
        <f>IFERROR(__xludf.DUMMYFUNCTION("IF(T22="""",,SUM(FILTER(S$16:S111, R$16:R111=T22)))"),"")</f>
        <v/>
      </c>
      <c r="V22" s="12"/>
      <c r="W22" s="12"/>
      <c r="X22" s="12"/>
      <c r="Y22" s="12"/>
      <c r="Z22" s="12"/>
      <c r="AA22" s="12"/>
      <c r="AB22" s="12"/>
      <c r="AC22" s="12"/>
      <c r="AD22" s="12"/>
      <c r="AE22" s="12"/>
      <c r="AF22" s="12"/>
      <c r="AG22" s="12"/>
      <c r="AH22" s="12"/>
    </row>
    <row r="23">
      <c r="A23" s="50"/>
      <c r="B23" s="70">
        <v>44284.0</v>
      </c>
      <c r="C23" s="69">
        <v>0.8333333333333334</v>
      </c>
      <c r="D23" s="69">
        <v>0.8770833333333333</v>
      </c>
      <c r="E23" s="68">
        <v>0.043749999999999956</v>
      </c>
      <c r="F23" s="2"/>
      <c r="G23" s="66">
        <f>IFERROR(__xludf.DUMMYFUNCTION("""COMPUTED_VALUE"""),44284.0)</f>
        <v>44284</v>
      </c>
      <c r="H23" s="39">
        <f>IFERROR(__xludf.DUMMYFUNCTION("""COMPUTED_VALUE"""),0.043749999999999956)</f>
        <v>0.04375</v>
      </c>
      <c r="I23" s="66">
        <f>IFERROR(__xludf.DUMMYFUNCTION("""COMPUTED_VALUE"""),44285.0)</f>
        <v>44285</v>
      </c>
      <c r="J23" s="39">
        <f>IFERROR(__xludf.DUMMYFUNCTION("IF(I23="""",,SUM(FILTER(H$16:H111, G$16:G111=I23)))"),0.1868055555555555)</f>
        <v>0.1868055556</v>
      </c>
      <c r="K23" s="67">
        <f>IFERROR(__xludf.DUMMYFUNCTION("""COMPUTED_VALUE"""),44291.0)</f>
        <v>44291</v>
      </c>
      <c r="L23" s="12"/>
      <c r="M23" s="67"/>
      <c r="N23" s="67"/>
      <c r="O23" s="67"/>
      <c r="P23" s="67"/>
      <c r="Q23" s="27"/>
      <c r="R23" s="12"/>
      <c r="S23" s="39"/>
      <c r="T23" s="67"/>
      <c r="U23" s="39" t="str">
        <f>IFERROR(__xludf.DUMMYFUNCTION("IF(T23="""",,SUM(FILTER(S$16:S111, R$16:R111=T23)))"),"")</f>
        <v/>
      </c>
      <c r="V23" s="12"/>
      <c r="W23" s="12"/>
      <c r="X23" s="12"/>
      <c r="Y23" s="12"/>
      <c r="Z23" s="12"/>
      <c r="AA23" s="12"/>
      <c r="AB23" s="12"/>
      <c r="AC23" s="12"/>
      <c r="AD23" s="12"/>
      <c r="AE23" s="12"/>
      <c r="AF23" s="12"/>
      <c r="AG23" s="12"/>
      <c r="AH23" s="12"/>
    </row>
    <row r="24">
      <c r="A24" s="50"/>
      <c r="B24" s="70">
        <v>44285.0</v>
      </c>
      <c r="C24" s="69">
        <v>0.4236111111111111</v>
      </c>
      <c r="D24" s="69">
        <v>0.4444444444444444</v>
      </c>
      <c r="E24" s="68">
        <v>0.020833333333333315</v>
      </c>
      <c r="F24" s="2"/>
      <c r="G24" s="66">
        <f>IFERROR(__xludf.DUMMYFUNCTION("""COMPUTED_VALUE"""),44285.0)</f>
        <v>44285</v>
      </c>
      <c r="H24" s="39">
        <f>IFERROR(__xludf.DUMMYFUNCTION("""COMPUTED_VALUE"""),0.020833333333333315)</f>
        <v>0.02083333333</v>
      </c>
      <c r="I24" s="66">
        <f>IFERROR(__xludf.DUMMYFUNCTION("""COMPUTED_VALUE"""),44286.0)</f>
        <v>44286</v>
      </c>
      <c r="J24" s="39">
        <f>IFERROR(__xludf.DUMMYFUNCTION("IF(I24="""",,SUM(FILTER(H$16:H111, G$16:G111=I24)))"),0.31180555555555556)</f>
        <v>0.3118055556</v>
      </c>
      <c r="K24" s="67"/>
      <c r="L24" s="12"/>
      <c r="M24" s="67"/>
      <c r="N24" s="67"/>
      <c r="O24" s="67"/>
      <c r="P24" s="67"/>
      <c r="Q24" s="27"/>
      <c r="R24" s="12"/>
      <c r="S24" s="39"/>
      <c r="T24" s="67"/>
      <c r="U24" s="39" t="str">
        <f>IFERROR(__xludf.DUMMYFUNCTION("IF(T24="""",,SUM(FILTER(S$16:S111, R$16:R111=T24)))"),"")</f>
        <v/>
      </c>
      <c r="V24" s="12"/>
      <c r="W24" s="12"/>
      <c r="X24" s="12"/>
      <c r="Y24" s="12"/>
      <c r="Z24" s="12"/>
      <c r="AA24" s="12"/>
      <c r="AB24" s="12"/>
      <c r="AC24" s="12"/>
      <c r="AD24" s="12"/>
      <c r="AE24" s="12"/>
      <c r="AF24" s="12"/>
      <c r="AG24" s="12"/>
      <c r="AH24" s="12"/>
    </row>
    <row r="25">
      <c r="A25" s="2"/>
      <c r="B25" s="70">
        <v>44285.0</v>
      </c>
      <c r="C25" s="69">
        <v>0.625</v>
      </c>
      <c r="D25" s="69">
        <v>0.6631944444444444</v>
      </c>
      <c r="E25" s="68">
        <v>0.03819444444444442</v>
      </c>
      <c r="F25" s="2"/>
      <c r="G25" s="66">
        <f>IFERROR(__xludf.DUMMYFUNCTION("""COMPUTED_VALUE"""),44285.0)</f>
        <v>44285</v>
      </c>
      <c r="H25" s="39">
        <f>IFERROR(__xludf.DUMMYFUNCTION("""COMPUTED_VALUE"""),0.03819444444444442)</f>
        <v>0.03819444444</v>
      </c>
      <c r="I25" s="66">
        <f>IFERROR(__xludf.DUMMYFUNCTION("""COMPUTED_VALUE"""),44288.0)</f>
        <v>44288</v>
      </c>
      <c r="J25" s="39">
        <f>IFERROR(__xludf.DUMMYFUNCTION("IF(I25="""",,SUM(FILTER(H$16:H111, G$16:G111=I25)))"),0.01388888888888895)</f>
        <v>0.01388888889</v>
      </c>
      <c r="K25" s="67"/>
      <c r="L25" s="12"/>
      <c r="M25" s="67"/>
      <c r="N25" s="67"/>
      <c r="O25" s="67"/>
      <c r="P25" s="67"/>
      <c r="Q25" s="27"/>
      <c r="R25" s="12"/>
      <c r="S25" s="39"/>
      <c r="T25" s="67"/>
      <c r="U25" s="39" t="str">
        <f>IFERROR(__xludf.DUMMYFUNCTION("IF(T25="""",,SUM(FILTER(S$16:S111, R$16:R111=T25)))"),"")</f>
        <v/>
      </c>
      <c r="V25" s="12"/>
      <c r="W25" s="12"/>
      <c r="X25" s="12"/>
      <c r="Y25" s="12"/>
      <c r="Z25" s="12"/>
      <c r="AA25" s="12"/>
      <c r="AB25" s="12"/>
      <c r="AC25" s="12"/>
      <c r="AD25" s="12"/>
      <c r="AE25" s="12"/>
      <c r="AF25" s="12"/>
      <c r="AG25" s="12"/>
      <c r="AH25" s="12"/>
    </row>
    <row r="26">
      <c r="A26" s="2"/>
      <c r="B26" s="70">
        <v>44285.0</v>
      </c>
      <c r="C26" s="69">
        <v>0.75</v>
      </c>
      <c r="D26" s="69">
        <v>0.8777777777777778</v>
      </c>
      <c r="E26" s="68">
        <v>0.12777777777777777</v>
      </c>
      <c r="F26" s="2"/>
      <c r="G26" s="66">
        <f>IFERROR(__xludf.DUMMYFUNCTION("""COMPUTED_VALUE"""),44285.0)</f>
        <v>44285</v>
      </c>
      <c r="H26" s="39">
        <f>IFERROR(__xludf.DUMMYFUNCTION("""COMPUTED_VALUE"""),0.12777777777777777)</f>
        <v>0.1277777778</v>
      </c>
      <c r="I26" s="66">
        <f>IFERROR(__xludf.DUMMYFUNCTION("""COMPUTED_VALUE"""),44291.0)</f>
        <v>44291</v>
      </c>
      <c r="J26" s="39">
        <f>IFERROR(__xludf.DUMMYFUNCTION("IF(I26="""",,SUM(FILTER(H$16:H111, G$16:G111=I26)))"),0.24305555555555564)</f>
        <v>0.2430555556</v>
      </c>
      <c r="K26" s="67"/>
      <c r="L26" s="12"/>
      <c r="M26" s="67"/>
      <c r="N26" s="67"/>
      <c r="O26" s="67"/>
      <c r="P26" s="67"/>
      <c r="Q26" s="27"/>
      <c r="R26" s="12"/>
      <c r="S26" s="39"/>
      <c r="T26" s="67"/>
      <c r="U26" s="39" t="str">
        <f>IFERROR(__xludf.DUMMYFUNCTION("IF(T26="""",,SUM(FILTER(S$16:S111, R$16:R111=T26)))"),"")</f>
        <v/>
      </c>
      <c r="V26" s="12"/>
      <c r="W26" s="12"/>
      <c r="X26" s="12"/>
      <c r="Y26" s="12"/>
      <c r="Z26" s="12"/>
      <c r="AA26" s="12"/>
      <c r="AB26" s="12"/>
      <c r="AC26" s="12"/>
      <c r="AD26" s="12"/>
      <c r="AE26" s="12"/>
      <c r="AF26" s="12"/>
      <c r="AG26" s="12"/>
      <c r="AH26" s="12"/>
    </row>
    <row r="27">
      <c r="A27" s="2"/>
      <c r="B27" s="70">
        <v>44286.0</v>
      </c>
      <c r="C27" s="69">
        <v>0.5659722222222222</v>
      </c>
      <c r="D27" s="69">
        <v>0.8777777777777778</v>
      </c>
      <c r="E27" s="68">
        <v>0.31180555555555556</v>
      </c>
      <c r="F27" s="2"/>
      <c r="G27" s="66">
        <f>IFERROR(__xludf.DUMMYFUNCTION("""COMPUTED_VALUE"""),44286.0)</f>
        <v>44286</v>
      </c>
      <c r="H27" s="39">
        <f>IFERROR(__xludf.DUMMYFUNCTION("""COMPUTED_VALUE"""),0.31180555555555556)</f>
        <v>0.3118055556</v>
      </c>
      <c r="I27" s="66"/>
      <c r="J27" s="39" t="str">
        <f>IFERROR(__xludf.DUMMYFUNCTION("IF(I27="""",,SUM(FILTER(H$16:H111, G$16:G111=I27)))"),"")</f>
        <v/>
      </c>
      <c r="K27" s="67"/>
      <c r="L27" s="12"/>
      <c r="M27" s="67"/>
      <c r="N27" s="67"/>
      <c r="O27" s="67"/>
      <c r="P27" s="67"/>
      <c r="Q27" s="27"/>
      <c r="R27" s="12"/>
      <c r="S27" s="39"/>
      <c r="T27" s="67"/>
      <c r="U27" s="39" t="str">
        <f>IFERROR(__xludf.DUMMYFUNCTION("IF(T27="""",,SUM(FILTER(S$16:S111, R$16:R111=T27)))"),"")</f>
        <v/>
      </c>
      <c r="V27" s="12"/>
      <c r="W27" s="12"/>
      <c r="X27" s="12"/>
      <c r="Y27" s="12"/>
      <c r="Z27" s="12"/>
      <c r="AA27" s="12"/>
      <c r="AB27" s="12"/>
      <c r="AC27" s="12"/>
      <c r="AD27" s="12"/>
      <c r="AE27" s="12"/>
      <c r="AF27" s="12"/>
      <c r="AG27" s="12"/>
      <c r="AH27" s="12"/>
    </row>
    <row r="28">
      <c r="A28" s="2"/>
      <c r="B28" s="70">
        <v>44288.0</v>
      </c>
      <c r="C28" s="69">
        <v>0.8819444444444444</v>
      </c>
      <c r="D28" s="69">
        <v>0.8958333333333334</v>
      </c>
      <c r="E28" s="68">
        <v>0.01388888888888895</v>
      </c>
      <c r="F28" s="2"/>
      <c r="G28" s="66">
        <f>IFERROR(__xludf.DUMMYFUNCTION("""COMPUTED_VALUE"""),44288.0)</f>
        <v>44288</v>
      </c>
      <c r="H28" s="39">
        <f>IFERROR(__xludf.DUMMYFUNCTION("""COMPUTED_VALUE"""),0.01388888888888895)</f>
        <v>0.01388888889</v>
      </c>
      <c r="I28" s="12"/>
      <c r="J28" s="39" t="str">
        <f>IFERROR(__xludf.DUMMYFUNCTION("IF(I28="""",,SUM(FILTER(H$16:H111, G$16:G111=I28)))"),"")</f>
        <v/>
      </c>
      <c r="K28" s="67"/>
      <c r="L28" s="12"/>
      <c r="M28" s="67"/>
      <c r="N28" s="67"/>
      <c r="O28" s="67"/>
      <c r="P28" s="67"/>
      <c r="Q28" s="27"/>
      <c r="R28" s="12"/>
      <c r="S28" s="39"/>
      <c r="T28" s="67"/>
      <c r="U28" s="39" t="str">
        <f>IFERROR(__xludf.DUMMYFUNCTION("IF(T28="""",,SUM(FILTER(S$16:S111, R$16:R111=T28)))"),"")</f>
        <v/>
      </c>
      <c r="V28" s="12"/>
      <c r="W28" s="12"/>
      <c r="X28" s="12"/>
      <c r="Y28" s="12"/>
      <c r="Z28" s="12"/>
      <c r="AA28" s="12"/>
      <c r="AB28" s="12"/>
      <c r="AC28" s="12"/>
      <c r="AD28" s="12"/>
      <c r="AE28" s="12"/>
      <c r="AF28" s="12"/>
      <c r="AG28" s="12"/>
      <c r="AH28" s="12"/>
    </row>
    <row r="29">
      <c r="A29" s="2"/>
      <c r="B29" s="70">
        <v>44291.0</v>
      </c>
      <c r="C29" s="69">
        <v>0.4722222222222222</v>
      </c>
      <c r="D29" s="69">
        <v>0.4826388888888889</v>
      </c>
      <c r="E29" s="68">
        <v>0.010416666666666685</v>
      </c>
      <c r="F29" s="2"/>
      <c r="G29" s="66">
        <f>IFERROR(__xludf.DUMMYFUNCTION("""COMPUTED_VALUE"""),44291.0)</f>
        <v>44291</v>
      </c>
      <c r="H29" s="39">
        <f>IFERROR(__xludf.DUMMYFUNCTION("""COMPUTED_VALUE"""),0.010416666666666685)</f>
        <v>0.01041666667</v>
      </c>
      <c r="I29" s="12"/>
      <c r="J29" s="39" t="str">
        <f>IFERROR(__xludf.DUMMYFUNCTION("IF(I29="""",,SUM(FILTER(H$16:H111, G$16:G111=I29)))"),"")</f>
        <v/>
      </c>
      <c r="K29" s="67"/>
      <c r="L29" s="12"/>
      <c r="M29" s="67"/>
      <c r="N29" s="67"/>
      <c r="O29" s="67"/>
      <c r="P29" s="67"/>
      <c r="Q29" s="27"/>
      <c r="R29" s="12"/>
      <c r="S29" s="39"/>
      <c r="T29" s="67"/>
      <c r="U29" s="39" t="str">
        <f>IFERROR(__xludf.DUMMYFUNCTION("IF(T29="""",,SUM(FILTER(S$16:S111, R$16:R111=T29)))"),"")</f>
        <v/>
      </c>
      <c r="V29" s="12"/>
      <c r="W29" s="12"/>
      <c r="X29" s="12"/>
      <c r="Y29" s="12"/>
      <c r="Z29" s="12"/>
      <c r="AA29" s="12"/>
      <c r="AB29" s="12"/>
      <c r="AC29" s="12"/>
      <c r="AD29" s="12"/>
      <c r="AE29" s="12"/>
      <c r="AF29" s="12"/>
      <c r="AG29" s="12"/>
      <c r="AH29" s="12"/>
    </row>
    <row r="30">
      <c r="A30" s="2"/>
      <c r="B30" s="70">
        <v>44291.0</v>
      </c>
      <c r="C30" s="69">
        <v>0.5347222222222222</v>
      </c>
      <c r="D30" s="69">
        <v>0.7673611111111112</v>
      </c>
      <c r="E30" s="68">
        <v>0.23263888888888895</v>
      </c>
      <c r="F30" s="2"/>
      <c r="G30" s="66">
        <f>IFERROR(__xludf.DUMMYFUNCTION("""COMPUTED_VALUE"""),44291.0)</f>
        <v>44291</v>
      </c>
      <c r="H30" s="39">
        <f>IFERROR(__xludf.DUMMYFUNCTION("""COMPUTED_VALUE"""),0.23263888888888895)</f>
        <v>0.2326388889</v>
      </c>
      <c r="I30" s="12"/>
      <c r="J30" s="39" t="str">
        <f>IFERROR(__xludf.DUMMYFUNCTION("IF(I30="""",,SUM(FILTER(H$16:H111, G$16:G111=I30)))"),"")</f>
        <v/>
      </c>
      <c r="K30" s="67"/>
      <c r="L30" s="12"/>
      <c r="M30" s="67"/>
      <c r="N30" s="67"/>
      <c r="O30" s="67"/>
      <c r="P30" s="67"/>
      <c r="Q30" s="27"/>
      <c r="R30" s="12"/>
      <c r="S30" s="39"/>
      <c r="T30" s="67"/>
      <c r="U30" s="39" t="str">
        <f>IFERROR(__xludf.DUMMYFUNCTION("IF(T30="""",,SUM(FILTER(S$16:S111, R$16:R111=T30)))"),"")</f>
        <v/>
      </c>
      <c r="V30" s="12"/>
      <c r="W30" s="12"/>
      <c r="X30" s="12"/>
      <c r="Y30" s="12"/>
      <c r="Z30" s="12"/>
      <c r="AA30" s="12"/>
      <c r="AB30" s="12"/>
      <c r="AC30" s="12"/>
      <c r="AD30" s="12"/>
      <c r="AE30" s="12"/>
      <c r="AF30" s="12"/>
      <c r="AG30" s="12"/>
      <c r="AH30" s="12"/>
    </row>
    <row r="31">
      <c r="A31" s="2"/>
      <c r="B31" s="70"/>
      <c r="C31" s="69"/>
      <c r="D31" s="69"/>
      <c r="E31" s="68" t="s">
        <v>59</v>
      </c>
      <c r="F31" s="2"/>
      <c r="G31" s="66"/>
      <c r="H31" s="39" t="str">
        <f>IFERROR(__xludf.DUMMYFUNCTION("""COMPUTED_VALUE"""),"")</f>
        <v/>
      </c>
      <c r="I31" s="12"/>
      <c r="J31" s="39" t="str">
        <f>IFERROR(__xludf.DUMMYFUNCTION("IF(I31="""",,SUM(FILTER(H$16:H111, G$16:G111=I31)))"),"")</f>
        <v/>
      </c>
      <c r="K31" s="67"/>
      <c r="L31" s="12"/>
      <c r="M31" s="67"/>
      <c r="N31" s="67"/>
      <c r="O31" s="67"/>
      <c r="P31" s="67"/>
      <c r="Q31" s="27"/>
      <c r="R31" s="12"/>
      <c r="S31" s="39"/>
      <c r="T31" s="67"/>
      <c r="U31" s="39" t="str">
        <f>IFERROR(__xludf.DUMMYFUNCTION("IF(T31="""",,SUM(FILTER(S$16:S111, R$16:R111=T31)))"),"")</f>
        <v/>
      </c>
      <c r="V31" s="12"/>
      <c r="W31" s="12"/>
      <c r="X31" s="12"/>
      <c r="Y31" s="12"/>
      <c r="Z31" s="12"/>
      <c r="AA31" s="12"/>
      <c r="AB31" s="12"/>
      <c r="AC31" s="12"/>
      <c r="AD31" s="12"/>
      <c r="AE31" s="12"/>
      <c r="AF31" s="12"/>
      <c r="AG31" s="12"/>
      <c r="AH31" s="12"/>
    </row>
    <row r="32">
      <c r="A32" s="2"/>
      <c r="B32" s="70"/>
      <c r="C32" s="69"/>
      <c r="D32" s="69"/>
      <c r="E32" s="68" t="s">
        <v>59</v>
      </c>
      <c r="F32" s="2"/>
      <c r="G32" s="66"/>
      <c r="H32" s="39" t="str">
        <f>IFERROR(__xludf.DUMMYFUNCTION("""COMPUTED_VALUE"""),"")</f>
        <v/>
      </c>
      <c r="I32" s="12"/>
      <c r="J32" s="39" t="str">
        <f>IFERROR(__xludf.DUMMYFUNCTION("IF(I32="""",,SUM(FILTER(H$16:H111, G$16:G111=I32)))"),"")</f>
        <v/>
      </c>
      <c r="K32" s="67"/>
      <c r="L32" s="12"/>
      <c r="M32" s="67"/>
      <c r="N32" s="67"/>
      <c r="O32" s="67"/>
      <c r="P32" s="67"/>
      <c r="Q32" s="27"/>
      <c r="R32" s="12"/>
      <c r="S32" s="39"/>
      <c r="T32" s="67"/>
      <c r="U32" s="39" t="str">
        <f>IFERROR(__xludf.DUMMYFUNCTION("IF(T32="""",,SUM(FILTER(S$16:S111, R$16:R111=T32)))"),"")</f>
        <v/>
      </c>
      <c r="V32" s="12"/>
      <c r="W32" s="12"/>
      <c r="X32" s="12"/>
      <c r="Y32" s="12"/>
      <c r="Z32" s="12"/>
      <c r="AA32" s="12"/>
      <c r="AB32" s="12"/>
      <c r="AC32" s="12"/>
      <c r="AD32" s="12"/>
      <c r="AE32" s="12"/>
      <c r="AF32" s="12"/>
      <c r="AG32" s="12"/>
      <c r="AH32" s="12"/>
    </row>
    <row r="33">
      <c r="A33" s="2"/>
      <c r="B33" s="70"/>
      <c r="C33" s="69"/>
      <c r="D33" s="69"/>
      <c r="E33" s="68" t="s">
        <v>59</v>
      </c>
      <c r="F33" s="2"/>
      <c r="G33" s="66"/>
      <c r="H33" s="39" t="str">
        <f>IFERROR(__xludf.DUMMYFUNCTION("""COMPUTED_VALUE"""),"")</f>
        <v/>
      </c>
      <c r="I33" s="12"/>
      <c r="J33" s="39" t="str">
        <f>IFERROR(__xludf.DUMMYFUNCTION("IF(I33="""",,SUM(FILTER(H$16:H111, G$16:G111=I33)))"),"")</f>
        <v/>
      </c>
      <c r="K33" s="67"/>
      <c r="L33" s="12"/>
      <c r="M33" s="67"/>
      <c r="N33" s="67"/>
      <c r="O33" s="67"/>
      <c r="P33" s="67"/>
      <c r="Q33" s="27"/>
      <c r="R33" s="12"/>
      <c r="S33" s="39"/>
      <c r="T33" s="67"/>
      <c r="U33" s="39" t="str">
        <f>IFERROR(__xludf.DUMMYFUNCTION("IF(T33="""",,SUM(FILTER(S$16:S111, R$16:R111=T33)))"),"")</f>
        <v/>
      </c>
      <c r="V33" s="12"/>
      <c r="W33" s="12"/>
      <c r="X33" s="12"/>
      <c r="Y33" s="12"/>
      <c r="Z33" s="12"/>
      <c r="AA33" s="12"/>
      <c r="AB33" s="12"/>
      <c r="AC33" s="12"/>
      <c r="AD33" s="12"/>
      <c r="AE33" s="12"/>
      <c r="AF33" s="12"/>
      <c r="AG33" s="12"/>
      <c r="AH33" s="12"/>
    </row>
    <row r="34">
      <c r="A34" s="2"/>
      <c r="B34" s="70"/>
      <c r="C34" s="69"/>
      <c r="D34" s="69"/>
      <c r="E34" s="68" t="s">
        <v>59</v>
      </c>
      <c r="F34" s="2"/>
      <c r="G34" s="66"/>
      <c r="H34" s="39" t="str">
        <f>IFERROR(__xludf.DUMMYFUNCTION("""COMPUTED_VALUE"""),"")</f>
        <v/>
      </c>
      <c r="I34" s="12"/>
      <c r="J34" s="39" t="str">
        <f>IFERROR(__xludf.DUMMYFUNCTION("IF(I34="""",,SUM(FILTER(H$16:H111, G$16:G111=I34)))"),"")</f>
        <v/>
      </c>
      <c r="K34" s="67"/>
      <c r="L34" s="12"/>
      <c r="M34" s="67"/>
      <c r="N34" s="67"/>
      <c r="O34" s="67"/>
      <c r="P34" s="67"/>
      <c r="Q34" s="27"/>
      <c r="R34" s="12"/>
      <c r="S34" s="39"/>
      <c r="T34" s="67"/>
      <c r="U34" s="39" t="str">
        <f>IFERROR(__xludf.DUMMYFUNCTION("IF(T34="""",,SUM(FILTER(S$16:S111, R$16:R111=T34)))"),"")</f>
        <v/>
      </c>
      <c r="V34" s="12"/>
      <c r="W34" s="12"/>
      <c r="X34" s="12"/>
      <c r="Y34" s="12"/>
      <c r="Z34" s="12"/>
      <c r="AA34" s="12"/>
      <c r="AB34" s="12"/>
      <c r="AC34" s="12"/>
      <c r="AD34" s="12"/>
      <c r="AE34" s="12"/>
      <c r="AF34" s="12"/>
      <c r="AG34" s="12"/>
      <c r="AH34" s="12"/>
    </row>
    <row r="35">
      <c r="A35" s="2"/>
      <c r="B35" s="70"/>
      <c r="C35" s="69"/>
      <c r="D35" s="69"/>
      <c r="E35" s="68" t="s">
        <v>59</v>
      </c>
      <c r="F35" s="2"/>
      <c r="G35" s="66"/>
      <c r="H35" s="39" t="str">
        <f>IFERROR(__xludf.DUMMYFUNCTION("""COMPUTED_VALUE"""),"")</f>
        <v/>
      </c>
      <c r="I35" s="12"/>
      <c r="J35" s="39" t="str">
        <f>IFERROR(__xludf.DUMMYFUNCTION("IF(I35="""",,SUM(FILTER(H$16:H111, G$16:G111=I35)))"),"")</f>
        <v/>
      </c>
      <c r="K35" s="67"/>
      <c r="L35" s="12"/>
      <c r="M35" s="67"/>
      <c r="N35" s="67"/>
      <c r="O35" s="67"/>
      <c r="P35" s="67"/>
      <c r="Q35" s="27"/>
      <c r="R35" s="12"/>
      <c r="S35" s="39"/>
      <c r="T35" s="67"/>
      <c r="U35" s="39" t="str">
        <f>IFERROR(__xludf.DUMMYFUNCTION("IF(T35="""",,SUM(FILTER(S$16:S111, R$16:R111=T35)))"),"")</f>
        <v/>
      </c>
      <c r="V35" s="12"/>
      <c r="W35" s="12"/>
      <c r="X35" s="12"/>
      <c r="Y35" s="12"/>
      <c r="Z35" s="12"/>
      <c r="AA35" s="12"/>
      <c r="AB35" s="12"/>
      <c r="AC35" s="12"/>
      <c r="AD35" s="12"/>
      <c r="AE35" s="12"/>
      <c r="AF35" s="12"/>
      <c r="AG35" s="12"/>
      <c r="AH35" s="12"/>
    </row>
    <row r="36">
      <c r="A36" s="2"/>
      <c r="B36" s="70"/>
      <c r="C36" s="69"/>
      <c r="D36" s="69"/>
      <c r="E36" s="68" t="s">
        <v>59</v>
      </c>
      <c r="F36" s="2"/>
      <c r="G36" s="66"/>
      <c r="H36" s="39" t="str">
        <f>IFERROR(__xludf.DUMMYFUNCTION("""COMPUTED_VALUE"""),"")</f>
        <v/>
      </c>
      <c r="I36" s="12"/>
      <c r="J36" s="39" t="str">
        <f>IFERROR(__xludf.DUMMYFUNCTION("IF(I36="""",,SUM(FILTER(H$16:H111, G$16:G111=I36)))"),"")</f>
        <v/>
      </c>
      <c r="K36" s="67"/>
      <c r="L36" s="12"/>
      <c r="M36" s="67"/>
      <c r="N36" s="67"/>
      <c r="O36" s="67"/>
      <c r="P36" s="67"/>
      <c r="Q36" s="27"/>
      <c r="R36" s="12"/>
      <c r="S36" s="39"/>
      <c r="T36" s="67"/>
      <c r="U36" s="39" t="str">
        <f>IFERROR(__xludf.DUMMYFUNCTION("IF(T36="""",,SUM(FILTER(S$16:S111, R$16:R111=T36)))"),"")</f>
        <v/>
      </c>
      <c r="V36" s="12"/>
      <c r="W36" s="12"/>
      <c r="X36" s="12"/>
      <c r="Y36" s="12"/>
      <c r="Z36" s="12"/>
      <c r="AA36" s="12"/>
      <c r="AB36" s="12"/>
      <c r="AC36" s="12"/>
      <c r="AD36" s="12"/>
      <c r="AE36" s="12"/>
      <c r="AF36" s="12"/>
      <c r="AG36" s="12"/>
      <c r="AH36" s="12"/>
    </row>
    <row r="37">
      <c r="A37" s="2"/>
      <c r="B37" s="70"/>
      <c r="C37" s="69"/>
      <c r="D37" s="69"/>
      <c r="E37" s="68" t="s">
        <v>59</v>
      </c>
      <c r="F37" s="2"/>
      <c r="G37" s="66"/>
      <c r="H37" s="39" t="str">
        <f>IFERROR(__xludf.DUMMYFUNCTION("""COMPUTED_VALUE"""),"")</f>
        <v/>
      </c>
      <c r="I37" s="12"/>
      <c r="J37" s="39" t="str">
        <f>IFERROR(__xludf.DUMMYFUNCTION("IF(I37="""",,SUM(FILTER(H$16:H111, G$16:G111=I37)))"),"")</f>
        <v/>
      </c>
      <c r="K37" s="67"/>
      <c r="L37" s="12"/>
      <c r="M37" s="67"/>
      <c r="N37" s="67"/>
      <c r="O37" s="67"/>
      <c r="P37" s="67"/>
      <c r="Q37" s="27"/>
      <c r="R37" s="12"/>
      <c r="S37" s="39"/>
      <c r="T37" s="67"/>
      <c r="U37" s="39" t="str">
        <f>IFERROR(__xludf.DUMMYFUNCTION("IF(T37="""",,SUM(FILTER(S$16:S111, R$16:R111=T37)))"),"")</f>
        <v/>
      </c>
      <c r="V37" s="12"/>
      <c r="W37" s="12"/>
      <c r="X37" s="12"/>
      <c r="Y37" s="12"/>
      <c r="Z37" s="12"/>
      <c r="AA37" s="12"/>
      <c r="AB37" s="12"/>
      <c r="AC37" s="12"/>
      <c r="AD37" s="12"/>
      <c r="AE37" s="12"/>
      <c r="AF37" s="12"/>
      <c r="AG37" s="12"/>
      <c r="AH37" s="12"/>
    </row>
    <row r="38">
      <c r="A38" s="2"/>
      <c r="B38" s="70"/>
      <c r="C38" s="69"/>
      <c r="D38" s="69"/>
      <c r="E38" s="68" t="s">
        <v>59</v>
      </c>
      <c r="F38" s="2"/>
      <c r="G38" s="66"/>
      <c r="H38" s="39" t="str">
        <f>IFERROR(__xludf.DUMMYFUNCTION("""COMPUTED_VALUE"""),"")</f>
        <v/>
      </c>
      <c r="I38" s="12"/>
      <c r="J38" s="39" t="str">
        <f>IFERROR(__xludf.DUMMYFUNCTION("IF(I38="""",,SUM(FILTER(H$16:H111, G$16:G111=I38)))"),"")</f>
        <v/>
      </c>
      <c r="K38" s="67"/>
      <c r="L38" s="12"/>
      <c r="M38" s="67"/>
      <c r="N38" s="67"/>
      <c r="O38" s="67"/>
      <c r="P38" s="67"/>
      <c r="Q38" s="27"/>
      <c r="R38" s="12"/>
      <c r="S38" s="39"/>
      <c r="T38" s="67"/>
      <c r="U38" s="39" t="str">
        <f>IFERROR(__xludf.DUMMYFUNCTION("IF(T38="""",,SUM(FILTER(S$16:S111, R$16:R111=T38)))"),"")</f>
        <v/>
      </c>
      <c r="V38" s="12"/>
      <c r="W38" s="12"/>
      <c r="X38" s="12"/>
      <c r="Y38" s="12"/>
      <c r="Z38" s="12"/>
      <c r="AA38" s="12"/>
      <c r="AB38" s="12"/>
      <c r="AC38" s="12"/>
      <c r="AD38" s="12"/>
      <c r="AE38" s="12"/>
      <c r="AF38" s="12"/>
      <c r="AG38" s="12"/>
      <c r="AH38" s="12"/>
    </row>
    <row r="39">
      <c r="A39" s="2"/>
      <c r="B39" s="70"/>
      <c r="C39" s="69"/>
      <c r="D39" s="69"/>
      <c r="E39" s="68" t="s">
        <v>59</v>
      </c>
      <c r="F39" s="2"/>
      <c r="G39" s="66"/>
      <c r="H39" s="39" t="str">
        <f>IFERROR(__xludf.DUMMYFUNCTION("""COMPUTED_VALUE"""),"")</f>
        <v/>
      </c>
      <c r="I39" s="12"/>
      <c r="J39" s="39" t="str">
        <f>IFERROR(__xludf.DUMMYFUNCTION("IF(I39="""",,SUM(FILTER(H$16:H111, G$16:G111=I39)))"),"")</f>
        <v/>
      </c>
      <c r="K39" s="67"/>
      <c r="L39" s="12"/>
      <c r="M39" s="67"/>
      <c r="N39" s="67"/>
      <c r="O39" s="67"/>
      <c r="P39" s="67"/>
      <c r="Q39" s="27"/>
      <c r="R39" s="12"/>
      <c r="S39" s="39"/>
      <c r="T39" s="67"/>
      <c r="U39" s="39" t="str">
        <f>IFERROR(__xludf.DUMMYFUNCTION("IF(T39="""",,SUM(FILTER(S$16:S111, R$16:R111=T39)))"),"")</f>
        <v/>
      </c>
      <c r="V39" s="12"/>
      <c r="W39" s="12"/>
      <c r="X39" s="12"/>
      <c r="Y39" s="12"/>
      <c r="Z39" s="12"/>
      <c r="AA39" s="12"/>
      <c r="AB39" s="12"/>
      <c r="AC39" s="12"/>
      <c r="AD39" s="12"/>
      <c r="AE39" s="12"/>
      <c r="AF39" s="12"/>
      <c r="AG39" s="12"/>
      <c r="AH39" s="12"/>
    </row>
    <row r="40">
      <c r="A40" s="2"/>
      <c r="B40" s="70"/>
      <c r="C40" s="69"/>
      <c r="D40" s="69"/>
      <c r="E40" s="68" t="s">
        <v>59</v>
      </c>
      <c r="F40" s="2"/>
      <c r="G40" s="66"/>
      <c r="H40" s="39" t="str">
        <f>IFERROR(__xludf.DUMMYFUNCTION("""COMPUTED_VALUE"""),"")</f>
        <v/>
      </c>
      <c r="I40" s="12"/>
      <c r="J40" s="39" t="str">
        <f>IFERROR(__xludf.DUMMYFUNCTION("IF(I40="""",,SUM(FILTER(H$16:H111, G$16:G111=I40)))"),"")</f>
        <v/>
      </c>
      <c r="K40" s="67"/>
      <c r="L40" s="12"/>
      <c r="M40" s="67"/>
      <c r="N40" s="67"/>
      <c r="O40" s="67"/>
      <c r="P40" s="67"/>
      <c r="Q40" s="27"/>
      <c r="R40" s="12"/>
      <c r="S40" s="39"/>
      <c r="T40" s="67"/>
      <c r="U40" s="39" t="str">
        <f>IFERROR(__xludf.DUMMYFUNCTION("IF(T40="""",,SUM(FILTER(S$16:S111, R$16:R111=T40)))"),"")</f>
        <v/>
      </c>
      <c r="V40" s="12"/>
      <c r="W40" s="12"/>
      <c r="X40" s="12"/>
      <c r="Y40" s="12"/>
      <c r="Z40" s="12"/>
      <c r="AA40" s="12"/>
      <c r="AB40" s="12"/>
      <c r="AC40" s="12"/>
      <c r="AD40" s="12"/>
      <c r="AE40" s="12"/>
      <c r="AF40" s="12"/>
      <c r="AG40" s="12"/>
      <c r="AH40" s="12"/>
    </row>
    <row r="41">
      <c r="A41" s="2"/>
      <c r="B41" s="70"/>
      <c r="C41" s="69"/>
      <c r="D41" s="69"/>
      <c r="E41" s="68" t="s">
        <v>59</v>
      </c>
      <c r="F41" s="2"/>
      <c r="G41" s="66"/>
      <c r="H41" s="39" t="str">
        <f>IFERROR(__xludf.DUMMYFUNCTION("""COMPUTED_VALUE"""),"")</f>
        <v/>
      </c>
      <c r="I41" s="12"/>
      <c r="J41" s="39" t="str">
        <f>IFERROR(__xludf.DUMMYFUNCTION("IF(I41="""",,SUM(FILTER(H$16:H111, G$16:G111=I41)))"),"")</f>
        <v/>
      </c>
      <c r="K41" s="67"/>
      <c r="L41" s="12"/>
      <c r="M41" s="67"/>
      <c r="N41" s="67"/>
      <c r="O41" s="67"/>
      <c r="P41" s="67"/>
      <c r="Q41" s="27"/>
      <c r="R41" s="12"/>
      <c r="S41" s="39"/>
      <c r="T41" s="67"/>
      <c r="U41" s="39" t="str">
        <f>IFERROR(__xludf.DUMMYFUNCTION("IF(T41="""",,SUM(FILTER(S$16:S111, R$16:R111=T41)))"),"")</f>
        <v/>
      </c>
      <c r="V41" s="12"/>
      <c r="W41" s="12"/>
      <c r="X41" s="12"/>
      <c r="Y41" s="12"/>
      <c r="Z41" s="12"/>
      <c r="AA41" s="12"/>
      <c r="AB41" s="12"/>
      <c r="AC41" s="12"/>
      <c r="AD41" s="12"/>
      <c r="AE41" s="12"/>
      <c r="AF41" s="12"/>
      <c r="AG41" s="12"/>
      <c r="AH41" s="12"/>
    </row>
    <row r="42">
      <c r="A42" s="2"/>
      <c r="B42" s="70"/>
      <c r="C42" s="69"/>
      <c r="D42" s="69"/>
      <c r="E42" s="68" t="s">
        <v>59</v>
      </c>
      <c r="F42" s="2"/>
      <c r="G42" s="66"/>
      <c r="H42" s="39" t="str">
        <f>IFERROR(__xludf.DUMMYFUNCTION("""COMPUTED_VALUE"""),"")</f>
        <v/>
      </c>
      <c r="I42" s="12"/>
      <c r="J42" s="39" t="str">
        <f>IFERROR(__xludf.DUMMYFUNCTION("IF(I42="""",,SUM(FILTER(H$16:H111, G$16:G111=I42)))"),"")</f>
        <v/>
      </c>
      <c r="K42" s="67"/>
      <c r="L42" s="12"/>
      <c r="M42" s="67"/>
      <c r="N42" s="67"/>
      <c r="O42" s="67"/>
      <c r="P42" s="67"/>
      <c r="Q42" s="27"/>
      <c r="R42" s="12"/>
      <c r="S42" s="39"/>
      <c r="T42" s="67"/>
      <c r="U42" s="39" t="str">
        <f>IFERROR(__xludf.DUMMYFUNCTION("IF(T42="""",,SUM(FILTER(S$16:S111, R$16:R111=T42)))"),"")</f>
        <v/>
      </c>
      <c r="V42" s="12"/>
      <c r="W42" s="12"/>
      <c r="X42" s="12"/>
      <c r="Y42" s="12"/>
      <c r="Z42" s="12"/>
      <c r="AA42" s="12"/>
      <c r="AB42" s="12"/>
      <c r="AC42" s="12"/>
      <c r="AD42" s="12"/>
      <c r="AE42" s="12"/>
      <c r="AF42" s="12"/>
      <c r="AG42" s="12"/>
      <c r="AH42" s="12"/>
    </row>
    <row r="43">
      <c r="A43" s="2"/>
      <c r="B43" s="70"/>
      <c r="C43" s="69"/>
      <c r="D43" s="69"/>
      <c r="E43" s="68" t="s">
        <v>59</v>
      </c>
      <c r="F43" s="2"/>
      <c r="G43" s="66"/>
      <c r="H43" s="39" t="str">
        <f>IFERROR(__xludf.DUMMYFUNCTION("""COMPUTED_VALUE"""),"")</f>
        <v/>
      </c>
      <c r="I43" s="12"/>
      <c r="J43" s="39" t="str">
        <f>IFERROR(__xludf.DUMMYFUNCTION("IF(I43="""",,SUM(FILTER(H$16:H111, G$16:G111=I43)))"),"")</f>
        <v/>
      </c>
      <c r="K43" s="67"/>
      <c r="L43" s="12"/>
      <c r="M43" s="67"/>
      <c r="N43" s="67"/>
      <c r="O43" s="67"/>
      <c r="P43" s="67"/>
      <c r="Q43" s="27"/>
      <c r="R43" s="12"/>
      <c r="S43" s="39"/>
      <c r="T43" s="67"/>
      <c r="U43" s="39" t="str">
        <f>IFERROR(__xludf.DUMMYFUNCTION("IF(T43="""",,SUM(FILTER(S$16:S111, R$16:R111=T43)))"),"")</f>
        <v/>
      </c>
      <c r="V43" s="12"/>
      <c r="W43" s="12"/>
      <c r="X43" s="12"/>
      <c r="Y43" s="12"/>
      <c r="Z43" s="12"/>
      <c r="AA43" s="12"/>
      <c r="AB43" s="12"/>
      <c r="AC43" s="12"/>
      <c r="AD43" s="12"/>
      <c r="AE43" s="12"/>
      <c r="AF43" s="12"/>
      <c r="AG43" s="12"/>
      <c r="AH43" s="12"/>
    </row>
    <row r="44">
      <c r="A44" s="2"/>
      <c r="B44" s="70"/>
      <c r="C44" s="69"/>
      <c r="D44" s="69"/>
      <c r="E44" s="68" t="s">
        <v>59</v>
      </c>
      <c r="F44" s="2"/>
      <c r="G44" s="66"/>
      <c r="H44" s="39" t="str">
        <f>IFERROR(__xludf.DUMMYFUNCTION("""COMPUTED_VALUE"""),"")</f>
        <v/>
      </c>
      <c r="I44" s="12"/>
      <c r="J44" s="39" t="str">
        <f>IFERROR(__xludf.DUMMYFUNCTION("IF(I44="""",,SUM(FILTER(H$16:H111, G$16:G111=I44)))"),"")</f>
        <v/>
      </c>
      <c r="K44" s="67"/>
      <c r="L44" s="12"/>
      <c r="M44" s="67"/>
      <c r="N44" s="67"/>
      <c r="O44" s="67"/>
      <c r="P44" s="67"/>
      <c r="Q44" s="27"/>
      <c r="R44" s="12"/>
      <c r="S44" s="39"/>
      <c r="T44" s="67"/>
      <c r="U44" s="39" t="str">
        <f>IFERROR(__xludf.DUMMYFUNCTION("IF(T44="""",,SUM(FILTER(S$16:S111, R$16:R111=T44)))"),"")</f>
        <v/>
      </c>
      <c r="V44" s="12"/>
      <c r="W44" s="12"/>
      <c r="X44" s="12"/>
      <c r="Y44" s="12"/>
      <c r="Z44" s="12"/>
      <c r="AA44" s="12"/>
      <c r="AB44" s="12"/>
      <c r="AC44" s="12"/>
      <c r="AD44" s="12"/>
      <c r="AE44" s="12"/>
      <c r="AF44" s="12"/>
      <c r="AG44" s="12"/>
      <c r="AH44" s="12"/>
    </row>
    <row r="45">
      <c r="A45" s="2"/>
      <c r="B45" s="70"/>
      <c r="C45" s="69"/>
      <c r="D45" s="69"/>
      <c r="E45" s="68" t="s">
        <v>59</v>
      </c>
      <c r="F45" s="2"/>
      <c r="G45" s="66"/>
      <c r="H45" s="39" t="str">
        <f>IFERROR(__xludf.DUMMYFUNCTION("""COMPUTED_VALUE"""),"")</f>
        <v/>
      </c>
      <c r="I45" s="12"/>
      <c r="J45" s="39" t="str">
        <f>IFERROR(__xludf.DUMMYFUNCTION("IF(I45="""",,SUM(FILTER(H$16:H111, G$16:G111=I45)))"),"")</f>
        <v/>
      </c>
      <c r="K45" s="67"/>
      <c r="L45" s="12"/>
      <c r="M45" s="67"/>
      <c r="N45" s="67"/>
      <c r="O45" s="67"/>
      <c r="P45" s="67"/>
      <c r="Q45" s="27"/>
      <c r="R45" s="12"/>
      <c r="S45" s="39"/>
      <c r="T45" s="67"/>
      <c r="U45" s="39" t="str">
        <f>IFERROR(__xludf.DUMMYFUNCTION("IF(T45="""",,SUM(FILTER(S$16:S111, R$16:R111=T45)))"),"")</f>
        <v/>
      </c>
      <c r="V45" s="12"/>
      <c r="W45" s="12"/>
      <c r="X45" s="12"/>
      <c r="Y45" s="12"/>
      <c r="Z45" s="12"/>
      <c r="AA45" s="12"/>
      <c r="AB45" s="12"/>
      <c r="AC45" s="12"/>
      <c r="AD45" s="12"/>
      <c r="AE45" s="12"/>
      <c r="AF45" s="12"/>
      <c r="AG45" s="12"/>
      <c r="AH45" s="12"/>
    </row>
    <row r="46">
      <c r="A46" s="2"/>
      <c r="B46" s="70"/>
      <c r="C46" s="69"/>
      <c r="D46" s="69"/>
      <c r="E46" s="68" t="s">
        <v>59</v>
      </c>
      <c r="F46" s="2"/>
      <c r="G46" s="66"/>
      <c r="H46" s="39" t="str">
        <f>IFERROR(__xludf.DUMMYFUNCTION("""COMPUTED_VALUE"""),"")</f>
        <v/>
      </c>
      <c r="I46" s="12"/>
      <c r="J46" s="39" t="str">
        <f>IFERROR(__xludf.DUMMYFUNCTION("IF(I46="""",,SUM(FILTER(H$16:H111, G$16:G111=I46)))"),"")</f>
        <v/>
      </c>
      <c r="K46" s="67"/>
      <c r="L46" s="12"/>
      <c r="M46" s="67"/>
      <c r="N46" s="67"/>
      <c r="O46" s="67"/>
      <c r="P46" s="67"/>
      <c r="Q46" s="27"/>
      <c r="R46" s="12"/>
      <c r="S46" s="39"/>
      <c r="T46" s="67"/>
      <c r="U46" s="39" t="str">
        <f>IFERROR(__xludf.DUMMYFUNCTION("IF(T46="""",,SUM(FILTER(S$16:S111, R$16:R111=T46)))"),"")</f>
        <v/>
      </c>
      <c r="V46" s="12"/>
      <c r="W46" s="12"/>
      <c r="X46" s="12"/>
      <c r="Y46" s="12"/>
      <c r="Z46" s="12"/>
      <c r="AA46" s="12"/>
      <c r="AB46" s="12"/>
      <c r="AC46" s="12"/>
      <c r="AD46" s="12"/>
      <c r="AE46" s="12"/>
      <c r="AF46" s="12"/>
      <c r="AG46" s="12"/>
      <c r="AH46" s="12"/>
    </row>
    <row r="47">
      <c r="A47" s="2"/>
      <c r="B47" s="70"/>
      <c r="C47" s="69"/>
      <c r="D47" s="69"/>
      <c r="E47" s="68" t="s">
        <v>59</v>
      </c>
      <c r="F47" s="2"/>
      <c r="G47" s="66"/>
      <c r="H47" s="39" t="str">
        <f>IFERROR(__xludf.DUMMYFUNCTION("""COMPUTED_VALUE"""),"")</f>
        <v/>
      </c>
      <c r="I47" s="12"/>
      <c r="J47" s="39" t="str">
        <f>IFERROR(__xludf.DUMMYFUNCTION("IF(I47="""",,SUM(FILTER(H$16:H111, G$16:G111=I47)))"),"")</f>
        <v/>
      </c>
      <c r="K47" s="67"/>
      <c r="L47" s="12"/>
      <c r="M47" s="67"/>
      <c r="N47" s="67"/>
      <c r="O47" s="67"/>
      <c r="P47" s="67"/>
      <c r="Q47" s="27"/>
      <c r="R47" s="12"/>
      <c r="S47" s="39"/>
      <c r="T47" s="67"/>
      <c r="U47" s="39" t="str">
        <f>IFERROR(__xludf.DUMMYFUNCTION("IF(T47="""",,SUM(FILTER(S$16:S111, R$16:R111=T47)))"),"")</f>
        <v/>
      </c>
      <c r="V47" s="12"/>
      <c r="W47" s="12"/>
      <c r="X47" s="12"/>
      <c r="Y47" s="12"/>
      <c r="Z47" s="12"/>
      <c r="AA47" s="12"/>
      <c r="AB47" s="12"/>
      <c r="AC47" s="12"/>
      <c r="AD47" s="12"/>
      <c r="AE47" s="12"/>
      <c r="AF47" s="12"/>
      <c r="AG47" s="12"/>
      <c r="AH47" s="12"/>
    </row>
    <row r="48">
      <c r="A48" s="2"/>
      <c r="B48" s="70"/>
      <c r="C48" s="69"/>
      <c r="D48" s="69"/>
      <c r="E48" s="68" t="s">
        <v>59</v>
      </c>
      <c r="F48" s="2"/>
      <c r="G48" s="66"/>
      <c r="H48" s="39" t="str">
        <f>IFERROR(__xludf.DUMMYFUNCTION("""COMPUTED_VALUE"""),"")</f>
        <v/>
      </c>
      <c r="I48" s="12"/>
      <c r="J48" s="39" t="str">
        <f>IFERROR(__xludf.DUMMYFUNCTION("IF(I48="""",,SUM(FILTER(H$16:H111, G$16:G111=I48)))"),"")</f>
        <v/>
      </c>
      <c r="K48" s="67"/>
      <c r="L48" s="12"/>
      <c r="M48" s="67"/>
      <c r="N48" s="67"/>
      <c r="O48" s="67"/>
      <c r="P48" s="67"/>
      <c r="Q48" s="27"/>
      <c r="R48" s="12"/>
      <c r="S48" s="39"/>
      <c r="T48" s="67"/>
      <c r="U48" s="39" t="str">
        <f>IFERROR(__xludf.DUMMYFUNCTION("IF(T48="""",,SUM(FILTER(S$16:S111, R$16:R111=T48)))"),"")</f>
        <v/>
      </c>
      <c r="V48" s="12"/>
      <c r="W48" s="12"/>
      <c r="X48" s="12"/>
      <c r="Y48" s="12"/>
      <c r="Z48" s="12"/>
      <c r="AA48" s="12"/>
      <c r="AB48" s="12"/>
      <c r="AC48" s="12"/>
      <c r="AD48" s="12"/>
      <c r="AE48" s="12"/>
      <c r="AF48" s="12"/>
      <c r="AG48" s="12"/>
      <c r="AH48" s="12"/>
    </row>
    <row r="49">
      <c r="A49" s="2"/>
      <c r="B49" s="70"/>
      <c r="C49" s="69"/>
      <c r="D49" s="69"/>
      <c r="E49" s="68" t="s">
        <v>59</v>
      </c>
      <c r="F49" s="2"/>
      <c r="G49" s="66"/>
      <c r="H49" s="39" t="str">
        <f>IFERROR(__xludf.DUMMYFUNCTION("""COMPUTED_VALUE"""),"")</f>
        <v/>
      </c>
      <c r="I49" s="12"/>
      <c r="J49" s="39" t="str">
        <f>IFERROR(__xludf.DUMMYFUNCTION("IF(I49="""",,SUM(FILTER(H$16:H111, G$16:G111=I49)))"),"")</f>
        <v/>
      </c>
      <c r="K49" s="67"/>
      <c r="L49" s="12"/>
      <c r="M49" s="67"/>
      <c r="N49" s="67"/>
      <c r="O49" s="67"/>
      <c r="P49" s="67"/>
      <c r="Q49" s="27"/>
      <c r="R49" s="12"/>
      <c r="S49" s="39"/>
      <c r="T49" s="67"/>
      <c r="U49" s="39" t="str">
        <f>IFERROR(__xludf.DUMMYFUNCTION("IF(T49="""",,SUM(FILTER(S$16:S111, R$16:R111=T49)))"),"")</f>
        <v/>
      </c>
      <c r="V49" s="12"/>
      <c r="W49" s="12"/>
      <c r="X49" s="12"/>
      <c r="Y49" s="12"/>
      <c r="Z49" s="12"/>
      <c r="AA49" s="12"/>
      <c r="AB49" s="12"/>
      <c r="AC49" s="12"/>
      <c r="AD49" s="12"/>
      <c r="AE49" s="12"/>
      <c r="AF49" s="12"/>
      <c r="AG49" s="12"/>
      <c r="AH49" s="12"/>
    </row>
    <row r="50">
      <c r="A50" s="2"/>
      <c r="B50" s="70"/>
      <c r="C50" s="69"/>
      <c r="D50" s="69"/>
      <c r="E50" s="68" t="s">
        <v>59</v>
      </c>
      <c r="F50" s="2"/>
      <c r="G50" s="66"/>
      <c r="H50" s="39" t="str">
        <f>IFERROR(__xludf.DUMMYFUNCTION("""COMPUTED_VALUE"""),"")</f>
        <v/>
      </c>
      <c r="I50" s="12"/>
      <c r="J50" s="39" t="str">
        <f>IFERROR(__xludf.DUMMYFUNCTION("IF(I50="""",,SUM(FILTER(H$16:H111, G$16:G111=I50)))"),"")</f>
        <v/>
      </c>
      <c r="K50" s="67"/>
      <c r="L50" s="12"/>
      <c r="M50" s="67"/>
      <c r="N50" s="67"/>
      <c r="O50" s="67"/>
      <c r="P50" s="67"/>
      <c r="Q50" s="27"/>
      <c r="R50" s="12"/>
      <c r="S50" s="39"/>
      <c r="T50" s="67"/>
      <c r="U50" s="39" t="str">
        <f>IFERROR(__xludf.DUMMYFUNCTION("IF(T50="""",,SUM(FILTER(S$16:S111, R$16:R111=T50)))"),"")</f>
        <v/>
      </c>
      <c r="V50" s="12"/>
      <c r="W50" s="12"/>
      <c r="X50" s="12"/>
      <c r="Y50" s="12"/>
      <c r="Z50" s="12"/>
      <c r="AA50" s="12"/>
      <c r="AB50" s="12"/>
      <c r="AC50" s="12"/>
      <c r="AD50" s="12"/>
      <c r="AE50" s="12"/>
      <c r="AF50" s="12"/>
      <c r="AG50" s="12"/>
      <c r="AH50" s="12"/>
    </row>
    <row r="51">
      <c r="A51" s="2"/>
      <c r="B51" s="70"/>
      <c r="C51" s="69"/>
      <c r="D51" s="69"/>
      <c r="E51" s="68" t="s">
        <v>59</v>
      </c>
      <c r="F51" s="2"/>
      <c r="G51" s="66"/>
      <c r="H51" s="39" t="str">
        <f>IFERROR(__xludf.DUMMYFUNCTION("""COMPUTED_VALUE"""),"")</f>
        <v/>
      </c>
      <c r="I51" s="12"/>
      <c r="J51" s="39" t="str">
        <f>IFERROR(__xludf.DUMMYFUNCTION("IF(I51="""",,SUM(FILTER(H$16:H111, G$16:G111=I51)))"),"")</f>
        <v/>
      </c>
      <c r="K51" s="67"/>
      <c r="L51" s="12"/>
      <c r="M51" s="67"/>
      <c r="N51" s="67"/>
      <c r="O51" s="67"/>
      <c r="P51" s="67"/>
      <c r="Q51" s="27"/>
      <c r="R51" s="12"/>
      <c r="S51" s="39"/>
      <c r="T51" s="67"/>
      <c r="U51" s="39" t="str">
        <f>IFERROR(__xludf.DUMMYFUNCTION("IF(T51="""",,SUM(FILTER(S$16:S111, R$16:R111=T51)))"),"")</f>
        <v/>
      </c>
      <c r="V51" s="12"/>
      <c r="W51" s="12"/>
      <c r="X51" s="12"/>
      <c r="Y51" s="12"/>
      <c r="Z51" s="12"/>
      <c r="AA51" s="12"/>
      <c r="AB51" s="12"/>
      <c r="AC51" s="12"/>
      <c r="AD51" s="12"/>
      <c r="AE51" s="12"/>
      <c r="AF51" s="12"/>
      <c r="AG51" s="12"/>
      <c r="AH51" s="12"/>
    </row>
    <row r="52">
      <c r="A52" s="2"/>
      <c r="B52" s="70"/>
      <c r="C52" s="69"/>
      <c r="D52" s="69"/>
      <c r="E52" s="68" t="s">
        <v>59</v>
      </c>
      <c r="F52" s="2"/>
      <c r="G52" s="66"/>
      <c r="H52" s="39" t="str">
        <f>IFERROR(__xludf.DUMMYFUNCTION("""COMPUTED_VALUE"""),"")</f>
        <v/>
      </c>
      <c r="I52" s="12"/>
      <c r="J52" s="39" t="str">
        <f>IFERROR(__xludf.DUMMYFUNCTION("IF(I52="""",,SUM(FILTER(H$16:H111, G$16:G111=I52)))"),"")</f>
        <v/>
      </c>
      <c r="K52" s="67"/>
      <c r="L52" s="12"/>
      <c r="M52" s="67"/>
      <c r="N52" s="67"/>
      <c r="O52" s="67"/>
      <c r="P52" s="67"/>
      <c r="Q52" s="27"/>
      <c r="R52" s="12"/>
      <c r="S52" s="39"/>
      <c r="T52" s="67"/>
      <c r="U52" s="39" t="str">
        <f>IFERROR(__xludf.DUMMYFUNCTION("IF(T52="""",,SUM(FILTER(S$16:S111, R$16:R111=T52)))"),"")</f>
        <v/>
      </c>
      <c r="V52" s="12"/>
      <c r="W52" s="12"/>
      <c r="X52" s="12"/>
      <c r="Y52" s="12"/>
      <c r="Z52" s="12"/>
      <c r="AA52" s="12"/>
      <c r="AB52" s="12"/>
      <c r="AC52" s="12"/>
      <c r="AD52" s="12"/>
      <c r="AE52" s="12"/>
      <c r="AF52" s="12"/>
      <c r="AG52" s="12"/>
      <c r="AH52" s="12"/>
    </row>
    <row r="53">
      <c r="A53" s="2"/>
      <c r="B53" s="70"/>
      <c r="C53" s="69"/>
      <c r="D53" s="69"/>
      <c r="E53" s="68" t="s">
        <v>59</v>
      </c>
      <c r="F53" s="2"/>
      <c r="G53" s="66"/>
      <c r="H53" s="39" t="str">
        <f>IFERROR(__xludf.DUMMYFUNCTION("""COMPUTED_VALUE"""),"")</f>
        <v/>
      </c>
      <c r="I53" s="12"/>
      <c r="J53" s="39" t="str">
        <f>IFERROR(__xludf.DUMMYFUNCTION("IF(I53="""",,SUM(FILTER(H$16:H111, G$16:G111=I53)))"),"")</f>
        <v/>
      </c>
      <c r="K53" s="67"/>
      <c r="L53" s="12"/>
      <c r="M53" s="67"/>
      <c r="N53" s="67"/>
      <c r="O53" s="67"/>
      <c r="P53" s="67"/>
      <c r="Q53" s="27"/>
      <c r="R53" s="12"/>
      <c r="S53" s="39"/>
      <c r="T53" s="67"/>
      <c r="U53" s="39" t="str">
        <f>IFERROR(__xludf.DUMMYFUNCTION("IF(T53="""",,SUM(FILTER(S$16:S111, R$16:R111=T53)))"),"")</f>
        <v/>
      </c>
      <c r="V53" s="12"/>
      <c r="W53" s="12"/>
      <c r="X53" s="12"/>
      <c r="Y53" s="12"/>
      <c r="Z53" s="12"/>
      <c r="AA53" s="12"/>
      <c r="AB53" s="12"/>
      <c r="AC53" s="12"/>
      <c r="AD53" s="12"/>
      <c r="AE53" s="12"/>
      <c r="AF53" s="12"/>
      <c r="AG53" s="12"/>
      <c r="AH53" s="12"/>
    </row>
    <row r="54">
      <c r="A54" s="2"/>
      <c r="B54" s="70"/>
      <c r="C54" s="69"/>
      <c r="D54" s="69"/>
      <c r="E54" s="68" t="s">
        <v>59</v>
      </c>
      <c r="F54" s="2"/>
      <c r="G54" s="66"/>
      <c r="H54" s="39" t="str">
        <f>IFERROR(__xludf.DUMMYFUNCTION("""COMPUTED_VALUE"""),"")</f>
        <v/>
      </c>
      <c r="I54" s="12"/>
      <c r="J54" s="39" t="str">
        <f>IFERROR(__xludf.DUMMYFUNCTION("IF(I54="""",,SUM(FILTER(H$16:H111, G$16:G111=I54)))"),"")</f>
        <v/>
      </c>
      <c r="K54" s="67"/>
      <c r="L54" s="12"/>
      <c r="M54" s="67"/>
      <c r="N54" s="67"/>
      <c r="O54" s="67"/>
      <c r="P54" s="67"/>
      <c r="Q54" s="27"/>
      <c r="R54" s="12"/>
      <c r="S54" s="39"/>
      <c r="T54" s="67"/>
      <c r="U54" s="39" t="str">
        <f>IFERROR(__xludf.DUMMYFUNCTION("IF(T54="""",,SUM(FILTER(S$16:S111, R$16:R111=T54)))"),"")</f>
        <v/>
      </c>
      <c r="V54" s="12"/>
      <c r="W54" s="12"/>
      <c r="X54" s="12"/>
      <c r="Y54" s="12"/>
      <c r="Z54" s="12"/>
      <c r="AA54" s="12"/>
      <c r="AB54" s="12"/>
      <c r="AC54" s="12"/>
      <c r="AD54" s="12"/>
      <c r="AE54" s="12"/>
      <c r="AF54" s="12"/>
      <c r="AG54" s="12"/>
      <c r="AH54" s="12"/>
    </row>
    <row r="55">
      <c r="A55" s="2"/>
      <c r="B55" s="70"/>
      <c r="C55" s="69"/>
      <c r="D55" s="69"/>
      <c r="E55" s="68" t="s">
        <v>59</v>
      </c>
      <c r="F55" s="2"/>
      <c r="G55" s="66"/>
      <c r="H55" s="39" t="str">
        <f>IFERROR(__xludf.DUMMYFUNCTION("""COMPUTED_VALUE"""),"")</f>
        <v/>
      </c>
      <c r="I55" s="12"/>
      <c r="J55" s="39" t="str">
        <f>IFERROR(__xludf.DUMMYFUNCTION("IF(I55="""",,SUM(FILTER(H$16:H111, G$16:G111=I55)))"),"")</f>
        <v/>
      </c>
      <c r="K55" s="67"/>
      <c r="L55" s="12"/>
      <c r="M55" s="67"/>
      <c r="N55" s="67"/>
      <c r="O55" s="67"/>
      <c r="P55" s="67"/>
      <c r="Q55" s="27"/>
      <c r="R55" s="12"/>
      <c r="S55" s="39"/>
      <c r="T55" s="67"/>
      <c r="U55" s="39" t="str">
        <f>IFERROR(__xludf.DUMMYFUNCTION("IF(T55="""",,SUM(FILTER(S$16:S111, R$16:R111=T55)))"),"")</f>
        <v/>
      </c>
      <c r="V55" s="12"/>
      <c r="W55" s="12"/>
      <c r="X55" s="12"/>
      <c r="Y55" s="12"/>
      <c r="Z55" s="12"/>
      <c r="AA55" s="12"/>
      <c r="AB55" s="12"/>
      <c r="AC55" s="12"/>
      <c r="AD55" s="12"/>
      <c r="AE55" s="12"/>
      <c r="AF55" s="12"/>
      <c r="AG55" s="12"/>
      <c r="AH55" s="12"/>
    </row>
    <row r="56">
      <c r="A56" s="2"/>
      <c r="B56" s="70"/>
      <c r="C56" s="69"/>
      <c r="D56" s="69"/>
      <c r="E56" s="68" t="s">
        <v>59</v>
      </c>
      <c r="F56" s="2"/>
      <c r="G56" s="66"/>
      <c r="H56" s="39" t="str">
        <f>IFERROR(__xludf.DUMMYFUNCTION("""COMPUTED_VALUE"""),"")</f>
        <v/>
      </c>
      <c r="I56" s="12"/>
      <c r="J56" s="39" t="str">
        <f>IFERROR(__xludf.DUMMYFUNCTION("IF(I56="""",,SUM(FILTER(H$16:H111, G$16:G111=I56)))"),"")</f>
        <v/>
      </c>
      <c r="K56" s="67"/>
      <c r="L56" s="12"/>
      <c r="M56" s="67"/>
      <c r="N56" s="67"/>
      <c r="O56" s="67"/>
      <c r="P56" s="67"/>
      <c r="Q56" s="27"/>
      <c r="R56" s="12"/>
      <c r="S56" s="39"/>
      <c r="T56" s="67"/>
      <c r="U56" s="39" t="str">
        <f>IFERROR(__xludf.DUMMYFUNCTION("IF(T56="""",,SUM(FILTER(S$16:S111, R$16:R111=T56)))"),"")</f>
        <v/>
      </c>
      <c r="V56" s="12"/>
      <c r="W56" s="12"/>
      <c r="X56" s="12"/>
      <c r="Y56" s="12"/>
      <c r="Z56" s="12"/>
      <c r="AA56" s="12"/>
      <c r="AB56" s="12"/>
      <c r="AC56" s="12"/>
      <c r="AD56" s="12"/>
      <c r="AE56" s="12"/>
      <c r="AF56" s="12"/>
      <c r="AG56" s="12"/>
      <c r="AH56" s="12"/>
    </row>
    <row r="57">
      <c r="A57" s="2"/>
      <c r="B57" s="70"/>
      <c r="C57" s="69"/>
      <c r="D57" s="69"/>
      <c r="E57" s="68" t="s">
        <v>59</v>
      </c>
      <c r="F57" s="2"/>
      <c r="G57" s="66"/>
      <c r="H57" s="39" t="str">
        <f>IFERROR(__xludf.DUMMYFUNCTION("""COMPUTED_VALUE"""),"")</f>
        <v/>
      </c>
      <c r="I57" s="12"/>
      <c r="J57" s="39" t="str">
        <f>IFERROR(__xludf.DUMMYFUNCTION("IF(I57="""",,SUM(FILTER(H$16:H111, G$16:G111=I57)))"),"")</f>
        <v/>
      </c>
      <c r="K57" s="67"/>
      <c r="L57" s="12"/>
      <c r="M57" s="67"/>
      <c r="N57" s="67"/>
      <c r="O57" s="67"/>
      <c r="P57" s="67"/>
      <c r="Q57" s="27"/>
      <c r="R57" s="12"/>
      <c r="S57" s="39"/>
      <c r="T57" s="67"/>
      <c r="U57" s="39" t="str">
        <f>IFERROR(__xludf.DUMMYFUNCTION("IF(T57="""",,SUM(FILTER(S$16:S111, R$16:R111=T57)))"),"")</f>
        <v/>
      </c>
      <c r="V57" s="12"/>
      <c r="W57" s="12"/>
      <c r="X57" s="12"/>
      <c r="Y57" s="12"/>
      <c r="Z57" s="12"/>
      <c r="AA57" s="12"/>
      <c r="AB57" s="12"/>
      <c r="AC57" s="12"/>
      <c r="AD57" s="12"/>
      <c r="AE57" s="12"/>
      <c r="AF57" s="12"/>
      <c r="AG57" s="12"/>
      <c r="AH57" s="12"/>
    </row>
    <row r="58">
      <c r="A58" s="2"/>
      <c r="B58" s="70"/>
      <c r="C58" s="69"/>
      <c r="D58" s="69"/>
      <c r="E58" s="68" t="s">
        <v>59</v>
      </c>
      <c r="F58" s="2"/>
      <c r="G58" s="66"/>
      <c r="H58" s="39" t="str">
        <f>IFERROR(__xludf.DUMMYFUNCTION("""COMPUTED_VALUE"""),"")</f>
        <v/>
      </c>
      <c r="I58" s="12"/>
      <c r="J58" s="39" t="str">
        <f>IFERROR(__xludf.DUMMYFUNCTION("IF(I58="""",,SUM(FILTER(H$16:H111, G$16:G111=I58)))"),"")</f>
        <v/>
      </c>
      <c r="K58" s="67"/>
      <c r="L58" s="12"/>
      <c r="M58" s="67"/>
      <c r="N58" s="67"/>
      <c r="O58" s="67"/>
      <c r="P58" s="67"/>
      <c r="Q58" s="27"/>
      <c r="R58" s="12"/>
      <c r="S58" s="39"/>
      <c r="T58" s="67"/>
      <c r="U58" s="39" t="str">
        <f>IFERROR(__xludf.DUMMYFUNCTION("IF(T58="""",,SUM(FILTER(S$16:S111, R$16:R111=T58)))"),"")</f>
        <v/>
      </c>
      <c r="V58" s="12"/>
      <c r="W58" s="12"/>
      <c r="X58" s="12"/>
      <c r="Y58" s="12"/>
      <c r="Z58" s="12"/>
      <c r="AA58" s="12"/>
      <c r="AB58" s="12"/>
      <c r="AC58" s="12"/>
      <c r="AD58" s="12"/>
      <c r="AE58" s="12"/>
      <c r="AF58" s="12"/>
      <c r="AG58" s="12"/>
      <c r="AH58" s="12"/>
    </row>
    <row r="59">
      <c r="A59" s="2"/>
      <c r="B59" s="70"/>
      <c r="C59" s="69"/>
      <c r="D59" s="69"/>
      <c r="E59" s="68" t="s">
        <v>59</v>
      </c>
      <c r="F59" s="2"/>
      <c r="G59" s="66"/>
      <c r="H59" s="39" t="str">
        <f>IFERROR(__xludf.DUMMYFUNCTION("""COMPUTED_VALUE"""),"")</f>
        <v/>
      </c>
      <c r="I59" s="12"/>
      <c r="J59" s="39" t="str">
        <f>IFERROR(__xludf.DUMMYFUNCTION("IF(I59="""",,SUM(FILTER(H$16:H111, G$16:G111=I59)))"),"")</f>
        <v/>
      </c>
      <c r="K59" s="67"/>
      <c r="L59" s="12"/>
      <c r="M59" s="67"/>
      <c r="N59" s="67"/>
      <c r="O59" s="67"/>
      <c r="P59" s="67"/>
      <c r="Q59" s="27"/>
      <c r="R59" s="12"/>
      <c r="S59" s="39"/>
      <c r="T59" s="67"/>
      <c r="U59" s="39" t="str">
        <f>IFERROR(__xludf.DUMMYFUNCTION("IF(T59="""",,SUM(FILTER(S$16:S111, R$16:R111=T59)))"),"")</f>
        <v/>
      </c>
      <c r="V59" s="12"/>
      <c r="W59" s="12"/>
      <c r="X59" s="12"/>
      <c r="Y59" s="12"/>
      <c r="Z59" s="12"/>
      <c r="AA59" s="12"/>
      <c r="AB59" s="12"/>
      <c r="AC59" s="12"/>
      <c r="AD59" s="12"/>
      <c r="AE59" s="12"/>
      <c r="AF59" s="12"/>
      <c r="AG59" s="12"/>
      <c r="AH59" s="12"/>
    </row>
    <row r="60">
      <c r="A60" s="2"/>
      <c r="B60" s="70"/>
      <c r="C60" s="69"/>
      <c r="D60" s="69"/>
      <c r="E60" s="68" t="s">
        <v>59</v>
      </c>
      <c r="F60" s="2"/>
      <c r="G60" s="66"/>
      <c r="H60" s="39" t="str">
        <f>IFERROR(__xludf.DUMMYFUNCTION("""COMPUTED_VALUE"""),"")</f>
        <v/>
      </c>
      <c r="I60" s="12"/>
      <c r="J60" s="39" t="str">
        <f>IFERROR(__xludf.DUMMYFUNCTION("IF(I60="""",,SUM(FILTER(H$16:H111, G$16:G111=I60)))"),"")</f>
        <v/>
      </c>
      <c r="K60" s="67"/>
      <c r="L60" s="12"/>
      <c r="M60" s="67"/>
      <c r="N60" s="67"/>
      <c r="O60" s="67"/>
      <c r="P60" s="67"/>
      <c r="Q60" s="27"/>
      <c r="R60" s="12"/>
      <c r="S60" s="39"/>
      <c r="T60" s="67"/>
      <c r="U60" s="39" t="str">
        <f>IFERROR(__xludf.DUMMYFUNCTION("IF(T60="""",,SUM(FILTER(S$16:S111, R$16:R111=T60)))"),"")</f>
        <v/>
      </c>
      <c r="V60" s="12"/>
      <c r="W60" s="12"/>
      <c r="X60" s="12"/>
      <c r="Y60" s="12"/>
      <c r="Z60" s="12"/>
      <c r="AA60" s="12"/>
      <c r="AB60" s="12"/>
      <c r="AC60" s="12"/>
      <c r="AD60" s="12"/>
      <c r="AE60" s="12"/>
      <c r="AF60" s="12"/>
      <c r="AG60" s="12"/>
      <c r="AH60" s="12"/>
    </row>
    <row r="61">
      <c r="A61" s="2"/>
      <c r="B61" s="70"/>
      <c r="C61" s="69"/>
      <c r="D61" s="69"/>
      <c r="E61" s="68" t="s">
        <v>59</v>
      </c>
      <c r="F61" s="2"/>
      <c r="G61" s="66"/>
      <c r="H61" s="39" t="str">
        <f>IFERROR(__xludf.DUMMYFUNCTION("""COMPUTED_VALUE"""),"")</f>
        <v/>
      </c>
      <c r="I61" s="12"/>
      <c r="J61" s="39" t="str">
        <f>IFERROR(__xludf.DUMMYFUNCTION("IF(I61="""",,SUM(FILTER(H$16:H111, G$16:G111=I61)))"),"")</f>
        <v/>
      </c>
      <c r="K61" s="67"/>
      <c r="L61" s="12"/>
      <c r="M61" s="67"/>
      <c r="N61" s="67"/>
      <c r="O61" s="67"/>
      <c r="P61" s="67"/>
      <c r="Q61" s="27"/>
      <c r="R61" s="12"/>
      <c r="S61" s="39"/>
      <c r="T61" s="67"/>
      <c r="U61" s="39" t="str">
        <f>IFERROR(__xludf.DUMMYFUNCTION("IF(T61="""",,SUM(FILTER(S$16:S111, R$16:R111=T61)))"),"")</f>
        <v/>
      </c>
      <c r="V61" s="12"/>
      <c r="W61" s="12"/>
      <c r="X61" s="12"/>
      <c r="Y61" s="12"/>
      <c r="Z61" s="12"/>
      <c r="AA61" s="12"/>
      <c r="AB61" s="12"/>
      <c r="AC61" s="12"/>
      <c r="AD61" s="12"/>
      <c r="AE61" s="12"/>
      <c r="AF61" s="12"/>
      <c r="AG61" s="12"/>
      <c r="AH61" s="12"/>
    </row>
    <row r="62">
      <c r="A62" s="2"/>
      <c r="B62" s="70"/>
      <c r="C62" s="69"/>
      <c r="D62" s="69"/>
      <c r="E62" s="68" t="s">
        <v>59</v>
      </c>
      <c r="F62" s="2"/>
      <c r="G62" s="66"/>
      <c r="H62" s="39" t="str">
        <f>IFERROR(__xludf.DUMMYFUNCTION("""COMPUTED_VALUE"""),"")</f>
        <v/>
      </c>
      <c r="I62" s="12"/>
      <c r="J62" s="39" t="str">
        <f>IFERROR(__xludf.DUMMYFUNCTION("IF(I62="""",,SUM(FILTER(H$16:H111, G$16:G111=I62)))"),"")</f>
        <v/>
      </c>
      <c r="K62" s="67"/>
      <c r="L62" s="12"/>
      <c r="M62" s="67"/>
      <c r="N62" s="67"/>
      <c r="O62" s="67"/>
      <c r="P62" s="67"/>
      <c r="Q62" s="27"/>
      <c r="R62" s="12"/>
      <c r="S62" s="39"/>
      <c r="T62" s="67"/>
      <c r="U62" s="39" t="str">
        <f>IFERROR(__xludf.DUMMYFUNCTION("IF(T62="""",,SUM(FILTER(S$16:S111, R$16:R111=T62)))"),"")</f>
        <v/>
      </c>
      <c r="V62" s="12"/>
      <c r="W62" s="12"/>
      <c r="X62" s="12"/>
      <c r="Y62" s="12"/>
      <c r="Z62" s="12"/>
      <c r="AA62" s="12"/>
      <c r="AB62" s="12"/>
      <c r="AC62" s="12"/>
      <c r="AD62" s="12"/>
      <c r="AE62" s="12"/>
      <c r="AF62" s="12"/>
      <c r="AG62" s="12"/>
      <c r="AH62" s="12"/>
    </row>
    <row r="63">
      <c r="A63" s="2"/>
      <c r="B63" s="70"/>
      <c r="C63" s="69"/>
      <c r="D63" s="69"/>
      <c r="E63" s="68" t="s">
        <v>59</v>
      </c>
      <c r="F63" s="2"/>
      <c r="G63" s="66"/>
      <c r="H63" s="39" t="str">
        <f>IFERROR(__xludf.DUMMYFUNCTION("""COMPUTED_VALUE"""),"")</f>
        <v/>
      </c>
      <c r="I63" s="12"/>
      <c r="J63" s="39" t="str">
        <f>IFERROR(__xludf.DUMMYFUNCTION("IF(I63="""",,SUM(FILTER(H$16:H111, G$16:G111=I63)))"),"")</f>
        <v/>
      </c>
      <c r="K63" s="67"/>
      <c r="L63" s="12"/>
      <c r="M63" s="67"/>
      <c r="N63" s="67"/>
      <c r="O63" s="67"/>
      <c r="P63" s="67"/>
      <c r="Q63" s="27"/>
      <c r="R63" s="12"/>
      <c r="S63" s="39"/>
      <c r="T63" s="67"/>
      <c r="U63" s="39" t="str">
        <f>IFERROR(__xludf.DUMMYFUNCTION("IF(T63="""",,SUM(FILTER(S$16:S111, R$16:R111=T63)))"),"")</f>
        <v/>
      </c>
      <c r="V63" s="12"/>
      <c r="W63" s="12"/>
      <c r="X63" s="12"/>
      <c r="Y63" s="12"/>
      <c r="Z63" s="12"/>
      <c r="AA63" s="12"/>
      <c r="AB63" s="12"/>
      <c r="AC63" s="12"/>
      <c r="AD63" s="12"/>
      <c r="AE63" s="12"/>
      <c r="AF63" s="12"/>
      <c r="AG63" s="12"/>
      <c r="AH63" s="12"/>
    </row>
    <row r="64">
      <c r="A64" s="2"/>
      <c r="B64" s="70"/>
      <c r="C64" s="69"/>
      <c r="D64" s="69"/>
      <c r="E64" s="68" t="s">
        <v>59</v>
      </c>
      <c r="F64" s="2"/>
      <c r="G64" s="66"/>
      <c r="H64" s="39" t="str">
        <f>IFERROR(__xludf.DUMMYFUNCTION("""COMPUTED_VALUE"""),"")</f>
        <v/>
      </c>
      <c r="I64" s="12"/>
      <c r="J64" s="39" t="str">
        <f>IFERROR(__xludf.DUMMYFUNCTION("IF(I64="""",,SUM(FILTER(H$16:H111, G$16:G111=I64)))"),"")</f>
        <v/>
      </c>
      <c r="K64" s="67"/>
      <c r="L64" s="12"/>
      <c r="M64" s="67"/>
      <c r="N64" s="67"/>
      <c r="O64" s="67"/>
      <c r="P64" s="67"/>
      <c r="Q64" s="27"/>
      <c r="R64" s="12"/>
      <c r="S64" s="39"/>
      <c r="T64" s="67"/>
      <c r="U64" s="39" t="str">
        <f>IFERROR(__xludf.DUMMYFUNCTION("IF(T64="""",,SUM(FILTER(S$16:S111, R$16:R111=T64)))"),"")</f>
        <v/>
      </c>
      <c r="V64" s="12"/>
      <c r="W64" s="12"/>
      <c r="X64" s="12"/>
      <c r="Y64" s="12"/>
      <c r="Z64" s="12"/>
      <c r="AA64" s="12"/>
      <c r="AB64" s="12"/>
      <c r="AC64" s="12"/>
      <c r="AD64" s="12"/>
      <c r="AE64" s="12"/>
      <c r="AF64" s="12"/>
      <c r="AG64" s="12"/>
      <c r="AH64" s="12"/>
    </row>
    <row r="65">
      <c r="A65" s="2"/>
      <c r="B65" s="70"/>
      <c r="C65" s="69"/>
      <c r="D65" s="69"/>
      <c r="E65" s="68" t="s">
        <v>59</v>
      </c>
      <c r="F65" s="2"/>
      <c r="G65" s="66"/>
      <c r="H65" s="39" t="str">
        <f>IFERROR(__xludf.DUMMYFUNCTION("""COMPUTED_VALUE"""),"")</f>
        <v/>
      </c>
      <c r="I65" s="12"/>
      <c r="J65" s="39" t="str">
        <f>IFERROR(__xludf.DUMMYFUNCTION("IF(I65="""",,SUM(FILTER(H$16:H111, G$16:G111=I65)))"),"")</f>
        <v/>
      </c>
      <c r="K65" s="67"/>
      <c r="L65" s="12"/>
      <c r="M65" s="67"/>
      <c r="N65" s="67"/>
      <c r="O65" s="67"/>
      <c r="P65" s="67"/>
      <c r="Q65" s="27"/>
      <c r="R65" s="12"/>
      <c r="S65" s="39"/>
      <c r="T65" s="67"/>
      <c r="U65" s="39" t="str">
        <f>IFERROR(__xludf.DUMMYFUNCTION("IF(T65="""",,SUM(FILTER(S$16:S111, R$16:R111=T65)))"),"")</f>
        <v/>
      </c>
      <c r="V65" s="12"/>
      <c r="W65" s="12"/>
      <c r="X65" s="12"/>
      <c r="Y65" s="12"/>
      <c r="Z65" s="12"/>
      <c r="AA65" s="12"/>
      <c r="AB65" s="12"/>
      <c r="AC65" s="12"/>
      <c r="AD65" s="12"/>
      <c r="AE65" s="12"/>
      <c r="AF65" s="12"/>
      <c r="AG65" s="12"/>
      <c r="AH65" s="12"/>
    </row>
    <row r="66">
      <c r="A66" s="2"/>
      <c r="B66" s="70"/>
      <c r="C66" s="69"/>
      <c r="D66" s="69"/>
      <c r="E66" s="68" t="s">
        <v>59</v>
      </c>
      <c r="F66" s="2"/>
      <c r="G66" s="66"/>
      <c r="H66" s="39" t="str">
        <f>IFERROR(__xludf.DUMMYFUNCTION("""COMPUTED_VALUE"""),"")</f>
        <v/>
      </c>
      <c r="I66" s="12"/>
      <c r="J66" s="39" t="str">
        <f>IFERROR(__xludf.DUMMYFUNCTION("IF(I66="""",,SUM(FILTER(H$16:H111, G$16:G111=I66)))"),"")</f>
        <v/>
      </c>
      <c r="K66" s="67"/>
      <c r="L66" s="12"/>
      <c r="M66" s="67"/>
      <c r="N66" s="67"/>
      <c r="O66" s="67"/>
      <c r="P66" s="67"/>
      <c r="Q66" s="27"/>
      <c r="R66" s="12"/>
      <c r="S66" s="39"/>
      <c r="T66" s="67"/>
      <c r="U66" s="39" t="str">
        <f>IFERROR(__xludf.DUMMYFUNCTION("IF(T66="""",,SUM(FILTER(S$16:S111, R$16:R111=T66)))"),"")</f>
        <v/>
      </c>
      <c r="V66" s="12"/>
      <c r="W66" s="12"/>
      <c r="X66" s="12"/>
      <c r="Y66" s="12"/>
      <c r="Z66" s="12"/>
      <c r="AA66" s="12"/>
      <c r="AB66" s="12"/>
      <c r="AC66" s="12"/>
      <c r="AD66" s="12"/>
      <c r="AE66" s="12"/>
      <c r="AF66" s="12"/>
      <c r="AG66" s="12"/>
      <c r="AH66" s="12"/>
    </row>
    <row r="67">
      <c r="A67" s="2"/>
      <c r="B67" s="70"/>
      <c r="C67" s="69"/>
      <c r="D67" s="69"/>
      <c r="E67" s="68" t="s">
        <v>59</v>
      </c>
      <c r="F67" s="2"/>
      <c r="G67" s="66"/>
      <c r="H67" s="39" t="str">
        <f>IFERROR(__xludf.DUMMYFUNCTION("""COMPUTED_VALUE"""),"")</f>
        <v/>
      </c>
      <c r="I67" s="12"/>
      <c r="J67" s="39" t="str">
        <f>IFERROR(__xludf.DUMMYFUNCTION("IF(I67="""",,SUM(FILTER(H$16:H111, G$16:G111=I67)))"),"")</f>
        <v/>
      </c>
      <c r="K67" s="67"/>
      <c r="L67" s="12"/>
      <c r="M67" s="67"/>
      <c r="N67" s="67"/>
      <c r="O67" s="67"/>
      <c r="P67" s="67"/>
      <c r="Q67" s="27"/>
      <c r="R67" s="12"/>
      <c r="S67" s="39"/>
      <c r="T67" s="67"/>
      <c r="U67" s="39" t="str">
        <f>IFERROR(__xludf.DUMMYFUNCTION("IF(T67="""",,SUM(FILTER(S$16:S111, R$16:R111=T67)))"),"")</f>
        <v/>
      </c>
      <c r="V67" s="12"/>
      <c r="W67" s="12"/>
      <c r="X67" s="12"/>
      <c r="Y67" s="12"/>
      <c r="Z67" s="12"/>
      <c r="AA67" s="12"/>
      <c r="AB67" s="12"/>
      <c r="AC67" s="12"/>
      <c r="AD67" s="12"/>
      <c r="AE67" s="12"/>
      <c r="AF67" s="12"/>
      <c r="AG67" s="12"/>
      <c r="AH67" s="12"/>
    </row>
    <row r="68">
      <c r="A68" s="2"/>
      <c r="B68" s="70"/>
      <c r="C68" s="69"/>
      <c r="D68" s="69"/>
      <c r="E68" s="68" t="s">
        <v>59</v>
      </c>
      <c r="F68" s="2"/>
      <c r="G68" s="66"/>
      <c r="H68" s="39" t="str">
        <f>IFERROR(__xludf.DUMMYFUNCTION("""COMPUTED_VALUE"""),"")</f>
        <v/>
      </c>
      <c r="I68" s="12"/>
      <c r="J68" s="39" t="str">
        <f>IFERROR(__xludf.DUMMYFUNCTION("IF(I68="""",,SUM(FILTER(H$16:H111, G$16:G111=I68)))"),"")</f>
        <v/>
      </c>
      <c r="K68" s="67"/>
      <c r="L68" s="12"/>
      <c r="M68" s="67"/>
      <c r="N68" s="67"/>
      <c r="O68" s="67"/>
      <c r="P68" s="67"/>
      <c r="Q68" s="27"/>
      <c r="R68" s="12"/>
      <c r="S68" s="39"/>
      <c r="T68" s="67"/>
      <c r="U68" s="39" t="str">
        <f>IFERROR(__xludf.DUMMYFUNCTION("IF(T68="""",,SUM(FILTER(S$16:S111, R$16:R111=T68)))"),"")</f>
        <v/>
      </c>
      <c r="V68" s="12"/>
      <c r="W68" s="12"/>
      <c r="X68" s="12"/>
      <c r="Y68" s="12"/>
      <c r="Z68" s="12"/>
      <c r="AA68" s="12"/>
      <c r="AB68" s="12"/>
      <c r="AC68" s="12"/>
      <c r="AD68" s="12"/>
      <c r="AE68" s="12"/>
      <c r="AF68" s="12"/>
      <c r="AG68" s="12"/>
      <c r="AH68" s="12"/>
    </row>
    <row r="69">
      <c r="A69" s="2"/>
      <c r="B69" s="70"/>
      <c r="C69" s="69"/>
      <c r="D69" s="69"/>
      <c r="E69" s="68" t="s">
        <v>59</v>
      </c>
      <c r="F69" s="2"/>
      <c r="G69" s="66"/>
      <c r="H69" s="39" t="str">
        <f>IFERROR(__xludf.DUMMYFUNCTION("""COMPUTED_VALUE"""),"")</f>
        <v/>
      </c>
      <c r="I69" s="12"/>
      <c r="J69" s="39" t="str">
        <f>IFERROR(__xludf.DUMMYFUNCTION("IF(I69="""",,SUM(FILTER(H$16:H111, G$16:G111=I69)))"),"")</f>
        <v/>
      </c>
      <c r="K69" s="67"/>
      <c r="L69" s="12"/>
      <c r="M69" s="67"/>
      <c r="N69" s="67"/>
      <c r="O69" s="67"/>
      <c r="P69" s="67"/>
      <c r="Q69" s="27"/>
      <c r="R69" s="12"/>
      <c r="S69" s="39"/>
      <c r="T69" s="67"/>
      <c r="U69" s="39" t="str">
        <f>IFERROR(__xludf.DUMMYFUNCTION("IF(T69="""",,SUM(FILTER(S$16:S111, R$16:R111=T69)))"),"")</f>
        <v/>
      </c>
      <c r="V69" s="12"/>
      <c r="W69" s="12"/>
      <c r="X69" s="12"/>
      <c r="Y69" s="12"/>
      <c r="Z69" s="12"/>
      <c r="AA69" s="12"/>
      <c r="AB69" s="12"/>
      <c r="AC69" s="12"/>
      <c r="AD69" s="12"/>
      <c r="AE69" s="12"/>
      <c r="AF69" s="12"/>
      <c r="AG69" s="12"/>
      <c r="AH69" s="12"/>
    </row>
    <row r="70">
      <c r="A70" s="2"/>
      <c r="B70" s="70"/>
      <c r="C70" s="69"/>
      <c r="D70" s="69"/>
      <c r="E70" s="68" t="s">
        <v>59</v>
      </c>
      <c r="F70" s="2"/>
      <c r="G70" s="66"/>
      <c r="H70" s="39" t="str">
        <f>IFERROR(__xludf.DUMMYFUNCTION("""COMPUTED_VALUE"""),"")</f>
        <v/>
      </c>
      <c r="I70" s="12"/>
      <c r="J70" s="39" t="str">
        <f>IFERROR(__xludf.DUMMYFUNCTION("IF(I70="""",,SUM(FILTER(H$16:H111, G$16:G111=I70)))"),"")</f>
        <v/>
      </c>
      <c r="K70" s="67"/>
      <c r="L70" s="12"/>
      <c r="M70" s="67"/>
      <c r="N70" s="67"/>
      <c r="O70" s="67"/>
      <c r="P70" s="67"/>
      <c r="Q70" s="27"/>
      <c r="R70" s="12"/>
      <c r="S70" s="39"/>
      <c r="T70" s="67"/>
      <c r="U70" s="39" t="str">
        <f>IFERROR(__xludf.DUMMYFUNCTION("IF(T70="""",,SUM(FILTER(S$16:S111, R$16:R111=T70)))"),"")</f>
        <v/>
      </c>
      <c r="V70" s="12"/>
      <c r="W70" s="12"/>
      <c r="X70" s="12"/>
      <c r="Y70" s="12"/>
      <c r="Z70" s="12"/>
      <c r="AA70" s="12"/>
      <c r="AB70" s="12"/>
      <c r="AC70" s="12"/>
      <c r="AD70" s="12"/>
      <c r="AE70" s="12"/>
      <c r="AF70" s="12"/>
      <c r="AG70" s="12"/>
      <c r="AH70" s="12"/>
    </row>
    <row r="71">
      <c r="A71" s="2"/>
      <c r="B71" s="70"/>
      <c r="C71" s="69"/>
      <c r="D71" s="69"/>
      <c r="E71" s="68" t="s">
        <v>59</v>
      </c>
      <c r="F71" s="2"/>
      <c r="G71" s="66"/>
      <c r="H71" s="39" t="str">
        <f>IFERROR(__xludf.DUMMYFUNCTION("""COMPUTED_VALUE"""),"")</f>
        <v/>
      </c>
      <c r="I71" s="12"/>
      <c r="J71" s="39" t="str">
        <f>IFERROR(__xludf.DUMMYFUNCTION("IF(I71="""",,SUM(FILTER(H$16:H111, G$16:G111=I71)))"),"")</f>
        <v/>
      </c>
      <c r="K71" s="67"/>
      <c r="L71" s="12"/>
      <c r="M71" s="67"/>
      <c r="N71" s="67"/>
      <c r="O71" s="67"/>
      <c r="P71" s="67"/>
      <c r="Q71" s="27"/>
      <c r="R71" s="12"/>
      <c r="S71" s="39"/>
      <c r="T71" s="67"/>
      <c r="U71" s="39" t="str">
        <f>IFERROR(__xludf.DUMMYFUNCTION("IF(T71="""",,SUM(FILTER(S$16:S111, R$16:R111=T71)))"),"")</f>
        <v/>
      </c>
      <c r="V71" s="12"/>
      <c r="W71" s="12"/>
      <c r="X71" s="12"/>
      <c r="Y71" s="12"/>
      <c r="Z71" s="12"/>
      <c r="AA71" s="12"/>
      <c r="AB71" s="12"/>
      <c r="AC71" s="12"/>
      <c r="AD71" s="12"/>
      <c r="AE71" s="12"/>
      <c r="AF71" s="12"/>
      <c r="AG71" s="12"/>
      <c r="AH71" s="12"/>
    </row>
    <row r="72">
      <c r="A72" s="2"/>
      <c r="B72" s="70"/>
      <c r="C72" s="69"/>
      <c r="D72" s="69"/>
      <c r="E72" s="68" t="s">
        <v>59</v>
      </c>
      <c r="F72" s="2"/>
      <c r="G72" s="66"/>
      <c r="H72" s="39" t="str">
        <f>IFERROR(__xludf.DUMMYFUNCTION("""COMPUTED_VALUE"""),"")</f>
        <v/>
      </c>
      <c r="I72" s="12"/>
      <c r="J72" s="39" t="str">
        <f>IFERROR(__xludf.DUMMYFUNCTION("IF(I72="""",,SUM(FILTER(H$16:H111, G$16:G111=I72)))"),"")</f>
        <v/>
      </c>
      <c r="K72" s="67"/>
      <c r="L72" s="12"/>
      <c r="M72" s="67"/>
      <c r="N72" s="67"/>
      <c r="O72" s="67"/>
      <c r="P72" s="67"/>
      <c r="Q72" s="27"/>
      <c r="R72" s="12"/>
      <c r="S72" s="39"/>
      <c r="T72" s="67"/>
      <c r="U72" s="39" t="str">
        <f>IFERROR(__xludf.DUMMYFUNCTION("IF(T72="""",,SUM(FILTER(S$16:S111, R$16:R111=T72)))"),"")</f>
        <v/>
      </c>
      <c r="V72" s="12"/>
      <c r="W72" s="12"/>
      <c r="X72" s="12"/>
      <c r="Y72" s="12"/>
      <c r="Z72" s="12"/>
      <c r="AA72" s="12"/>
      <c r="AB72" s="12"/>
      <c r="AC72" s="12"/>
      <c r="AD72" s="12"/>
      <c r="AE72" s="12"/>
      <c r="AF72" s="12"/>
      <c r="AG72" s="12"/>
      <c r="AH72" s="12"/>
    </row>
    <row r="73">
      <c r="A73" s="2"/>
      <c r="B73" s="70"/>
      <c r="C73" s="69"/>
      <c r="D73" s="69"/>
      <c r="E73" s="68" t="s">
        <v>59</v>
      </c>
      <c r="F73" s="2"/>
      <c r="G73" s="66"/>
      <c r="H73" s="39" t="str">
        <f>IFERROR(__xludf.DUMMYFUNCTION("""COMPUTED_VALUE"""),"")</f>
        <v/>
      </c>
      <c r="I73" s="12"/>
      <c r="J73" s="39" t="str">
        <f>IFERROR(__xludf.DUMMYFUNCTION("IF(I73="""",,SUM(FILTER(H$16:H111, G$16:G111=I73)))"),"")</f>
        <v/>
      </c>
      <c r="K73" s="67"/>
      <c r="L73" s="12"/>
      <c r="M73" s="67"/>
      <c r="N73" s="67"/>
      <c r="O73" s="67"/>
      <c r="P73" s="67"/>
      <c r="Q73" s="27"/>
      <c r="R73" s="12"/>
      <c r="S73" s="39"/>
      <c r="T73" s="67"/>
      <c r="U73" s="39" t="str">
        <f>IFERROR(__xludf.DUMMYFUNCTION("IF(T73="""",,SUM(FILTER(S$16:S111, R$16:R111=T73)))"),"")</f>
        <v/>
      </c>
      <c r="V73" s="12"/>
      <c r="W73" s="12"/>
      <c r="X73" s="12"/>
      <c r="Y73" s="12"/>
      <c r="Z73" s="12"/>
      <c r="AA73" s="12"/>
      <c r="AB73" s="12"/>
      <c r="AC73" s="12"/>
      <c r="AD73" s="12"/>
      <c r="AE73" s="12"/>
      <c r="AF73" s="12"/>
      <c r="AG73" s="12"/>
      <c r="AH73" s="12"/>
    </row>
    <row r="74">
      <c r="A74" s="2"/>
      <c r="B74" s="70"/>
      <c r="C74" s="69"/>
      <c r="D74" s="69"/>
      <c r="E74" s="68" t="s">
        <v>59</v>
      </c>
      <c r="F74" s="2"/>
      <c r="G74" s="66"/>
      <c r="H74" s="39" t="str">
        <f>IFERROR(__xludf.DUMMYFUNCTION("""COMPUTED_VALUE"""),"")</f>
        <v/>
      </c>
      <c r="I74" s="12"/>
      <c r="J74" s="39" t="str">
        <f>IFERROR(__xludf.DUMMYFUNCTION("IF(I74="""",,SUM(FILTER(H$16:H111, G$16:G111=I74)))"),"")</f>
        <v/>
      </c>
      <c r="K74" s="67"/>
      <c r="L74" s="12"/>
      <c r="M74" s="67"/>
      <c r="N74" s="67"/>
      <c r="O74" s="67"/>
      <c r="P74" s="67"/>
      <c r="Q74" s="27"/>
      <c r="R74" s="12"/>
      <c r="S74" s="39"/>
      <c r="T74" s="67"/>
      <c r="U74" s="39" t="str">
        <f>IFERROR(__xludf.DUMMYFUNCTION("IF(T74="""",,SUM(FILTER(S$16:S111, R$16:R111=T74)))"),"")</f>
        <v/>
      </c>
      <c r="V74" s="12"/>
      <c r="W74" s="12"/>
      <c r="X74" s="12"/>
      <c r="Y74" s="12"/>
      <c r="Z74" s="12"/>
      <c r="AA74" s="12"/>
      <c r="AB74" s="12"/>
      <c r="AC74" s="12"/>
      <c r="AD74" s="12"/>
      <c r="AE74" s="12"/>
      <c r="AF74" s="12"/>
      <c r="AG74" s="12"/>
      <c r="AH74" s="12"/>
    </row>
    <row r="75">
      <c r="A75" s="2"/>
      <c r="B75" s="70"/>
      <c r="C75" s="69"/>
      <c r="D75" s="69"/>
      <c r="E75" s="68" t="s">
        <v>59</v>
      </c>
      <c r="F75" s="2"/>
      <c r="G75" s="66"/>
      <c r="H75" s="39" t="str">
        <f>IFERROR(__xludf.DUMMYFUNCTION("""COMPUTED_VALUE"""),"")</f>
        <v/>
      </c>
      <c r="I75" s="12"/>
      <c r="J75" s="39" t="str">
        <f>IFERROR(__xludf.DUMMYFUNCTION("IF(I75="""",,SUM(FILTER(H$16:H111, G$16:G111=I75)))"),"")</f>
        <v/>
      </c>
      <c r="K75" s="67"/>
      <c r="L75" s="12"/>
      <c r="M75" s="67"/>
      <c r="N75" s="67"/>
      <c r="O75" s="67"/>
      <c r="P75" s="67"/>
      <c r="Q75" s="27"/>
      <c r="R75" s="12"/>
      <c r="S75" s="39"/>
      <c r="T75" s="67"/>
      <c r="U75" s="39" t="str">
        <f>IFERROR(__xludf.DUMMYFUNCTION("IF(T75="""",,SUM(FILTER(S$16:S111, R$16:R111=T75)))"),"")</f>
        <v/>
      </c>
      <c r="V75" s="12"/>
      <c r="W75" s="12"/>
      <c r="X75" s="12"/>
      <c r="Y75" s="12"/>
      <c r="Z75" s="12"/>
      <c r="AA75" s="12"/>
      <c r="AB75" s="12"/>
      <c r="AC75" s="12"/>
      <c r="AD75" s="12"/>
      <c r="AE75" s="12"/>
      <c r="AF75" s="12"/>
      <c r="AG75" s="12"/>
      <c r="AH75" s="12"/>
    </row>
    <row r="76">
      <c r="A76" s="2"/>
      <c r="B76" s="70"/>
      <c r="C76" s="69"/>
      <c r="D76" s="69"/>
      <c r="E76" s="68" t="s">
        <v>59</v>
      </c>
      <c r="F76" s="2"/>
      <c r="G76" s="66"/>
      <c r="H76" s="39" t="str">
        <f>IFERROR(__xludf.DUMMYFUNCTION("""COMPUTED_VALUE"""),"")</f>
        <v/>
      </c>
      <c r="I76" s="12"/>
      <c r="J76" s="39" t="str">
        <f>IFERROR(__xludf.DUMMYFUNCTION("IF(I76="""",,SUM(FILTER(H$16:H111, G$16:G111=I76)))"),"")</f>
        <v/>
      </c>
      <c r="K76" s="67"/>
      <c r="L76" s="12"/>
      <c r="M76" s="67"/>
      <c r="N76" s="67"/>
      <c r="O76" s="67"/>
      <c r="P76" s="67"/>
      <c r="Q76" s="27"/>
      <c r="R76" s="12"/>
      <c r="S76" s="39"/>
      <c r="T76" s="67"/>
      <c r="U76" s="39" t="str">
        <f>IFERROR(__xludf.DUMMYFUNCTION("IF(T76="""",,SUM(FILTER(S$16:S111, R$16:R111=T76)))"),"")</f>
        <v/>
      </c>
      <c r="V76" s="12"/>
      <c r="W76" s="12"/>
      <c r="X76" s="12"/>
      <c r="Y76" s="12"/>
      <c r="Z76" s="12"/>
      <c r="AA76" s="12"/>
      <c r="AB76" s="12"/>
      <c r="AC76" s="12"/>
      <c r="AD76" s="12"/>
      <c r="AE76" s="12"/>
      <c r="AF76" s="12"/>
      <c r="AG76" s="12"/>
      <c r="AH76" s="12"/>
    </row>
    <row r="77">
      <c r="A77" s="2"/>
      <c r="B77" s="70"/>
      <c r="C77" s="69"/>
      <c r="D77" s="69"/>
      <c r="E77" s="68" t="s">
        <v>59</v>
      </c>
      <c r="F77" s="2"/>
      <c r="G77" s="66"/>
      <c r="H77" s="39" t="str">
        <f>IFERROR(__xludf.DUMMYFUNCTION("""COMPUTED_VALUE"""),"")</f>
        <v/>
      </c>
      <c r="I77" s="12"/>
      <c r="J77" s="39" t="str">
        <f>IFERROR(__xludf.DUMMYFUNCTION("IF(I77="""",,SUM(FILTER(H$16:H111, G$16:G111=I77)))"),"")</f>
        <v/>
      </c>
      <c r="K77" s="67"/>
      <c r="L77" s="12"/>
      <c r="M77" s="67"/>
      <c r="N77" s="67"/>
      <c r="O77" s="67"/>
      <c r="P77" s="67"/>
      <c r="Q77" s="27"/>
      <c r="R77" s="12"/>
      <c r="S77" s="39"/>
      <c r="T77" s="67"/>
      <c r="U77" s="39" t="str">
        <f>IFERROR(__xludf.DUMMYFUNCTION("IF(T77="""",,SUM(FILTER(S$16:S111, R$16:R111=T77)))"),"")</f>
        <v/>
      </c>
      <c r="V77" s="12"/>
      <c r="W77" s="12"/>
      <c r="X77" s="12"/>
      <c r="Y77" s="12"/>
      <c r="Z77" s="12"/>
      <c r="AA77" s="12"/>
      <c r="AB77" s="12"/>
      <c r="AC77" s="12"/>
      <c r="AD77" s="12"/>
      <c r="AE77" s="12"/>
      <c r="AF77" s="12"/>
      <c r="AG77" s="12"/>
      <c r="AH77" s="12"/>
    </row>
    <row r="78">
      <c r="A78" s="2"/>
      <c r="B78" s="70"/>
      <c r="C78" s="69"/>
      <c r="D78" s="69"/>
      <c r="E78" s="68" t="s">
        <v>59</v>
      </c>
      <c r="F78" s="2"/>
      <c r="G78" s="66"/>
      <c r="H78" s="39" t="str">
        <f>IFERROR(__xludf.DUMMYFUNCTION("""COMPUTED_VALUE"""),"")</f>
        <v/>
      </c>
      <c r="I78" s="12"/>
      <c r="J78" s="39" t="str">
        <f>IFERROR(__xludf.DUMMYFUNCTION("IF(I78="""",,SUM(FILTER(H$16:H111, G$16:G111=I78)))"),"")</f>
        <v/>
      </c>
      <c r="K78" s="67"/>
      <c r="L78" s="12"/>
      <c r="M78" s="67"/>
      <c r="N78" s="67"/>
      <c r="O78" s="67"/>
      <c r="P78" s="67"/>
      <c r="Q78" s="27"/>
      <c r="R78" s="12"/>
      <c r="S78" s="39"/>
      <c r="T78" s="67"/>
      <c r="U78" s="39" t="str">
        <f>IFERROR(__xludf.DUMMYFUNCTION("IF(T78="""",,SUM(FILTER(S$16:S111, R$16:R111=T78)))"),"")</f>
        <v/>
      </c>
      <c r="V78" s="12"/>
      <c r="W78" s="12"/>
      <c r="X78" s="12"/>
      <c r="Y78" s="12"/>
      <c r="Z78" s="12"/>
      <c r="AA78" s="12"/>
      <c r="AB78" s="12"/>
      <c r="AC78" s="12"/>
      <c r="AD78" s="12"/>
      <c r="AE78" s="12"/>
      <c r="AF78" s="12"/>
      <c r="AG78" s="12"/>
      <c r="AH78" s="12"/>
    </row>
    <row r="79">
      <c r="A79" s="2"/>
      <c r="B79" s="70"/>
      <c r="C79" s="69"/>
      <c r="D79" s="69"/>
      <c r="E79" s="68" t="s">
        <v>59</v>
      </c>
      <c r="F79" s="2"/>
      <c r="G79" s="66"/>
      <c r="H79" s="39" t="str">
        <f>IFERROR(__xludf.DUMMYFUNCTION("""COMPUTED_VALUE"""),"")</f>
        <v/>
      </c>
      <c r="I79" s="12"/>
      <c r="J79" s="39" t="str">
        <f>IFERROR(__xludf.DUMMYFUNCTION("IF(I79="""",,SUM(FILTER(H$16:H111, G$16:G111=I79)))"),"")</f>
        <v/>
      </c>
      <c r="K79" s="67"/>
      <c r="L79" s="12"/>
      <c r="M79" s="67"/>
      <c r="N79" s="67"/>
      <c r="O79" s="67"/>
      <c r="P79" s="67"/>
      <c r="Q79" s="27"/>
      <c r="R79" s="12"/>
      <c r="S79" s="39"/>
      <c r="T79" s="67"/>
      <c r="U79" s="39" t="str">
        <f>IFERROR(__xludf.DUMMYFUNCTION("IF(T79="""",,SUM(FILTER(S$16:S111, R$16:R111=T79)))"),"")</f>
        <v/>
      </c>
      <c r="V79" s="12"/>
      <c r="W79" s="12"/>
      <c r="X79" s="12"/>
      <c r="Y79" s="12"/>
      <c r="Z79" s="12"/>
      <c r="AA79" s="12"/>
      <c r="AB79" s="12"/>
      <c r="AC79" s="12"/>
      <c r="AD79" s="12"/>
      <c r="AE79" s="12"/>
      <c r="AF79" s="12"/>
      <c r="AG79" s="12"/>
      <c r="AH79" s="12"/>
    </row>
    <row r="80">
      <c r="A80" s="2"/>
      <c r="B80" s="70"/>
      <c r="C80" s="69"/>
      <c r="D80" s="69"/>
      <c r="E80" s="68" t="s">
        <v>59</v>
      </c>
      <c r="F80" s="2"/>
      <c r="G80" s="66"/>
      <c r="H80" s="39" t="str">
        <f>IFERROR(__xludf.DUMMYFUNCTION("""COMPUTED_VALUE"""),"")</f>
        <v/>
      </c>
      <c r="I80" s="12"/>
      <c r="J80" s="39" t="str">
        <f>IFERROR(__xludf.DUMMYFUNCTION("IF(I80="""",,SUM(FILTER(H$16:H111, G$16:G111=I80)))"),"")</f>
        <v/>
      </c>
      <c r="K80" s="67"/>
      <c r="L80" s="12"/>
      <c r="M80" s="67"/>
      <c r="N80" s="67"/>
      <c r="O80" s="67"/>
      <c r="P80" s="67"/>
      <c r="Q80" s="27"/>
      <c r="R80" s="12"/>
      <c r="S80" s="39"/>
      <c r="T80" s="67"/>
      <c r="U80" s="39" t="str">
        <f>IFERROR(__xludf.DUMMYFUNCTION("IF(T80="""",,SUM(FILTER(S$16:S111, R$16:R111=T80)))"),"")</f>
        <v/>
      </c>
      <c r="V80" s="12"/>
      <c r="W80" s="12"/>
      <c r="X80" s="12"/>
      <c r="Y80" s="12"/>
      <c r="Z80" s="12"/>
      <c r="AA80" s="12"/>
      <c r="AB80" s="12"/>
      <c r="AC80" s="12"/>
      <c r="AD80" s="12"/>
      <c r="AE80" s="12"/>
      <c r="AF80" s="12"/>
      <c r="AG80" s="12"/>
      <c r="AH80" s="12"/>
    </row>
    <row r="81">
      <c r="A81" s="2"/>
      <c r="B81" s="70"/>
      <c r="C81" s="69"/>
      <c r="D81" s="69"/>
      <c r="E81" s="68" t="s">
        <v>59</v>
      </c>
      <c r="F81" s="2"/>
      <c r="G81" s="66"/>
      <c r="H81" s="39" t="str">
        <f>IFERROR(__xludf.DUMMYFUNCTION("""COMPUTED_VALUE"""),"")</f>
        <v/>
      </c>
      <c r="I81" s="12"/>
      <c r="J81" s="39" t="str">
        <f>IFERROR(__xludf.DUMMYFUNCTION("IF(I81="""",,SUM(FILTER(H$16:H111, G$16:G111=I81)))"),"")</f>
        <v/>
      </c>
      <c r="K81" s="67"/>
      <c r="L81" s="12"/>
      <c r="M81" s="67"/>
      <c r="N81" s="67"/>
      <c r="O81" s="67"/>
      <c r="P81" s="67"/>
      <c r="Q81" s="27"/>
      <c r="R81" s="12"/>
      <c r="S81" s="39"/>
      <c r="T81" s="67"/>
      <c r="U81" s="39" t="str">
        <f>IFERROR(__xludf.DUMMYFUNCTION("IF(T81="""",,SUM(FILTER(S$16:S111, R$16:R111=T81)))"),"")</f>
        <v/>
      </c>
      <c r="V81" s="12"/>
      <c r="W81" s="12"/>
      <c r="X81" s="12"/>
      <c r="Y81" s="12"/>
      <c r="Z81" s="12"/>
      <c r="AA81" s="12"/>
      <c r="AB81" s="12"/>
      <c r="AC81" s="12"/>
      <c r="AD81" s="12"/>
      <c r="AE81" s="12"/>
      <c r="AF81" s="12"/>
      <c r="AG81" s="12"/>
      <c r="AH81" s="12"/>
    </row>
    <row r="82">
      <c r="A82" s="2"/>
      <c r="B82" s="70"/>
      <c r="C82" s="69"/>
      <c r="D82" s="69"/>
      <c r="E82" s="68" t="s">
        <v>59</v>
      </c>
      <c r="F82" s="2"/>
      <c r="G82" s="66"/>
      <c r="H82" s="39" t="str">
        <f>IFERROR(__xludf.DUMMYFUNCTION("""COMPUTED_VALUE"""),"")</f>
        <v/>
      </c>
      <c r="I82" s="12"/>
      <c r="J82" s="39" t="str">
        <f>IFERROR(__xludf.DUMMYFUNCTION("IF(I82="""",,SUM(FILTER(H$16:H111, G$16:G111=I82)))"),"")</f>
        <v/>
      </c>
      <c r="K82" s="67"/>
      <c r="L82" s="12"/>
      <c r="M82" s="67"/>
      <c r="N82" s="67"/>
      <c r="O82" s="67"/>
      <c r="P82" s="67"/>
      <c r="Q82" s="27"/>
      <c r="R82" s="12"/>
      <c r="S82" s="39"/>
      <c r="T82" s="67"/>
      <c r="U82" s="39" t="str">
        <f>IFERROR(__xludf.DUMMYFUNCTION("IF(T82="""",,SUM(FILTER(S$16:S111, R$16:R111=T82)))"),"")</f>
        <v/>
      </c>
      <c r="V82" s="12"/>
      <c r="W82" s="12"/>
      <c r="X82" s="12"/>
      <c r="Y82" s="12"/>
      <c r="Z82" s="12"/>
      <c r="AA82" s="12"/>
      <c r="AB82" s="12"/>
      <c r="AC82" s="12"/>
      <c r="AD82" s="12"/>
      <c r="AE82" s="12"/>
      <c r="AF82" s="12"/>
      <c r="AG82" s="12"/>
      <c r="AH82" s="12"/>
    </row>
    <row r="83">
      <c r="A83" s="2"/>
      <c r="B83" s="70"/>
      <c r="C83" s="69"/>
      <c r="D83" s="69"/>
      <c r="E83" s="68" t="s">
        <v>59</v>
      </c>
      <c r="F83" s="2"/>
      <c r="G83" s="66"/>
      <c r="H83" s="39" t="str">
        <f>IFERROR(__xludf.DUMMYFUNCTION("""COMPUTED_VALUE"""),"")</f>
        <v/>
      </c>
      <c r="I83" s="12"/>
      <c r="J83" s="39" t="str">
        <f>IFERROR(__xludf.DUMMYFUNCTION("IF(I83="""",,SUM(FILTER(H$16:H111, G$16:G111=I83)))"),"")</f>
        <v/>
      </c>
      <c r="K83" s="67"/>
      <c r="L83" s="12"/>
      <c r="M83" s="67"/>
      <c r="N83" s="67"/>
      <c r="O83" s="67"/>
      <c r="P83" s="67"/>
      <c r="Q83" s="27"/>
      <c r="R83" s="12"/>
      <c r="S83" s="39"/>
      <c r="T83" s="67"/>
      <c r="U83" s="39" t="str">
        <f>IFERROR(__xludf.DUMMYFUNCTION("IF(T83="""",,SUM(FILTER(S$16:S111, R$16:R111=T83)))"),"")</f>
        <v/>
      </c>
      <c r="V83" s="12"/>
      <c r="W83" s="12"/>
      <c r="X83" s="12"/>
      <c r="Y83" s="12"/>
      <c r="Z83" s="12"/>
      <c r="AA83" s="12"/>
      <c r="AB83" s="12"/>
      <c r="AC83" s="12"/>
      <c r="AD83" s="12"/>
      <c r="AE83" s="12"/>
      <c r="AF83" s="12"/>
      <c r="AG83" s="12"/>
      <c r="AH83" s="12"/>
    </row>
    <row r="84">
      <c r="A84" s="2"/>
      <c r="B84" s="70"/>
      <c r="C84" s="69"/>
      <c r="D84" s="69"/>
      <c r="E84" s="68" t="s">
        <v>59</v>
      </c>
      <c r="F84" s="2"/>
      <c r="G84" s="66"/>
      <c r="H84" s="39" t="str">
        <f>IFERROR(__xludf.DUMMYFUNCTION("""COMPUTED_VALUE"""),"")</f>
        <v/>
      </c>
      <c r="I84" s="12"/>
      <c r="J84" s="39" t="str">
        <f>IFERROR(__xludf.DUMMYFUNCTION("IF(I84="""",,SUM(FILTER(H$16:H111, G$16:G111=I84)))"),"")</f>
        <v/>
      </c>
      <c r="K84" s="67"/>
      <c r="L84" s="12"/>
      <c r="M84" s="67"/>
      <c r="N84" s="67"/>
      <c r="O84" s="67"/>
      <c r="P84" s="67"/>
      <c r="Q84" s="27"/>
      <c r="R84" s="12"/>
      <c r="S84" s="39"/>
      <c r="T84" s="67"/>
      <c r="U84" s="39" t="str">
        <f>IFERROR(__xludf.DUMMYFUNCTION("IF(T84="""",,SUM(FILTER(S$16:S111, R$16:R111=T84)))"),"")</f>
        <v/>
      </c>
      <c r="V84" s="12"/>
      <c r="W84" s="12"/>
      <c r="X84" s="12"/>
      <c r="Y84" s="12"/>
      <c r="Z84" s="12"/>
      <c r="AA84" s="12"/>
      <c r="AB84" s="12"/>
      <c r="AC84" s="12"/>
      <c r="AD84" s="12"/>
      <c r="AE84" s="12"/>
      <c r="AF84" s="12"/>
      <c r="AG84" s="12"/>
      <c r="AH84" s="12"/>
    </row>
    <row r="85">
      <c r="A85" s="2"/>
      <c r="B85" s="70"/>
      <c r="C85" s="69"/>
      <c r="D85" s="69"/>
      <c r="E85" s="68" t="s">
        <v>59</v>
      </c>
      <c r="F85" s="2"/>
      <c r="G85" s="66"/>
      <c r="H85" s="39" t="str">
        <f>IFERROR(__xludf.DUMMYFUNCTION("""COMPUTED_VALUE"""),"")</f>
        <v/>
      </c>
      <c r="I85" s="12"/>
      <c r="J85" s="39" t="str">
        <f>IFERROR(__xludf.DUMMYFUNCTION("IF(I85="""",,SUM(FILTER(H$16:H111, G$16:G111=I85)))"),"")</f>
        <v/>
      </c>
      <c r="K85" s="67"/>
      <c r="L85" s="12"/>
      <c r="M85" s="67"/>
      <c r="N85" s="67"/>
      <c r="O85" s="67"/>
      <c r="P85" s="67"/>
      <c r="Q85" s="27"/>
      <c r="R85" s="12"/>
      <c r="S85" s="39"/>
      <c r="T85" s="67"/>
      <c r="U85" s="39" t="str">
        <f>IFERROR(__xludf.DUMMYFUNCTION("IF(T85="""",,SUM(FILTER(S$16:S111, R$16:R111=T85)))"),"")</f>
        <v/>
      </c>
      <c r="V85" s="12"/>
      <c r="W85" s="12"/>
      <c r="X85" s="12"/>
      <c r="Y85" s="12"/>
      <c r="Z85" s="12"/>
      <c r="AA85" s="12"/>
      <c r="AB85" s="12"/>
      <c r="AC85" s="12"/>
      <c r="AD85" s="12"/>
      <c r="AE85" s="12"/>
      <c r="AF85" s="12"/>
      <c r="AG85" s="12"/>
      <c r="AH85" s="12"/>
    </row>
    <row r="86">
      <c r="A86" s="2"/>
      <c r="B86" s="70"/>
      <c r="C86" s="69"/>
      <c r="D86" s="69"/>
      <c r="E86" s="68" t="s">
        <v>59</v>
      </c>
      <c r="F86" s="2"/>
      <c r="G86" s="66"/>
      <c r="H86" s="39" t="str">
        <f>IFERROR(__xludf.DUMMYFUNCTION("""COMPUTED_VALUE"""),"")</f>
        <v/>
      </c>
      <c r="I86" s="12"/>
      <c r="J86" s="39" t="str">
        <f>IFERROR(__xludf.DUMMYFUNCTION("IF(I86="""",,SUM(FILTER(H$16:H111, G$16:G111=I86)))"),"")</f>
        <v/>
      </c>
      <c r="K86" s="67"/>
      <c r="L86" s="12"/>
      <c r="M86" s="67"/>
      <c r="N86" s="67"/>
      <c r="O86" s="67"/>
      <c r="P86" s="67"/>
      <c r="Q86" s="27"/>
      <c r="R86" s="12"/>
      <c r="S86" s="39"/>
      <c r="T86" s="67"/>
      <c r="U86" s="39" t="str">
        <f>IFERROR(__xludf.DUMMYFUNCTION("IF(T86="""",,SUM(FILTER(S$16:S111, R$16:R111=T86)))"),"")</f>
        <v/>
      </c>
      <c r="V86" s="12"/>
      <c r="W86" s="12"/>
      <c r="X86" s="12"/>
      <c r="Y86" s="12"/>
      <c r="Z86" s="12"/>
      <c r="AA86" s="12"/>
      <c r="AB86" s="12"/>
      <c r="AC86" s="12"/>
      <c r="AD86" s="12"/>
      <c r="AE86" s="12"/>
      <c r="AF86" s="12"/>
      <c r="AG86" s="12"/>
      <c r="AH86" s="12"/>
    </row>
    <row r="87">
      <c r="A87" s="2"/>
      <c r="B87" s="70"/>
      <c r="C87" s="69"/>
      <c r="D87" s="69"/>
      <c r="E87" s="68" t="s">
        <v>59</v>
      </c>
      <c r="F87" s="2"/>
      <c r="G87" s="66"/>
      <c r="H87" s="39" t="str">
        <f>IFERROR(__xludf.DUMMYFUNCTION("""COMPUTED_VALUE"""),"")</f>
        <v/>
      </c>
      <c r="I87" s="12"/>
      <c r="J87" s="39" t="str">
        <f>IFERROR(__xludf.DUMMYFUNCTION("IF(I87="""",,SUM(FILTER(H$16:H111, G$16:G111=I87)))"),"")</f>
        <v/>
      </c>
      <c r="K87" s="67"/>
      <c r="L87" s="12"/>
      <c r="M87" s="67"/>
      <c r="N87" s="67"/>
      <c r="O87" s="67"/>
      <c r="P87" s="67"/>
      <c r="Q87" s="27"/>
      <c r="R87" s="12"/>
      <c r="S87" s="39"/>
      <c r="T87" s="67"/>
      <c r="U87" s="39" t="str">
        <f>IFERROR(__xludf.DUMMYFUNCTION("IF(T87="""",,SUM(FILTER(S$16:S111, R$16:R111=T87)))"),"")</f>
        <v/>
      </c>
      <c r="V87" s="12"/>
      <c r="W87" s="12"/>
      <c r="X87" s="12"/>
      <c r="Y87" s="12"/>
      <c r="Z87" s="12"/>
      <c r="AA87" s="12"/>
      <c r="AB87" s="12"/>
      <c r="AC87" s="12"/>
      <c r="AD87" s="12"/>
      <c r="AE87" s="12"/>
      <c r="AF87" s="12"/>
      <c r="AG87" s="12"/>
      <c r="AH87" s="12"/>
    </row>
    <row r="88">
      <c r="A88" s="2"/>
      <c r="B88" s="70"/>
      <c r="C88" s="69"/>
      <c r="D88" s="69"/>
      <c r="E88" s="68" t="s">
        <v>59</v>
      </c>
      <c r="F88" s="2"/>
      <c r="G88" s="66"/>
      <c r="H88" s="39" t="str">
        <f>IFERROR(__xludf.DUMMYFUNCTION("""COMPUTED_VALUE"""),"")</f>
        <v/>
      </c>
      <c r="I88" s="12"/>
      <c r="J88" s="39" t="str">
        <f>IFERROR(__xludf.DUMMYFUNCTION("IF(I88="""",,SUM(FILTER(H$16:H111, G$16:G111=I88)))"),"")</f>
        <v/>
      </c>
      <c r="K88" s="67"/>
      <c r="L88" s="12"/>
      <c r="M88" s="67"/>
      <c r="N88" s="67"/>
      <c r="O88" s="67"/>
      <c r="P88" s="67"/>
      <c r="Q88" s="27"/>
      <c r="R88" s="12"/>
      <c r="S88" s="39"/>
      <c r="T88" s="67"/>
      <c r="U88" s="39" t="str">
        <f>IFERROR(__xludf.DUMMYFUNCTION("IF(T88="""",,SUM(FILTER(S$16:S111, R$16:R111=T88)))"),"")</f>
        <v/>
      </c>
      <c r="V88" s="12"/>
      <c r="W88" s="12"/>
      <c r="X88" s="12"/>
      <c r="Y88" s="12"/>
      <c r="Z88" s="12"/>
      <c r="AA88" s="12"/>
      <c r="AB88" s="12"/>
      <c r="AC88" s="12"/>
      <c r="AD88" s="12"/>
      <c r="AE88" s="12"/>
      <c r="AF88" s="12"/>
      <c r="AG88" s="12"/>
      <c r="AH88" s="12"/>
    </row>
    <row r="89">
      <c r="A89" s="2"/>
      <c r="B89" s="70"/>
      <c r="C89" s="69"/>
      <c r="D89" s="69"/>
      <c r="E89" s="68" t="s">
        <v>59</v>
      </c>
      <c r="F89" s="2"/>
      <c r="G89" s="66"/>
      <c r="H89" s="39" t="str">
        <f>IFERROR(__xludf.DUMMYFUNCTION("""COMPUTED_VALUE"""),"")</f>
        <v/>
      </c>
      <c r="I89" s="12"/>
      <c r="J89" s="39" t="str">
        <f>IFERROR(__xludf.DUMMYFUNCTION("IF(I89="""",,SUM(FILTER(H$16:H111, G$16:G111=I89)))"),"")</f>
        <v/>
      </c>
      <c r="K89" s="67"/>
      <c r="L89" s="12"/>
      <c r="M89" s="67"/>
      <c r="N89" s="67"/>
      <c r="O89" s="67"/>
      <c r="P89" s="67"/>
      <c r="Q89" s="27"/>
      <c r="R89" s="12"/>
      <c r="S89" s="39"/>
      <c r="T89" s="67"/>
      <c r="U89" s="39" t="str">
        <f>IFERROR(__xludf.DUMMYFUNCTION("IF(T89="""",,SUM(FILTER(S$16:S111, R$16:R111=T89)))"),"")</f>
        <v/>
      </c>
      <c r="V89" s="12"/>
      <c r="W89" s="12"/>
      <c r="X89" s="12"/>
      <c r="Y89" s="12"/>
      <c r="Z89" s="12"/>
      <c r="AA89" s="12"/>
      <c r="AB89" s="12"/>
      <c r="AC89" s="12"/>
      <c r="AD89" s="12"/>
      <c r="AE89" s="12"/>
      <c r="AF89" s="12"/>
      <c r="AG89" s="12"/>
      <c r="AH89" s="12"/>
    </row>
    <row r="90">
      <c r="A90" s="2"/>
      <c r="B90" s="70"/>
      <c r="C90" s="69"/>
      <c r="D90" s="69"/>
      <c r="E90" s="68" t="s">
        <v>59</v>
      </c>
      <c r="F90" s="2"/>
      <c r="G90" s="66"/>
      <c r="H90" s="39" t="str">
        <f>IFERROR(__xludf.DUMMYFUNCTION("""COMPUTED_VALUE"""),"")</f>
        <v/>
      </c>
      <c r="I90" s="12"/>
      <c r="J90" s="39" t="str">
        <f>IFERROR(__xludf.DUMMYFUNCTION("IF(I90="""",,SUM(FILTER(H$16:H111, G$16:G111=I90)))"),"")</f>
        <v/>
      </c>
      <c r="K90" s="67"/>
      <c r="L90" s="12"/>
      <c r="M90" s="67"/>
      <c r="N90" s="67"/>
      <c r="O90" s="67"/>
      <c r="P90" s="67"/>
      <c r="Q90" s="27"/>
      <c r="R90" s="12"/>
      <c r="S90" s="39"/>
      <c r="T90" s="67"/>
      <c r="U90" s="39" t="str">
        <f>IFERROR(__xludf.DUMMYFUNCTION("IF(T90="""",,SUM(FILTER(S$16:S111, R$16:R111=T90)))"),"")</f>
        <v/>
      </c>
      <c r="V90" s="12"/>
      <c r="W90" s="12"/>
      <c r="X90" s="12"/>
      <c r="Y90" s="12"/>
      <c r="Z90" s="12"/>
      <c r="AA90" s="12"/>
      <c r="AB90" s="12"/>
      <c r="AC90" s="12"/>
      <c r="AD90" s="12"/>
      <c r="AE90" s="12"/>
      <c r="AF90" s="12"/>
      <c r="AG90" s="12"/>
      <c r="AH90" s="12"/>
    </row>
    <row r="91">
      <c r="A91" s="2"/>
      <c r="B91" s="70"/>
      <c r="C91" s="69"/>
      <c r="D91" s="69"/>
      <c r="E91" s="68" t="s">
        <v>59</v>
      </c>
      <c r="F91" s="2"/>
      <c r="G91" s="66"/>
      <c r="H91" s="39" t="str">
        <f>IFERROR(__xludf.DUMMYFUNCTION("""COMPUTED_VALUE"""),"")</f>
        <v/>
      </c>
      <c r="I91" s="12"/>
      <c r="J91" s="39" t="str">
        <f>IFERROR(__xludf.DUMMYFUNCTION("IF(I91="""",,SUM(FILTER(H$16:H111, G$16:G111=I91)))"),"")</f>
        <v/>
      </c>
      <c r="K91" s="67"/>
      <c r="L91" s="12"/>
      <c r="M91" s="67"/>
      <c r="N91" s="67"/>
      <c r="O91" s="67"/>
      <c r="P91" s="67"/>
      <c r="Q91" s="27"/>
      <c r="R91" s="12"/>
      <c r="S91" s="39"/>
      <c r="T91" s="67"/>
      <c r="U91" s="39" t="str">
        <f>IFERROR(__xludf.DUMMYFUNCTION("IF(T91="""",,SUM(FILTER(S$16:S111, R$16:R111=T91)))"),"")</f>
        <v/>
      </c>
      <c r="V91" s="12"/>
      <c r="W91" s="12"/>
      <c r="X91" s="12"/>
      <c r="Y91" s="12"/>
      <c r="Z91" s="12"/>
      <c r="AA91" s="12"/>
      <c r="AB91" s="12"/>
      <c r="AC91" s="12"/>
      <c r="AD91" s="12"/>
      <c r="AE91" s="12"/>
      <c r="AF91" s="12"/>
      <c r="AG91" s="12"/>
      <c r="AH91" s="12"/>
    </row>
    <row r="92">
      <c r="A92" s="2"/>
      <c r="B92" s="70"/>
      <c r="C92" s="69"/>
      <c r="D92" s="69"/>
      <c r="E92" s="68" t="s">
        <v>59</v>
      </c>
      <c r="F92" s="2"/>
      <c r="G92" s="66"/>
      <c r="H92" s="39" t="str">
        <f>IFERROR(__xludf.DUMMYFUNCTION("""COMPUTED_VALUE"""),"")</f>
        <v/>
      </c>
      <c r="I92" s="12"/>
      <c r="J92" s="39" t="str">
        <f>IFERROR(__xludf.DUMMYFUNCTION("IF(I92="""",,SUM(FILTER(H$16:H111, G$16:G111=I92)))"),"")</f>
        <v/>
      </c>
      <c r="K92" s="67"/>
      <c r="L92" s="12"/>
      <c r="M92" s="67"/>
      <c r="N92" s="67"/>
      <c r="O92" s="67"/>
      <c r="P92" s="67"/>
      <c r="Q92" s="27"/>
      <c r="R92" s="12"/>
      <c r="S92" s="39"/>
      <c r="T92" s="67"/>
      <c r="U92" s="39" t="str">
        <f>IFERROR(__xludf.DUMMYFUNCTION("IF(T92="""",,SUM(FILTER(S$16:S111, R$16:R111=T92)))"),"")</f>
        <v/>
      </c>
      <c r="V92" s="12"/>
      <c r="W92" s="12"/>
      <c r="X92" s="12"/>
      <c r="Y92" s="12"/>
      <c r="Z92" s="12"/>
      <c r="AA92" s="12"/>
      <c r="AB92" s="12"/>
      <c r="AC92" s="12"/>
      <c r="AD92" s="12"/>
      <c r="AE92" s="12"/>
      <c r="AF92" s="12"/>
      <c r="AG92" s="12"/>
      <c r="AH92" s="12"/>
    </row>
    <row r="93">
      <c r="A93" s="2"/>
      <c r="B93" s="70"/>
      <c r="C93" s="69"/>
      <c r="D93" s="69"/>
      <c r="E93" s="68" t="s">
        <v>59</v>
      </c>
      <c r="F93" s="2"/>
      <c r="G93" s="66"/>
      <c r="H93" s="39" t="str">
        <f>IFERROR(__xludf.DUMMYFUNCTION("""COMPUTED_VALUE"""),"")</f>
        <v/>
      </c>
      <c r="I93" s="12"/>
      <c r="J93" s="39" t="str">
        <f>IFERROR(__xludf.DUMMYFUNCTION("IF(I93="""",,SUM(FILTER(H$16:H111, G$16:G111=I93)))"),"")</f>
        <v/>
      </c>
      <c r="K93" s="67"/>
      <c r="L93" s="12"/>
      <c r="M93" s="67"/>
      <c r="N93" s="67"/>
      <c r="O93" s="67"/>
      <c r="P93" s="67"/>
      <c r="Q93" s="27"/>
      <c r="R93" s="12"/>
      <c r="S93" s="39"/>
      <c r="T93" s="67"/>
      <c r="U93" s="39" t="str">
        <f>IFERROR(__xludf.DUMMYFUNCTION("IF(T93="""",,SUM(FILTER(S$16:S111, R$16:R111=T93)))"),"")</f>
        <v/>
      </c>
      <c r="V93" s="12"/>
      <c r="W93" s="12"/>
      <c r="X93" s="12"/>
      <c r="Y93" s="12"/>
      <c r="Z93" s="12"/>
      <c r="AA93" s="12"/>
      <c r="AB93" s="12"/>
      <c r="AC93" s="12"/>
      <c r="AD93" s="12"/>
      <c r="AE93" s="12"/>
      <c r="AF93" s="12"/>
      <c r="AG93" s="12"/>
      <c r="AH93" s="12"/>
    </row>
    <row r="94">
      <c r="A94" s="2"/>
      <c r="B94" s="70"/>
      <c r="C94" s="69"/>
      <c r="D94" s="69"/>
      <c r="E94" s="68" t="s">
        <v>59</v>
      </c>
      <c r="F94" s="2"/>
      <c r="G94" s="66"/>
      <c r="H94" s="39" t="str">
        <f>IFERROR(__xludf.DUMMYFUNCTION("""COMPUTED_VALUE"""),"")</f>
        <v/>
      </c>
      <c r="I94" s="12"/>
      <c r="J94" s="39" t="str">
        <f>IFERROR(__xludf.DUMMYFUNCTION("IF(I94="""",,SUM(FILTER(H$16:H111, G$16:G111=I94)))"),"")</f>
        <v/>
      </c>
      <c r="K94" s="67"/>
      <c r="L94" s="12"/>
      <c r="M94" s="67"/>
      <c r="N94" s="67"/>
      <c r="O94" s="67"/>
      <c r="P94" s="67"/>
      <c r="Q94" s="27"/>
      <c r="R94" s="12"/>
      <c r="S94" s="39"/>
      <c r="T94" s="67"/>
      <c r="U94" s="39" t="str">
        <f>IFERROR(__xludf.DUMMYFUNCTION("IF(T94="""",,SUM(FILTER(S$16:S111, R$16:R111=T94)))"),"")</f>
        <v/>
      </c>
      <c r="V94" s="12"/>
      <c r="W94" s="12"/>
      <c r="X94" s="12"/>
      <c r="Y94" s="12"/>
      <c r="Z94" s="12"/>
      <c r="AA94" s="12"/>
      <c r="AB94" s="12"/>
      <c r="AC94" s="12"/>
      <c r="AD94" s="12"/>
      <c r="AE94" s="12"/>
      <c r="AF94" s="12"/>
      <c r="AG94" s="12"/>
      <c r="AH94" s="12"/>
    </row>
    <row r="95">
      <c r="A95" s="2"/>
      <c r="B95" s="70"/>
      <c r="C95" s="69"/>
      <c r="D95" s="69"/>
      <c r="E95" s="68" t="s">
        <v>59</v>
      </c>
      <c r="F95" s="2"/>
      <c r="G95" s="66"/>
      <c r="H95" s="39" t="str">
        <f>IFERROR(__xludf.DUMMYFUNCTION("""COMPUTED_VALUE"""),"")</f>
        <v/>
      </c>
      <c r="I95" s="12"/>
      <c r="J95" s="39" t="str">
        <f>IFERROR(__xludf.DUMMYFUNCTION("IF(I95="""",,SUM(FILTER(H$16:H111, G$16:G111=I95)))"),"")</f>
        <v/>
      </c>
      <c r="K95" s="67"/>
      <c r="L95" s="12"/>
      <c r="M95" s="67"/>
      <c r="N95" s="67"/>
      <c r="O95" s="67"/>
      <c r="P95" s="67"/>
      <c r="Q95" s="27"/>
      <c r="R95" s="12"/>
      <c r="S95" s="39"/>
      <c r="T95" s="67"/>
      <c r="U95" s="39" t="str">
        <f>IFERROR(__xludf.DUMMYFUNCTION("IF(T95="""",,SUM(FILTER(S$16:S111, R$16:R111=T95)))"),"")</f>
        <v/>
      </c>
      <c r="V95" s="12"/>
      <c r="W95" s="12"/>
      <c r="X95" s="12"/>
      <c r="Y95" s="12"/>
      <c r="Z95" s="12"/>
      <c r="AA95" s="12"/>
      <c r="AB95" s="12"/>
      <c r="AC95" s="12"/>
      <c r="AD95" s="12"/>
      <c r="AE95" s="12"/>
      <c r="AF95" s="12"/>
      <c r="AG95" s="12"/>
      <c r="AH95" s="12"/>
    </row>
    <row r="96">
      <c r="A96" s="2"/>
      <c r="B96" s="70"/>
      <c r="C96" s="69"/>
      <c r="D96" s="69"/>
      <c r="E96" s="68" t="s">
        <v>59</v>
      </c>
      <c r="F96" s="2"/>
      <c r="G96" s="66"/>
      <c r="H96" s="39" t="str">
        <f>IFERROR(__xludf.DUMMYFUNCTION("""COMPUTED_VALUE"""),"")</f>
        <v/>
      </c>
      <c r="I96" s="12"/>
      <c r="J96" s="39" t="str">
        <f>IFERROR(__xludf.DUMMYFUNCTION("IF(I96="""",,SUM(FILTER(H$16:H111, G$16:G111=I96)))"),"")</f>
        <v/>
      </c>
      <c r="K96" s="67"/>
      <c r="L96" s="12"/>
      <c r="M96" s="67"/>
      <c r="N96" s="67"/>
      <c r="O96" s="67"/>
      <c r="P96" s="67"/>
      <c r="Q96" s="27"/>
      <c r="R96" s="12"/>
      <c r="S96" s="39"/>
      <c r="T96" s="67"/>
      <c r="U96" s="39" t="str">
        <f>IFERROR(__xludf.DUMMYFUNCTION("IF(T96="""",,SUM(FILTER(S$16:S111, R$16:R111=T96)))"),"")</f>
        <v/>
      </c>
      <c r="V96" s="12"/>
      <c r="W96" s="12"/>
      <c r="X96" s="12"/>
      <c r="Y96" s="12"/>
      <c r="Z96" s="12"/>
      <c r="AA96" s="12"/>
      <c r="AB96" s="12"/>
      <c r="AC96" s="12"/>
      <c r="AD96" s="12"/>
      <c r="AE96" s="12"/>
      <c r="AF96" s="12"/>
      <c r="AG96" s="12"/>
      <c r="AH96" s="12"/>
    </row>
    <row r="97">
      <c r="A97" s="2"/>
      <c r="B97" s="70"/>
      <c r="C97" s="69"/>
      <c r="D97" s="69"/>
      <c r="E97" s="68" t="s">
        <v>59</v>
      </c>
      <c r="F97" s="2"/>
      <c r="G97" s="66"/>
      <c r="H97" s="39" t="str">
        <f>IFERROR(__xludf.DUMMYFUNCTION("""COMPUTED_VALUE"""),"")</f>
        <v/>
      </c>
      <c r="I97" s="12"/>
      <c r="J97" s="39" t="str">
        <f>IFERROR(__xludf.DUMMYFUNCTION("IF(I97="""",,SUM(FILTER(H$16:H111, G$16:G111=I97)))"),"")</f>
        <v/>
      </c>
      <c r="K97" s="67"/>
      <c r="L97" s="12"/>
      <c r="M97" s="67"/>
      <c r="N97" s="67"/>
      <c r="O97" s="67"/>
      <c r="P97" s="67"/>
      <c r="Q97" s="27"/>
      <c r="R97" s="12"/>
      <c r="S97" s="39"/>
      <c r="T97" s="67"/>
      <c r="U97" s="39" t="str">
        <f>IFERROR(__xludf.DUMMYFUNCTION("IF(T97="""",,SUM(FILTER(S$16:S111, R$16:R111=T97)))"),"")</f>
        <v/>
      </c>
      <c r="V97" s="12"/>
      <c r="W97" s="12"/>
      <c r="X97" s="12"/>
      <c r="Y97" s="12"/>
      <c r="Z97" s="12"/>
      <c r="AA97" s="12"/>
      <c r="AB97" s="12"/>
      <c r="AC97" s="12"/>
      <c r="AD97" s="12"/>
      <c r="AE97" s="12"/>
      <c r="AF97" s="12"/>
      <c r="AG97" s="12"/>
      <c r="AH97" s="12"/>
    </row>
    <row r="98">
      <c r="A98" s="2"/>
      <c r="B98" s="70"/>
      <c r="C98" s="69"/>
      <c r="D98" s="69"/>
      <c r="E98" s="68" t="s">
        <v>59</v>
      </c>
      <c r="F98" s="2"/>
      <c r="G98" s="66"/>
      <c r="H98" s="39" t="str">
        <f>IFERROR(__xludf.DUMMYFUNCTION("""COMPUTED_VALUE"""),"")</f>
        <v/>
      </c>
      <c r="I98" s="12"/>
      <c r="J98" s="39" t="str">
        <f>IFERROR(__xludf.DUMMYFUNCTION("IF(I98="""",,SUM(FILTER(H$16:H111, G$16:G111=I98)))"),"")</f>
        <v/>
      </c>
      <c r="K98" s="67"/>
      <c r="L98" s="12"/>
      <c r="M98" s="67"/>
      <c r="N98" s="67"/>
      <c r="O98" s="67"/>
      <c r="P98" s="67"/>
      <c r="Q98" s="27"/>
      <c r="R98" s="12"/>
      <c r="S98" s="39"/>
      <c r="T98" s="67"/>
      <c r="U98" s="39" t="str">
        <f>IFERROR(__xludf.DUMMYFUNCTION("IF(T98="""",,SUM(FILTER(S$16:S111, R$16:R111=T98)))"),"")</f>
        <v/>
      </c>
      <c r="V98" s="12"/>
      <c r="W98" s="12"/>
      <c r="X98" s="12"/>
      <c r="Y98" s="12"/>
      <c r="Z98" s="12"/>
      <c r="AA98" s="12"/>
      <c r="AB98" s="12"/>
      <c r="AC98" s="12"/>
      <c r="AD98" s="12"/>
      <c r="AE98" s="12"/>
      <c r="AF98" s="12"/>
      <c r="AG98" s="12"/>
      <c r="AH98" s="12"/>
    </row>
    <row r="99">
      <c r="A99" s="2"/>
      <c r="B99" s="70"/>
      <c r="C99" s="69"/>
      <c r="D99" s="69"/>
      <c r="E99" s="68" t="s">
        <v>59</v>
      </c>
      <c r="F99" s="2"/>
      <c r="G99" s="66"/>
      <c r="H99" s="39" t="str">
        <f>IFERROR(__xludf.DUMMYFUNCTION("""COMPUTED_VALUE"""),"")</f>
        <v/>
      </c>
      <c r="I99" s="12"/>
      <c r="J99" s="39" t="str">
        <f>IFERROR(__xludf.DUMMYFUNCTION("IF(I99="""",,SUM(FILTER(H$16:H111, G$16:G111=I99)))"),"")</f>
        <v/>
      </c>
      <c r="K99" s="67"/>
      <c r="L99" s="12"/>
      <c r="M99" s="67"/>
      <c r="N99" s="67"/>
      <c r="O99" s="67"/>
      <c r="P99" s="67"/>
      <c r="Q99" s="27"/>
      <c r="R99" s="12"/>
      <c r="S99" s="39"/>
      <c r="T99" s="67"/>
      <c r="U99" s="39" t="str">
        <f>IFERROR(__xludf.DUMMYFUNCTION("IF(T99="""",,SUM(FILTER(S$16:S111, R$16:R111=T99)))"),"")</f>
        <v/>
      </c>
      <c r="V99" s="12"/>
      <c r="W99" s="12"/>
      <c r="X99" s="12"/>
      <c r="Y99" s="12"/>
      <c r="Z99" s="12"/>
      <c r="AA99" s="12"/>
      <c r="AB99" s="12"/>
      <c r="AC99" s="12"/>
      <c r="AD99" s="12"/>
      <c r="AE99" s="12"/>
      <c r="AF99" s="12"/>
      <c r="AG99" s="12"/>
      <c r="AH99" s="12"/>
    </row>
    <row r="100">
      <c r="A100" s="2"/>
      <c r="B100" s="70"/>
      <c r="C100" s="69"/>
      <c r="D100" s="69"/>
      <c r="E100" s="68" t="s">
        <v>59</v>
      </c>
      <c r="F100" s="2"/>
      <c r="G100" s="66"/>
      <c r="H100" s="39" t="str">
        <f>IFERROR(__xludf.DUMMYFUNCTION("""COMPUTED_VALUE"""),"")</f>
        <v/>
      </c>
      <c r="I100" s="12"/>
      <c r="J100" s="39" t="str">
        <f>IFERROR(__xludf.DUMMYFUNCTION("IF(I100="""",,SUM(FILTER(H$16:H111, G$16:G111=I100)))"),"")</f>
        <v/>
      </c>
      <c r="K100" s="67"/>
      <c r="L100" s="12"/>
      <c r="M100" s="67"/>
      <c r="N100" s="67"/>
      <c r="O100" s="67"/>
      <c r="P100" s="67"/>
      <c r="Q100" s="27"/>
      <c r="R100" s="12"/>
      <c r="S100" s="39"/>
      <c r="T100" s="67"/>
      <c r="U100" s="39" t="str">
        <f>IFERROR(__xludf.DUMMYFUNCTION("IF(T100="""",,SUM(FILTER(S$16:S111, R$16:R111=T100)))"),"")</f>
        <v/>
      </c>
      <c r="V100" s="12"/>
      <c r="W100" s="12"/>
      <c r="X100" s="12"/>
      <c r="Y100" s="12"/>
      <c r="Z100" s="12"/>
      <c r="AA100" s="12"/>
      <c r="AB100" s="12"/>
      <c r="AC100" s="12"/>
      <c r="AD100" s="12"/>
      <c r="AE100" s="12"/>
      <c r="AF100" s="12"/>
      <c r="AG100" s="12"/>
      <c r="AH100" s="12"/>
    </row>
    <row r="101">
      <c r="A101" s="2"/>
      <c r="B101" s="70"/>
      <c r="C101" s="69"/>
      <c r="D101" s="69"/>
      <c r="E101" s="68" t="s">
        <v>59</v>
      </c>
      <c r="F101" s="2"/>
      <c r="G101" s="66"/>
      <c r="H101" s="39" t="str">
        <f>IFERROR(__xludf.DUMMYFUNCTION("""COMPUTED_VALUE"""),"")</f>
        <v/>
      </c>
      <c r="I101" s="12"/>
      <c r="J101" s="39" t="str">
        <f>IFERROR(__xludf.DUMMYFUNCTION("IF(I101="""",,SUM(FILTER(H$16:H111, G$16:G111=I101)))"),"")</f>
        <v/>
      </c>
      <c r="K101" s="67"/>
      <c r="L101" s="12"/>
      <c r="M101" s="67"/>
      <c r="N101" s="67"/>
      <c r="O101" s="67"/>
      <c r="P101" s="67"/>
      <c r="Q101" s="27"/>
      <c r="R101" s="12"/>
      <c r="S101" s="39"/>
      <c r="T101" s="67"/>
      <c r="U101" s="39" t="str">
        <f>IFERROR(__xludf.DUMMYFUNCTION("IF(T101="""",,SUM(FILTER(S$16:S111, R$16:R111=T101)))"),"")</f>
        <v/>
      </c>
      <c r="V101" s="12"/>
      <c r="W101" s="12"/>
      <c r="X101" s="12"/>
      <c r="Y101" s="12"/>
      <c r="Z101" s="12"/>
      <c r="AA101" s="12"/>
      <c r="AB101" s="12"/>
      <c r="AC101" s="12"/>
      <c r="AD101" s="12"/>
      <c r="AE101" s="12"/>
      <c r="AF101" s="12"/>
      <c r="AG101" s="12"/>
      <c r="AH101" s="12"/>
    </row>
    <row r="102">
      <c r="A102" s="2"/>
      <c r="B102" s="70"/>
      <c r="C102" s="69"/>
      <c r="D102" s="69"/>
      <c r="E102" s="68" t="s">
        <v>59</v>
      </c>
      <c r="F102" s="2"/>
      <c r="G102" s="66"/>
      <c r="H102" s="39" t="str">
        <f>IFERROR(__xludf.DUMMYFUNCTION("""COMPUTED_VALUE"""),"")</f>
        <v/>
      </c>
      <c r="I102" s="12"/>
      <c r="J102" s="39" t="str">
        <f>IFERROR(__xludf.DUMMYFUNCTION("IF(I102="""",,SUM(FILTER(H$16:H111, G$16:G111=I102)))"),"")</f>
        <v/>
      </c>
      <c r="K102" s="67"/>
      <c r="L102" s="12"/>
      <c r="M102" s="67"/>
      <c r="N102" s="67"/>
      <c r="O102" s="67"/>
      <c r="P102" s="67"/>
      <c r="Q102" s="27"/>
      <c r="R102" s="12"/>
      <c r="S102" s="39"/>
      <c r="T102" s="67"/>
      <c r="U102" s="39" t="str">
        <f>IFERROR(__xludf.DUMMYFUNCTION("IF(T102="""",,SUM(FILTER(S$16:S111, R$16:R111=T102)))"),"")</f>
        <v/>
      </c>
      <c r="V102" s="12"/>
      <c r="W102" s="12"/>
      <c r="X102" s="12"/>
      <c r="Y102" s="12"/>
      <c r="Z102" s="12"/>
      <c r="AA102" s="12"/>
      <c r="AB102" s="12"/>
      <c r="AC102" s="12"/>
      <c r="AD102" s="12"/>
      <c r="AE102" s="12"/>
      <c r="AF102" s="12"/>
      <c r="AG102" s="12"/>
      <c r="AH102" s="12"/>
    </row>
    <row r="103">
      <c r="A103" s="2"/>
      <c r="B103" s="70"/>
      <c r="C103" s="69"/>
      <c r="D103" s="69"/>
      <c r="E103" s="68" t="s">
        <v>59</v>
      </c>
      <c r="F103" s="2"/>
      <c r="G103" s="66"/>
      <c r="H103" s="39" t="str">
        <f>IFERROR(__xludf.DUMMYFUNCTION("""COMPUTED_VALUE"""),"")</f>
        <v/>
      </c>
      <c r="I103" s="12"/>
      <c r="J103" s="39" t="str">
        <f>IFERROR(__xludf.DUMMYFUNCTION("IF(I103="""",,SUM(FILTER(H$16:H111, G$16:G111=I103)))"),"")</f>
        <v/>
      </c>
      <c r="K103" s="67"/>
      <c r="L103" s="12"/>
      <c r="M103" s="67"/>
      <c r="N103" s="67"/>
      <c r="O103" s="67"/>
      <c r="P103" s="67"/>
      <c r="Q103" s="27"/>
      <c r="R103" s="12"/>
      <c r="S103" s="39"/>
      <c r="T103" s="67"/>
      <c r="U103" s="39" t="str">
        <f>IFERROR(__xludf.DUMMYFUNCTION("IF(T103="""",,SUM(FILTER(S$16:S111, R$16:R111=T103)))"),"")</f>
        <v/>
      </c>
      <c r="V103" s="12"/>
      <c r="W103" s="12"/>
      <c r="X103" s="12"/>
      <c r="Y103" s="12"/>
      <c r="Z103" s="12"/>
      <c r="AA103" s="12"/>
      <c r="AB103" s="12"/>
      <c r="AC103" s="12"/>
      <c r="AD103" s="12"/>
      <c r="AE103" s="12"/>
      <c r="AF103" s="12"/>
      <c r="AG103" s="12"/>
      <c r="AH103" s="12"/>
    </row>
    <row r="104">
      <c r="A104" s="2"/>
      <c r="B104" s="70"/>
      <c r="C104" s="69"/>
      <c r="D104" s="69"/>
      <c r="E104" s="68" t="s">
        <v>59</v>
      </c>
      <c r="F104" s="2"/>
      <c r="G104" s="66"/>
      <c r="H104" s="39" t="str">
        <f>IFERROR(__xludf.DUMMYFUNCTION("""COMPUTED_VALUE"""),"")</f>
        <v/>
      </c>
      <c r="I104" s="12"/>
      <c r="J104" s="39" t="str">
        <f>IFERROR(__xludf.DUMMYFUNCTION("IF(I104="""",,SUM(FILTER(H$16:H111, G$16:G111=I104)))"),"")</f>
        <v/>
      </c>
      <c r="K104" s="67"/>
      <c r="L104" s="12"/>
      <c r="M104" s="67"/>
      <c r="N104" s="67"/>
      <c r="O104" s="67"/>
      <c r="P104" s="67"/>
      <c r="Q104" s="27"/>
      <c r="R104" s="12"/>
      <c r="S104" s="39"/>
      <c r="T104" s="67"/>
      <c r="U104" s="39" t="str">
        <f>IFERROR(__xludf.DUMMYFUNCTION("IF(T104="""",,SUM(FILTER(S$16:S111, R$16:R111=T104)))"),"")</f>
        <v/>
      </c>
      <c r="V104" s="12"/>
      <c r="W104" s="12"/>
      <c r="X104" s="12"/>
      <c r="Y104" s="12"/>
      <c r="Z104" s="12"/>
      <c r="AA104" s="12"/>
      <c r="AB104" s="12"/>
      <c r="AC104" s="12"/>
      <c r="AD104" s="12"/>
      <c r="AE104" s="12"/>
      <c r="AF104" s="12"/>
      <c r="AG104" s="12"/>
      <c r="AH104" s="12"/>
    </row>
    <row r="105">
      <c r="A105" s="2"/>
      <c r="B105" s="70"/>
      <c r="C105" s="69"/>
      <c r="D105" s="69"/>
      <c r="E105" s="68" t="s">
        <v>59</v>
      </c>
      <c r="F105" s="2"/>
      <c r="G105" s="66"/>
      <c r="H105" s="39" t="str">
        <f>IFERROR(__xludf.DUMMYFUNCTION("""COMPUTED_VALUE"""),"")</f>
        <v/>
      </c>
      <c r="I105" s="12"/>
      <c r="J105" s="39" t="str">
        <f>IFERROR(__xludf.DUMMYFUNCTION("IF(I105="""",,SUM(FILTER(H$16:H111, G$16:G111=I105)))"),"")</f>
        <v/>
      </c>
      <c r="K105" s="67"/>
      <c r="L105" s="12"/>
      <c r="M105" s="67"/>
      <c r="N105" s="67"/>
      <c r="O105" s="67"/>
      <c r="P105" s="67"/>
      <c r="Q105" s="27"/>
      <c r="R105" s="12"/>
      <c r="S105" s="39"/>
      <c r="T105" s="67"/>
      <c r="U105" s="39" t="str">
        <f>IFERROR(__xludf.DUMMYFUNCTION("IF(T105="""",,SUM(FILTER(S$16:S111, R$16:R111=T105)))"),"")</f>
        <v/>
      </c>
      <c r="V105" s="12"/>
      <c r="W105" s="12"/>
      <c r="X105" s="12"/>
      <c r="Y105" s="12"/>
      <c r="Z105" s="12"/>
      <c r="AA105" s="12"/>
      <c r="AB105" s="12"/>
      <c r="AC105" s="12"/>
      <c r="AD105" s="12"/>
      <c r="AE105" s="12"/>
      <c r="AF105" s="12"/>
      <c r="AG105" s="12"/>
      <c r="AH105" s="12"/>
    </row>
    <row r="106">
      <c r="A106" s="2"/>
      <c r="B106" s="70"/>
      <c r="C106" s="69"/>
      <c r="D106" s="69"/>
      <c r="E106" s="68" t="s">
        <v>59</v>
      </c>
      <c r="F106" s="2"/>
      <c r="G106" s="66"/>
      <c r="H106" s="39" t="str">
        <f>IFERROR(__xludf.DUMMYFUNCTION("""COMPUTED_VALUE"""),"")</f>
        <v/>
      </c>
      <c r="I106" s="12"/>
      <c r="J106" s="39" t="str">
        <f>IFERROR(__xludf.DUMMYFUNCTION("IF(I106="""",,SUM(FILTER(H$16:H111, G$16:G111=I106)))"),"")</f>
        <v/>
      </c>
      <c r="K106" s="67"/>
      <c r="L106" s="12"/>
      <c r="M106" s="67"/>
      <c r="N106" s="67"/>
      <c r="O106" s="67"/>
      <c r="P106" s="67"/>
      <c r="Q106" s="27"/>
      <c r="R106" s="12"/>
      <c r="S106" s="39"/>
      <c r="T106" s="67"/>
      <c r="U106" s="39" t="str">
        <f>IFERROR(__xludf.DUMMYFUNCTION("IF(T106="""",,SUM(FILTER(S$16:S111, R$16:R111=T106)))"),"")</f>
        <v/>
      </c>
      <c r="V106" s="12"/>
      <c r="W106" s="12"/>
      <c r="X106" s="12"/>
      <c r="Y106" s="12"/>
      <c r="Z106" s="12"/>
      <c r="AA106" s="12"/>
      <c r="AB106" s="12"/>
      <c r="AC106" s="12"/>
      <c r="AD106" s="12"/>
      <c r="AE106" s="12"/>
      <c r="AF106" s="12"/>
      <c r="AG106" s="12"/>
      <c r="AH106" s="12"/>
    </row>
    <row r="107">
      <c r="A107" s="2"/>
      <c r="B107" s="70"/>
      <c r="C107" s="69"/>
      <c r="D107" s="69"/>
      <c r="E107" s="68" t="s">
        <v>59</v>
      </c>
      <c r="F107" s="2"/>
      <c r="G107" s="66"/>
      <c r="H107" s="39" t="str">
        <f>IFERROR(__xludf.DUMMYFUNCTION("""COMPUTED_VALUE"""),"")</f>
        <v/>
      </c>
      <c r="I107" s="12"/>
      <c r="J107" s="39" t="str">
        <f>IFERROR(__xludf.DUMMYFUNCTION("IF(I107="""",,SUM(FILTER(H$16:H111, G$16:G111=I107)))"),"")</f>
        <v/>
      </c>
      <c r="K107" s="67"/>
      <c r="L107" s="12"/>
      <c r="M107" s="67"/>
      <c r="N107" s="67"/>
      <c r="O107" s="67"/>
      <c r="P107" s="67"/>
      <c r="Q107" s="27"/>
      <c r="R107" s="12"/>
      <c r="S107" s="39"/>
      <c r="T107" s="67"/>
      <c r="U107" s="39" t="str">
        <f>IFERROR(__xludf.DUMMYFUNCTION("IF(T107="""",,SUM(FILTER(S$16:S111, R$16:R111=T107)))"),"")</f>
        <v/>
      </c>
      <c r="V107" s="12"/>
      <c r="W107" s="12"/>
      <c r="X107" s="12"/>
      <c r="Y107" s="12"/>
      <c r="Z107" s="12"/>
      <c r="AA107" s="12"/>
      <c r="AB107" s="12"/>
      <c r="AC107" s="12"/>
      <c r="AD107" s="12"/>
      <c r="AE107" s="12"/>
      <c r="AF107" s="12"/>
      <c r="AG107" s="12"/>
      <c r="AH107" s="12"/>
    </row>
    <row r="108">
      <c r="A108" s="2"/>
      <c r="B108" s="70"/>
      <c r="C108" s="69"/>
      <c r="D108" s="69"/>
      <c r="E108" s="68" t="s">
        <v>59</v>
      </c>
      <c r="F108" s="2"/>
      <c r="G108" s="66"/>
      <c r="H108" s="39" t="str">
        <f>IFERROR(__xludf.DUMMYFUNCTION("""COMPUTED_VALUE"""),"")</f>
        <v/>
      </c>
      <c r="I108" s="12"/>
      <c r="J108" s="39" t="str">
        <f>IFERROR(__xludf.DUMMYFUNCTION("IF(I108="""",,SUM(FILTER(H$16:H111, G$16:G111=I108)))"),"")</f>
        <v/>
      </c>
      <c r="K108" s="67"/>
      <c r="L108" s="12"/>
      <c r="M108" s="67"/>
      <c r="N108" s="67"/>
      <c r="O108" s="67"/>
      <c r="P108" s="67"/>
      <c r="Q108" s="27"/>
      <c r="R108" s="12"/>
      <c r="S108" s="39"/>
      <c r="T108" s="67"/>
      <c r="U108" s="39" t="str">
        <f>IFERROR(__xludf.DUMMYFUNCTION("IF(T108="""",,SUM(FILTER(S$16:S111, R$16:R111=T108)))"),"")</f>
        <v/>
      </c>
      <c r="V108" s="12"/>
      <c r="W108" s="12"/>
      <c r="X108" s="12"/>
      <c r="Y108" s="12"/>
      <c r="Z108" s="12"/>
      <c r="AA108" s="12"/>
      <c r="AB108" s="12"/>
      <c r="AC108" s="12"/>
      <c r="AD108" s="12"/>
      <c r="AE108" s="12"/>
      <c r="AF108" s="12"/>
      <c r="AG108" s="12"/>
      <c r="AH108" s="12"/>
    </row>
    <row r="109">
      <c r="A109" s="2"/>
      <c r="B109" s="70"/>
      <c r="C109" s="69"/>
      <c r="D109" s="69"/>
      <c r="E109" s="68" t="s">
        <v>59</v>
      </c>
      <c r="F109" s="2"/>
      <c r="G109" s="66"/>
      <c r="H109" s="39" t="str">
        <f>IFERROR(__xludf.DUMMYFUNCTION("""COMPUTED_VALUE"""),"")</f>
        <v/>
      </c>
      <c r="I109" s="12"/>
      <c r="J109" s="39" t="str">
        <f>IFERROR(__xludf.DUMMYFUNCTION("IF(I109="""",,SUM(FILTER(H$16:H111, G$16:G111=I109)))"),"")</f>
        <v/>
      </c>
      <c r="K109" s="67"/>
      <c r="L109" s="12"/>
      <c r="M109" s="67"/>
      <c r="N109" s="67"/>
      <c r="O109" s="67"/>
      <c r="P109" s="67"/>
      <c r="Q109" s="27"/>
      <c r="R109" s="12"/>
      <c r="S109" s="39"/>
      <c r="T109" s="67"/>
      <c r="U109" s="39" t="str">
        <f>IFERROR(__xludf.DUMMYFUNCTION("IF(T109="""",,SUM(FILTER(S$16:S111, R$16:R111=T109)))"),"")</f>
        <v/>
      </c>
      <c r="V109" s="12"/>
      <c r="W109" s="12"/>
      <c r="X109" s="12"/>
      <c r="Y109" s="12"/>
      <c r="Z109" s="12"/>
      <c r="AA109" s="12"/>
      <c r="AB109" s="12"/>
      <c r="AC109" s="12"/>
      <c r="AD109" s="12"/>
      <c r="AE109" s="12"/>
      <c r="AF109" s="12"/>
      <c r="AG109" s="12"/>
      <c r="AH109" s="12"/>
    </row>
    <row r="110">
      <c r="A110" s="2"/>
      <c r="B110" s="143"/>
      <c r="C110" s="144"/>
      <c r="D110" s="144"/>
      <c r="E110" s="75" t="s">
        <v>59</v>
      </c>
      <c r="F110" s="2"/>
      <c r="G110" s="66"/>
      <c r="H110" s="39" t="str">
        <f>IFERROR(__xludf.DUMMYFUNCTION("""COMPUTED_VALUE"""),"")</f>
        <v/>
      </c>
      <c r="I110" s="12"/>
      <c r="J110" s="39" t="str">
        <f>IFERROR(__xludf.DUMMYFUNCTION("IF(I110="""",,SUM(FILTER(H$16:H111, G$16:G111=I110)))"),"")</f>
        <v/>
      </c>
      <c r="K110" s="67"/>
      <c r="L110" s="12"/>
      <c r="M110" s="67"/>
      <c r="N110" s="67"/>
      <c r="O110" s="67"/>
      <c r="P110" s="67"/>
      <c r="Q110" s="27"/>
      <c r="R110" s="12"/>
      <c r="S110" s="39"/>
      <c r="T110" s="67"/>
      <c r="U110" s="39" t="str">
        <f>IFERROR(__xludf.DUMMYFUNCTION("IF(T110="""",,SUM(FILTER(S$16:S111, R$16:R111=T110)))"),"")</f>
        <v/>
      </c>
      <c r="V110" s="12"/>
      <c r="W110" s="12"/>
      <c r="X110" s="12"/>
      <c r="Y110" s="12"/>
      <c r="Z110" s="12"/>
      <c r="AA110" s="12"/>
      <c r="AB110" s="12"/>
      <c r="AC110" s="12"/>
      <c r="AD110" s="12"/>
      <c r="AE110" s="12"/>
      <c r="AF110" s="12"/>
      <c r="AG110" s="12"/>
      <c r="AH110" s="12"/>
    </row>
    <row r="111">
      <c r="A111" s="2"/>
      <c r="B111" s="2"/>
      <c r="C111" s="2"/>
      <c r="D111" s="2"/>
      <c r="E111" s="44" t="s">
        <v>59</v>
      </c>
      <c r="F111" s="2"/>
      <c r="G111" s="2"/>
      <c r="H111" s="44" t="str">
        <f>IFERROR(__xludf.DUMMYFUNCTION("""COMPUTED_VALUE"""),"")</f>
        <v/>
      </c>
      <c r="I111" s="2"/>
      <c r="J111" s="44"/>
      <c r="K111" s="76"/>
      <c r="L111" s="2"/>
      <c r="M111" s="76"/>
      <c r="N111" s="76"/>
      <c r="O111" s="76"/>
      <c r="P111" s="76"/>
      <c r="Q111" s="77"/>
      <c r="R111" s="2"/>
      <c r="S111" s="44"/>
      <c r="T111" s="76"/>
      <c r="U111" s="44"/>
      <c r="V111" s="2"/>
      <c r="W111" s="2"/>
      <c r="X111" s="2"/>
      <c r="Y111" s="2"/>
      <c r="Z111" s="2"/>
      <c r="AA111" s="2"/>
      <c r="AB111" s="2"/>
      <c r="AC111" s="2"/>
      <c r="AD111" s="2"/>
      <c r="AE111" s="2"/>
      <c r="AF111" s="2"/>
      <c r="AG111" s="2"/>
      <c r="AH111" s="2"/>
    </row>
  </sheetData>
  <mergeCells count="10">
    <mergeCell ref="G14:K14"/>
    <mergeCell ref="M14:AA14"/>
    <mergeCell ref="AC14:AF14"/>
    <mergeCell ref="B2:E2"/>
    <mergeCell ref="B3:E3"/>
    <mergeCell ref="C5:E5"/>
    <mergeCell ref="C6:E6"/>
    <mergeCell ref="C7:E7"/>
    <mergeCell ref="B9:C9"/>
    <mergeCell ref="B12:D12"/>
  </mergeCells>
  <drawing r:id="rId1"/>
</worksheet>
</file>