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rev\Desktop\Version 2000 a 2020\PORINCO_PORCOIN\PORINCO. Book\NORMALIZATION xls y pdf\"/>
    </mc:Choice>
  </mc:AlternateContent>
  <xr:revisionPtr revIDLastSave="0" documentId="13_ncr:1_{01CF372C-581D-4553-81B7-9BE967115FB6}" xr6:coauthVersionLast="47" xr6:coauthVersionMax="47" xr10:uidLastSave="{00000000-0000-0000-0000-000000000000}"/>
  <bookViews>
    <workbookView xWindow="-108" yWindow="-108" windowWidth="23256" windowHeight="12456" tabRatio="767" activeTab="1" xr2:uid="{FA2858C1-E8EC-46A7-A9BB-24B30D85A792}"/>
  </bookViews>
  <sheets>
    <sheet name="Homicidios (-) 2021 " sheetId="8" r:id="rId1"/>
    <sheet name="Employment rate (+) 202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8" l="1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8" i="8"/>
  <c r="Q9" i="8"/>
  <c r="Q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7" i="8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AJ79" i="2"/>
  <c r="AJ78" i="2"/>
  <c r="AJ77" i="2"/>
  <c r="AJ76" i="2"/>
  <c r="AJ75" i="2"/>
  <c r="AJ74" i="2"/>
  <c r="AJ73" i="2"/>
  <c r="AJ71" i="2"/>
  <c r="AJ70" i="2"/>
  <c r="AJ69" i="2"/>
  <c r="AJ68" i="2"/>
  <c r="AJ67" i="2"/>
  <c r="AJ66" i="2"/>
  <c r="AJ65" i="2"/>
  <c r="AJ64" i="2"/>
  <c r="AK63" i="2"/>
  <c r="AJ63" i="2"/>
  <c r="AI63" i="2"/>
  <c r="AC63" i="2"/>
  <c r="AD63" i="2"/>
  <c r="AE63" i="2"/>
  <c r="AF63" i="2"/>
  <c r="AB63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1" i="2"/>
  <c r="C45" i="8"/>
  <c r="O14" i="8" s="1"/>
  <c r="P14" i="8" s="1"/>
  <c r="C44" i="8"/>
  <c r="C43" i="8"/>
  <c r="C42" i="8"/>
  <c r="C41" i="8"/>
  <c r="C40" i="8"/>
  <c r="D14" i="8" s="1"/>
  <c r="AJ81" i="2"/>
  <c r="AJ80" i="2"/>
  <c r="M7" i="8" l="1"/>
  <c r="N7" i="8" s="1"/>
  <c r="M28" i="8"/>
  <c r="N28" i="8" s="1"/>
  <c r="M18" i="8"/>
  <c r="N18" i="8" s="1"/>
  <c r="O34" i="8"/>
  <c r="P34" i="8" s="1"/>
  <c r="O26" i="8"/>
  <c r="P26" i="8" s="1"/>
  <c r="O10" i="8"/>
  <c r="P10" i="8" s="1"/>
  <c r="M17" i="8"/>
  <c r="N17" i="8" s="1"/>
  <c r="O25" i="8"/>
  <c r="P25" i="8" s="1"/>
  <c r="O9" i="8"/>
  <c r="P9" i="8" s="1"/>
  <c r="M38" i="8"/>
  <c r="N38" i="8" s="1"/>
  <c r="M31" i="8"/>
  <c r="N31" i="8" s="1"/>
  <c r="M20" i="8"/>
  <c r="N20" i="8" s="1"/>
  <c r="O38" i="8"/>
  <c r="P38" i="8" s="1"/>
  <c r="O30" i="8"/>
  <c r="P30" i="8" s="1"/>
  <c r="M34" i="8"/>
  <c r="N34" i="8" s="1"/>
  <c r="M23" i="8"/>
  <c r="N23" i="8" s="1"/>
  <c r="M12" i="8"/>
  <c r="N12" i="8" s="1"/>
  <c r="O18" i="8"/>
  <c r="P18" i="8" s="1"/>
  <c r="M33" i="8"/>
  <c r="N33" i="8" s="1"/>
  <c r="O33" i="8"/>
  <c r="P33" i="8" s="1"/>
  <c r="O17" i="8"/>
  <c r="P17" i="8" s="1"/>
  <c r="M32" i="8"/>
  <c r="N32" i="8" s="1"/>
  <c r="M27" i="8"/>
  <c r="N27" i="8" s="1"/>
  <c r="M22" i="8"/>
  <c r="N22" i="8" s="1"/>
  <c r="M16" i="8"/>
  <c r="N16" i="8" s="1"/>
  <c r="M11" i="8"/>
  <c r="N11" i="8" s="1"/>
  <c r="O32" i="8"/>
  <c r="P32" i="8" s="1"/>
  <c r="O24" i="8"/>
  <c r="P24" i="8" s="1"/>
  <c r="O16" i="8"/>
  <c r="P16" i="8" s="1"/>
  <c r="O8" i="8"/>
  <c r="P8" i="8" s="1"/>
  <c r="M37" i="8"/>
  <c r="N37" i="8" s="1"/>
  <c r="M21" i="8"/>
  <c r="N21" i="8" s="1"/>
  <c r="O7" i="8"/>
  <c r="P7" i="8" s="1"/>
  <c r="O31" i="8"/>
  <c r="P31" i="8" s="1"/>
  <c r="O23" i="8"/>
  <c r="P23" i="8" s="1"/>
  <c r="O15" i="8"/>
  <c r="P15" i="8" s="1"/>
  <c r="M36" i="8"/>
  <c r="N36" i="8" s="1"/>
  <c r="M15" i="8"/>
  <c r="N15" i="8" s="1"/>
  <c r="O22" i="8"/>
  <c r="P22" i="8" s="1"/>
  <c r="M25" i="8"/>
  <c r="N25" i="8" s="1"/>
  <c r="M9" i="8"/>
  <c r="N9" i="8" s="1"/>
  <c r="O37" i="8"/>
  <c r="P37" i="8" s="1"/>
  <c r="O29" i="8"/>
  <c r="P29" i="8" s="1"/>
  <c r="O21" i="8"/>
  <c r="P21" i="8" s="1"/>
  <c r="O13" i="8"/>
  <c r="P13" i="8" s="1"/>
  <c r="M35" i="8"/>
  <c r="N35" i="8" s="1"/>
  <c r="M30" i="8"/>
  <c r="N30" i="8" s="1"/>
  <c r="M24" i="8"/>
  <c r="N24" i="8" s="1"/>
  <c r="M19" i="8"/>
  <c r="N19" i="8" s="1"/>
  <c r="M14" i="8"/>
  <c r="N14" i="8" s="1"/>
  <c r="M8" i="8"/>
  <c r="N8" i="8" s="1"/>
  <c r="O36" i="8"/>
  <c r="P36" i="8" s="1"/>
  <c r="O28" i="8"/>
  <c r="P28" i="8" s="1"/>
  <c r="O20" i="8"/>
  <c r="P20" i="8" s="1"/>
  <c r="O12" i="8"/>
  <c r="P12" i="8" s="1"/>
  <c r="M29" i="8"/>
  <c r="N29" i="8" s="1"/>
  <c r="M13" i="8"/>
  <c r="N13" i="8" s="1"/>
  <c r="O35" i="8"/>
  <c r="P35" i="8" s="1"/>
  <c r="O27" i="8"/>
  <c r="P27" i="8" s="1"/>
  <c r="O19" i="8"/>
  <c r="P19" i="8" s="1"/>
  <c r="O11" i="8"/>
  <c r="P11" i="8" s="1"/>
  <c r="M26" i="8"/>
  <c r="N26" i="8" s="1"/>
  <c r="M10" i="8"/>
  <c r="N10" i="8" s="1"/>
  <c r="AJ72" i="2"/>
  <c r="P11" i="2"/>
  <c r="P35" i="2"/>
  <c r="P27" i="2"/>
  <c r="P26" i="2"/>
  <c r="P25" i="2"/>
  <c r="P40" i="2"/>
  <c r="P32" i="2"/>
  <c r="P24" i="2"/>
  <c r="P16" i="2"/>
  <c r="P42" i="2"/>
  <c r="P33" i="2"/>
  <c r="P39" i="2"/>
  <c r="P31" i="2"/>
  <c r="P23" i="2"/>
  <c r="P15" i="2"/>
  <c r="P17" i="2"/>
  <c r="P38" i="2"/>
  <c r="P30" i="2"/>
  <c r="P22" i="2"/>
  <c r="P14" i="2"/>
  <c r="P34" i="2"/>
  <c r="P41" i="2"/>
  <c r="P37" i="2"/>
  <c r="P29" i="2"/>
  <c r="P21" i="2"/>
  <c r="P13" i="2"/>
  <c r="P19" i="2"/>
  <c r="P18" i="2"/>
  <c r="P36" i="2"/>
  <c r="P28" i="2"/>
  <c r="P20" i="2"/>
  <c r="P12" i="2"/>
  <c r="D25" i="8"/>
  <c r="D11" i="8"/>
  <c r="D23" i="8"/>
  <c r="D33" i="8"/>
  <c r="D10" i="8"/>
  <c r="D12" i="8"/>
  <c r="D7" i="8"/>
  <c r="D16" i="8"/>
  <c r="D8" i="8"/>
  <c r="D9" i="8"/>
  <c r="D19" i="8"/>
  <c r="D31" i="8"/>
  <c r="D13" i="8"/>
  <c r="D38" i="8"/>
  <c r="D15" i="8"/>
  <c r="D20" i="8"/>
  <c r="D27" i="8"/>
  <c r="D35" i="8"/>
  <c r="D17" i="8"/>
  <c r="D28" i="8"/>
  <c r="D24" i="8"/>
  <c r="D32" i="8"/>
  <c r="D21" i="8"/>
  <c r="D29" i="8"/>
  <c r="D37" i="8"/>
  <c r="D18" i="8"/>
  <c r="D26" i="8"/>
  <c r="D34" i="8"/>
  <c r="D36" i="8"/>
  <c r="D22" i="8"/>
  <c r="D30" i="8"/>
  <c r="C49" i="2"/>
  <c r="C48" i="2" l="1"/>
  <c r="C47" i="2"/>
  <c r="F17" i="2" l="1"/>
  <c r="F14" i="2"/>
  <c r="F30" i="2"/>
  <c r="F29" i="2"/>
  <c r="F28" i="2"/>
  <c r="F11" i="2"/>
  <c r="F35" i="2"/>
  <c r="F27" i="2"/>
  <c r="F19" i="2"/>
  <c r="F37" i="2"/>
  <c r="F13" i="2"/>
  <c r="F20" i="2"/>
  <c r="F42" i="2"/>
  <c r="F34" i="2"/>
  <c r="F26" i="2"/>
  <c r="F18" i="2"/>
  <c r="F38" i="2"/>
  <c r="F21" i="2"/>
  <c r="F36" i="2"/>
  <c r="F12" i="2"/>
  <c r="F41" i="2"/>
  <c r="F33" i="2"/>
  <c r="F25" i="2"/>
  <c r="F40" i="2"/>
  <c r="F32" i="2"/>
  <c r="F24" i="2"/>
  <c r="F16" i="2"/>
  <c r="F39" i="2"/>
  <c r="F31" i="2"/>
  <c r="F23" i="2"/>
  <c r="F15" i="2"/>
  <c r="F22" i="2"/>
  <c r="AI80" i="2"/>
  <c r="AI81" i="2"/>
  <c r="AI79" i="2" l="1"/>
  <c r="AI70" i="2"/>
  <c r="AI78" i="2"/>
  <c r="AI69" i="2"/>
  <c r="AI77" i="2"/>
  <c r="AI68" i="2"/>
  <c r="AI74" i="2"/>
  <c r="AI76" i="2"/>
  <c r="AI67" i="2"/>
  <c r="AI65" i="2"/>
  <c r="AI71" i="2"/>
  <c r="AI75" i="2"/>
  <c r="AI66" i="2"/>
  <c r="AI73" i="2"/>
  <c r="AI64" i="2"/>
  <c r="F48" i="2"/>
  <c r="F47" i="2"/>
  <c r="O32" i="2"/>
  <c r="O38" i="2"/>
  <c r="O19" i="2"/>
  <c r="O22" i="2"/>
  <c r="O15" i="2"/>
  <c r="O25" i="2"/>
  <c r="O26" i="2"/>
  <c r="O35" i="2"/>
  <c r="O23" i="2"/>
  <c r="O33" i="2"/>
  <c r="O34" i="2"/>
  <c r="O11" i="2"/>
  <c r="O17" i="2"/>
  <c r="O40" i="2"/>
  <c r="O31" i="2"/>
  <c r="O41" i="2"/>
  <c r="O42" i="2"/>
  <c r="O28" i="2"/>
  <c r="O14" i="2"/>
  <c r="O39" i="2"/>
  <c r="O12" i="2"/>
  <c r="O20" i="2"/>
  <c r="O29" i="2"/>
  <c r="O18" i="2"/>
  <c r="Z18" i="2" s="1"/>
  <c r="O16" i="2"/>
  <c r="O36" i="2"/>
  <c r="O13" i="2"/>
  <c r="O30" i="2"/>
  <c r="O27" i="2"/>
  <c r="O24" i="2"/>
  <c r="O21" i="2"/>
  <c r="Z21" i="2" s="1"/>
  <c r="O37" i="2"/>
  <c r="Z37" i="2" s="1"/>
  <c r="Z24" i="2" l="1"/>
  <c r="Z20" i="2"/>
  <c r="Z40" i="2"/>
  <c r="Z25" i="2"/>
  <c r="Z26" i="2"/>
  <c r="Z27" i="2"/>
  <c r="Z12" i="2"/>
  <c r="Z17" i="2"/>
  <c r="Z15" i="2"/>
  <c r="Z30" i="2"/>
  <c r="Z22" i="2"/>
  <c r="Z31" i="2"/>
  <c r="Z39" i="2"/>
  <c r="Z13" i="2"/>
  <c r="Z14" i="2"/>
  <c r="Z34" i="2"/>
  <c r="Z19" i="2"/>
  <c r="Z29" i="2"/>
  <c r="Z11" i="2"/>
  <c r="Z36" i="2"/>
  <c r="Z28" i="2"/>
  <c r="Z33" i="2"/>
  <c r="Z38" i="2"/>
  <c r="Z16" i="2"/>
  <c r="Z42" i="2"/>
  <c r="Z23" i="2"/>
  <c r="Z32" i="2"/>
  <c r="Z41" i="2"/>
  <c r="Z35" i="2"/>
  <c r="AI72" i="2"/>
  <c r="U37" i="2"/>
  <c r="U18" i="2"/>
  <c r="U41" i="2"/>
  <c r="U35" i="2"/>
  <c r="U21" i="2"/>
  <c r="U29" i="2"/>
  <c r="U31" i="2"/>
  <c r="U26" i="2"/>
  <c r="U25" i="2"/>
  <c r="U27" i="2"/>
  <c r="U12" i="2"/>
  <c r="U17" i="2"/>
  <c r="U15" i="2"/>
  <c r="U40" i="2"/>
  <c r="U30" i="2"/>
  <c r="U39" i="2"/>
  <c r="U11" i="2"/>
  <c r="U22" i="2"/>
  <c r="U24" i="2"/>
  <c r="U13" i="2"/>
  <c r="U14" i="2"/>
  <c r="U34" i="2"/>
  <c r="U38" i="2"/>
  <c r="U20" i="2"/>
  <c r="U36" i="2"/>
  <c r="U28" i="2"/>
  <c r="U33" i="2"/>
  <c r="U32" i="2"/>
  <c r="U16" i="2"/>
  <c r="U42" i="2"/>
  <c r="U23" i="2"/>
  <c r="U19" i="2"/>
  <c r="U45" i="2" l="1"/>
  <c r="U46" i="2"/>
  <c r="U44" i="2"/>
  <c r="AF25" i="2" s="1"/>
  <c r="C46" i="2"/>
  <c r="G12" i="2" s="1"/>
  <c r="C45" i="2"/>
  <c r="C44" i="2"/>
  <c r="AF31" i="2" l="1"/>
  <c r="AF32" i="2"/>
  <c r="AF22" i="2"/>
  <c r="AF23" i="2"/>
  <c r="AF28" i="2"/>
  <c r="AF12" i="2"/>
  <c r="AF42" i="2"/>
  <c r="AF29" i="2"/>
  <c r="AF11" i="2"/>
  <c r="AF17" i="2"/>
  <c r="AF30" i="2"/>
  <c r="AF33" i="2"/>
  <c r="AF16" i="2"/>
  <c r="AF19" i="2"/>
  <c r="AF40" i="2"/>
  <c r="AF27" i="2"/>
  <c r="AF20" i="2"/>
  <c r="AF18" i="2"/>
  <c r="AF34" i="2"/>
  <c r="AF26" i="2"/>
  <c r="AF41" i="2"/>
  <c r="AF14" i="2"/>
  <c r="AF13" i="2"/>
  <c r="AF24" i="2"/>
  <c r="AF37" i="2"/>
  <c r="AF21" i="2"/>
  <c r="AF38" i="2"/>
  <c r="AF39" i="2"/>
  <c r="AF35" i="2"/>
  <c r="AF15" i="2"/>
  <c r="AF36" i="2"/>
  <c r="D15" i="2"/>
  <c r="I52" i="2"/>
  <c r="AK42" i="2"/>
  <c r="AK41" i="2"/>
  <c r="AK21" i="2"/>
  <c r="AK11" i="2"/>
  <c r="AK37" i="2"/>
  <c r="AK12" i="2"/>
  <c r="AK15" i="2"/>
  <c r="AK31" i="2"/>
  <c r="AK25" i="2"/>
  <c r="AK24" i="2"/>
  <c r="AK14" i="2"/>
  <c r="AK30" i="2"/>
  <c r="AK36" i="2"/>
  <c r="AK33" i="2"/>
  <c r="AK16" i="2"/>
  <c r="AK38" i="2"/>
  <c r="AK18" i="2"/>
  <c r="AK35" i="2"/>
  <c r="AK19" i="2"/>
  <c r="AK23" i="2"/>
  <c r="AK27" i="2"/>
  <c r="AK17" i="2"/>
  <c r="AK29" i="2"/>
  <c r="AK26" i="2"/>
  <c r="AK22" i="2"/>
  <c r="AK13" i="2"/>
  <c r="AK40" i="2"/>
  <c r="AK39" i="2"/>
  <c r="AK28" i="2"/>
  <c r="AK32" i="2"/>
  <c r="AK34" i="2"/>
  <c r="AK20" i="2"/>
  <c r="E14" i="2"/>
  <c r="E15" i="2"/>
  <c r="G13" i="2"/>
  <c r="G16" i="2"/>
  <c r="G11" i="2"/>
  <c r="G14" i="2"/>
  <c r="G15" i="2"/>
  <c r="D12" i="2"/>
  <c r="D17" i="2"/>
  <c r="D18" i="2"/>
  <c r="D26" i="2"/>
  <c r="D34" i="2"/>
  <c r="D42" i="2"/>
  <c r="D27" i="2"/>
  <c r="D19" i="2"/>
  <c r="D35" i="2"/>
  <c r="D20" i="2"/>
  <c r="D28" i="2"/>
  <c r="D36" i="2"/>
  <c r="D22" i="2"/>
  <c r="D38" i="2"/>
  <c r="D23" i="2"/>
  <c r="D39" i="2"/>
  <c r="D24" i="2"/>
  <c r="D40" i="2"/>
  <c r="D21" i="2"/>
  <c r="D29" i="2"/>
  <c r="D37" i="2"/>
  <c r="D30" i="2"/>
  <c r="D31" i="2"/>
  <c r="D32" i="2"/>
  <c r="D41" i="2"/>
  <c r="D33" i="2"/>
  <c r="D25" i="2"/>
  <c r="E20" i="2"/>
  <c r="E28" i="2"/>
  <c r="E36" i="2"/>
  <c r="E21" i="2"/>
  <c r="E37" i="2"/>
  <c r="E29" i="2"/>
  <c r="E22" i="2"/>
  <c r="E30" i="2"/>
  <c r="E38" i="2"/>
  <c r="E32" i="2"/>
  <c r="E25" i="2"/>
  <c r="E34" i="2"/>
  <c r="E19" i="2"/>
  <c r="E23" i="2"/>
  <c r="E31" i="2"/>
  <c r="E39" i="2"/>
  <c r="E24" i="2"/>
  <c r="E40" i="2"/>
  <c r="E17" i="2"/>
  <c r="E33" i="2"/>
  <c r="E26" i="2"/>
  <c r="E42" i="2"/>
  <c r="E27" i="2"/>
  <c r="E41" i="2"/>
  <c r="E18" i="2"/>
  <c r="E35" i="2"/>
  <c r="G37" i="2"/>
  <c r="G22" i="2"/>
  <c r="G30" i="2"/>
  <c r="G38" i="2"/>
  <c r="G31" i="2"/>
  <c r="G23" i="2"/>
  <c r="G39" i="2"/>
  <c r="G24" i="2"/>
  <c r="G32" i="2"/>
  <c r="G40" i="2"/>
  <c r="G26" i="2"/>
  <c r="G42" i="2"/>
  <c r="G35" i="2"/>
  <c r="G28" i="2"/>
  <c r="G17" i="2"/>
  <c r="G25" i="2"/>
  <c r="G33" i="2"/>
  <c r="G41" i="2"/>
  <c r="G18" i="2"/>
  <c r="G34" i="2"/>
  <c r="G27" i="2"/>
  <c r="G20" i="2"/>
  <c r="G36" i="2"/>
  <c r="G29" i="2"/>
  <c r="G19" i="2"/>
  <c r="G21" i="2"/>
  <c r="E13" i="2"/>
  <c r="D11" i="2"/>
  <c r="E12" i="2"/>
  <c r="E11" i="2"/>
  <c r="D14" i="2"/>
  <c r="I46" i="2"/>
  <c r="D16" i="2"/>
  <c r="D13" i="2"/>
  <c r="E16" i="2"/>
  <c r="AF80" i="2"/>
  <c r="AK80" i="2"/>
  <c r="AK81" i="2"/>
  <c r="AF81" i="2"/>
  <c r="AK67" i="2" l="1"/>
  <c r="AK73" i="2"/>
  <c r="AK70" i="2"/>
  <c r="AK76" i="2"/>
  <c r="AK65" i="2"/>
  <c r="AK79" i="2"/>
  <c r="AK68" i="2"/>
  <c r="AK74" i="2"/>
  <c r="AK71" i="2"/>
  <c r="AK77" i="2"/>
  <c r="AK66" i="2"/>
  <c r="AK69" i="2"/>
  <c r="AK75" i="2"/>
  <c r="AK64" i="2"/>
  <c r="AK78" i="2"/>
  <c r="AF65" i="2"/>
  <c r="AF77" i="2"/>
  <c r="AF70" i="2"/>
  <c r="AF74" i="2"/>
  <c r="AF67" i="2"/>
  <c r="AF79" i="2"/>
  <c r="AF64" i="2"/>
  <c r="AF76" i="2"/>
  <c r="AF69" i="2"/>
  <c r="AF73" i="2"/>
  <c r="AF66" i="2"/>
  <c r="AF78" i="2"/>
  <c r="AF71" i="2"/>
  <c r="AF75" i="2"/>
  <c r="AF68" i="2"/>
  <c r="E48" i="2"/>
  <c r="E47" i="2"/>
  <c r="AF44" i="2"/>
  <c r="K12" i="2"/>
  <c r="L16" i="2"/>
  <c r="L13" i="2"/>
  <c r="M18" i="2"/>
  <c r="K16" i="2"/>
  <c r="L15" i="2"/>
  <c r="L33" i="2"/>
  <c r="W33" i="2" s="1"/>
  <c r="L34" i="2"/>
  <c r="L21" i="2"/>
  <c r="K33" i="2"/>
  <c r="K40" i="2"/>
  <c r="K20" i="2"/>
  <c r="K17" i="2"/>
  <c r="K13" i="2"/>
  <c r="M21" i="2"/>
  <c r="M41" i="2"/>
  <c r="M40" i="2"/>
  <c r="M22" i="2"/>
  <c r="L17" i="2"/>
  <c r="L25" i="2"/>
  <c r="L36" i="2"/>
  <c r="K41" i="2"/>
  <c r="K24" i="2"/>
  <c r="K35" i="2"/>
  <c r="K15" i="2"/>
  <c r="M19" i="2"/>
  <c r="L32" i="2"/>
  <c r="M29" i="2"/>
  <c r="L38" i="2"/>
  <c r="K23" i="2"/>
  <c r="K14" i="2"/>
  <c r="M36" i="2"/>
  <c r="M17" i="2"/>
  <c r="M39" i="2"/>
  <c r="M11" i="2"/>
  <c r="L41" i="2"/>
  <c r="L39" i="2"/>
  <c r="L30" i="2"/>
  <c r="K30" i="2"/>
  <c r="K38" i="2"/>
  <c r="K42" i="2"/>
  <c r="M26" i="2"/>
  <c r="M30" i="2"/>
  <c r="M37" i="2"/>
  <c r="L35" i="2"/>
  <c r="L28" i="2"/>
  <c r="K19" i="2"/>
  <c r="M24" i="2"/>
  <c r="L20" i="2"/>
  <c r="K31" i="2"/>
  <c r="L11" i="2"/>
  <c r="M20" i="2"/>
  <c r="M28" i="2"/>
  <c r="M23" i="2"/>
  <c r="M12" i="2"/>
  <c r="L27" i="2"/>
  <c r="L31" i="2"/>
  <c r="L22" i="2"/>
  <c r="M13" i="2"/>
  <c r="K37" i="2"/>
  <c r="K22" i="2"/>
  <c r="K34" i="2"/>
  <c r="M32" i="2"/>
  <c r="K32" i="2"/>
  <c r="H18" i="2"/>
  <c r="H26" i="2"/>
  <c r="H34" i="2"/>
  <c r="H42" i="2"/>
  <c r="H19" i="2"/>
  <c r="H27" i="2"/>
  <c r="H35" i="2"/>
  <c r="H20" i="2"/>
  <c r="H28" i="2"/>
  <c r="H36" i="2"/>
  <c r="H22" i="2"/>
  <c r="H23" i="2"/>
  <c r="H31" i="2"/>
  <c r="H40" i="2"/>
  <c r="H17" i="2"/>
  <c r="H41" i="2"/>
  <c r="H21" i="2"/>
  <c r="H29" i="2"/>
  <c r="H37" i="2"/>
  <c r="H30" i="2"/>
  <c r="H38" i="2"/>
  <c r="H39" i="2"/>
  <c r="H32" i="2"/>
  <c r="H25" i="2"/>
  <c r="H24" i="2"/>
  <c r="H33" i="2"/>
  <c r="L18" i="2"/>
  <c r="K27" i="2"/>
  <c r="L12" i="2"/>
  <c r="M27" i="2"/>
  <c r="M35" i="2"/>
  <c r="X35" i="2" s="1"/>
  <c r="M31" i="2"/>
  <c r="L42" i="2"/>
  <c r="L23" i="2"/>
  <c r="L29" i="2"/>
  <c r="L14" i="2"/>
  <c r="K29" i="2"/>
  <c r="K36" i="2"/>
  <c r="K26" i="2"/>
  <c r="V26" i="2" s="1"/>
  <c r="M16" i="2"/>
  <c r="M33" i="2"/>
  <c r="L40" i="2"/>
  <c r="K39" i="2"/>
  <c r="M25" i="2"/>
  <c r="M15" i="2"/>
  <c r="L24" i="2"/>
  <c r="M14" i="2"/>
  <c r="X14" i="2" s="1"/>
  <c r="K11" i="2"/>
  <c r="M34" i="2"/>
  <c r="M42" i="2"/>
  <c r="M38" i="2"/>
  <c r="L26" i="2"/>
  <c r="L19" i="2"/>
  <c r="L37" i="2"/>
  <c r="K25" i="2"/>
  <c r="V25" i="2" s="1"/>
  <c r="K21" i="2"/>
  <c r="K28" i="2"/>
  <c r="K18" i="2"/>
  <c r="H11" i="2"/>
  <c r="H13" i="2"/>
  <c r="H15" i="2"/>
  <c r="H16" i="2"/>
  <c r="H14" i="2"/>
  <c r="H12" i="2"/>
  <c r="V30" i="2" l="1"/>
  <c r="W37" i="2"/>
  <c r="W24" i="2"/>
  <c r="V36" i="2"/>
  <c r="X27" i="2"/>
  <c r="V34" i="2"/>
  <c r="X23" i="2"/>
  <c r="W28" i="2"/>
  <c r="W30" i="2"/>
  <c r="V23" i="2"/>
  <c r="V41" i="2"/>
  <c r="V13" i="2"/>
  <c r="W15" i="2"/>
  <c r="X32" i="2"/>
  <c r="W19" i="2"/>
  <c r="X15" i="2"/>
  <c r="V29" i="2"/>
  <c r="W12" i="2"/>
  <c r="V22" i="2"/>
  <c r="X28" i="2"/>
  <c r="W35" i="2"/>
  <c r="W39" i="2"/>
  <c r="W38" i="2"/>
  <c r="W36" i="2"/>
  <c r="V17" i="2"/>
  <c r="V16" i="2"/>
  <c r="V14" i="2"/>
  <c r="W26" i="2"/>
  <c r="X25" i="2"/>
  <c r="W14" i="2"/>
  <c r="V27" i="2"/>
  <c r="V37" i="2"/>
  <c r="X20" i="2"/>
  <c r="X37" i="2"/>
  <c r="W41" i="2"/>
  <c r="X29" i="2"/>
  <c r="W25" i="2"/>
  <c r="V20" i="2"/>
  <c r="X18" i="2"/>
  <c r="X21" i="2"/>
  <c r="X38" i="2"/>
  <c r="V39" i="2"/>
  <c r="W29" i="2"/>
  <c r="W18" i="2"/>
  <c r="X13" i="2"/>
  <c r="W11" i="2"/>
  <c r="X30" i="2"/>
  <c r="X11" i="2"/>
  <c r="W32" i="2"/>
  <c r="W17" i="2"/>
  <c r="V40" i="2"/>
  <c r="W13" i="2"/>
  <c r="X12" i="2"/>
  <c r="V18" i="2"/>
  <c r="W40" i="2"/>
  <c r="W22" i="2"/>
  <c r="V31" i="2"/>
  <c r="X26" i="2"/>
  <c r="X39" i="2"/>
  <c r="X19" i="2"/>
  <c r="X22" i="2"/>
  <c r="V33" i="2"/>
  <c r="W16" i="2"/>
  <c r="V19" i="2"/>
  <c r="X42" i="2"/>
  <c r="W23" i="2"/>
  <c r="V28" i="2"/>
  <c r="X34" i="2"/>
  <c r="X33" i="2"/>
  <c r="W42" i="2"/>
  <c r="W31" i="2"/>
  <c r="W20" i="2"/>
  <c r="V42" i="2"/>
  <c r="X17" i="2"/>
  <c r="V15" i="2"/>
  <c r="X40" i="2"/>
  <c r="W21" i="2"/>
  <c r="V12" i="2"/>
  <c r="V24" i="2"/>
  <c r="V21" i="2"/>
  <c r="V11" i="2"/>
  <c r="X16" i="2"/>
  <c r="X31" i="2"/>
  <c r="V32" i="2"/>
  <c r="W27" i="2"/>
  <c r="X24" i="2"/>
  <c r="V38" i="2"/>
  <c r="X36" i="2"/>
  <c r="V35" i="2"/>
  <c r="X41" i="2"/>
  <c r="W34" i="2"/>
  <c r="AF72" i="2"/>
  <c r="AK72" i="2"/>
  <c r="Q18" i="2"/>
  <c r="R40" i="2"/>
  <c r="R23" i="2"/>
  <c r="N33" i="2"/>
  <c r="N29" i="2"/>
  <c r="N36" i="2"/>
  <c r="S26" i="2"/>
  <c r="S42" i="2"/>
  <c r="Q31" i="2"/>
  <c r="R15" i="2"/>
  <c r="S33" i="2"/>
  <c r="N21" i="2"/>
  <c r="Q42" i="2"/>
  <c r="N12" i="2"/>
  <c r="Q21" i="2"/>
  <c r="Q11" i="2"/>
  <c r="S16" i="2"/>
  <c r="S31" i="2"/>
  <c r="N25" i="2"/>
  <c r="N41" i="2"/>
  <c r="N20" i="2"/>
  <c r="Q32" i="2"/>
  <c r="R27" i="2"/>
  <c r="S24" i="2"/>
  <c r="Q38" i="2"/>
  <c r="S36" i="2"/>
  <c r="Q35" i="2"/>
  <c r="S41" i="2"/>
  <c r="R34" i="2"/>
  <c r="N14" i="2"/>
  <c r="Q25" i="2"/>
  <c r="S14" i="2"/>
  <c r="Q26" i="2"/>
  <c r="S35" i="2"/>
  <c r="N32" i="2"/>
  <c r="N17" i="2"/>
  <c r="N35" i="2"/>
  <c r="S32" i="2"/>
  <c r="S12" i="2"/>
  <c r="Q19" i="2"/>
  <c r="Q30" i="2"/>
  <c r="Q14" i="2"/>
  <c r="Q24" i="2"/>
  <c r="S21" i="2"/>
  <c r="R33" i="2"/>
  <c r="R22" i="2"/>
  <c r="S22" i="2"/>
  <c r="N24" i="2"/>
  <c r="R20" i="2"/>
  <c r="S40" i="2"/>
  <c r="N16" i="2"/>
  <c r="Y16" i="2" s="1"/>
  <c r="R37" i="2"/>
  <c r="R24" i="2"/>
  <c r="Q36" i="2"/>
  <c r="S27" i="2"/>
  <c r="N39" i="2"/>
  <c r="N40" i="2"/>
  <c r="N27" i="2"/>
  <c r="Q34" i="2"/>
  <c r="S23" i="2"/>
  <c r="R28" i="2"/>
  <c r="R30" i="2"/>
  <c r="Q23" i="2"/>
  <c r="Q41" i="2"/>
  <c r="Q13" i="2"/>
  <c r="Q12" i="2"/>
  <c r="S18" i="2"/>
  <c r="S19" i="2"/>
  <c r="S34" i="2"/>
  <c r="N18" i="2"/>
  <c r="Q15" i="2"/>
  <c r="N15" i="2"/>
  <c r="R19" i="2"/>
  <c r="S15" i="2"/>
  <c r="Q29" i="2"/>
  <c r="R12" i="2"/>
  <c r="N38" i="2"/>
  <c r="N31" i="2"/>
  <c r="N19" i="2"/>
  <c r="Q22" i="2"/>
  <c r="S28" i="2"/>
  <c r="R35" i="2"/>
  <c r="R39" i="2"/>
  <c r="R38" i="2"/>
  <c r="R36" i="2"/>
  <c r="Q17" i="2"/>
  <c r="R13" i="2"/>
  <c r="S39" i="2"/>
  <c r="Q28" i="2"/>
  <c r="N28" i="2"/>
  <c r="S17" i="2"/>
  <c r="N13" i="2"/>
  <c r="R26" i="2"/>
  <c r="S25" i="2"/>
  <c r="R14" i="2"/>
  <c r="Q27" i="2"/>
  <c r="N30" i="2"/>
  <c r="N23" i="2"/>
  <c r="N42" i="2"/>
  <c r="Y42" i="2" s="1"/>
  <c r="Q37" i="2"/>
  <c r="S20" i="2"/>
  <c r="S37" i="2"/>
  <c r="R41" i="2"/>
  <c r="S29" i="2"/>
  <c r="R25" i="2"/>
  <c r="Q20" i="2"/>
  <c r="R16" i="2"/>
  <c r="N26" i="2"/>
  <c r="Q33" i="2"/>
  <c r="R42" i="2"/>
  <c r="R31" i="2"/>
  <c r="R21" i="2"/>
  <c r="N11" i="2"/>
  <c r="S38" i="2"/>
  <c r="Q39" i="2"/>
  <c r="R29" i="2"/>
  <c r="R18" i="2"/>
  <c r="N37" i="2"/>
  <c r="N22" i="2"/>
  <c r="N34" i="2"/>
  <c r="S13" i="2"/>
  <c r="R11" i="2"/>
  <c r="S30" i="2"/>
  <c r="S11" i="2"/>
  <c r="R32" i="2"/>
  <c r="R17" i="2"/>
  <c r="Q40" i="2"/>
  <c r="Q16" i="2"/>
  <c r="Y25" i="2" l="1"/>
  <c r="AB20" i="2"/>
  <c r="Y23" i="2"/>
  <c r="Y28" i="2"/>
  <c r="Y27" i="2"/>
  <c r="AB14" i="2"/>
  <c r="AD33" i="2"/>
  <c r="Y11" i="2"/>
  <c r="Y30" i="2"/>
  <c r="AB13" i="2"/>
  <c r="Y40" i="2"/>
  <c r="AB18" i="2"/>
  <c r="Y34" i="2"/>
  <c r="AB11" i="2"/>
  <c r="Y22" i="2"/>
  <c r="Y19" i="2"/>
  <c r="AB23" i="2"/>
  <c r="AD30" i="2"/>
  <c r="Y15" i="2"/>
  <c r="AC17" i="2"/>
  <c r="Y37" i="2"/>
  <c r="Y31" i="2"/>
  <c r="Y18" i="2"/>
  <c r="AC30" i="2"/>
  <c r="Y14" i="2"/>
  <c r="Y12" i="2"/>
  <c r="Y36" i="2"/>
  <c r="AB16" i="2"/>
  <c r="Y24" i="2"/>
  <c r="AC26" i="2"/>
  <c r="Y38" i="2"/>
  <c r="Y35" i="2"/>
  <c r="AC34" i="2"/>
  <c r="Y20" i="2"/>
  <c r="Y29" i="2"/>
  <c r="Y32" i="2"/>
  <c r="Y39" i="2"/>
  <c r="AD14" i="2"/>
  <c r="Y26" i="2"/>
  <c r="Y13" i="2"/>
  <c r="AD19" i="2"/>
  <c r="Y17" i="2"/>
  <c r="Y41" i="2"/>
  <c r="Y21" i="2"/>
  <c r="Y33" i="2"/>
  <c r="V48" i="2"/>
  <c r="V44" i="2"/>
  <c r="V47" i="2"/>
  <c r="V45" i="2"/>
  <c r="S45" i="2"/>
  <c r="S46" i="2"/>
  <c r="R46" i="2"/>
  <c r="R45" i="2"/>
  <c r="Q46" i="2"/>
  <c r="Q45" i="2"/>
  <c r="S44" i="2"/>
  <c r="AD31" i="2" s="1"/>
  <c r="R44" i="2"/>
  <c r="AC35" i="2" s="1"/>
  <c r="Q44" i="2"/>
  <c r="AB39" i="2" s="1"/>
  <c r="T37" i="2"/>
  <c r="T36" i="2"/>
  <c r="T24" i="2"/>
  <c r="T31" i="2"/>
  <c r="T18" i="2"/>
  <c r="T26" i="2"/>
  <c r="T13" i="2"/>
  <c r="T38" i="2"/>
  <c r="T14" i="2"/>
  <c r="T12" i="2"/>
  <c r="T35" i="2"/>
  <c r="T20" i="2"/>
  <c r="T23" i="2"/>
  <c r="T28" i="2"/>
  <c r="T17" i="2"/>
  <c r="T41" i="2"/>
  <c r="T21" i="2"/>
  <c r="T19" i="2"/>
  <c r="T42" i="2"/>
  <c r="T11" i="2"/>
  <c r="T30" i="2"/>
  <c r="T25" i="2"/>
  <c r="T34" i="2"/>
  <c r="T27" i="2"/>
  <c r="T39" i="2"/>
  <c r="T16" i="2"/>
  <c r="T32" i="2"/>
  <c r="T22" i="2"/>
  <c r="T29" i="2"/>
  <c r="T15" i="2"/>
  <c r="T40" i="2"/>
  <c r="T33" i="2"/>
  <c r="AC37" i="2" l="1"/>
  <c r="AC29" i="2"/>
  <c r="AB42" i="2"/>
  <c r="AC22" i="2"/>
  <c r="AC42" i="2"/>
  <c r="AB35" i="2"/>
  <c r="AD22" i="2"/>
  <c r="AC31" i="2"/>
  <c r="AC21" i="2"/>
  <c r="AC20" i="2"/>
  <c r="AD36" i="2"/>
  <c r="AD23" i="2"/>
  <c r="AD11" i="2"/>
  <c r="AC36" i="2"/>
  <c r="AB22" i="2"/>
  <c r="AB36" i="2"/>
  <c r="AB29" i="2"/>
  <c r="AD27" i="2"/>
  <c r="AB24" i="2"/>
  <c r="AD13" i="2"/>
  <c r="AD35" i="2"/>
  <c r="AC12" i="2"/>
  <c r="AD20" i="2"/>
  <c r="AB40" i="2"/>
  <c r="AD26" i="2"/>
  <c r="AB15" i="2"/>
  <c r="AB41" i="2"/>
  <c r="AB31" i="2"/>
  <c r="AC19" i="2"/>
  <c r="AB34" i="2"/>
  <c r="AD40" i="2"/>
  <c r="AD38" i="2"/>
  <c r="AC38" i="2"/>
  <c r="AD39" i="2"/>
  <c r="AC33" i="2"/>
  <c r="AB33" i="2"/>
  <c r="AD42" i="2"/>
  <c r="AB21" i="2"/>
  <c r="AB27" i="2"/>
  <c r="AD16" i="2"/>
  <c r="AD28" i="2"/>
  <c r="AC16" i="2"/>
  <c r="AC11" i="2"/>
  <c r="AD41" i="2"/>
  <c r="AC24" i="2"/>
  <c r="AC18" i="2"/>
  <c r="AB32" i="2"/>
  <c r="AB17" i="2"/>
  <c r="AB19" i="2"/>
  <c r="AC27" i="2"/>
  <c r="AC13" i="2"/>
  <c r="AB38" i="2"/>
  <c r="AB28" i="2"/>
  <c r="AC40" i="2"/>
  <c r="AB12" i="2"/>
  <c r="AB37" i="2"/>
  <c r="AD17" i="2"/>
  <c r="AC28" i="2"/>
  <c r="AC32" i="2"/>
  <c r="AD25" i="2"/>
  <c r="AB25" i="2"/>
  <c r="AC14" i="2"/>
  <c r="AC23" i="2"/>
  <c r="AB26" i="2"/>
  <c r="AC15" i="2"/>
  <c r="AD15" i="2"/>
  <c r="AD18" i="2"/>
  <c r="AD21" i="2"/>
  <c r="AD34" i="2"/>
  <c r="AD24" i="2"/>
  <c r="AD32" i="2"/>
  <c r="AD37" i="2"/>
  <c r="AD29" i="2"/>
  <c r="AD12" i="2"/>
  <c r="AC41" i="2"/>
  <c r="AC39" i="2"/>
  <c r="AB30" i="2"/>
  <c r="AC25" i="2"/>
  <c r="AI13" i="2"/>
  <c r="AG35" i="2"/>
  <c r="AH42" i="2"/>
  <c r="AI32" i="2"/>
  <c r="AH12" i="2"/>
  <c r="AI14" i="2"/>
  <c r="AG34" i="2"/>
  <c r="AG23" i="2"/>
  <c r="AH40" i="2"/>
  <c r="AI38" i="2"/>
  <c r="AI29" i="2"/>
  <c r="AH29" i="2"/>
  <c r="AI20" i="2"/>
  <c r="AI39" i="2"/>
  <c r="AI26" i="2"/>
  <c r="AI42" i="2"/>
  <c r="AH21" i="2"/>
  <c r="AI30" i="2"/>
  <c r="AH26" i="2"/>
  <c r="AH17" i="2"/>
  <c r="AG13" i="2"/>
  <c r="AI16" i="2"/>
  <c r="AH15" i="2"/>
  <c r="AH23" i="2"/>
  <c r="AI41" i="2"/>
  <c r="AH34" i="2"/>
  <c r="AH18" i="2"/>
  <c r="AH27" i="2"/>
  <c r="AI15" i="2"/>
  <c r="AI11" i="2"/>
  <c r="AH35" i="2"/>
  <c r="AH38" i="2"/>
  <c r="AG20" i="2"/>
  <c r="AH20" i="2"/>
  <c r="AI31" i="2"/>
  <c r="AI33" i="2"/>
  <c r="AI21" i="2"/>
  <c r="AH33" i="2"/>
  <c r="AH32" i="2"/>
  <c r="AH22" i="2"/>
  <c r="AI12" i="2"/>
  <c r="AH19" i="2"/>
  <c r="AI36" i="2"/>
  <c r="AI18" i="2"/>
  <c r="AH37" i="2"/>
  <c r="AH24" i="2"/>
  <c r="AI22" i="2"/>
  <c r="AH30" i="2"/>
  <c r="AI27" i="2"/>
  <c r="AH11" i="2"/>
  <c r="AI28" i="2"/>
  <c r="AI35" i="2"/>
  <c r="AH39" i="2"/>
  <c r="AI23" i="2"/>
  <c r="AH28" i="2"/>
  <c r="AH14" i="2"/>
  <c r="AI25" i="2"/>
  <c r="AH13" i="2"/>
  <c r="AH25" i="2"/>
  <c r="AI40" i="2"/>
  <c r="AI17" i="2"/>
  <c r="AI19" i="2"/>
  <c r="AI34" i="2"/>
  <c r="AH31" i="2"/>
  <c r="AI37" i="2"/>
  <c r="AH41" i="2"/>
  <c r="AH16" i="2"/>
  <c r="AH36" i="2"/>
  <c r="AI24" i="2"/>
  <c r="AG11" i="2"/>
  <c r="AG28" i="2"/>
  <c r="AG24" i="2"/>
  <c r="AG27" i="2"/>
  <c r="AG37" i="2"/>
  <c r="AG17" i="2"/>
  <c r="AG31" i="2"/>
  <c r="AG36" i="2"/>
  <c r="AG42" i="2"/>
  <c r="AG39" i="2"/>
  <c r="AG21" i="2"/>
  <c r="T45" i="2"/>
  <c r="T46" i="2"/>
  <c r="AG33" i="2"/>
  <c r="AG18" i="2"/>
  <c r="AG32" i="2"/>
  <c r="AG29" i="2"/>
  <c r="AG38" i="2"/>
  <c r="AG16" i="2"/>
  <c r="AG25" i="2"/>
  <c r="AG15" i="2"/>
  <c r="AG26" i="2"/>
  <c r="AG14" i="2"/>
  <c r="AG19" i="2"/>
  <c r="AG41" i="2"/>
  <c r="AG30" i="2"/>
  <c r="AG12" i="2"/>
  <c r="AG22" i="2"/>
  <c r="AG40" i="2"/>
  <c r="T44" i="2"/>
  <c r="AE11" i="2" s="1"/>
  <c r="AD81" i="2"/>
  <c r="AB80" i="2"/>
  <c r="AC81" i="2"/>
  <c r="AC80" i="2"/>
  <c r="AB81" i="2"/>
  <c r="AD80" i="2"/>
  <c r="AE23" i="2" l="1"/>
  <c r="AE15" i="2"/>
  <c r="AE17" i="2"/>
  <c r="AE41" i="2"/>
  <c r="AE14" i="2"/>
  <c r="AE36" i="2"/>
  <c r="AE22" i="2"/>
  <c r="AE34" i="2"/>
  <c r="AE40" i="2"/>
  <c r="AE27" i="2"/>
  <c r="AE21" i="2"/>
  <c r="AE16" i="2"/>
  <c r="AE18" i="2"/>
  <c r="AE42" i="2"/>
  <c r="AE35" i="2"/>
  <c r="AE12" i="2"/>
  <c r="AE30" i="2"/>
  <c r="AE24" i="2"/>
  <c r="AE33" i="2"/>
  <c r="AE39" i="2"/>
  <c r="AE19" i="2"/>
  <c r="AE29" i="2"/>
  <c r="AE26" i="2"/>
  <c r="AE31" i="2"/>
  <c r="AE32" i="2"/>
  <c r="AE28" i="2"/>
  <c r="AE20" i="2"/>
  <c r="AE25" i="2"/>
  <c r="AE13" i="2"/>
  <c r="AE38" i="2"/>
  <c r="AE37" i="2"/>
  <c r="AB78" i="2"/>
  <c r="AB73" i="2"/>
  <c r="AB69" i="2"/>
  <c r="AB79" i="2"/>
  <c r="AB67" i="2"/>
  <c r="AB71" i="2"/>
  <c r="AD67" i="2"/>
  <c r="AD79" i="2"/>
  <c r="AD64" i="2"/>
  <c r="AD76" i="2"/>
  <c r="AD69" i="2"/>
  <c r="AD73" i="2"/>
  <c r="AD66" i="2"/>
  <c r="AD78" i="2"/>
  <c r="AD71" i="2"/>
  <c r="AD75" i="2"/>
  <c r="AD74" i="2"/>
  <c r="AD68" i="2"/>
  <c r="AD70" i="2"/>
  <c r="AD65" i="2"/>
  <c r="AD77" i="2"/>
  <c r="AB68" i="2"/>
  <c r="AB64" i="2"/>
  <c r="AB77" i="2"/>
  <c r="AB76" i="2"/>
  <c r="AB65" i="2"/>
  <c r="AB74" i="2"/>
  <c r="AB66" i="2"/>
  <c r="AC64" i="2"/>
  <c r="AC76" i="2"/>
  <c r="AC69" i="2"/>
  <c r="AC73" i="2"/>
  <c r="AC66" i="2"/>
  <c r="AC78" i="2"/>
  <c r="AC71" i="2"/>
  <c r="AC75" i="2"/>
  <c r="AC67" i="2"/>
  <c r="AC68" i="2"/>
  <c r="AC65" i="2"/>
  <c r="AC77" i="2"/>
  <c r="AC70" i="2"/>
  <c r="AC74" i="2"/>
  <c r="AC79" i="2"/>
  <c r="AB70" i="2"/>
  <c r="AB75" i="2"/>
  <c r="AB44" i="2"/>
  <c r="AC44" i="2"/>
  <c r="AD44" i="2"/>
  <c r="AJ15" i="2"/>
  <c r="AJ33" i="2"/>
  <c r="AJ29" i="2"/>
  <c r="AJ11" i="2"/>
  <c r="AJ32" i="2"/>
  <c r="AJ36" i="2"/>
  <c r="AJ12" i="2"/>
  <c r="AJ21" i="2"/>
  <c r="AJ38" i="2"/>
  <c r="AJ19" i="2"/>
  <c r="AJ28" i="2"/>
  <c r="AJ26" i="2"/>
  <c r="AJ41" i="2"/>
  <c r="AJ16" i="2"/>
  <c r="AJ25" i="2"/>
  <c r="AJ31" i="2"/>
  <c r="AJ13" i="2"/>
  <c r="AJ27" i="2"/>
  <c r="AJ22" i="2"/>
  <c r="AJ14" i="2"/>
  <c r="AJ20" i="2"/>
  <c r="AJ17" i="2"/>
  <c r="AJ39" i="2"/>
  <c r="AJ24" i="2"/>
  <c r="AJ18" i="2"/>
  <c r="AJ34" i="2"/>
  <c r="AJ37" i="2"/>
  <c r="AJ35" i="2"/>
  <c r="AJ23" i="2"/>
  <c r="AJ30" i="2"/>
  <c r="AJ40" i="2"/>
  <c r="AJ42" i="2"/>
  <c r="AE80" i="2"/>
  <c r="AE81" i="2"/>
  <c r="AB72" i="2" l="1"/>
  <c r="AD72" i="2"/>
  <c r="AE70" i="2"/>
  <c r="AE74" i="2"/>
  <c r="AE67" i="2"/>
  <c r="AE79" i="2"/>
  <c r="AE64" i="2"/>
  <c r="AE76" i="2"/>
  <c r="AE69" i="2"/>
  <c r="AE73" i="2"/>
  <c r="AE66" i="2"/>
  <c r="AE78" i="2"/>
  <c r="AE71" i="2"/>
  <c r="AE75" i="2"/>
  <c r="AE68" i="2"/>
  <c r="AE65" i="2"/>
  <c r="AE77" i="2"/>
  <c r="AC72" i="2"/>
  <c r="AE44" i="2"/>
  <c r="AE72" i="2" l="1"/>
</calcChain>
</file>

<file path=xl/sharedStrings.xml><?xml version="1.0" encoding="utf-8"?>
<sst xmlns="http://schemas.openxmlformats.org/spreadsheetml/2006/main" count="187" uniqueCount="113">
  <si>
    <t>c1</t>
  </si>
  <si>
    <t>Max</t>
  </si>
  <si>
    <t>Min</t>
  </si>
  <si>
    <t>Sum</t>
  </si>
  <si>
    <r>
      <t>r</t>
    </r>
    <r>
      <rPr>
        <vertAlign val="superscript"/>
        <sz val="11"/>
        <color theme="1"/>
        <rFont val="Aptos Narrow"/>
        <family val="2"/>
        <scheme val="minor"/>
      </rPr>
      <t>2</t>
    </r>
  </si>
  <si>
    <t>Min-Max</t>
  </si>
  <si>
    <t>Xi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</si>
  <si>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</si>
  <si>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</si>
  <si>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</si>
  <si>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</si>
  <si>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</si>
  <si>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</si>
  <si>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</si>
  <si>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</si>
  <si>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City of Mexico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</si>
  <si>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</si>
  <si>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</si>
  <si>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</si>
  <si>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</si>
  <si>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</si>
  <si>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</si>
  <si>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</si>
  <si>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</si>
  <si>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</si>
  <si>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</si>
  <si>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</si>
  <si>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</si>
  <si>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</si>
  <si>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</si>
  <si>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</si>
  <si>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</si>
  <si>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</si>
  <si>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</si>
  <si>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</si>
  <si>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</si>
  <si>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</si>
  <si>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</si>
  <si>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</si>
  <si>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z clásica</t>
  </si>
  <si>
    <t>Media</t>
  </si>
  <si>
    <t>Stdev</t>
  </si>
  <si>
    <t>zVT</t>
  </si>
  <si>
    <t>media</t>
  </si>
  <si>
    <t>stdev</t>
  </si>
  <si>
    <t>La estandarización (valores z) de las normalizaciones</t>
  </si>
  <si>
    <t>escaladas de 0 a 1 es igual a la  z clásica.</t>
  </si>
  <si>
    <t>Mediana</t>
  </si>
  <si>
    <t>Me= MAD</t>
  </si>
  <si>
    <t>min</t>
  </si>
  <si>
    <t>z'' equivale al min-max de todos los procedimientos z</t>
  </si>
  <si>
    <t>Gral (-)</t>
  </si>
  <si>
    <t xml:space="preserve">ZEB de </t>
  </si>
  <si>
    <t>70 a 130 (-)</t>
  </si>
  <si>
    <t xml:space="preserve">ZEB  </t>
  </si>
  <si>
    <t>Ej 60-100</t>
  </si>
  <si>
    <t>Base: 80</t>
  </si>
  <si>
    <t>Mediana (Ref)</t>
  </si>
  <si>
    <t>70 a 130 (+)</t>
  </si>
  <si>
    <t>200-zEB+</t>
  </si>
  <si>
    <t>Gral (+)</t>
  </si>
  <si>
    <t>160-zEB+</t>
  </si>
  <si>
    <t>Gral (-)=</t>
  </si>
  <si>
    <r>
      <t xml:space="preserve">Esta variable tiene polaridad </t>
    </r>
    <r>
      <rPr>
        <b/>
        <sz val="14"/>
        <color rgb="FFFF0000"/>
        <rFont val="Aptos Narrow"/>
        <family val="2"/>
        <scheme val="minor"/>
      </rPr>
      <t>negativa</t>
    </r>
    <r>
      <rPr>
        <b/>
        <sz val="14"/>
        <color theme="1"/>
        <rFont val="Aptos Narrow"/>
        <family val="2"/>
        <scheme val="minor"/>
      </rPr>
      <t xml:space="preserve"> en bienestar (mensaje positivo: 'menos es más'). Tendría polaridad positiva en un índice con mensaje negativo.</t>
    </r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</si>
  <si>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</si>
  <si>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</si>
  <si>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</si>
  <si>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</si>
  <si>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</si>
  <si>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</si>
  <si>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</si>
  <si>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</si>
  <si>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</si>
  <si>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</si>
  <si>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</si>
  <si>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</si>
  <si>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Count</t>
  </si>
  <si>
    <t>Geometric Mean</t>
  </si>
  <si>
    <t>Harmonic Mean</t>
  </si>
  <si>
    <t>AAD</t>
  </si>
  <si>
    <t>MAD</t>
  </si>
  <si>
    <t>IQR</t>
  </si>
  <si>
    <r>
      <t xml:space="preserve">Valores obtenidos con fórmulas </t>
    </r>
    <r>
      <rPr>
        <b/>
        <sz val="11"/>
        <color rgb="FFFF0000"/>
        <rFont val="Aptos Narrow"/>
        <family val="2"/>
        <scheme val="minor"/>
      </rPr>
      <t>originales</t>
    </r>
  </si>
  <si>
    <r>
      <t>para x &gt; ref</t>
    </r>
    <r>
      <rPr>
        <sz val="12"/>
        <color rgb="FF383838"/>
        <rFont val="Times New Roman"/>
        <family val="1"/>
      </rPr>
      <t xml:space="preserve">             </t>
    </r>
  </si>
  <si>
    <t xml:space="preserve"> para x &lt; ref     </t>
  </si>
  <si>
    <t>MaxD y MinD se refieren al valor máximo y mínimo deseados en la distribución</t>
  </si>
  <si>
    <t xml:space="preserve"> total (v.g., 130 y 70), sin tomar en cuenta la referencia (v.g., 100).</t>
  </si>
  <si>
    <t>Datos</t>
  </si>
  <si>
    <t>originales</t>
  </si>
  <si>
    <t>Normalizaciones lineales (misma asimetría y curtosis)</t>
  </si>
  <si>
    <t>Normalización, escala, re-rescala y balance(NERBA) de variables para un índice compuesto</t>
  </si>
  <si>
    <t>Escala de 0 a 1</t>
  </si>
  <si>
    <t>Re-escala de 70 a 130 sin referencia (sin balancear)</t>
  </si>
  <si>
    <t>Re-escala de 70 a 130, balanceada</t>
  </si>
  <si>
    <t>Valores con referencia a la mediana</t>
  </si>
  <si>
    <r>
      <t>1er paso: escala a cero=</t>
    </r>
    <r>
      <rPr>
        <b/>
        <sz val="11"/>
        <color rgb="FFFF0000"/>
        <rFont val="Aptos Narrow"/>
        <family val="2"/>
        <scheme val="minor"/>
      </rPr>
      <t xml:space="preserve"> z'</t>
    </r>
    <r>
      <rPr>
        <b/>
        <sz val="11"/>
        <color theme="0"/>
        <rFont val="Aptos Narrow"/>
        <family val="2"/>
        <scheme val="minor"/>
      </rPr>
      <t>= zi-min(zi)</t>
    </r>
  </si>
  <si>
    <r>
      <t xml:space="preserve">2do paso: escala de cero a la unidad, </t>
    </r>
    <r>
      <rPr>
        <b/>
        <sz val="11"/>
        <color rgb="FFFF0000"/>
        <rFont val="Aptos Narrow"/>
        <family val="2"/>
        <scheme val="minor"/>
      </rPr>
      <t>z''</t>
    </r>
    <r>
      <rPr>
        <b/>
        <sz val="11"/>
        <color theme="1"/>
        <rFont val="Aptos Narrow"/>
        <family val="2"/>
        <scheme val="minor"/>
      </rPr>
      <t>= z'/Max z'</t>
    </r>
  </si>
  <si>
    <t>Previamente llevadas de 0 a 1</t>
  </si>
  <si>
    <t>Fórmula general</t>
  </si>
  <si>
    <r>
      <t>Zhao, J. (2011). </t>
    </r>
    <r>
      <rPr>
        <i/>
        <sz val="10"/>
        <color rgb="FF333333"/>
        <rFont val="Verdana"/>
        <family val="2"/>
      </rPr>
      <t>Towards sustainable cities in China: Analysis and assessment of some Chinese cities in 2008</t>
    </r>
    <r>
      <rPr>
        <sz val="10"/>
        <color rgb="FF333333"/>
        <rFont val="Verdana"/>
        <family val="2"/>
      </rPr>
      <t>. Springer Science &amp; Business Media.</t>
    </r>
  </si>
  <si>
    <t>de 75 a 95</t>
  </si>
  <si>
    <r>
      <rPr>
        <b/>
        <sz val="11"/>
        <color rgb="FFFF0000"/>
        <rFont val="Aptos Narrow"/>
        <family val="2"/>
        <scheme val="minor"/>
      </rPr>
      <t>Sin</t>
    </r>
    <r>
      <rPr>
        <b/>
        <sz val="11"/>
        <color theme="1"/>
        <rFont val="Aptos Narrow"/>
        <family val="2"/>
        <scheme val="minor"/>
      </rPr>
      <t xml:space="preserve"> balance</t>
    </r>
  </si>
  <si>
    <t>Balanceada</t>
  </si>
  <si>
    <r>
      <t>Polaridad negativa [</t>
    </r>
    <r>
      <rPr>
        <b/>
        <sz val="11"/>
        <color rgb="FFFF0000"/>
        <rFont val="Aptos Narrow"/>
        <family val="2"/>
        <scheme val="minor"/>
      </rPr>
      <t>ZEB general (-)</t>
    </r>
    <r>
      <rPr>
        <b/>
        <sz val="11"/>
        <color theme="1"/>
        <rFont val="Aptos Narrow"/>
        <family val="2"/>
        <scheme val="minor"/>
      </rPr>
      <t>]</t>
    </r>
  </si>
  <si>
    <r>
      <t xml:space="preserve">Fórmula general </t>
    </r>
    <r>
      <rPr>
        <b/>
        <sz val="11"/>
        <color rgb="FFFF0000"/>
        <rFont val="Aptos Narrow"/>
        <family val="2"/>
        <scheme val="minor"/>
      </rPr>
      <t xml:space="preserve">sin </t>
    </r>
    <r>
      <rPr>
        <sz val="11"/>
        <color theme="1"/>
        <rFont val="Aptos Narrow"/>
        <family val="2"/>
        <scheme val="minor"/>
      </rPr>
      <t>balancear</t>
    </r>
  </si>
  <si>
    <t>SIN</t>
  </si>
  <si>
    <t>Balancear</t>
  </si>
  <si>
    <t>Base: 100</t>
  </si>
  <si>
    <r>
      <t xml:space="preserve">Polaridad negativa </t>
    </r>
    <r>
      <rPr>
        <b/>
        <sz val="11"/>
        <color rgb="FFFF0000"/>
        <rFont val="Aptos Narrow"/>
        <family val="2"/>
        <scheme val="minor"/>
      </rPr>
      <t>sin</t>
    </r>
    <r>
      <rPr>
        <b/>
        <sz val="11"/>
        <color theme="1"/>
        <rFont val="Aptos Narrow"/>
        <family val="2"/>
        <scheme val="minor"/>
      </rPr>
      <t xml:space="preserve"> balancear</t>
    </r>
  </si>
  <si>
    <t>Negativa</t>
  </si>
  <si>
    <t>Positiva</t>
  </si>
  <si>
    <t>Homicidios balanceado</t>
  </si>
  <si>
    <t>POLARIDAD POSITIVA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</si>
</sst>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8" formatCode="0.000"/>
  </numFmts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b/>
      <sz val="11"/>
      <color rgb="FFFF0000"/>
      <name val="Aptos Narrow"/>
      <family val="2"/>
      <scheme val="minor"/>
    </font>
    <font>
      <b/>
      <i/>
      <sz val="10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indexed="8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sz val="12"/>
      <color rgb="FF383838"/>
      <name val="Times New Roman"/>
      <family val="1"/>
    </font>
    <font>
      <sz val="11"/>
      <color rgb="FF000000"/>
      <name val="Times New Roman"/>
      <family val="1"/>
    </font>
    <font>
      <sz val="10"/>
      <color rgb="FF333333"/>
      <name val="Verdana"/>
      <family val="2"/>
    </font>
    <font>
      <i/>
      <sz val="10"/>
      <color rgb="FF333333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C4A5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7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5" fillId="0" borderId="0"/>
    <xf numFmtId="0" fontId="8" fillId="0" borderId="0"/>
    <xf numFmtId="0" fontId="10" fillId="0" borderId="0"/>
    <xf numFmtId="0" fontId="11" fillId="0" borderId="0" applyNumberFormat="0" applyFill="0" applyBorder="0" applyAlignment="0" applyProtection="0"/>
  </cellStyleXfs>
  <cellXfs count="12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6" borderId="0" xfId="0" applyNumberFormat="1" applyFill="1"/>
    <xf numFmtId="164" fontId="1" fillId="7" borderId="0" xfId="0" applyNumberFormat="1" applyFont="1" applyFill="1"/>
    <xf numFmtId="0" fontId="1" fillId="0" borderId="0" xfId="0" applyFont="1" applyAlignment="1">
      <alignment horizontal="right"/>
    </xf>
    <xf numFmtId="0" fontId="0" fillId="0" borderId="1" xfId="0" applyBorder="1"/>
    <xf numFmtId="165" fontId="4" fillId="2" borderId="2" xfId="0" applyNumberFormat="1" applyFont="1" applyFill="1" applyBorder="1" applyAlignment="1" applyProtection="1">
      <alignment horizontal="right" indent="2"/>
      <protection hidden="1"/>
    </xf>
    <xf numFmtId="165" fontId="4" fillId="2" borderId="2" xfId="0" applyNumberFormat="1" applyFont="1" applyFill="1" applyBorder="1" applyAlignment="1" applyProtection="1">
      <alignment horizontal="left"/>
      <protection hidden="1"/>
    </xf>
    <xf numFmtId="164" fontId="1" fillId="2" borderId="0" xfId="0" applyNumberFormat="1" applyFont="1" applyFill="1"/>
    <xf numFmtId="164" fontId="1" fillId="4" borderId="0" xfId="0" applyNumberFormat="1" applyFont="1" applyFill="1"/>
    <xf numFmtId="164" fontId="1" fillId="3" borderId="0" xfId="0" applyNumberFormat="1" applyFont="1" applyFill="1"/>
    <xf numFmtId="0" fontId="1" fillId="2" borderId="0" xfId="0" applyFont="1" applyFill="1"/>
    <xf numFmtId="165" fontId="1" fillId="0" borderId="0" xfId="0" applyNumberFormat="1" applyFont="1"/>
    <xf numFmtId="0" fontId="1" fillId="0" borderId="3" xfId="0" applyFont="1" applyBorder="1" applyAlignment="1">
      <alignment horizontal="center"/>
    </xf>
    <xf numFmtId="165" fontId="4" fillId="2" borderId="0" xfId="0" applyNumberFormat="1" applyFont="1" applyFill="1" applyAlignment="1" applyProtection="1">
      <alignment horizontal="left"/>
      <protection hidden="1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164" fontId="1" fillId="9" borderId="0" xfId="0" applyNumberFormat="1" applyFont="1" applyFill="1"/>
    <xf numFmtId="0" fontId="1" fillId="5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0" fillId="12" borderId="0" xfId="0" applyFill="1"/>
    <xf numFmtId="0" fontId="3" fillId="11" borderId="0" xfId="0" applyFont="1" applyFill="1"/>
    <xf numFmtId="0" fontId="1" fillId="12" borderId="0" xfId="0" applyFont="1" applyFill="1"/>
    <xf numFmtId="164" fontId="1" fillId="6" borderId="0" xfId="0" applyNumberFormat="1" applyFont="1" applyFill="1"/>
    <xf numFmtId="0" fontId="5" fillId="0" borderId="0" xfId="1"/>
    <xf numFmtId="165" fontId="0" fillId="0" borderId="0" xfId="0" applyNumberFormat="1"/>
    <xf numFmtId="164" fontId="3" fillId="13" borderId="0" xfId="0" applyNumberFormat="1" applyFont="1" applyFill="1"/>
    <xf numFmtId="164" fontId="3" fillId="13" borderId="4" xfId="0" applyNumberFormat="1" applyFont="1" applyFill="1" applyBorder="1"/>
    <xf numFmtId="164" fontId="3" fillId="13" borderId="8" xfId="0" applyNumberFormat="1" applyFont="1" applyFill="1" applyBorder="1"/>
    <xf numFmtId="164" fontId="3" fillId="13" borderId="5" xfId="0" applyNumberFormat="1" applyFont="1" applyFill="1" applyBorder="1"/>
    <xf numFmtId="0" fontId="1" fillId="2" borderId="6" xfId="0" applyFont="1" applyFill="1" applyBorder="1"/>
    <xf numFmtId="165" fontId="0" fillId="0" borderId="6" xfId="0" applyNumberFormat="1" applyBorder="1"/>
    <xf numFmtId="165" fontId="1" fillId="0" borderId="6" xfId="0" applyNumberFormat="1" applyFont="1" applyBorder="1"/>
    <xf numFmtId="165" fontId="0" fillId="0" borderId="9" xfId="0" applyNumberFormat="1" applyBorder="1"/>
    <xf numFmtId="165" fontId="0" fillId="0" borderId="10" xfId="0" applyNumberFormat="1" applyBorder="1"/>
    <xf numFmtId="0" fontId="6" fillId="0" borderId="0" xfId="0" applyFont="1"/>
    <xf numFmtId="0" fontId="7" fillId="0" borderId="0" xfId="0" applyFont="1" applyAlignment="1">
      <alignment horizontal="right"/>
    </xf>
    <xf numFmtId="168" fontId="0" fillId="0" borderId="0" xfId="0" applyNumberFormat="1"/>
    <xf numFmtId="168" fontId="1" fillId="0" borderId="0" xfId="0" applyNumberFormat="1" applyFont="1"/>
    <xf numFmtId="0" fontId="1" fillId="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165" fontId="12" fillId="2" borderId="2" xfId="0" applyNumberFormat="1" applyFont="1" applyFill="1" applyBorder="1" applyAlignment="1" applyProtection="1">
      <alignment horizontal="right" indent="2"/>
      <protection hidden="1"/>
    </xf>
    <xf numFmtId="0" fontId="6" fillId="3" borderId="0" xfId="0" quotePrefix="1" applyFont="1" applyFill="1" applyAlignment="1">
      <alignment horizontal="center"/>
    </xf>
    <xf numFmtId="165" fontId="0" fillId="3" borderId="0" xfId="0" applyNumberFormat="1" applyFill="1"/>
    <xf numFmtId="165" fontId="1" fillId="3" borderId="0" xfId="0" applyNumberFormat="1" applyFont="1" applyFill="1"/>
    <xf numFmtId="165" fontId="0" fillId="9" borderId="0" xfId="0" applyNumberFormat="1" applyFill="1"/>
    <xf numFmtId="165" fontId="1" fillId="9" borderId="0" xfId="0" applyNumberFormat="1" applyFont="1" applyFill="1"/>
    <xf numFmtId="0" fontId="13" fillId="0" borderId="0" xfId="0" applyFont="1"/>
    <xf numFmtId="0" fontId="0" fillId="0" borderId="3" xfId="0" applyBorder="1"/>
    <xf numFmtId="0" fontId="15" fillId="0" borderId="3" xfId="0" applyFont="1" applyBorder="1" applyAlignment="1">
      <alignment horizontal="center"/>
    </xf>
    <xf numFmtId="164" fontId="1" fillId="2" borderId="3" xfId="0" applyNumberFormat="1" applyFont="1" applyFill="1" applyBorder="1"/>
    <xf numFmtId="164" fontId="1" fillId="4" borderId="3" xfId="0" applyNumberFormat="1" applyFont="1" applyFill="1" applyBorder="1"/>
    <xf numFmtId="0" fontId="1" fillId="0" borderId="8" xfId="0" applyFont="1" applyBorder="1"/>
    <xf numFmtId="0" fontId="0" fillId="0" borderId="8" xfId="0" applyBorder="1"/>
    <xf numFmtId="0" fontId="1" fillId="0" borderId="5" xfId="0" applyFont="1" applyBorder="1"/>
    <xf numFmtId="0" fontId="0" fillId="0" borderId="10" xfId="0" applyBorder="1"/>
    <xf numFmtId="0" fontId="1" fillId="0" borderId="10" xfId="0" applyFont="1" applyBorder="1"/>
    <xf numFmtId="164" fontId="1" fillId="0" borderId="10" xfId="0" applyNumberFormat="1" applyFont="1" applyBorder="1"/>
    <xf numFmtId="165" fontId="1" fillId="0" borderId="10" xfId="0" applyNumberFormat="1" applyFont="1" applyBorder="1"/>
    <xf numFmtId="0" fontId="16" fillId="0" borderId="0" xfId="0" applyFont="1"/>
    <xf numFmtId="0" fontId="18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165" fontId="0" fillId="2" borderId="0" xfId="0" applyNumberFormat="1" applyFill="1"/>
    <xf numFmtId="0" fontId="0" fillId="16" borderId="0" xfId="0" applyFill="1"/>
    <xf numFmtId="0" fontId="1" fillId="16" borderId="0" xfId="0" applyFont="1" applyFill="1"/>
    <xf numFmtId="0" fontId="1" fillId="19" borderId="0" xfId="0" applyFont="1" applyFill="1"/>
    <xf numFmtId="0" fontId="1" fillId="9" borderId="3" xfId="0" applyFont="1" applyFill="1" applyBorder="1" applyAlignment="1">
      <alignment horizontal="right"/>
    </xf>
    <xf numFmtId="164" fontId="1" fillId="3" borderId="3" xfId="0" applyNumberFormat="1" applyFont="1" applyFill="1" applyBorder="1"/>
    <xf numFmtId="164" fontId="1" fillId="4" borderId="1" xfId="0" applyNumberFormat="1" applyFont="1" applyFill="1" applyBorder="1" applyAlignment="1">
      <alignment horizontal="left" indent="1"/>
    </xf>
    <xf numFmtId="0" fontId="3" fillId="18" borderId="0" xfId="0" applyFont="1" applyFill="1"/>
    <xf numFmtId="0" fontId="6" fillId="2" borderId="0" xfId="0" applyFont="1" applyFill="1"/>
    <xf numFmtId="0" fontId="0" fillId="2" borderId="0" xfId="0" applyFill="1"/>
    <xf numFmtId="0" fontId="0" fillId="5" borderId="13" xfId="0" applyFill="1" applyBorder="1" applyAlignment="1">
      <alignment horizontal="right"/>
    </xf>
    <xf numFmtId="0" fontId="3" fillId="18" borderId="14" xfId="0" applyFont="1" applyFill="1" applyBorder="1"/>
    <xf numFmtId="0" fontId="0" fillId="0" borderId="14" xfId="0" applyBorder="1"/>
    <xf numFmtId="0" fontId="3" fillId="11" borderId="14" xfId="0" applyFont="1" applyFill="1" applyBorder="1"/>
    <xf numFmtId="0" fontId="3" fillId="17" borderId="15" xfId="0" applyFont="1" applyFill="1" applyBorder="1" applyAlignment="1">
      <alignment horizontal="center"/>
    </xf>
    <xf numFmtId="164" fontId="0" fillId="0" borderId="14" xfId="0" applyNumberFormat="1" applyBorder="1"/>
    <xf numFmtId="164" fontId="1" fillId="0" borderId="14" xfId="0" applyNumberFormat="1" applyFont="1" applyBorder="1"/>
    <xf numFmtId="0" fontId="1" fillId="12" borderId="14" xfId="0" applyFont="1" applyFill="1" applyBorder="1"/>
    <xf numFmtId="164" fontId="0" fillId="6" borderId="14" xfId="0" applyNumberFormat="1" applyFill="1" applyBorder="1"/>
    <xf numFmtId="164" fontId="1" fillId="6" borderId="14" xfId="0" applyNumberFormat="1" applyFont="1" applyFill="1" applyBorder="1"/>
    <xf numFmtId="164" fontId="3" fillId="13" borderId="16" xfId="0" applyNumberFormat="1" applyFont="1" applyFill="1" applyBorder="1"/>
    <xf numFmtId="0" fontId="1" fillId="2" borderId="14" xfId="0" applyFont="1" applyFill="1" applyBorder="1"/>
    <xf numFmtId="165" fontId="0" fillId="0" borderId="14" xfId="0" applyNumberFormat="1" applyBorder="1"/>
    <xf numFmtId="165" fontId="1" fillId="0" borderId="14" xfId="0" applyNumberFormat="1" applyFont="1" applyBorder="1"/>
    <xf numFmtId="0" fontId="1" fillId="0" borderId="14" xfId="0" applyFont="1" applyBorder="1" applyAlignment="1"/>
    <xf numFmtId="164" fontId="3" fillId="13" borderId="14" xfId="0" applyNumberFormat="1" applyFont="1" applyFill="1" applyBorder="1"/>
    <xf numFmtId="0" fontId="1" fillId="8" borderId="14" xfId="0" applyFont="1" applyFill="1" applyBorder="1" applyAlignment="1">
      <alignment horizontal="left"/>
    </xf>
    <xf numFmtId="164" fontId="0" fillId="0" borderId="0" xfId="0" applyNumberFormat="1" applyBorder="1"/>
    <xf numFmtId="165" fontId="0" fillId="0" borderId="0" xfId="0" applyNumberFormat="1" applyBorder="1"/>
    <xf numFmtId="165" fontId="1" fillId="0" borderId="0" xfId="0" applyNumberFormat="1" applyFont="1" applyBorder="1"/>
    <xf numFmtId="165" fontId="0" fillId="0" borderId="17" xfId="0" applyNumberFormat="1" applyBorder="1"/>
    <xf numFmtId="0" fontId="19" fillId="0" borderId="0" xfId="0" applyFont="1"/>
    <xf numFmtId="0" fontId="1" fillId="20" borderId="0" xfId="0" applyFont="1" applyFill="1"/>
    <xf numFmtId="0" fontId="6" fillId="2" borderId="1" xfId="0" applyFont="1" applyFill="1" applyBorder="1"/>
    <xf numFmtId="0" fontId="6" fillId="2" borderId="12" xfId="0" applyFont="1" applyFill="1" applyBorder="1"/>
    <xf numFmtId="0" fontId="6" fillId="21" borderId="0" xfId="0" quotePrefix="1" applyFont="1" applyFill="1" applyAlignment="1">
      <alignment horizontal="center"/>
    </xf>
    <xf numFmtId="0" fontId="1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1" fillId="14" borderId="6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165" fontId="0" fillId="9" borderId="7" xfId="0" applyNumberFormat="1" applyFill="1" applyBorder="1"/>
    <xf numFmtId="165" fontId="1" fillId="9" borderId="7" xfId="0" applyNumberFormat="1" applyFont="1" applyFill="1" applyBorder="1"/>
    <xf numFmtId="165" fontId="0" fillId="9" borderId="11" xfId="0" applyNumberFormat="1" applyFill="1" applyBorder="1"/>
    <xf numFmtId="0" fontId="6" fillId="3" borderId="6" xfId="0" quotePrefix="1" applyFont="1" applyFill="1" applyBorder="1" applyAlignment="1">
      <alignment horizontal="center"/>
    </xf>
    <xf numFmtId="0" fontId="1" fillId="3" borderId="6" xfId="0" quotePrefix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6" fillId="3" borderId="20" xfId="0" quotePrefix="1" applyFont="1" applyFill="1" applyBorder="1" applyAlignment="1">
      <alignment horizontal="center"/>
    </xf>
    <xf numFmtId="0" fontId="1" fillId="3" borderId="20" xfId="0" quotePrefix="1" applyFont="1" applyFill="1" applyBorder="1" applyAlignment="1">
      <alignment horizontal="center"/>
    </xf>
    <xf numFmtId="165" fontId="0" fillId="3" borderId="20" xfId="0" applyNumberFormat="1" applyFill="1" applyBorder="1"/>
    <xf numFmtId="165" fontId="1" fillId="3" borderId="20" xfId="0" applyNumberFormat="1" applyFont="1" applyFill="1" applyBorder="1"/>
    <xf numFmtId="165" fontId="0" fillId="0" borderId="21" xfId="0" applyNumberFormat="1" applyBorder="1"/>
    <xf numFmtId="165" fontId="0" fillId="3" borderId="22" xfId="0" applyNumberFormat="1" applyFill="1" applyBorder="1"/>
  </cellXfs>
  <cellStyles count="7">
    <cellStyle name="Hipervínculo 2" xfId="2" xr:uid="{8734AC84-FBAA-4FED-A92E-DAA3743B6D84}"/>
    <cellStyle name="Hipervínculo 3" xfId="6" xr:uid="{F08FE00B-4563-4676-9779-6AD1A6CF11A4}"/>
    <cellStyle name="Normal" xfId="0" builtinId="0"/>
    <cellStyle name="Normal 2 2 2" xfId="3" xr:uid="{E4550CAD-7923-4922-8EFD-A6CFCC2F52BD}"/>
    <cellStyle name="Normal 6" xfId="5" xr:uid="{140E6DE7-827A-40A6-944A-47AFE89B1239}"/>
    <cellStyle name="Normal 7 2 2" xfId="4" xr:uid="{7443787E-3D41-4524-B841-706C2C390181}"/>
    <cellStyle name="Normal_Employment rate 2021" xfId="1" xr:uid="{12FF550E-306B-48A8-89A0-5867713CBF15}"/>
  </cellStyles>
  <dxfs count="0"/>
  <tableStyles count="0" defaultTableStyle="TableStyleMedium2" defaultPivotStyle="PivotStyleLight16"/>
  <colors>
    <mruColors>
      <color rgb="FFFC4A57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43</xdr:row>
      <xdr:rowOff>91440</xdr:rowOff>
    </xdr:from>
    <xdr:to>
      <xdr:col>3</xdr:col>
      <xdr:colOff>0</xdr:colOff>
      <xdr:row>78</xdr:row>
      <xdr:rowOff>15788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32660" y="8046720"/>
          <a:ext cx="0" cy="6325148"/>
          <a:chOff x="4549110" y="3848100"/>
          <a:chExt cx="5418300" cy="6325148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770120" y="3848100"/>
            <a:ext cx="5197290" cy="6325148"/>
          </a:xfrm>
          <a:prstGeom prst="rect">
            <a:avLst/>
          </a:prstGeom>
        </xdr:spPr>
      </xdr:pic>
      <xdr:sp macro="" textlink="">
        <xdr:nvSpPr>
          <xdr:cNvPr id="4" name="Forma libre: forma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549110" y="8359140"/>
            <a:ext cx="2461290" cy="968242"/>
          </a:xfrm>
          <a:custGeom>
            <a:avLst/>
            <a:gdLst>
              <a:gd name="connsiteX0" fmla="*/ 2392710 w 2461290"/>
              <a:gd name="connsiteY0" fmla="*/ 83820 h 968242"/>
              <a:gd name="connsiteX1" fmla="*/ 2049810 w 2461290"/>
              <a:gd name="connsiteY1" fmla="*/ 45720 h 968242"/>
              <a:gd name="connsiteX2" fmla="*/ 1638330 w 2461290"/>
              <a:gd name="connsiteY2" fmla="*/ 22860 h 968242"/>
              <a:gd name="connsiteX3" fmla="*/ 662970 w 2461290"/>
              <a:gd name="connsiteY3" fmla="*/ 0 h 968242"/>
              <a:gd name="connsiteX4" fmla="*/ 434370 w 2461290"/>
              <a:gd name="connsiteY4" fmla="*/ 76200 h 968242"/>
              <a:gd name="connsiteX5" fmla="*/ 83850 w 2461290"/>
              <a:gd name="connsiteY5" fmla="*/ 190500 h 968242"/>
              <a:gd name="connsiteX6" fmla="*/ 30 w 2461290"/>
              <a:gd name="connsiteY6" fmla="*/ 350520 h 968242"/>
              <a:gd name="connsiteX7" fmla="*/ 45750 w 2461290"/>
              <a:gd name="connsiteY7" fmla="*/ 601980 h 968242"/>
              <a:gd name="connsiteX8" fmla="*/ 274350 w 2461290"/>
              <a:gd name="connsiteY8" fmla="*/ 822960 h 968242"/>
              <a:gd name="connsiteX9" fmla="*/ 457230 w 2461290"/>
              <a:gd name="connsiteY9" fmla="*/ 906780 h 968242"/>
              <a:gd name="connsiteX10" fmla="*/ 975390 w 2461290"/>
              <a:gd name="connsiteY10" fmla="*/ 952500 h 968242"/>
              <a:gd name="connsiteX11" fmla="*/ 1219230 w 2461290"/>
              <a:gd name="connsiteY11" fmla="*/ 967740 h 968242"/>
              <a:gd name="connsiteX12" fmla="*/ 1927890 w 2461290"/>
              <a:gd name="connsiteY12" fmla="*/ 883920 h 968242"/>
              <a:gd name="connsiteX13" fmla="*/ 2126010 w 2461290"/>
              <a:gd name="connsiteY13" fmla="*/ 762000 h 968242"/>
              <a:gd name="connsiteX14" fmla="*/ 2179350 w 2461290"/>
              <a:gd name="connsiteY14" fmla="*/ 731520 h 968242"/>
              <a:gd name="connsiteX15" fmla="*/ 2362230 w 2461290"/>
              <a:gd name="connsiteY15" fmla="*/ 548640 h 968242"/>
              <a:gd name="connsiteX16" fmla="*/ 2423190 w 2461290"/>
              <a:gd name="connsiteY16" fmla="*/ 434340 h 968242"/>
              <a:gd name="connsiteX17" fmla="*/ 2461290 w 2461290"/>
              <a:gd name="connsiteY17" fmla="*/ 274320 h 968242"/>
              <a:gd name="connsiteX18" fmla="*/ 2400330 w 2461290"/>
              <a:gd name="connsiteY18" fmla="*/ 137160 h 968242"/>
              <a:gd name="connsiteX19" fmla="*/ 2385090 w 2461290"/>
              <a:gd name="connsiteY19" fmla="*/ 106680 h 968242"/>
              <a:gd name="connsiteX20" fmla="*/ 2354610 w 2461290"/>
              <a:gd name="connsiteY20" fmla="*/ 83820 h 968242"/>
              <a:gd name="connsiteX21" fmla="*/ 2324130 w 2461290"/>
              <a:gd name="connsiteY21" fmla="*/ 68580 h 9682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</a:cxnLst>
            <a:rect l="l" t="t" r="r" b="b"/>
            <a:pathLst>
              <a:path w="2461290" h="968242">
                <a:moveTo>
                  <a:pt x="2392710" y="83820"/>
                </a:moveTo>
                <a:cubicBezTo>
                  <a:pt x="2240737" y="53425"/>
                  <a:pt x="2301948" y="62718"/>
                  <a:pt x="2049810" y="45720"/>
                </a:cubicBezTo>
                <a:cubicBezTo>
                  <a:pt x="1912750" y="36480"/>
                  <a:pt x="1775534" y="29636"/>
                  <a:pt x="1638330" y="22860"/>
                </a:cubicBezTo>
                <a:cubicBezTo>
                  <a:pt x="1369058" y="9563"/>
                  <a:pt x="780033" y="2318"/>
                  <a:pt x="662970" y="0"/>
                </a:cubicBezTo>
                <a:cubicBezTo>
                  <a:pt x="384241" y="37164"/>
                  <a:pt x="719221" y="-21066"/>
                  <a:pt x="434370" y="76200"/>
                </a:cubicBezTo>
                <a:cubicBezTo>
                  <a:pt x="-75447" y="250284"/>
                  <a:pt x="509634" y="-1103"/>
                  <a:pt x="83850" y="190500"/>
                </a:cubicBezTo>
                <a:cubicBezTo>
                  <a:pt x="69696" y="212743"/>
                  <a:pt x="-1692" y="313502"/>
                  <a:pt x="30" y="350520"/>
                </a:cubicBezTo>
                <a:cubicBezTo>
                  <a:pt x="3988" y="435622"/>
                  <a:pt x="18295" y="521331"/>
                  <a:pt x="45750" y="601980"/>
                </a:cubicBezTo>
                <a:cubicBezTo>
                  <a:pt x="76008" y="690862"/>
                  <a:pt x="207381" y="783387"/>
                  <a:pt x="274350" y="822960"/>
                </a:cubicBezTo>
                <a:cubicBezTo>
                  <a:pt x="332082" y="857074"/>
                  <a:pt x="392841" y="888049"/>
                  <a:pt x="457230" y="906780"/>
                </a:cubicBezTo>
                <a:cubicBezTo>
                  <a:pt x="624643" y="955482"/>
                  <a:pt x="804233" y="947874"/>
                  <a:pt x="975390" y="952500"/>
                </a:cubicBezTo>
                <a:cubicBezTo>
                  <a:pt x="1056670" y="957580"/>
                  <a:pt x="1137856" y="970995"/>
                  <a:pt x="1219230" y="967740"/>
                </a:cubicBezTo>
                <a:cubicBezTo>
                  <a:pt x="1626240" y="951460"/>
                  <a:pt x="1632970" y="942904"/>
                  <a:pt x="1927890" y="883920"/>
                </a:cubicBezTo>
                <a:cubicBezTo>
                  <a:pt x="1993930" y="843280"/>
                  <a:pt x="2058684" y="800472"/>
                  <a:pt x="2126010" y="762000"/>
                </a:cubicBezTo>
                <a:cubicBezTo>
                  <a:pt x="2143790" y="751840"/>
                  <a:pt x="2164303" y="745410"/>
                  <a:pt x="2179350" y="731520"/>
                </a:cubicBezTo>
                <a:cubicBezTo>
                  <a:pt x="2499523" y="435976"/>
                  <a:pt x="2231304" y="653381"/>
                  <a:pt x="2362230" y="548640"/>
                </a:cubicBezTo>
                <a:cubicBezTo>
                  <a:pt x="2382550" y="510540"/>
                  <a:pt x="2412717" y="476231"/>
                  <a:pt x="2423190" y="434340"/>
                </a:cubicBezTo>
                <a:cubicBezTo>
                  <a:pt x="2451730" y="320182"/>
                  <a:pt x="2439234" y="373570"/>
                  <a:pt x="2461290" y="274320"/>
                </a:cubicBezTo>
                <a:cubicBezTo>
                  <a:pt x="2445957" y="182323"/>
                  <a:pt x="2465821" y="268142"/>
                  <a:pt x="2400330" y="137160"/>
                </a:cubicBezTo>
                <a:cubicBezTo>
                  <a:pt x="2395250" y="127000"/>
                  <a:pt x="2392482" y="115305"/>
                  <a:pt x="2385090" y="106680"/>
                </a:cubicBezTo>
                <a:cubicBezTo>
                  <a:pt x="2376825" y="97037"/>
                  <a:pt x="2365380" y="90551"/>
                  <a:pt x="2354610" y="83820"/>
                </a:cubicBezTo>
                <a:cubicBezTo>
                  <a:pt x="2344977" y="77800"/>
                  <a:pt x="2324130" y="68580"/>
                  <a:pt x="2324130" y="68580"/>
                </a:cubicBezTo>
              </a:path>
            </a:pathLst>
          </a:cu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oneCellAnchor>
    <xdr:from>
      <xdr:col>6</xdr:col>
      <xdr:colOff>251460</xdr:colOff>
      <xdr:row>16</xdr:row>
      <xdr:rowOff>7620</xdr:rowOff>
    </xdr:from>
    <xdr:ext cx="4959956" cy="3924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4602480" y="2948940"/>
              <a:ext cx="4959956" cy="392430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Ref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Es la medida de tendencia central de la distribución (v.g., media o </a:t>
              </a:r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mediana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Base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Es el punto medio deseado para el intervalo definido por el valor mínimo deseado (</a:t>
              </a:r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MínD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más el valor máximo deseado (</a:t>
              </a:r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MáxD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tal como 100, 10, etc. Puede ser expresado de esta manera: Base=(MínD+MáxD)/2.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MX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el caso de 70 y 130, la suma es 200 y el punto medio es 100. De manera similar, en el recorrido de 60 a 100, el punto medio deseado es 80.</a:t>
              </a:r>
              <a:endParaRPr lang="es-MX">
                <a:effectLst/>
              </a:endParaRPr>
            </a:p>
            <a:p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El número que se agrega (resta) a la base es resulatdo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 la siguiente expresión:</a:t>
              </a:r>
            </a:p>
            <a:p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(MáxD-MínD)/2. 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La división entre dos indica la mitad del intervalo (30 en el caso del intervalo 70 a 130) que se agrega a la base o punto medio (v.g., Ref= Media o Mediana) para obtener el límite superior (130) o inferior (70).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La idea es la misma para variables con polaridad negativa manipulando la fórmula para que ‘menos sea más’ en el índice compuesto. </a:t>
              </a:r>
            </a:p>
            <a:p>
              <a:endParaRPr lang="es-MX" sz="1100"/>
            </a:p>
            <a:p>
              <a:r>
                <a:rPr lang="es-MX" sz="1100"/>
                <a:t>Otra forma de obtener zEB</a:t>
              </a:r>
              <a:r>
                <a:rPr lang="es-MX" sz="1100" baseline="0"/>
                <a:t> para una variable con polaridad negativa es restar ZEB+ a la suma de MínD+MínD. En el caso del intervalo 70 a 130:</a:t>
              </a:r>
            </a:p>
            <a:p>
              <a14:m>
                <m:oMath xmlns:m="http://schemas.openxmlformats.org/officeDocument/2006/math">
                  <m:sSubSup>
                    <m:sSub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𝐸𝐵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&gt; 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sub>
                    <m:sup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‒</m:t>
                      </m:r>
                    </m:sup>
                  </m:sSubSup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200 − </m:t>
                  </m:r>
                  <m:sSubSup>
                    <m:sSub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𝐸𝐵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&gt; 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sub>
                    <m:sup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</m:sup>
                  </m:sSubSup>
                </m:oMath>
              </a14:m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MX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𝐸𝐵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&lt;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‒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200 − </m:t>
                    </m:r>
                    <m:sSubSup>
                      <m:sSubSup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𝐸𝐵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&lt;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sup>
                    </m:sSubSup>
                  </m:oMath>
                </m:oMathPara>
              </a14:m>
              <a:endParaRPr lang="es-MX" sz="1100" baseline="0"/>
            </a:p>
            <a:p>
              <a:endParaRPr lang="es-MX" sz="1100" baseline="0"/>
            </a:p>
            <a:p>
              <a:r>
                <a:rPr lang="es-MX" sz="1100" baseline="0"/>
                <a:t>En el caso de 60 a 100:</a:t>
              </a:r>
            </a:p>
            <a:p>
              <a14:m>
                <m:oMath xmlns:m="http://schemas.openxmlformats.org/officeDocument/2006/math">
                  <m:sSubSup>
                    <m:sSub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𝐸𝐵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&gt; 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sub>
                    <m:sup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‒</m:t>
                      </m:r>
                    </m:sup>
                  </m:sSubSup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MX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16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0 − </m:t>
                  </m:r>
                  <m:sSubSup>
                    <m:sSubSupPr>
                      <m:ctrlPr>
                        <a:rPr lang="es-MX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𝐸𝐵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&gt; 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sub>
                    <m:sup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</m:sup>
                  </m:sSubSup>
                </m:oMath>
              </a14:m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MX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𝐸𝐵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&lt;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‒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16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0 − </m:t>
                    </m:r>
                    <m:sSubSup>
                      <m:sSubSup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𝐸𝐵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&lt; 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</m:sup>
                    </m:sSubSup>
                  </m:oMath>
                </m:oMathPara>
              </a14:m>
              <a:endParaRPr lang="es-MX" sz="1100" baseline="0"/>
            </a:p>
            <a:p>
              <a:endParaRPr lang="es-MX" sz="1100" baseline="0"/>
            </a:p>
            <a:p>
              <a:r>
                <a:rPr lang="es-MX" sz="1100" baseline="0"/>
                <a:t> </a:t>
              </a: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C5E436C0-F14D-7B09-ECEE-B4FED102A742}"/>
                </a:ext>
              </a:extLst>
            </xdr:cNvPr>
            <xdr:cNvSpPr txBox="1"/>
          </xdr:nvSpPr>
          <xdr:spPr>
            <a:xfrm>
              <a:off x="4602480" y="2948940"/>
              <a:ext cx="4959956" cy="3924300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Ref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Es la medida de tendencia central de la distribución (v.g., media o </a:t>
              </a:r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mediana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Base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Es el punto medio deseado para el intervalo definido por el valor mínimo deseado (</a:t>
              </a:r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MínD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más el valor máximo deseado (</a:t>
              </a:r>
              <a:r>
                <a:rPr lang="es-MX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MáxD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tal como 100, 10, etc. Puede ser expresado de esta manera: Base=(MínD+MáxD)/2.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MX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En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el caso de 70 y 130, la suma es 200 y el punto medio es 100. De manera similar, en el recorrido de 60 a 100, el punto medio deseado es 80.</a:t>
              </a:r>
              <a:endParaRPr lang="es-MX">
                <a:effectLst/>
              </a:endParaRPr>
            </a:p>
            <a:p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El número que se agrega (resta) a la base es resulatdo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 la siguiente expresión:</a:t>
              </a:r>
            </a:p>
            <a:p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(MáxD-MínD)/2. 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La división entre dos indica la mitad del intervalo (30 en el caso del intervalo 70 a 130) que se agrega a la base o punto medio (v.g., Ref= Media o Mediana) para obtener el límite superior (130) o inferior (70).</a:t>
              </a:r>
              <a:r>
                <a:rPr lang="es-MX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La idea es la misma para variables con polaridad negativa manipulando la fórmula para que ‘menos sea más’ en el índice compuesto. </a:t>
              </a:r>
            </a:p>
            <a:p>
              <a:endParaRPr lang="es-MX" sz="1100"/>
            </a:p>
            <a:p>
              <a:r>
                <a:rPr lang="es-MX" sz="1100"/>
                <a:t>Otra forma de obtener zEB</a:t>
              </a:r>
              <a:r>
                <a:rPr lang="es-MX" sz="1100" baseline="0"/>
                <a:t> para una variable con polaridad negativa es restar ZEB+ a la suma de MínD+MínD. En el caso del intervalo 70 a 130:</a:t>
              </a:r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&gt;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^‒= 200 − 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&gt;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^+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MX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&lt;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^‒= 200 − 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&lt;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^+</a:t>
              </a:r>
              <a:endParaRPr lang="es-MX" sz="1100" baseline="0"/>
            </a:p>
            <a:p>
              <a:pPr/>
              <a:endParaRPr lang="es-MX" sz="1100" baseline="0"/>
            </a:p>
            <a:p>
              <a:r>
                <a:rPr lang="es-MX" sz="1100" baseline="0"/>
                <a:t>En el caso de 60 a 100: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&gt;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^‒=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0 − 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&gt;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^+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MX">
                <a:effectLst/>
              </a:endParaRPr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&lt;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^‒=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0 − 𝑧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𝐸𝐵 &lt; 𝑅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^+</a:t>
              </a:r>
              <a:endParaRPr lang="es-MX" sz="1100" baseline="0"/>
            </a:p>
            <a:p>
              <a:endParaRPr lang="es-MX" sz="1100" baseline="0"/>
            </a:p>
            <a:p>
              <a:r>
                <a:rPr lang="es-MX" sz="1100" baseline="0"/>
                <a:t> </a:t>
              </a:r>
            </a:p>
            <a:p>
              <a:endParaRPr lang="es-MX" sz="1100"/>
            </a:p>
          </xdr:txBody>
        </xdr:sp>
      </mc:Fallback>
    </mc:AlternateContent>
    <xdr:clientData/>
  </xdr:oneCellAnchor>
  <xdr:twoCellAnchor>
    <xdr:from>
      <xdr:col>6</xdr:col>
      <xdr:colOff>274320</xdr:colOff>
      <xdr:row>27</xdr:row>
      <xdr:rowOff>144780</xdr:rowOff>
    </xdr:from>
    <xdr:to>
      <xdr:col>12</xdr:col>
      <xdr:colOff>457200</xdr:colOff>
      <xdr:row>36</xdr:row>
      <xdr:rowOff>160020</xdr:rowOff>
    </xdr:to>
    <xdr:sp macro="" textlink="">
      <xdr:nvSpPr>
        <xdr:cNvPr id="42" name="Rectángulo: esquinas redondeada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625340" y="5097780"/>
          <a:ext cx="4937760" cy="166116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449580</xdr:colOff>
      <xdr:row>31</xdr:row>
      <xdr:rowOff>15240</xdr:rowOff>
    </xdr:from>
    <xdr:to>
      <xdr:col>13</xdr:col>
      <xdr:colOff>381000</xdr:colOff>
      <xdr:row>31</xdr:row>
      <xdr:rowOff>22860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6385560" y="5699760"/>
          <a:ext cx="389382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33</xdr:row>
      <xdr:rowOff>144780</xdr:rowOff>
    </xdr:from>
    <xdr:to>
      <xdr:col>15</xdr:col>
      <xdr:colOff>243840</xdr:colOff>
      <xdr:row>33</xdr:row>
      <xdr:rowOff>160020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V="1">
          <a:off x="6240780" y="6195060"/>
          <a:ext cx="5486400" cy="152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662940</xdr:colOff>
      <xdr:row>40</xdr:row>
      <xdr:rowOff>22860</xdr:rowOff>
    </xdr:from>
    <xdr:to>
      <xdr:col>8</xdr:col>
      <xdr:colOff>487680</xdr:colOff>
      <xdr:row>42</xdr:row>
      <xdr:rowOff>15240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7399020"/>
          <a:ext cx="35280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670560</xdr:colOff>
      <xdr:row>38</xdr:row>
      <xdr:rowOff>7620</xdr:rowOff>
    </xdr:from>
    <xdr:to>
      <xdr:col>3</xdr:col>
      <xdr:colOff>670560</xdr:colOff>
      <xdr:row>40</xdr:row>
      <xdr:rowOff>15240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2903220" y="7018020"/>
          <a:ext cx="0" cy="3733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655320</xdr:colOff>
      <xdr:row>49</xdr:row>
      <xdr:rowOff>0</xdr:rowOff>
    </xdr:from>
    <xdr:to>
      <xdr:col>4</xdr:col>
      <xdr:colOff>358359</xdr:colOff>
      <xdr:row>54</xdr:row>
      <xdr:rowOff>175354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DD17A9A-9624-44F6-BAE3-7F0DC2CC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1060" y="9037320"/>
          <a:ext cx="2522439" cy="1089754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6</xdr:row>
      <xdr:rowOff>175260</xdr:rowOff>
    </xdr:from>
    <xdr:ext cx="374904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D898D65-8A19-4660-9213-7DA74C386C48}"/>
                </a:ext>
              </a:extLst>
            </xdr:cNvPr>
            <xdr:cNvSpPr txBox="1"/>
          </xdr:nvSpPr>
          <xdr:spPr>
            <a:xfrm>
              <a:off x="5143500" y="1333500"/>
              <a:ext cx="3749040" cy="380361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𝐸𝐵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&lt;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𝑅𝑒𝑓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𝑅𝑒𝑓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𝑀𝑖𝑛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𝑀𝑎𝑥𝐷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𝑀𝑖𝑛𝐷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𝑀𝑎𝑥𝐷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𝑀𝑖𝑛𝐷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D898D65-8A19-4660-9213-7DA74C386C48}"/>
                </a:ext>
              </a:extLst>
            </xdr:cNvPr>
            <xdr:cNvSpPr txBox="1"/>
          </xdr:nvSpPr>
          <xdr:spPr>
            <a:xfrm>
              <a:off x="5143500" y="1333500"/>
              <a:ext cx="3749040" cy="380361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𝑧_(𝐸𝐵&lt;𝑅)^−=(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(𝑅𝑒𝑓−𝑥)/(𝑅𝑒𝑓−𝑀𝑖𝑛)∗(𝑀𝑎𝑥𝐷−𝑀𝑖𝑛𝐷)/2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latin typeface="Cambria Math" panose="02040503050406030204" pitchFamily="18" charset="0"/>
                </a:rPr>
                <a:t>+(𝑀𝑎𝑥𝐷+𝑀𝑖𝑛𝐷)/2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114300</xdr:rowOff>
    </xdr:from>
    <xdr:ext cx="3749040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2C834B6-4771-490D-A5C2-D2B8FE12DCD2}"/>
                </a:ext>
              </a:extLst>
            </xdr:cNvPr>
            <xdr:cNvSpPr txBox="1"/>
          </xdr:nvSpPr>
          <xdr:spPr>
            <a:xfrm>
              <a:off x="5143500" y="906780"/>
              <a:ext cx="3749040" cy="380361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𝐸𝐵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&gt;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sup>
                    </m:sSubSup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𝑅𝑒𝑓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𝑀𝑎𝑥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𝑅𝑒𝑓</m:t>
                            </m:r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𝑀𝑎𝑥𝐷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𝑀𝑖𝑛𝐷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𝑀𝑎𝑥𝐷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𝑀𝑖𝑛𝐷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42C834B6-4771-490D-A5C2-D2B8FE12DCD2}"/>
                </a:ext>
              </a:extLst>
            </xdr:cNvPr>
            <xdr:cNvSpPr txBox="1"/>
          </xdr:nvSpPr>
          <xdr:spPr>
            <a:xfrm>
              <a:off x="5143500" y="906780"/>
              <a:ext cx="3749040" cy="380361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𝑧_(𝐸𝐵&gt;𝑅)^−=(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(𝑅𝑒𝑓−𝑥)/(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𝑀𝑎𝑥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𝑅𝑒𝑓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)∗(𝑀𝑎𝑥𝐷−𝑀𝑖𝑛𝐷)/2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MX" sz="1100" b="0" i="0">
                  <a:latin typeface="Cambria Math" panose="02040503050406030204" pitchFamily="18" charset="0"/>
                </a:rPr>
                <a:t>+(𝑀𝑎𝑥𝐷+𝑀𝑖𝑛𝐷)/2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6</xdr:col>
      <xdr:colOff>66721</xdr:colOff>
      <xdr:row>9</xdr:row>
      <xdr:rowOff>77466</xdr:rowOff>
    </xdr:from>
    <xdr:to>
      <xdr:col>11</xdr:col>
      <xdr:colOff>739140</xdr:colOff>
      <xdr:row>13</xdr:row>
      <xdr:rowOff>114300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758E28D-E18D-47DE-ADCB-FDD96BA982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55143"/>
        <a:stretch/>
      </xdr:blipFill>
      <xdr:spPr>
        <a:xfrm>
          <a:off x="4417741" y="1799586"/>
          <a:ext cx="4634819" cy="768354"/>
        </a:xfrm>
        <a:prstGeom prst="rect">
          <a:avLst/>
        </a:prstGeom>
      </xdr:spPr>
    </xdr:pic>
    <xdr:clientData/>
  </xdr:twoCellAnchor>
  <xdr:twoCellAnchor>
    <xdr:from>
      <xdr:col>17</xdr:col>
      <xdr:colOff>22860</xdr:colOff>
      <xdr:row>3</xdr:row>
      <xdr:rowOff>30480</xdr:rowOff>
    </xdr:from>
    <xdr:to>
      <xdr:col>21</xdr:col>
      <xdr:colOff>381000</xdr:colOff>
      <xdr:row>5</xdr:row>
      <xdr:rowOff>22860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700A33B8-5502-4B87-B6E6-3773691BA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160" y="640080"/>
          <a:ext cx="35280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54</xdr:row>
      <xdr:rowOff>0</xdr:rowOff>
    </xdr:from>
    <xdr:to>
      <xdr:col>4</xdr:col>
      <xdr:colOff>30547</xdr:colOff>
      <xdr:row>56</xdr:row>
      <xdr:rowOff>167686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7840" y="8641080"/>
          <a:ext cx="777307" cy="533446"/>
        </a:xfrm>
        <a:prstGeom prst="rect">
          <a:avLst/>
        </a:prstGeom>
      </xdr:spPr>
    </xdr:pic>
    <xdr:clientData/>
  </xdr:twoCellAnchor>
  <xdr:twoCellAnchor editAs="oneCell">
    <xdr:from>
      <xdr:col>5</xdr:col>
      <xdr:colOff>213360</xdr:colOff>
      <xdr:row>49</xdr:row>
      <xdr:rowOff>53340</xdr:rowOff>
    </xdr:from>
    <xdr:to>
      <xdr:col>7</xdr:col>
      <xdr:colOff>205836</xdr:colOff>
      <xdr:row>53</xdr:row>
      <xdr:rowOff>129610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6120" y="9113520"/>
          <a:ext cx="1104996" cy="80779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</xdr:colOff>
      <xdr:row>44</xdr:row>
      <xdr:rowOff>137160</xdr:rowOff>
    </xdr:from>
    <xdr:to>
      <xdr:col>9</xdr:col>
      <xdr:colOff>38210</xdr:colOff>
      <xdr:row>49</xdr:row>
      <xdr:rowOff>30550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7700" y="7185660"/>
          <a:ext cx="1272650" cy="807790"/>
        </a:xfrm>
        <a:prstGeom prst="rect">
          <a:avLst/>
        </a:prstGeom>
      </xdr:spPr>
    </xdr:pic>
    <xdr:clientData/>
  </xdr:twoCellAnchor>
  <xdr:twoCellAnchor>
    <xdr:from>
      <xdr:col>12</xdr:col>
      <xdr:colOff>312390</xdr:colOff>
      <xdr:row>49</xdr:row>
      <xdr:rowOff>144780</xdr:rowOff>
    </xdr:from>
    <xdr:to>
      <xdr:col>19</xdr:col>
      <xdr:colOff>411930</xdr:colOff>
      <xdr:row>84</xdr:row>
      <xdr:rowOff>69128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7360890" y="9197340"/>
          <a:ext cx="3459960" cy="6378488"/>
          <a:chOff x="4549110" y="3848100"/>
          <a:chExt cx="5418300" cy="6325148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770120" y="3848100"/>
            <a:ext cx="5197290" cy="6325148"/>
          </a:xfrm>
          <a:prstGeom prst="rect">
            <a:avLst/>
          </a:prstGeom>
        </xdr:spPr>
      </xdr:pic>
      <xdr:sp macro="" textlink="">
        <xdr:nvSpPr>
          <xdr:cNvPr id="13" name="Forma libre: forma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4549110" y="8359140"/>
            <a:ext cx="2461290" cy="968242"/>
          </a:xfrm>
          <a:custGeom>
            <a:avLst/>
            <a:gdLst>
              <a:gd name="connsiteX0" fmla="*/ 2392710 w 2461290"/>
              <a:gd name="connsiteY0" fmla="*/ 83820 h 968242"/>
              <a:gd name="connsiteX1" fmla="*/ 2049810 w 2461290"/>
              <a:gd name="connsiteY1" fmla="*/ 45720 h 968242"/>
              <a:gd name="connsiteX2" fmla="*/ 1638330 w 2461290"/>
              <a:gd name="connsiteY2" fmla="*/ 22860 h 968242"/>
              <a:gd name="connsiteX3" fmla="*/ 662970 w 2461290"/>
              <a:gd name="connsiteY3" fmla="*/ 0 h 968242"/>
              <a:gd name="connsiteX4" fmla="*/ 434370 w 2461290"/>
              <a:gd name="connsiteY4" fmla="*/ 76200 h 968242"/>
              <a:gd name="connsiteX5" fmla="*/ 83850 w 2461290"/>
              <a:gd name="connsiteY5" fmla="*/ 190500 h 968242"/>
              <a:gd name="connsiteX6" fmla="*/ 30 w 2461290"/>
              <a:gd name="connsiteY6" fmla="*/ 350520 h 968242"/>
              <a:gd name="connsiteX7" fmla="*/ 45750 w 2461290"/>
              <a:gd name="connsiteY7" fmla="*/ 601980 h 968242"/>
              <a:gd name="connsiteX8" fmla="*/ 274350 w 2461290"/>
              <a:gd name="connsiteY8" fmla="*/ 822960 h 968242"/>
              <a:gd name="connsiteX9" fmla="*/ 457230 w 2461290"/>
              <a:gd name="connsiteY9" fmla="*/ 906780 h 968242"/>
              <a:gd name="connsiteX10" fmla="*/ 975390 w 2461290"/>
              <a:gd name="connsiteY10" fmla="*/ 952500 h 968242"/>
              <a:gd name="connsiteX11" fmla="*/ 1219230 w 2461290"/>
              <a:gd name="connsiteY11" fmla="*/ 967740 h 968242"/>
              <a:gd name="connsiteX12" fmla="*/ 1927890 w 2461290"/>
              <a:gd name="connsiteY12" fmla="*/ 883920 h 968242"/>
              <a:gd name="connsiteX13" fmla="*/ 2126010 w 2461290"/>
              <a:gd name="connsiteY13" fmla="*/ 762000 h 968242"/>
              <a:gd name="connsiteX14" fmla="*/ 2179350 w 2461290"/>
              <a:gd name="connsiteY14" fmla="*/ 731520 h 968242"/>
              <a:gd name="connsiteX15" fmla="*/ 2362230 w 2461290"/>
              <a:gd name="connsiteY15" fmla="*/ 548640 h 968242"/>
              <a:gd name="connsiteX16" fmla="*/ 2423190 w 2461290"/>
              <a:gd name="connsiteY16" fmla="*/ 434340 h 968242"/>
              <a:gd name="connsiteX17" fmla="*/ 2461290 w 2461290"/>
              <a:gd name="connsiteY17" fmla="*/ 274320 h 968242"/>
              <a:gd name="connsiteX18" fmla="*/ 2400330 w 2461290"/>
              <a:gd name="connsiteY18" fmla="*/ 137160 h 968242"/>
              <a:gd name="connsiteX19" fmla="*/ 2385090 w 2461290"/>
              <a:gd name="connsiteY19" fmla="*/ 106680 h 968242"/>
              <a:gd name="connsiteX20" fmla="*/ 2354610 w 2461290"/>
              <a:gd name="connsiteY20" fmla="*/ 83820 h 968242"/>
              <a:gd name="connsiteX21" fmla="*/ 2324130 w 2461290"/>
              <a:gd name="connsiteY21" fmla="*/ 68580 h 9682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</a:cxnLst>
            <a:rect l="l" t="t" r="r" b="b"/>
            <a:pathLst>
              <a:path w="2461290" h="968242">
                <a:moveTo>
                  <a:pt x="2392710" y="83820"/>
                </a:moveTo>
                <a:cubicBezTo>
                  <a:pt x="2240737" y="53425"/>
                  <a:pt x="2301948" y="62718"/>
                  <a:pt x="2049810" y="45720"/>
                </a:cubicBezTo>
                <a:cubicBezTo>
                  <a:pt x="1912750" y="36480"/>
                  <a:pt x="1775534" y="29636"/>
                  <a:pt x="1638330" y="22860"/>
                </a:cubicBezTo>
                <a:cubicBezTo>
                  <a:pt x="1369058" y="9563"/>
                  <a:pt x="780033" y="2318"/>
                  <a:pt x="662970" y="0"/>
                </a:cubicBezTo>
                <a:cubicBezTo>
                  <a:pt x="384241" y="37164"/>
                  <a:pt x="719221" y="-21066"/>
                  <a:pt x="434370" y="76200"/>
                </a:cubicBezTo>
                <a:cubicBezTo>
                  <a:pt x="-75447" y="250284"/>
                  <a:pt x="509634" y="-1103"/>
                  <a:pt x="83850" y="190500"/>
                </a:cubicBezTo>
                <a:cubicBezTo>
                  <a:pt x="69696" y="212743"/>
                  <a:pt x="-1692" y="313502"/>
                  <a:pt x="30" y="350520"/>
                </a:cubicBezTo>
                <a:cubicBezTo>
                  <a:pt x="3988" y="435622"/>
                  <a:pt x="18295" y="521331"/>
                  <a:pt x="45750" y="601980"/>
                </a:cubicBezTo>
                <a:cubicBezTo>
                  <a:pt x="76008" y="690862"/>
                  <a:pt x="207381" y="783387"/>
                  <a:pt x="274350" y="822960"/>
                </a:cubicBezTo>
                <a:cubicBezTo>
                  <a:pt x="332082" y="857074"/>
                  <a:pt x="392841" y="888049"/>
                  <a:pt x="457230" y="906780"/>
                </a:cubicBezTo>
                <a:cubicBezTo>
                  <a:pt x="624643" y="955482"/>
                  <a:pt x="804233" y="947874"/>
                  <a:pt x="975390" y="952500"/>
                </a:cubicBezTo>
                <a:cubicBezTo>
                  <a:pt x="1056670" y="957580"/>
                  <a:pt x="1137856" y="970995"/>
                  <a:pt x="1219230" y="967740"/>
                </a:cubicBezTo>
                <a:cubicBezTo>
                  <a:pt x="1626240" y="951460"/>
                  <a:pt x="1632970" y="942904"/>
                  <a:pt x="1927890" y="883920"/>
                </a:cubicBezTo>
                <a:cubicBezTo>
                  <a:pt x="1993930" y="843280"/>
                  <a:pt x="2058684" y="800472"/>
                  <a:pt x="2126010" y="762000"/>
                </a:cubicBezTo>
                <a:cubicBezTo>
                  <a:pt x="2143790" y="751840"/>
                  <a:pt x="2164303" y="745410"/>
                  <a:pt x="2179350" y="731520"/>
                </a:cubicBezTo>
                <a:cubicBezTo>
                  <a:pt x="2499523" y="435976"/>
                  <a:pt x="2231304" y="653381"/>
                  <a:pt x="2362230" y="548640"/>
                </a:cubicBezTo>
                <a:cubicBezTo>
                  <a:pt x="2382550" y="510540"/>
                  <a:pt x="2412717" y="476231"/>
                  <a:pt x="2423190" y="434340"/>
                </a:cubicBezTo>
                <a:cubicBezTo>
                  <a:pt x="2451730" y="320182"/>
                  <a:pt x="2439234" y="373570"/>
                  <a:pt x="2461290" y="274320"/>
                </a:cubicBezTo>
                <a:cubicBezTo>
                  <a:pt x="2445957" y="182323"/>
                  <a:pt x="2465821" y="268142"/>
                  <a:pt x="2400330" y="137160"/>
                </a:cubicBezTo>
                <a:cubicBezTo>
                  <a:pt x="2395250" y="127000"/>
                  <a:pt x="2392482" y="115305"/>
                  <a:pt x="2385090" y="106680"/>
                </a:cubicBezTo>
                <a:cubicBezTo>
                  <a:pt x="2376825" y="97037"/>
                  <a:pt x="2365380" y="90551"/>
                  <a:pt x="2354610" y="83820"/>
                </a:cubicBezTo>
                <a:cubicBezTo>
                  <a:pt x="2344977" y="77800"/>
                  <a:pt x="2324130" y="68580"/>
                  <a:pt x="2324130" y="68580"/>
                </a:cubicBezTo>
              </a:path>
            </a:pathLst>
          </a:cu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4</xdr:col>
      <xdr:colOff>167640</xdr:colOff>
      <xdr:row>41</xdr:row>
      <xdr:rowOff>167640</xdr:rowOff>
    </xdr:from>
    <xdr:to>
      <xdr:col>4</xdr:col>
      <xdr:colOff>167640</xdr:colOff>
      <xdr:row>49</xdr:row>
      <xdr:rowOff>114300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2682240" y="6469380"/>
          <a:ext cx="0" cy="1417320"/>
        </a:xfrm>
        <a:prstGeom prst="straightConnector1">
          <a:avLst/>
        </a:prstGeom>
        <a:ln>
          <a:solidFill>
            <a:schemeClr val="tx2">
              <a:lumMod val="50000"/>
              <a:lumOff val="50000"/>
            </a:schemeClr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42</xdr:row>
      <xdr:rowOff>7620</xdr:rowOff>
    </xdr:from>
    <xdr:to>
      <xdr:col>6</xdr:col>
      <xdr:colOff>213360</xdr:colOff>
      <xdr:row>49</xdr:row>
      <xdr:rowOff>106680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886200" y="7787640"/>
          <a:ext cx="22860" cy="1379220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251460</xdr:colOff>
      <xdr:row>42</xdr:row>
      <xdr:rowOff>22860</xdr:rowOff>
    </xdr:from>
    <xdr:to>
      <xdr:col>3</xdr:col>
      <xdr:colOff>274320</xdr:colOff>
      <xdr:row>53</xdr:row>
      <xdr:rowOff>137160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 flipV="1">
          <a:off x="2316480" y="6469380"/>
          <a:ext cx="22860" cy="2125980"/>
        </a:xfrm>
        <a:prstGeom prst="straightConnector1">
          <a:avLst/>
        </a:prstGeom>
        <a:ln>
          <a:solidFill>
            <a:srgbClr val="FFFF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312420</xdr:colOff>
      <xdr:row>49</xdr:row>
      <xdr:rowOff>60960</xdr:rowOff>
    </xdr:from>
    <xdr:to>
      <xdr:col>4</xdr:col>
      <xdr:colOff>449688</xdr:colOff>
      <xdr:row>52</xdr:row>
      <xdr:rowOff>30525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2120" y="7833360"/>
          <a:ext cx="1242168" cy="518205"/>
        </a:xfrm>
        <a:prstGeom prst="rect">
          <a:avLst/>
        </a:prstGeom>
      </xdr:spPr>
    </xdr:pic>
    <xdr:clientData/>
  </xdr:twoCellAnchor>
  <xdr:oneCellAnchor>
    <xdr:from>
      <xdr:col>14</xdr:col>
      <xdr:colOff>152400</xdr:colOff>
      <xdr:row>13</xdr:row>
      <xdr:rowOff>38100</xdr:rowOff>
    </xdr:from>
    <xdr:ext cx="3802380" cy="1125693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8100060" y="2506980"/>
          <a:ext cx="3802380" cy="112569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 Mín-Máx es la versión breve o compacta de z’’. El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valor normalizado por Min-Max es igual al valor renormalizado por cualquier procedimiento que mantenga la forma de la distribución original.</a:t>
          </a:r>
          <a:endParaRPr lang="es-MX">
            <a:effectLst/>
          </a:endParaRPr>
        </a:p>
        <a:p>
          <a:r>
            <a:rPr lang="es-MX" sz="1100"/>
            <a:t>z'' equivale al min-max de todos los procedimientos z y al min-max de los datos originales.</a:t>
          </a:r>
        </a:p>
      </xdr:txBody>
    </xdr:sp>
    <xdr:clientData/>
  </xdr:oneCellAnchor>
  <xdr:oneCellAnchor>
    <xdr:from>
      <xdr:col>32</xdr:col>
      <xdr:colOff>152400</xdr:colOff>
      <xdr:row>24</xdr:row>
      <xdr:rowOff>60960</xdr:rowOff>
    </xdr:from>
    <xdr:ext cx="3154680" cy="5259132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343120" y="4549140"/>
          <a:ext cx="3154680" cy="525913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1. El valor de z''</a:t>
          </a:r>
          <a:r>
            <a:rPr lang="es-MX" sz="1100" baseline="0"/>
            <a:t> y z''' es el mismo para todos los procedimientos de renormalización.</a:t>
          </a:r>
          <a:endParaRPr lang="es-MX" sz="1100"/>
        </a:p>
        <a:p>
          <a:r>
            <a:rPr lang="es-MX" sz="1100"/>
            <a:t>2. La renormalización, incluyendo la estandarización </a:t>
          </a:r>
        </a:p>
        <a:p>
          <a:r>
            <a:rPr lang="es-MX" sz="1100"/>
            <a:t>(valor z), de </a:t>
          </a:r>
          <a:r>
            <a:rPr lang="es-MX" sz="1100" i="1"/>
            <a:t>cualquiera procedimento</a:t>
          </a:r>
          <a:r>
            <a:rPr lang="es-MX" sz="1100" i="1" baseline="0"/>
            <a:t> lineal que</a:t>
          </a:r>
          <a:r>
            <a:rPr lang="es-MX" sz="1100"/>
            <a:t> escale los datos d</a:t>
          </a:r>
          <a:r>
            <a:rPr lang="es-MX" sz="1100" baseline="0"/>
            <a:t>e 0 a 1 o a cualquier otro rango (v.g., 70 a 130), sin modificar la forma de la distribución original es igual para todas las renormalizaciones (Max, Min-Max, Sum, zVT  de z'' o z'''). Por ejemplo, la normalizaión Sum de zVT en el paso z'' o z''' es igual a z (Sum). Una vez que la normalización es renormalizada al valor de 0 a 1 en z'' o a cualquier otro intervalo en z''', el valore es el mismo para todas las normalizaciones.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/>
            <a:t>3. En el valor de z y min-max, además, este 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 corresponde a la primera normalización (z).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/>
            <a:t>4. El ejemplo consideran de manera ilustrativa cinco procedimientos de normalización pero puede extenderse a cualquier otro procedimiento de normalización que no cambie la forma de la distribución de los datos originales (misma asimetría y curtosis).</a:t>
          </a:r>
        </a:p>
        <a:p>
          <a:r>
            <a:rPr lang="es-MX" sz="1100" baseline="0"/>
            <a:t>Una conclusión similar sin la distinción &gt; o &lt; de la Ref.</a:t>
          </a:r>
        </a:p>
        <a:p>
          <a:r>
            <a:rPr lang="es-MX" sz="1100" baseline="0"/>
            <a:t>El valor min-max de los valores normalizados de 0 a 1, proporcionado el Máx y Mín originales (xi), "recupera" o "restaura" los valores originales xi. </a:t>
          </a:r>
          <a:r>
            <a:rPr lang="es-MX" sz="1100"/>
            <a:t> Ejemplo: el Min-Max de Pélaez es idéntico a F1 (suma de valores</a:t>
          </a:r>
          <a:r>
            <a:rPr lang="es-MX" sz="1100" baseline="0"/>
            <a:t> z ponderados) tomados por el conapo como índice de marginación.</a:t>
          </a:r>
          <a:endParaRPr lang="es-MX" sz="1100"/>
        </a:p>
      </xdr:txBody>
    </xdr:sp>
    <xdr:clientData/>
  </xdr:oneCellAnchor>
  <xdr:oneCellAnchor>
    <xdr:from>
      <xdr:col>20</xdr:col>
      <xdr:colOff>426720</xdr:colOff>
      <xdr:row>50</xdr:row>
      <xdr:rowOff>0</xdr:rowOff>
    </xdr:from>
    <xdr:ext cx="5888725" cy="609013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6230600" y="8145780"/>
          <a:ext cx="5888725" cy="6090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>
              <a:solidFill>
                <a:schemeClr val="tx1"/>
              </a:solidFill>
              <a:latin typeface="+mn-lt"/>
              <a:ea typeface="+mn-ea"/>
              <a:cs typeface="+mn-cs"/>
            </a:rPr>
            <a:t>Andrii Shekhovtsov, Aleksandra Kaczynska, and Wojciech Sałabun. Why Does the Choice of Normalization Technique Matter in Decision-Making. In Anand J. Kulkarni (Editor). Multiple Criteria Decision Making. Techniques, Analysis and Applications</a:t>
          </a:r>
          <a:endParaRPr lang="es-MX" sz="1100"/>
        </a:p>
      </xdr:txBody>
    </xdr:sp>
    <xdr:clientData/>
  </xdr:oneCellAnchor>
  <xdr:oneCellAnchor>
    <xdr:from>
      <xdr:col>15</xdr:col>
      <xdr:colOff>15240</xdr:colOff>
      <xdr:row>2</xdr:row>
      <xdr:rowOff>7620</xdr:rowOff>
    </xdr:from>
    <xdr:ext cx="6934200" cy="609013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4546580" y="7620"/>
          <a:ext cx="6934200" cy="60901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Cualquier procedimiento de</a:t>
          </a:r>
          <a:r>
            <a:rPr lang="es-MX" sz="1100" baseline="0"/>
            <a:t> estandarización o normalización llevado de 0 a 1 o de 70 a 130 teniendo como referencia la mediana puede ser balanceado ya que tienen los mismo valores y, por tanto, la misma asimetría y curtosis. El argumento es válido para cualquier otro reescalamiento deseado, no sólo de 70 a 130. </a:t>
          </a:r>
          <a:endParaRPr lang="es-MX" sz="1100"/>
        </a:p>
      </xdr:txBody>
    </xdr:sp>
    <xdr:clientData/>
  </xdr:oneCellAnchor>
  <xdr:oneCellAnchor>
    <xdr:from>
      <xdr:col>27</xdr:col>
      <xdr:colOff>0</xdr:colOff>
      <xdr:row>54</xdr:row>
      <xdr:rowOff>38100</xdr:rowOff>
    </xdr:from>
    <xdr:ext cx="7277100" cy="78124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7899380" y="9281160"/>
          <a:ext cx="7277100" cy="78124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/>
            <a:t>Un procedimiento general para balancear cualquier procedimiento de normalización</a:t>
          </a:r>
        </a:p>
        <a:p>
          <a:r>
            <a:rPr lang="es-MX" sz="1100"/>
            <a:t>Cualquier procedimiento de</a:t>
          </a:r>
          <a:r>
            <a:rPr lang="es-MX" sz="1100" baseline="0"/>
            <a:t> estandarización o normalización llevado de 0 a 1 o de 70 a 130 teniendo como referencia la mediana puede ser balanceado ya que tienen los mismo valores y, por tanto, la misma asimetría y curtosis. El argumento es válido para cualquier otro reescalamiento deseado, no sólo de 70 a 130. </a:t>
          </a:r>
          <a:endParaRPr lang="es-MX" sz="1100"/>
        </a:p>
      </xdr:txBody>
    </xdr:sp>
    <xdr:clientData/>
  </xdr:oneCellAnchor>
  <xdr:oneCellAnchor>
    <xdr:from>
      <xdr:col>39</xdr:col>
      <xdr:colOff>22860</xdr:colOff>
      <xdr:row>53</xdr:row>
      <xdr:rowOff>167640</xdr:rowOff>
    </xdr:from>
    <xdr:ext cx="6979920" cy="4570225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5763220" y="9227820"/>
          <a:ext cx="6979920" cy="4570225"/>
        </a:xfrm>
        <a:prstGeom prst="rect">
          <a:avLst/>
        </a:prstGeom>
        <a:solidFill>
          <a:srgbClr val="00C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1"/>
            <a:t>E</a:t>
          </a:r>
          <a:r>
            <a:rPr lang="es-MX" sz="1100" b="1" baseline="0"/>
            <a:t>standarización y normalización normalizadas para índices compuestos transversales y longitudinales</a:t>
          </a:r>
        </a:p>
        <a:p>
          <a:endParaRPr lang="es-MX" sz="1100" baseline="0"/>
        </a:p>
        <a:p>
          <a:r>
            <a:rPr lang="es-MX" sz="1100" baseline="0"/>
            <a:t>No es posible aplicar logs, raiz cuadrada o potencia exponencial para eliminar para modificar o transformar distribuciones con valores iguales o menores a cero con problemas de 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asimetría y la curtosis</a:t>
          </a:r>
          <a:r>
            <a:rPr lang="es-MX" sz="1100" baseline="0"/>
            <a:t>. Tampoco es posible agregar variables o indicadores con la media geométrica porque utiliza logaritmos y valores exponenciales ni es recomendable agregar valores si tienen problema de asimetría porque resulta en índices distorsionados a causa de la ponderación implícita que estas características implican.  Estos obstáculos pueden superarse con valores reescalados de cero a la unidad y, enseguida, a cualquier intervalo deseado. El resultado es el mismo si el procedimiento es el mismo  utilizan directamente los valores originales o cualquiera de las normalizaciones en este trabajo.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/>
            <a:t>Esta investig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ación muestra que  c</a:t>
          </a: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ualquier procedimiento de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estandarización o normalización llevado de 0 a 1, de 70 a 130 o a cualquier otro rango, como en las distintas versiones del escore z  (IQ, T-xxxx, ----) puede ser balanceado si tienen como referencia la mediana, ya que tienen los mismo valores y, por tanto, la misma asimetría y curtosis.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Antecedentes (ejemplos con 5 valores del estudio de caso)</a:t>
          </a:r>
        </a:p>
        <a:p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Las varias caras de la estandarización z: </a:t>
          </a:r>
        </a:p>
        <a:p>
          <a:pPr lvl="1"/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 z</a:t>
          </a:r>
        </a:p>
        <a:p>
          <a:pPr lvl="1"/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Wechsler IQ</a:t>
          </a:r>
        </a:p>
        <a:p>
          <a:pPr lvl="1"/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</a:t>
          </a:r>
        </a:p>
        <a:p>
          <a:pPr lvl="1"/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Valor T</a:t>
          </a:r>
        </a:p>
        <a:p>
          <a:pPr lvl="1"/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Mazziotta y Pareto (2020)</a:t>
          </a:r>
        </a:p>
        <a:p>
          <a:pPr lvl="1"/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Ewing et al. (2014)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 convergencia de z con otros procedimientos de normalización (Aquí)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Recuperación de valores originales (Aquí)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Aplicación de zEB a valores transversales (Inegi, ENBIARE 2021) y longitudinales (OECD, Life satisfaction 2014 y 2021) Ejemplos con base de datos completa</a:t>
          </a:r>
          <a:endParaRPr lang="es-MX">
            <a:effectLst/>
          </a:endParaRPr>
        </a:p>
      </xdr:txBody>
    </xdr:sp>
    <xdr:clientData/>
  </xdr:oneCellAnchor>
  <xdr:oneCellAnchor>
    <xdr:from>
      <xdr:col>1</xdr:col>
      <xdr:colOff>1028700</xdr:colOff>
      <xdr:row>2</xdr:row>
      <xdr:rowOff>34290</xdr:rowOff>
    </xdr:from>
    <xdr:ext cx="2957668" cy="414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234440" y="217170"/>
              <a:ext cx="2957668" cy="414024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′′</m:t>
                            </m:r>
                          </m:sup>
                        </m:sSubSup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d>
                          <m:dPr>
                            <m:begChr m:val="{"/>
                            <m:endChr m:val="}"/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í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𝑍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′′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FBAD856-E7EE-C023-5252-82355C408E1B}"/>
                </a:ext>
              </a:extLst>
            </xdr:cNvPr>
            <xdr:cNvSpPr txBox="1"/>
          </xdr:nvSpPr>
          <xdr:spPr>
            <a:xfrm>
              <a:off x="1234440" y="217170"/>
              <a:ext cx="2957668" cy="414024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𝑋_𝑖^′)/(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𝑋_𝑖^′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 )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𝑋_𝑖−𝑀í𝑛 𝑋_𝑖)/𝑀á𝑥{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𝑋_𝑖−𝑀í𝑛 𝑋_𝑖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} </a:t>
              </a:r>
              <a:r>
                <a:rPr lang="es-MX" sz="1100" b="0" i="0">
                  <a:latin typeface="Cambria Math" panose="02040503050406030204" pitchFamily="18" charset="0"/>
                </a:rPr>
                <a:t>=(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𝑋_𝑖−𝑀í𝑛 𝑋_𝑖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MX" sz="1100" b="0" i="0">
                  <a:latin typeface="Cambria Math" panose="02040503050406030204" pitchFamily="18" charset="0"/>
                </a:rPr>
                <a:t>𝑀á𝑥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𝑋_𝑖−𝑀í𝑛 𝑋_𝑖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b="0" i="0">
                  <a:latin typeface="Cambria Math" panose="02040503050406030204" pitchFamily="18" charset="0"/>
                </a:rPr>
                <a:t>=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_𝑖^′)/(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_𝑖^′′ )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4</xdr:col>
      <xdr:colOff>342900</xdr:colOff>
      <xdr:row>7</xdr:row>
      <xdr:rowOff>53340</xdr:rowOff>
    </xdr:from>
    <xdr:to>
      <xdr:col>4</xdr:col>
      <xdr:colOff>419100</xdr:colOff>
      <xdr:row>9</xdr:row>
      <xdr:rowOff>7620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 flipH="1">
          <a:off x="2857500" y="601980"/>
          <a:ext cx="76200" cy="3352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1051560</xdr:colOff>
      <xdr:row>1</xdr:row>
      <xdr:rowOff>0</xdr:rowOff>
    </xdr:from>
    <xdr:to>
      <xdr:col>15</xdr:col>
      <xdr:colOff>83820</xdr:colOff>
      <xdr:row>8</xdr:row>
      <xdr:rowOff>0</xdr:rowOff>
    </xdr:to>
    <xdr:grpSp>
      <xdr:nvGrpSpPr>
        <xdr:cNvPr id="48" name="Grupo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GrpSpPr/>
      </xdr:nvGrpSpPr>
      <xdr:grpSpPr>
        <a:xfrm>
          <a:off x="1257300" y="182880"/>
          <a:ext cx="7338060" cy="1295400"/>
          <a:chOff x="2125980" y="7620"/>
          <a:chExt cx="12473940" cy="746760"/>
        </a:xfrm>
      </xdr:grpSpPr>
      <xdr:cxnSp macro="">
        <xdr:nvCxnSpPr>
          <xdr:cNvPr id="42" name="Conector recto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CxnSpPr/>
        </xdr:nvCxnSpPr>
        <xdr:spPr>
          <a:xfrm flipV="1">
            <a:off x="2125980" y="7620"/>
            <a:ext cx="83820" cy="1981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Conector recto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CxnSpPr/>
        </xdr:nvCxnSpPr>
        <xdr:spPr>
          <a:xfrm>
            <a:off x="2209800" y="15240"/>
            <a:ext cx="12062460" cy="1219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Conector recto de flecha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CxnSpPr/>
        </xdr:nvCxnSpPr>
        <xdr:spPr>
          <a:xfrm>
            <a:off x="14279880" y="144780"/>
            <a:ext cx="320040" cy="6096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oneCellAnchor>
    <xdr:from>
      <xdr:col>28</xdr:col>
      <xdr:colOff>411480</xdr:colOff>
      <xdr:row>1</xdr:row>
      <xdr:rowOff>167640</xdr:rowOff>
    </xdr:from>
    <xdr:ext cx="7048499" cy="609013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15468600" y="350520"/>
          <a:ext cx="7048499" cy="609013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Z de cualquier  procedimiento Z o de Z min-máx sencillo. </a:t>
          </a:r>
          <a:r>
            <a:rPr lang="es-MX" sz="1100" b="1"/>
            <a:t>Mín-Máx tiene la mayor parsimonia </a:t>
          </a:r>
          <a:r>
            <a:rPr lang="es-MX" sz="1100"/>
            <a:t>que el resto de los Z porque llega al valor escalable</a:t>
          </a:r>
          <a:r>
            <a:rPr lang="es-MX" sz="1100" baseline="0"/>
            <a:t> directamente. Los otros Z implican mas pasos. Todos los procedimientos Z pueden ser reescalados a cualquier valor una vez que alcancen 0 a 1 pero Mín-Máx requiere menos pasos.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76</xdr:row>
      <xdr:rowOff>76200</xdr:rowOff>
    </xdr:from>
    <xdr:to>
      <xdr:col>7</xdr:col>
      <xdr:colOff>144780</xdr:colOff>
      <xdr:row>78</xdr:row>
      <xdr:rowOff>106680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4112240"/>
          <a:ext cx="404622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53340</xdr:colOff>
      <xdr:row>80</xdr:row>
      <xdr:rowOff>7620</xdr:rowOff>
    </xdr:from>
    <xdr:to>
      <xdr:col>7</xdr:col>
      <xdr:colOff>99060</xdr:colOff>
      <xdr:row>82</xdr:row>
      <xdr:rowOff>38100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14790420"/>
          <a:ext cx="3985260" cy="396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205740</xdr:colOff>
      <xdr:row>41</xdr:row>
      <xdr:rowOff>175260</xdr:rowOff>
    </xdr:from>
    <xdr:to>
      <xdr:col>7</xdr:col>
      <xdr:colOff>205740</xdr:colOff>
      <xdr:row>45</xdr:row>
      <xdr:rowOff>83820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8FEB2EED-809E-F9EF-3673-BEFD60CEDF58}"/>
            </a:ext>
          </a:extLst>
        </xdr:cNvPr>
        <xdr:cNvCxnSpPr/>
      </xdr:nvCxnSpPr>
      <xdr:spPr>
        <a:xfrm flipV="1">
          <a:off x="4351020" y="7764780"/>
          <a:ext cx="0" cy="647700"/>
        </a:xfrm>
        <a:prstGeom prst="straightConnector1">
          <a:avLst/>
        </a:prstGeom>
        <a:ln>
          <a:solidFill>
            <a:schemeClr val="accent3">
              <a:lumMod val="60000"/>
              <a:lumOff val="40000"/>
            </a:schemeClr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190501</xdr:colOff>
      <xdr:row>57</xdr:row>
      <xdr:rowOff>53340</xdr:rowOff>
    </xdr:from>
    <xdr:ext cx="6377940" cy="307848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A9E9CCE1-73BF-5AF1-1308-0AB4D375F8F8}"/>
            </a:ext>
          </a:extLst>
        </xdr:cNvPr>
        <xdr:cNvSpPr txBox="1"/>
      </xdr:nvSpPr>
      <xdr:spPr>
        <a:xfrm>
          <a:off x="190501" y="10584180"/>
          <a:ext cx="6377940" cy="3078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 b="1"/>
            <a:t>Proposición</a:t>
          </a:r>
          <a:r>
            <a:rPr lang="es-MX" sz="1100"/>
            <a:t>. Los datos originales y todos</a:t>
          </a:r>
          <a:r>
            <a:rPr lang="es-MX" sz="1100" baseline="0"/>
            <a:t> los procedimientos de normalización lineal escalados y re-escalados convergen en el mismo valor abstracto y la forma original de la distribución. </a:t>
          </a:r>
          <a:endParaRPr lang="es-MX" sz="1100"/>
        </a:p>
        <a:p>
          <a:pPr algn="l"/>
          <a:r>
            <a:rPr lang="es-MX" sz="1100"/>
            <a:t>NEREBA es el</a:t>
          </a:r>
          <a:r>
            <a:rPr lang="es-MX" sz="1100" baseline="0"/>
            <a:t> acrónimo para normalización, escala, re-escala y balance de una distribución de datos. La normalización </a:t>
          </a:r>
          <a:r>
            <a:rPr lang="es-MX" sz="1100"/>
            <a:t>es un proceso por el que los datos originales expresados en unidades distintas son expresadas en unidades abstractas comparables. El estudio revisa cinco procedimientos de normalización lineal (tienen</a:t>
          </a:r>
          <a:r>
            <a:rPr lang="es-MX" sz="1100" baseline="0"/>
            <a:t> 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misma asimetría y curtosis de los datos originales). La </a:t>
          </a:r>
          <a:r>
            <a:rPr lang="es-MX" sz="1100" baseline="0"/>
            <a:t>escala lleva el valor de los procedimientos de normalización al intervalo de cero a la unidad. La excepción es el procedimiento min-max porque normaliza directamente de cero a uno. La re-escala expresa los valores previamente escalados en una serie delimitada por el valor máximo y mínimo deseado por el investigador. El estudio proporciona una fórmula general que lleva los datos originales a los valores re-escalados deseados. </a:t>
          </a:r>
          <a:r>
            <a:rPr lang="es-MX" sz="1100"/>
            <a:t>Ejemplos de re-escala son las variables de los índices compuestos expresados de 70</a:t>
          </a:r>
          <a:r>
            <a:rPr lang="es-MX" sz="1100" baseline="0"/>
            <a:t> a 130 (Mazziotta y Pareto, 2020 ) y las variables que califican la sostenibilidad de las ciudades chinas de 55 a 95 (Zhao, 2011). La re-escala conserva la misma forma de los datos originales. En índices compuestos es deseable que la distribución sea balanceada respecto a una referencia. El estudio proporciona  una fórmula general adaptada para valores superiores o inferiores a la mediana. La mediana es propuesta porque es el punto donde la distribución se parte en partes iguales, cualquiera que sea la forma de la distribución, asimétrica o normal. El estudio proporciona ejemplos para variables con polaridad positiva o negativa.</a:t>
          </a:r>
        </a:p>
        <a:p>
          <a:pPr algn="l"/>
          <a:endParaRPr lang="es-MX" sz="1100" baseline="0"/>
        </a:p>
        <a:p>
          <a:pPr algn="l"/>
          <a:r>
            <a:rPr lang="es-MX" sz="1100" baseline="0"/>
            <a:t>PORINCO propone una fórmula general para la estandarización (valor z). Esta fórmula no es deseable para índices compuestos porque las variables tienen distinto valor máximo y mínimo (distinto rango e incurren en ponderación implicita). </a:t>
          </a:r>
          <a:endParaRPr lang="es-MX" sz="1100"/>
        </a:p>
      </xdr:txBody>
    </xdr:sp>
    <xdr:clientData/>
  </xdr:oneCellAnchor>
  <xdr:twoCellAnchor>
    <xdr:from>
      <xdr:col>26</xdr:col>
      <xdr:colOff>525780</xdr:colOff>
      <xdr:row>15</xdr:row>
      <xdr:rowOff>22860</xdr:rowOff>
    </xdr:from>
    <xdr:to>
      <xdr:col>32</xdr:col>
      <xdr:colOff>15240</xdr:colOff>
      <xdr:row>17</xdr:row>
      <xdr:rowOff>53340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831ABD0-3FAD-4BAB-8ED1-D309D8741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4680" y="2857500"/>
          <a:ext cx="2621280" cy="39624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</xdr:pic>
    <xdr:clientData/>
  </xdr:twoCellAnchor>
  <xdr:oneCellAnchor>
    <xdr:from>
      <xdr:col>21</xdr:col>
      <xdr:colOff>83820</xdr:colOff>
      <xdr:row>20</xdr:row>
      <xdr:rowOff>45720</xdr:rowOff>
    </xdr:from>
    <xdr:ext cx="2382254" cy="4390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B203E6-1B7B-44EC-B6AD-AB8820EEC9B7}"/>
                </a:ext>
              </a:extLst>
            </xdr:cNvPr>
            <xdr:cNvSpPr txBox="1"/>
          </xdr:nvSpPr>
          <xdr:spPr>
            <a:xfrm>
              <a:off x="11719560" y="3794760"/>
              <a:ext cx="2382254" cy="439031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70</m:t>
                        </m:r>
                      </m:sub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130</m:t>
                        </m:r>
                      </m:sup>
                    </m:sSub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</m:sup>
                            </m:sSubSup>
                          </m:num>
                          <m:den>
                            <m:sSubSup>
                              <m:sSubSupPr>
                                <m:ctrlPr>
                                  <a:rPr lang="es-MX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′′</m:t>
                                </m:r>
                              </m:sup>
                            </m:sSubSup>
                          </m:den>
                        </m:f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∗(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𝑀𝑎𝑥𝐷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𝑀𝑖𝑛𝐷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𝑀𝑖𝑛𝐷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B203E6-1B7B-44EC-B6AD-AB8820EEC9B7}"/>
                </a:ext>
              </a:extLst>
            </xdr:cNvPr>
            <xdr:cNvSpPr txBox="1"/>
          </xdr:nvSpPr>
          <xdr:spPr>
            <a:xfrm>
              <a:off x="11719560" y="3794760"/>
              <a:ext cx="2382254" cy="439031"/>
            </a:xfrm>
            <a:prstGeom prst="rect">
              <a:avLst/>
            </a:prstGeom>
            <a:solidFill>
              <a:schemeClr val="tx2">
                <a:lumMod val="10000"/>
                <a:lumOff val="9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𝑧_70^130=[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(𝑍_𝑖^′)/(𝑍_𝑖^′′ )∗(𝑀𝑎𝑥𝐷−𝑀𝑖𝑛𝐷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)]+𝑀𝑖𝑛𝐷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26</xdr:col>
      <xdr:colOff>502920</xdr:colOff>
      <xdr:row>17</xdr:row>
      <xdr:rowOff>45720</xdr:rowOff>
    </xdr:from>
    <xdr:to>
      <xdr:col>32</xdr:col>
      <xdr:colOff>15240</xdr:colOff>
      <xdr:row>19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92A3438-07B1-46EB-9B4C-3A1212083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1820" y="3246120"/>
          <a:ext cx="2644140" cy="39624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trev\AppData\Roaming\Microsoft\AddIns\XRealStats.xlam" TargetMode="External"/><Relationship Id="rId1" Type="http://schemas.openxmlformats.org/officeDocument/2006/relationships/externalLinkPath" Target="/Users/jtrev/AppData/Roaming/Microsoft/AddIn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  <sheetName val="Dict"/>
      <sheetName val="ADict"/>
    </sheetNames>
    <definedNames>
      <definedName name="IQR"/>
      <definedName name="MA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E896-D3C2-4D0B-8660-F668F79C3F74}">
  <dimension ref="A1:R45"/>
  <sheetViews>
    <sheetView workbookViewId="0">
      <selection activeCell="H49" sqref="H49"/>
    </sheetView>
  </sheetViews>
  <sheetFormatPr baseColWidth="10" defaultRowHeight="14.4" x14ac:dyDescent="0.3"/>
  <cols>
    <col min="1" max="1" width="3" bestFit="1" customWidth="1"/>
    <col min="2" max="2" width="20" customWidth="1"/>
    <col min="3" max="3" width="9.5546875" bestFit="1" customWidth="1"/>
    <col min="5" max="6" width="9.6640625" customWidth="1"/>
  </cols>
  <sheetData>
    <row r="1" spans="1:18" ht="18.600000000000001" thickBot="1" x14ac:dyDescent="0.4">
      <c r="B1" s="55" t="s">
        <v>63</v>
      </c>
      <c r="Q1" s="39" t="s">
        <v>105</v>
      </c>
    </row>
    <row r="2" spans="1:18" ht="15" thickBot="1" x14ac:dyDescent="0.35">
      <c r="B2" s="2"/>
      <c r="D2" s="102" t="s">
        <v>101</v>
      </c>
      <c r="E2" s="103" t="s">
        <v>102</v>
      </c>
      <c r="F2" s="104"/>
      <c r="Q2" s="2" t="s">
        <v>106</v>
      </c>
    </row>
    <row r="3" spans="1:18" ht="15" thickTop="1" x14ac:dyDescent="0.3">
      <c r="B3" s="2"/>
      <c r="E3" s="44" t="s">
        <v>52</v>
      </c>
      <c r="F3" s="43" t="s">
        <v>54</v>
      </c>
      <c r="M3" s="106" t="s">
        <v>111</v>
      </c>
      <c r="N3" s="62"/>
      <c r="O3" s="117" t="s">
        <v>54</v>
      </c>
      <c r="P3" s="118" t="s">
        <v>54</v>
      </c>
      <c r="Q3" s="69"/>
      <c r="R3" s="2" t="s">
        <v>108</v>
      </c>
    </row>
    <row r="4" spans="1:18" x14ac:dyDescent="0.3">
      <c r="B4" s="2"/>
      <c r="D4" s="2" t="s">
        <v>5</v>
      </c>
      <c r="E4" s="105" t="s">
        <v>51</v>
      </c>
      <c r="F4" s="50" t="s">
        <v>51</v>
      </c>
      <c r="H4" s="2" t="s">
        <v>103</v>
      </c>
      <c r="M4" s="107" t="s">
        <v>110</v>
      </c>
      <c r="N4" s="108" t="s">
        <v>109</v>
      </c>
      <c r="O4" s="115" t="s">
        <v>60</v>
      </c>
      <c r="P4" s="119" t="s">
        <v>62</v>
      </c>
      <c r="Q4" s="69" t="s">
        <v>5</v>
      </c>
    </row>
    <row r="5" spans="1:18" x14ac:dyDescent="0.3">
      <c r="C5" s="47" t="s">
        <v>6</v>
      </c>
      <c r="D5" s="2" t="s">
        <v>51</v>
      </c>
      <c r="E5" s="45" t="s">
        <v>53</v>
      </c>
      <c r="F5" s="46" t="s">
        <v>55</v>
      </c>
      <c r="M5" s="109" t="s">
        <v>52</v>
      </c>
      <c r="N5" s="110" t="s">
        <v>59</v>
      </c>
      <c r="O5" s="116" t="s">
        <v>55</v>
      </c>
      <c r="P5" s="120" t="s">
        <v>61</v>
      </c>
      <c r="Q5" s="69" t="s">
        <v>53</v>
      </c>
    </row>
    <row r="6" spans="1:18" x14ac:dyDescent="0.3">
      <c r="C6" s="48"/>
      <c r="D6" s="2" t="s">
        <v>100</v>
      </c>
      <c r="E6" s="45" t="s">
        <v>107</v>
      </c>
      <c r="F6" s="46" t="s">
        <v>56</v>
      </c>
      <c r="M6" s="111" t="s">
        <v>58</v>
      </c>
      <c r="N6" s="110"/>
      <c r="O6" s="116" t="s">
        <v>56</v>
      </c>
      <c r="P6" s="120"/>
      <c r="Q6" s="70"/>
    </row>
    <row r="7" spans="1:18" x14ac:dyDescent="0.3">
      <c r="A7">
        <v>1</v>
      </c>
      <c r="B7" s="9" t="s">
        <v>7</v>
      </c>
      <c r="C7" s="49">
        <v>5.9</v>
      </c>
      <c r="D7" s="29">
        <f t="shared" ref="D7:D38" si="0">(((C$40-C7)/(C$40-C$41))*(95-75))+75</f>
        <v>94.372197309417032</v>
      </c>
      <c r="E7" s="53">
        <f>IF(C7&gt;C$45,(((C$45-C7)/(C$40-C$45))*(130-70)/2)+(130+70)/2, (((C$45-C7)/(C$45-C$41))*(130-70)/2)+(130+70)/2)</f>
        <v>124.84662576687117</v>
      </c>
      <c r="F7" s="51">
        <f>IF(C7&gt;C$45,(((C$45-C7)/(C$40-C$45))*(100-60)/2)+(100+60)/2, (((C$45-C7)/(C$45-C$41))*(100-60)/2)+(100+60)/2)</f>
        <v>96.564417177914109</v>
      </c>
      <c r="M7" s="35">
        <f>IF(C7&gt;C$45,(((C7-C$45)/(C$40-C$45))*30)+100,(((C7-C$45)/(C$45-C$41))*30)+100)</f>
        <v>75.153374233128829</v>
      </c>
      <c r="N7" s="112">
        <f>200-M7</f>
        <v>124.84662576687117</v>
      </c>
      <c r="O7" s="35">
        <f>IF(C7&gt;C$45,(((C7-C$45)/(C$40-C$45))*(100-60)/2)+80,(((C7-C$45)/(C$45-C$41))*(100-60)/2)+80)</f>
        <v>63.435582822085891</v>
      </c>
      <c r="P7" s="121">
        <f>160-O7</f>
        <v>96.564417177914109</v>
      </c>
      <c r="Q7" s="29">
        <f>(((C$40-C7)/(C$40-C$41))*(130-70))+70</f>
        <v>128.11659192825113</v>
      </c>
    </row>
    <row r="8" spans="1:18" ht="15" thickBot="1" x14ac:dyDescent="0.35">
      <c r="A8">
        <v>2</v>
      </c>
      <c r="B8" s="9" t="s">
        <v>8</v>
      </c>
      <c r="C8" s="49">
        <v>77.599999999999994</v>
      </c>
      <c r="D8" s="29">
        <f t="shared" si="0"/>
        <v>78.295964125560545</v>
      </c>
      <c r="E8" s="53">
        <f t="shared" ref="E8:E38" si="1">IF(C8&gt;C$45,(((C$45-C8)/(C$40-C$45))*(130-70)/2)+(130+70)/2, (((C$45-C8)/(C$45-C$41))*(130-70)/2)+(130+70)/2)</f>
        <v>76.049382716049394</v>
      </c>
      <c r="F8" s="51">
        <f t="shared" ref="F8:F38" si="2">IF(C8&gt;C$45,(((C$45-C8)/(C$40-C$45))*(100-60)/2)+(100+60)/2, (((C$45-C8)/(C$45-C$41))*(100-60)/2)+(100+60)/2)</f>
        <v>64.032921810699591</v>
      </c>
      <c r="M8" s="35">
        <f t="shared" ref="M8:M38" si="3">IF(C8&gt;C$45,(((C8-C$45)/(C$40-C$45))*30)+100,(((C8-C$45)/(C$45-C$41))*30)+100)</f>
        <v>123.95061728395061</v>
      </c>
      <c r="N8" s="112">
        <f t="shared" ref="N8:N38" si="4">200-M8</f>
        <v>76.049382716049394</v>
      </c>
      <c r="O8" s="35">
        <f t="shared" ref="O8:O38" si="5">IF(C8&gt;C$45,(((C8-C$45)/(C$40-C$45))*(100-60)/2)+80,(((C8-C$45)/(C$45-C$41))*(100-60)/2)+80)</f>
        <v>95.967078189300409</v>
      </c>
      <c r="P8" s="121">
        <f t="shared" ref="P8:P38" si="6">160-O8</f>
        <v>64.032921810699591</v>
      </c>
      <c r="Q8" s="29">
        <f t="shared" ref="Q8:Q38" si="7">(((C$40-C8)/(C$40-C$41))*(130-70))+70</f>
        <v>79.88789237668162</v>
      </c>
    </row>
    <row r="9" spans="1:18" ht="15" thickBot="1" x14ac:dyDescent="0.35">
      <c r="A9" s="7">
        <v>3</v>
      </c>
      <c r="B9" s="9" t="s">
        <v>9</v>
      </c>
      <c r="C9" s="49">
        <v>8.8000000000000007</v>
      </c>
      <c r="D9" s="29">
        <f t="shared" si="0"/>
        <v>93.721973094170409</v>
      </c>
      <c r="E9" s="53">
        <f t="shared" si="1"/>
        <v>119.50920245398773</v>
      </c>
      <c r="F9" s="51">
        <f t="shared" si="2"/>
        <v>93.00613496932516</v>
      </c>
      <c r="M9" s="35">
        <f t="shared" si="3"/>
        <v>80.490797546012274</v>
      </c>
      <c r="N9" s="112">
        <f t="shared" si="4"/>
        <v>119.50920245398773</v>
      </c>
      <c r="O9" s="35">
        <f t="shared" si="5"/>
        <v>66.99386503067484</v>
      </c>
      <c r="P9" s="121">
        <f t="shared" si="6"/>
        <v>93.00613496932516</v>
      </c>
      <c r="Q9" s="29">
        <f t="shared" si="7"/>
        <v>126.16591928251121</v>
      </c>
    </row>
    <row r="10" spans="1:18" x14ac:dyDescent="0.3">
      <c r="A10">
        <v>4</v>
      </c>
      <c r="B10" s="9" t="s">
        <v>10</v>
      </c>
      <c r="C10" s="49">
        <v>7.1</v>
      </c>
      <c r="D10" s="29">
        <f t="shared" si="0"/>
        <v>94.103139013452918</v>
      </c>
      <c r="E10" s="53">
        <f t="shared" si="1"/>
        <v>122.63803680981596</v>
      </c>
      <c r="F10" s="51">
        <f t="shared" si="2"/>
        <v>95.092024539877301</v>
      </c>
      <c r="M10" s="35">
        <f t="shared" si="3"/>
        <v>77.361963190184042</v>
      </c>
      <c r="N10" s="112">
        <f t="shared" si="4"/>
        <v>122.63803680981596</v>
      </c>
      <c r="O10" s="35">
        <f t="shared" si="5"/>
        <v>64.907975460122699</v>
      </c>
      <c r="P10" s="121">
        <f t="shared" si="6"/>
        <v>95.092024539877301</v>
      </c>
      <c r="Q10" s="29">
        <f t="shared" si="7"/>
        <v>127.30941704035874</v>
      </c>
    </row>
    <row r="11" spans="1:18" x14ac:dyDescent="0.3">
      <c r="A11">
        <v>5</v>
      </c>
      <c r="B11" s="9" t="s">
        <v>11</v>
      </c>
      <c r="C11" s="49">
        <v>7.3</v>
      </c>
      <c r="D11" s="29">
        <f t="shared" si="0"/>
        <v>94.058295964125563</v>
      </c>
      <c r="E11" s="53">
        <f t="shared" si="1"/>
        <v>122.26993865030676</v>
      </c>
      <c r="F11" s="51">
        <f t="shared" si="2"/>
        <v>94.846625766871171</v>
      </c>
      <c r="M11" s="35">
        <f t="shared" si="3"/>
        <v>77.730061349693244</v>
      </c>
      <c r="N11" s="112">
        <f t="shared" si="4"/>
        <v>122.26993865030676</v>
      </c>
      <c r="O11" s="35">
        <f t="shared" si="5"/>
        <v>65.153374233128829</v>
      </c>
      <c r="P11" s="121">
        <f t="shared" si="6"/>
        <v>94.846625766871171</v>
      </c>
      <c r="Q11" s="29">
        <f t="shared" si="7"/>
        <v>127.17488789237669</v>
      </c>
    </row>
    <row r="12" spans="1:18" x14ac:dyDescent="0.3">
      <c r="A12">
        <v>6</v>
      </c>
      <c r="B12" s="9" t="s">
        <v>12</v>
      </c>
      <c r="C12" s="49">
        <v>85.3</v>
      </c>
      <c r="D12" s="29">
        <f t="shared" si="0"/>
        <v>76.569506726457405</v>
      </c>
      <c r="E12" s="53">
        <f t="shared" si="1"/>
        <v>72.880658436213992</v>
      </c>
      <c r="F12" s="51">
        <f t="shared" si="2"/>
        <v>61.920438957475994</v>
      </c>
      <c r="M12" s="35">
        <f t="shared" si="3"/>
        <v>127.11934156378601</v>
      </c>
      <c r="N12" s="112">
        <f t="shared" si="4"/>
        <v>72.880658436213992</v>
      </c>
      <c r="O12" s="35">
        <f t="shared" si="5"/>
        <v>98.079561042524006</v>
      </c>
      <c r="P12" s="121">
        <f t="shared" si="6"/>
        <v>61.920438957475994</v>
      </c>
      <c r="Q12" s="29">
        <f t="shared" si="7"/>
        <v>74.708520179372201</v>
      </c>
    </row>
    <row r="13" spans="1:18" x14ac:dyDescent="0.3">
      <c r="A13">
        <v>7</v>
      </c>
      <c r="B13" s="9" t="s">
        <v>13</v>
      </c>
      <c r="C13" s="49">
        <v>9.6999999999999993</v>
      </c>
      <c r="D13" s="29">
        <f t="shared" si="0"/>
        <v>93.520179372197305</v>
      </c>
      <c r="E13" s="53">
        <f t="shared" si="1"/>
        <v>117.85276073619632</v>
      </c>
      <c r="F13" s="51">
        <f t="shared" si="2"/>
        <v>91.901840490797554</v>
      </c>
      <c r="M13" s="35">
        <f t="shared" si="3"/>
        <v>82.147239263803684</v>
      </c>
      <c r="N13" s="112">
        <f t="shared" si="4"/>
        <v>117.85276073619632</v>
      </c>
      <c r="O13" s="35">
        <f t="shared" si="5"/>
        <v>68.098159509202446</v>
      </c>
      <c r="P13" s="121">
        <f t="shared" si="6"/>
        <v>91.901840490797554</v>
      </c>
      <c r="Q13" s="29">
        <f t="shared" si="7"/>
        <v>125.56053811659191</v>
      </c>
    </row>
    <row r="14" spans="1:18" x14ac:dyDescent="0.3">
      <c r="A14">
        <v>8</v>
      </c>
      <c r="B14" s="9" t="s">
        <v>14</v>
      </c>
      <c r="C14" s="49">
        <v>92.3</v>
      </c>
      <c r="D14" s="14">
        <f t="shared" si="0"/>
        <v>75</v>
      </c>
      <c r="E14" s="54">
        <f t="shared" si="1"/>
        <v>70</v>
      </c>
      <c r="F14" s="52">
        <f t="shared" si="2"/>
        <v>60</v>
      </c>
      <c r="M14" s="36">
        <f t="shared" si="3"/>
        <v>130</v>
      </c>
      <c r="N14" s="113">
        <f t="shared" si="4"/>
        <v>70</v>
      </c>
      <c r="O14" s="36">
        <f t="shared" si="5"/>
        <v>100</v>
      </c>
      <c r="P14" s="122">
        <f t="shared" si="6"/>
        <v>60</v>
      </c>
      <c r="Q14" s="14">
        <f t="shared" si="7"/>
        <v>70</v>
      </c>
    </row>
    <row r="15" spans="1:18" x14ac:dyDescent="0.3">
      <c r="A15">
        <v>9</v>
      </c>
      <c r="B15" s="9" t="s">
        <v>15</v>
      </c>
      <c r="C15" s="49">
        <v>14.5</v>
      </c>
      <c r="D15" s="29">
        <f t="shared" si="0"/>
        <v>92.443946188340803</v>
      </c>
      <c r="E15" s="53">
        <f t="shared" si="1"/>
        <v>109.01840490797547</v>
      </c>
      <c r="F15" s="51">
        <f t="shared" si="2"/>
        <v>86.012269938650306</v>
      </c>
      <c r="M15" s="35">
        <f t="shared" si="3"/>
        <v>90.981595092024534</v>
      </c>
      <c r="N15" s="112">
        <f t="shared" si="4"/>
        <v>109.01840490797547</v>
      </c>
      <c r="O15" s="35">
        <f t="shared" si="5"/>
        <v>73.987730061349694</v>
      </c>
      <c r="P15" s="121">
        <f t="shared" si="6"/>
        <v>86.012269938650306</v>
      </c>
      <c r="Q15" s="29">
        <f t="shared" si="7"/>
        <v>122.33183856502242</v>
      </c>
    </row>
    <row r="16" spans="1:18" x14ac:dyDescent="0.3">
      <c r="A16">
        <v>10</v>
      </c>
      <c r="B16" s="9" t="s">
        <v>16</v>
      </c>
      <c r="C16" s="49">
        <v>8</v>
      </c>
      <c r="D16" s="29">
        <f t="shared" si="0"/>
        <v>93.901345291479814</v>
      </c>
      <c r="E16" s="53">
        <f t="shared" si="1"/>
        <v>120.98159509202455</v>
      </c>
      <c r="F16" s="51">
        <f t="shared" si="2"/>
        <v>93.987730061349694</v>
      </c>
      <c r="M16" s="35">
        <f t="shared" si="3"/>
        <v>79.018404907975452</v>
      </c>
      <c r="N16" s="112">
        <f t="shared" si="4"/>
        <v>120.98159509202455</v>
      </c>
      <c r="O16" s="35">
        <f t="shared" si="5"/>
        <v>66.012269938650306</v>
      </c>
      <c r="P16" s="121">
        <f t="shared" si="6"/>
        <v>93.987730061349694</v>
      </c>
      <c r="Q16" s="29">
        <f t="shared" si="7"/>
        <v>126.70403587443946</v>
      </c>
    </row>
    <row r="17" spans="1:17" x14ac:dyDescent="0.3">
      <c r="A17">
        <v>11</v>
      </c>
      <c r="B17" s="9" t="s">
        <v>17</v>
      </c>
      <c r="C17" s="49">
        <v>82.4</v>
      </c>
      <c r="D17" s="29">
        <f t="shared" si="0"/>
        <v>77.219730941704029</v>
      </c>
      <c r="E17" s="53">
        <f t="shared" si="1"/>
        <v>74.074074074074076</v>
      </c>
      <c r="F17" s="51">
        <f t="shared" si="2"/>
        <v>62.716049382716051</v>
      </c>
      <c r="M17" s="35">
        <f t="shared" si="3"/>
        <v>125.92592592592592</v>
      </c>
      <c r="N17" s="112">
        <f t="shared" si="4"/>
        <v>74.074074074074076</v>
      </c>
      <c r="O17" s="35">
        <f t="shared" si="5"/>
        <v>97.283950617283949</v>
      </c>
      <c r="P17" s="121">
        <f t="shared" si="6"/>
        <v>62.716049382716051</v>
      </c>
      <c r="Q17" s="29">
        <f t="shared" si="7"/>
        <v>76.6591928251121</v>
      </c>
    </row>
    <row r="18" spans="1:17" x14ac:dyDescent="0.3">
      <c r="A18">
        <v>12</v>
      </c>
      <c r="B18" s="9" t="s">
        <v>18</v>
      </c>
      <c r="C18" s="49">
        <v>41.2</v>
      </c>
      <c r="D18" s="29">
        <f t="shared" si="0"/>
        <v>86.457399103139011</v>
      </c>
      <c r="E18" s="53">
        <f t="shared" si="1"/>
        <v>91.028806584362144</v>
      </c>
      <c r="F18" s="51">
        <f t="shared" si="2"/>
        <v>74.019204389574753</v>
      </c>
      <c r="M18" s="35">
        <f t="shared" si="3"/>
        <v>108.97119341563786</v>
      </c>
      <c r="N18" s="112">
        <f t="shared" si="4"/>
        <v>91.028806584362144</v>
      </c>
      <c r="O18" s="35">
        <f t="shared" si="5"/>
        <v>85.980795610425247</v>
      </c>
      <c r="P18" s="121">
        <f t="shared" si="6"/>
        <v>74.019204389574753</v>
      </c>
      <c r="Q18" s="29">
        <f t="shared" si="7"/>
        <v>104.37219730941703</v>
      </c>
    </row>
    <row r="19" spans="1:17" x14ac:dyDescent="0.3">
      <c r="A19">
        <v>13</v>
      </c>
      <c r="B19" s="9" t="s">
        <v>19</v>
      </c>
      <c r="C19" s="49">
        <v>11.8</v>
      </c>
      <c r="D19" s="29">
        <f t="shared" si="0"/>
        <v>93.049327354260086</v>
      </c>
      <c r="E19" s="53">
        <f t="shared" si="1"/>
        <v>113.98773006134969</v>
      </c>
      <c r="F19" s="51">
        <f t="shared" si="2"/>
        <v>89.325153374233125</v>
      </c>
      <c r="M19" s="35">
        <f t="shared" si="3"/>
        <v>86.012269938650306</v>
      </c>
      <c r="N19" s="112">
        <f t="shared" si="4"/>
        <v>113.98773006134969</v>
      </c>
      <c r="O19" s="35">
        <f t="shared" si="5"/>
        <v>70.674846625766875</v>
      </c>
      <c r="P19" s="121">
        <f t="shared" si="6"/>
        <v>89.325153374233125</v>
      </c>
      <c r="Q19" s="29">
        <f t="shared" si="7"/>
        <v>124.14798206278027</v>
      </c>
    </row>
    <row r="20" spans="1:17" x14ac:dyDescent="0.3">
      <c r="A20">
        <v>14</v>
      </c>
      <c r="B20" s="9" t="s">
        <v>20</v>
      </c>
      <c r="C20" s="49">
        <v>25.9</v>
      </c>
      <c r="D20" s="29">
        <f t="shared" si="0"/>
        <v>89.88789237668162</v>
      </c>
      <c r="E20" s="53">
        <f t="shared" si="1"/>
        <v>97.325102880658434</v>
      </c>
      <c r="F20" s="51">
        <f t="shared" si="2"/>
        <v>78.216735253772285</v>
      </c>
      <c r="M20" s="35">
        <f t="shared" si="3"/>
        <v>102.67489711934157</v>
      </c>
      <c r="N20" s="112">
        <f t="shared" si="4"/>
        <v>97.325102880658434</v>
      </c>
      <c r="O20" s="35">
        <f t="shared" si="5"/>
        <v>81.783264746227715</v>
      </c>
      <c r="P20" s="121">
        <f t="shared" si="6"/>
        <v>78.216735253772285</v>
      </c>
      <c r="Q20" s="29">
        <f t="shared" si="7"/>
        <v>114.66367713004485</v>
      </c>
    </row>
    <row r="21" spans="1:17" x14ac:dyDescent="0.3">
      <c r="A21">
        <v>15</v>
      </c>
      <c r="B21" s="9" t="s">
        <v>21</v>
      </c>
      <c r="C21" s="49">
        <v>18</v>
      </c>
      <c r="D21" s="29">
        <f t="shared" si="0"/>
        <v>91.659192825112115</v>
      </c>
      <c r="E21" s="53">
        <f t="shared" si="1"/>
        <v>102.57668711656441</v>
      </c>
      <c r="F21" s="51">
        <f t="shared" si="2"/>
        <v>81.717791411042938</v>
      </c>
      <c r="M21" s="35">
        <f t="shared" si="3"/>
        <v>97.423312883435585</v>
      </c>
      <c r="N21" s="112">
        <f t="shared" si="4"/>
        <v>102.57668711656441</v>
      </c>
      <c r="O21" s="35">
        <f t="shared" si="5"/>
        <v>78.282208588957062</v>
      </c>
      <c r="P21" s="121">
        <f t="shared" si="6"/>
        <v>81.717791411042938</v>
      </c>
      <c r="Q21" s="29">
        <f t="shared" si="7"/>
        <v>119.97757847533632</v>
      </c>
    </row>
    <row r="22" spans="1:17" x14ac:dyDescent="0.3">
      <c r="A22">
        <v>16</v>
      </c>
      <c r="B22" s="9" t="s">
        <v>22</v>
      </c>
      <c r="C22" s="49">
        <v>50</v>
      </c>
      <c r="D22" s="29">
        <f t="shared" si="0"/>
        <v>84.484304932735427</v>
      </c>
      <c r="E22" s="53">
        <f t="shared" si="1"/>
        <v>87.407407407407405</v>
      </c>
      <c r="F22" s="51">
        <f t="shared" si="2"/>
        <v>71.604938271604937</v>
      </c>
      <c r="M22" s="35">
        <f t="shared" si="3"/>
        <v>112.5925925925926</v>
      </c>
      <c r="N22" s="112">
        <f t="shared" si="4"/>
        <v>87.407407407407405</v>
      </c>
      <c r="O22" s="35">
        <f t="shared" si="5"/>
        <v>88.395061728395063</v>
      </c>
      <c r="P22" s="121">
        <f t="shared" si="6"/>
        <v>71.604938271604937</v>
      </c>
      <c r="Q22" s="29">
        <f t="shared" si="7"/>
        <v>98.45291479820628</v>
      </c>
    </row>
    <row r="23" spans="1:17" x14ac:dyDescent="0.3">
      <c r="A23">
        <v>17</v>
      </c>
      <c r="B23" s="9" t="s">
        <v>23</v>
      </c>
      <c r="C23" s="49">
        <v>50</v>
      </c>
      <c r="D23" s="29">
        <f t="shared" si="0"/>
        <v>84.484304932735427</v>
      </c>
      <c r="E23" s="53">
        <f t="shared" si="1"/>
        <v>87.407407407407405</v>
      </c>
      <c r="F23" s="51">
        <f t="shared" si="2"/>
        <v>71.604938271604937</v>
      </c>
      <c r="M23" s="35">
        <f t="shared" si="3"/>
        <v>112.5925925925926</v>
      </c>
      <c r="N23" s="112">
        <f t="shared" si="4"/>
        <v>87.407407407407405</v>
      </c>
      <c r="O23" s="35">
        <f t="shared" si="5"/>
        <v>88.395061728395063</v>
      </c>
      <c r="P23" s="121">
        <f t="shared" si="6"/>
        <v>71.604938271604937</v>
      </c>
      <c r="Q23" s="29">
        <f t="shared" si="7"/>
        <v>98.45291479820628</v>
      </c>
    </row>
    <row r="24" spans="1:17" x14ac:dyDescent="0.3">
      <c r="A24">
        <v>18</v>
      </c>
      <c r="B24" s="9" t="s">
        <v>24</v>
      </c>
      <c r="C24" s="49">
        <v>14.7</v>
      </c>
      <c r="D24" s="29">
        <f t="shared" si="0"/>
        <v>92.399103139013448</v>
      </c>
      <c r="E24" s="53">
        <f t="shared" si="1"/>
        <v>108.65030674846626</v>
      </c>
      <c r="F24" s="51">
        <f t="shared" si="2"/>
        <v>85.766871165644176</v>
      </c>
      <c r="M24" s="35">
        <f t="shared" si="3"/>
        <v>91.349693251533736</v>
      </c>
      <c r="N24" s="112">
        <f t="shared" si="4"/>
        <v>108.65030674846626</v>
      </c>
      <c r="O24" s="35">
        <f t="shared" si="5"/>
        <v>74.233128834355824</v>
      </c>
      <c r="P24" s="121">
        <f t="shared" si="6"/>
        <v>85.766871165644176</v>
      </c>
      <c r="Q24" s="29">
        <f t="shared" si="7"/>
        <v>122.19730941704036</v>
      </c>
    </row>
    <row r="25" spans="1:17" x14ac:dyDescent="0.3">
      <c r="A25">
        <v>19</v>
      </c>
      <c r="B25" s="9" t="s">
        <v>25</v>
      </c>
      <c r="C25" s="49">
        <v>15.9</v>
      </c>
      <c r="D25" s="29">
        <f t="shared" si="0"/>
        <v>92.130044843049319</v>
      </c>
      <c r="E25" s="53">
        <f t="shared" si="1"/>
        <v>106.44171779141104</v>
      </c>
      <c r="F25" s="51">
        <f t="shared" si="2"/>
        <v>84.294478527607367</v>
      </c>
      <c r="M25" s="35">
        <f t="shared" si="3"/>
        <v>93.558282208588963</v>
      </c>
      <c r="N25" s="112">
        <f t="shared" si="4"/>
        <v>106.44171779141104</v>
      </c>
      <c r="O25" s="35">
        <f t="shared" si="5"/>
        <v>75.705521472392633</v>
      </c>
      <c r="P25" s="121">
        <f t="shared" si="6"/>
        <v>84.294478527607367</v>
      </c>
      <c r="Q25" s="29">
        <f t="shared" si="7"/>
        <v>121.39013452914799</v>
      </c>
    </row>
    <row r="26" spans="1:17" x14ac:dyDescent="0.3">
      <c r="A26">
        <v>20</v>
      </c>
      <c r="B26" s="9" t="s">
        <v>26</v>
      </c>
      <c r="C26" s="49">
        <v>20.8</v>
      </c>
      <c r="D26" s="29">
        <f t="shared" si="0"/>
        <v>91.031390134529147</v>
      </c>
      <c r="E26" s="53">
        <f t="shared" si="1"/>
        <v>99.423868312757207</v>
      </c>
      <c r="F26" s="51">
        <f t="shared" si="2"/>
        <v>79.615912208504795</v>
      </c>
      <c r="M26" s="35">
        <f t="shared" si="3"/>
        <v>100.57613168724279</v>
      </c>
      <c r="N26" s="112">
        <f t="shared" si="4"/>
        <v>99.423868312757207</v>
      </c>
      <c r="O26" s="35">
        <f t="shared" si="5"/>
        <v>80.384087791495205</v>
      </c>
      <c r="P26" s="121">
        <f t="shared" si="6"/>
        <v>79.615912208504795</v>
      </c>
      <c r="Q26" s="29">
        <f t="shared" si="7"/>
        <v>118.09417040358744</v>
      </c>
    </row>
    <row r="27" spans="1:17" x14ac:dyDescent="0.3">
      <c r="A27">
        <v>21</v>
      </c>
      <c r="B27" s="9" t="s">
        <v>27</v>
      </c>
      <c r="C27" s="49">
        <v>14.6</v>
      </c>
      <c r="D27" s="29">
        <f t="shared" si="0"/>
        <v>92.421524663677133</v>
      </c>
      <c r="E27" s="53">
        <f t="shared" si="1"/>
        <v>108.83435582822085</v>
      </c>
      <c r="F27" s="51">
        <f t="shared" si="2"/>
        <v>85.889570552147234</v>
      </c>
      <c r="M27" s="35">
        <f t="shared" si="3"/>
        <v>91.165644171779149</v>
      </c>
      <c r="N27" s="112">
        <f t="shared" si="4"/>
        <v>108.83435582822085</v>
      </c>
      <c r="O27" s="35">
        <f t="shared" si="5"/>
        <v>74.110429447852766</v>
      </c>
      <c r="P27" s="121">
        <f t="shared" si="6"/>
        <v>85.889570552147234</v>
      </c>
      <c r="Q27" s="29">
        <f t="shared" si="7"/>
        <v>122.2645739910314</v>
      </c>
    </row>
    <row r="28" spans="1:17" x14ac:dyDescent="0.3">
      <c r="A28">
        <v>22</v>
      </c>
      <c r="B28" s="9" t="s">
        <v>28</v>
      </c>
      <c r="C28" s="49">
        <v>9.5</v>
      </c>
      <c r="D28" s="29">
        <f t="shared" si="0"/>
        <v>93.56502242152466</v>
      </c>
      <c r="E28" s="53">
        <f t="shared" si="1"/>
        <v>118.22085889570552</v>
      </c>
      <c r="F28" s="51">
        <f t="shared" si="2"/>
        <v>92.147239263803684</v>
      </c>
      <c r="M28" s="35">
        <f t="shared" si="3"/>
        <v>81.779141104294482</v>
      </c>
      <c r="N28" s="112">
        <f t="shared" si="4"/>
        <v>118.22085889570552</v>
      </c>
      <c r="O28" s="35">
        <f t="shared" si="5"/>
        <v>67.852760736196316</v>
      </c>
      <c r="P28" s="121">
        <f t="shared" si="6"/>
        <v>92.147239263803684</v>
      </c>
      <c r="Q28" s="29">
        <f t="shared" si="7"/>
        <v>125.69506726457399</v>
      </c>
    </row>
    <row r="29" spans="1:17" x14ac:dyDescent="0.3">
      <c r="A29">
        <v>23</v>
      </c>
      <c r="B29" s="9" t="s">
        <v>29</v>
      </c>
      <c r="C29" s="49">
        <v>33.5</v>
      </c>
      <c r="D29" s="29">
        <f t="shared" si="0"/>
        <v>88.183856502242151</v>
      </c>
      <c r="E29" s="53">
        <f t="shared" si="1"/>
        <v>94.197530864197532</v>
      </c>
      <c r="F29" s="51">
        <f t="shared" si="2"/>
        <v>76.13168724279835</v>
      </c>
      <c r="M29" s="35">
        <f t="shared" si="3"/>
        <v>105.80246913580247</v>
      </c>
      <c r="N29" s="112">
        <f t="shared" si="4"/>
        <v>94.197530864197532</v>
      </c>
      <c r="O29" s="35">
        <f t="shared" si="5"/>
        <v>83.86831275720165</v>
      </c>
      <c r="P29" s="121">
        <f t="shared" si="6"/>
        <v>76.13168724279835</v>
      </c>
      <c r="Q29" s="29">
        <f t="shared" si="7"/>
        <v>109.55156950672645</v>
      </c>
    </row>
    <row r="30" spans="1:17" x14ac:dyDescent="0.3">
      <c r="A30">
        <v>24</v>
      </c>
      <c r="B30" s="9" t="s">
        <v>30</v>
      </c>
      <c r="C30" s="49">
        <v>28.1</v>
      </c>
      <c r="D30" s="29">
        <f t="shared" si="0"/>
        <v>89.394618834080717</v>
      </c>
      <c r="E30" s="53">
        <f t="shared" si="1"/>
        <v>96.419753086419746</v>
      </c>
      <c r="F30" s="51">
        <f t="shared" si="2"/>
        <v>77.613168724279831</v>
      </c>
      <c r="M30" s="35">
        <f t="shared" si="3"/>
        <v>103.58024691358025</v>
      </c>
      <c r="N30" s="112">
        <f t="shared" si="4"/>
        <v>96.419753086419746</v>
      </c>
      <c r="O30" s="35">
        <f t="shared" si="5"/>
        <v>82.386831275720169</v>
      </c>
      <c r="P30" s="121">
        <f t="shared" si="6"/>
        <v>77.613168724279831</v>
      </c>
      <c r="Q30" s="29">
        <f t="shared" si="7"/>
        <v>113.18385650224215</v>
      </c>
    </row>
    <row r="31" spans="1:17" x14ac:dyDescent="0.3">
      <c r="A31">
        <v>25</v>
      </c>
      <c r="B31" s="9" t="s">
        <v>31</v>
      </c>
      <c r="C31" s="49">
        <v>28.4</v>
      </c>
      <c r="D31" s="29">
        <f t="shared" si="0"/>
        <v>89.327354260089692</v>
      </c>
      <c r="E31" s="53">
        <f t="shared" si="1"/>
        <v>96.296296296296291</v>
      </c>
      <c r="F31" s="51">
        <f t="shared" si="2"/>
        <v>77.53086419753086</v>
      </c>
      <c r="M31" s="35">
        <f t="shared" si="3"/>
        <v>103.70370370370371</v>
      </c>
      <c r="N31" s="112">
        <f t="shared" si="4"/>
        <v>96.296296296296291</v>
      </c>
      <c r="O31" s="35">
        <f t="shared" si="5"/>
        <v>82.46913580246914</v>
      </c>
      <c r="P31" s="121">
        <f t="shared" si="6"/>
        <v>77.53086419753086</v>
      </c>
      <c r="Q31" s="29">
        <f t="shared" si="7"/>
        <v>112.98206278026906</v>
      </c>
    </row>
    <row r="32" spans="1:17" x14ac:dyDescent="0.3">
      <c r="A32">
        <v>26</v>
      </c>
      <c r="B32" s="9" t="s">
        <v>32</v>
      </c>
      <c r="C32" s="49">
        <v>53.1</v>
      </c>
      <c r="D32" s="29">
        <f t="shared" si="0"/>
        <v>83.789237668161434</v>
      </c>
      <c r="E32" s="53">
        <f t="shared" si="1"/>
        <v>86.13168724279835</v>
      </c>
      <c r="F32" s="51">
        <f t="shared" si="2"/>
        <v>70.754458161865571</v>
      </c>
      <c r="M32" s="35">
        <f t="shared" si="3"/>
        <v>113.86831275720165</v>
      </c>
      <c r="N32" s="112">
        <f t="shared" si="4"/>
        <v>86.13168724279835</v>
      </c>
      <c r="O32" s="35">
        <f t="shared" si="5"/>
        <v>89.245541838134429</v>
      </c>
      <c r="P32" s="121">
        <f t="shared" si="6"/>
        <v>70.754458161865571</v>
      </c>
      <c r="Q32" s="29">
        <f t="shared" si="7"/>
        <v>96.367713004484301</v>
      </c>
    </row>
    <row r="33" spans="1:17" x14ac:dyDescent="0.3">
      <c r="A33">
        <v>27</v>
      </c>
      <c r="B33" s="9" t="s">
        <v>33</v>
      </c>
      <c r="C33" s="49">
        <v>24.2</v>
      </c>
      <c r="D33" s="29">
        <f t="shared" si="0"/>
        <v>90.269058295964129</v>
      </c>
      <c r="E33" s="53">
        <f t="shared" si="1"/>
        <v>98.024691358024697</v>
      </c>
      <c r="F33" s="51">
        <f t="shared" si="2"/>
        <v>78.68312757201646</v>
      </c>
      <c r="M33" s="35">
        <f t="shared" si="3"/>
        <v>101.9753086419753</v>
      </c>
      <c r="N33" s="112">
        <f t="shared" si="4"/>
        <v>98.024691358024697</v>
      </c>
      <c r="O33" s="35">
        <f t="shared" si="5"/>
        <v>81.31687242798354</v>
      </c>
      <c r="P33" s="121">
        <f t="shared" si="6"/>
        <v>78.68312757201646</v>
      </c>
      <c r="Q33" s="29">
        <f t="shared" si="7"/>
        <v>115.80717488789237</v>
      </c>
    </row>
    <row r="34" spans="1:17" x14ac:dyDescent="0.3">
      <c r="A34">
        <v>28</v>
      </c>
      <c r="B34" s="9" t="s">
        <v>34</v>
      </c>
      <c r="C34" s="49">
        <v>22.1</v>
      </c>
      <c r="D34" s="29">
        <f t="shared" si="0"/>
        <v>90.739910313901348</v>
      </c>
      <c r="E34" s="53">
        <f t="shared" si="1"/>
        <v>98.888888888888886</v>
      </c>
      <c r="F34" s="51">
        <f t="shared" si="2"/>
        <v>79.259259259259252</v>
      </c>
      <c r="M34" s="35">
        <f t="shared" si="3"/>
        <v>101.11111111111111</v>
      </c>
      <c r="N34" s="112">
        <f t="shared" si="4"/>
        <v>98.888888888888886</v>
      </c>
      <c r="O34" s="35">
        <f t="shared" si="5"/>
        <v>80.740740740740748</v>
      </c>
      <c r="P34" s="121">
        <f t="shared" si="6"/>
        <v>79.259259259259252</v>
      </c>
      <c r="Q34" s="29">
        <f t="shared" si="7"/>
        <v>117.21973094170403</v>
      </c>
    </row>
    <row r="35" spans="1:17" x14ac:dyDescent="0.3">
      <c r="A35">
        <v>29</v>
      </c>
      <c r="B35" s="9" t="s">
        <v>35</v>
      </c>
      <c r="C35" s="49">
        <v>11.4</v>
      </c>
      <c r="D35" s="29">
        <f t="shared" si="0"/>
        <v>93.139013452914796</v>
      </c>
      <c r="E35" s="53">
        <f t="shared" si="1"/>
        <v>114.7239263803681</v>
      </c>
      <c r="F35" s="51">
        <f t="shared" si="2"/>
        <v>89.815950920245399</v>
      </c>
      <c r="M35" s="35">
        <f t="shared" si="3"/>
        <v>85.276073619631902</v>
      </c>
      <c r="N35" s="112">
        <f t="shared" si="4"/>
        <v>114.7239263803681</v>
      </c>
      <c r="O35" s="35">
        <f t="shared" si="5"/>
        <v>70.184049079754601</v>
      </c>
      <c r="P35" s="121">
        <f t="shared" si="6"/>
        <v>89.815950920245399</v>
      </c>
      <c r="Q35" s="29">
        <f t="shared" si="7"/>
        <v>124.41704035874439</v>
      </c>
    </row>
    <row r="36" spans="1:17" x14ac:dyDescent="0.3">
      <c r="A36">
        <v>30</v>
      </c>
      <c r="B36" s="9" t="s">
        <v>36</v>
      </c>
      <c r="C36" s="49">
        <v>14.2</v>
      </c>
      <c r="D36" s="29">
        <f t="shared" si="0"/>
        <v>92.511210762331842</v>
      </c>
      <c r="E36" s="53">
        <f t="shared" si="1"/>
        <v>109.57055214723927</v>
      </c>
      <c r="F36" s="51">
        <f t="shared" si="2"/>
        <v>86.380368098159508</v>
      </c>
      <c r="M36" s="35">
        <f t="shared" si="3"/>
        <v>90.429447852760731</v>
      </c>
      <c r="N36" s="112">
        <f t="shared" si="4"/>
        <v>109.57055214723927</v>
      </c>
      <c r="O36" s="35">
        <f t="shared" si="5"/>
        <v>73.619631901840492</v>
      </c>
      <c r="P36" s="121">
        <f t="shared" si="6"/>
        <v>86.380368098159508</v>
      </c>
      <c r="Q36" s="29">
        <f t="shared" si="7"/>
        <v>122.53363228699551</v>
      </c>
    </row>
    <row r="37" spans="1:17" x14ac:dyDescent="0.3">
      <c r="A37">
        <v>31</v>
      </c>
      <c r="B37" s="9" t="s">
        <v>37</v>
      </c>
      <c r="C37" s="49">
        <v>3.1</v>
      </c>
      <c r="D37" s="14">
        <f t="shared" si="0"/>
        <v>95</v>
      </c>
      <c r="E37" s="54">
        <f t="shared" si="1"/>
        <v>130</v>
      </c>
      <c r="F37" s="52">
        <f t="shared" si="2"/>
        <v>100</v>
      </c>
      <c r="M37" s="36">
        <f t="shared" si="3"/>
        <v>70</v>
      </c>
      <c r="N37" s="113">
        <f t="shared" si="4"/>
        <v>130</v>
      </c>
      <c r="O37" s="36">
        <f t="shared" si="5"/>
        <v>60</v>
      </c>
      <c r="P37" s="122">
        <f t="shared" si="6"/>
        <v>100</v>
      </c>
      <c r="Q37" s="14">
        <f t="shared" si="7"/>
        <v>130</v>
      </c>
    </row>
    <row r="38" spans="1:17" ht="15" thickBot="1" x14ac:dyDescent="0.35">
      <c r="A38">
        <v>32</v>
      </c>
      <c r="B38" s="9" t="s">
        <v>38</v>
      </c>
      <c r="C38" s="49">
        <v>75.599999999999994</v>
      </c>
      <c r="D38" s="29">
        <f t="shared" si="0"/>
        <v>78.744394618834079</v>
      </c>
      <c r="E38" s="53">
        <f t="shared" si="1"/>
        <v>76.872427983539097</v>
      </c>
      <c r="F38" s="51">
        <f t="shared" si="2"/>
        <v>64.581618655692736</v>
      </c>
      <c r="M38" s="37">
        <f t="shared" si="3"/>
        <v>123.1275720164609</v>
      </c>
      <c r="N38" s="114">
        <f t="shared" si="4"/>
        <v>76.872427983539097</v>
      </c>
      <c r="O38" s="123">
        <f t="shared" si="5"/>
        <v>95.418381344307264</v>
      </c>
      <c r="P38" s="124">
        <f t="shared" si="6"/>
        <v>64.581618655692736</v>
      </c>
      <c r="Q38" s="29">
        <f t="shared" si="7"/>
        <v>81.233183856502251</v>
      </c>
    </row>
    <row r="40" spans="1:17" x14ac:dyDescent="0.3">
      <c r="B40" s="2" t="s">
        <v>1</v>
      </c>
      <c r="C40" s="3">
        <f>MAX(C7:C38)</f>
        <v>92.3</v>
      </c>
      <c r="E40" t="s">
        <v>104</v>
      </c>
    </row>
    <row r="41" spans="1:17" x14ac:dyDescent="0.3">
      <c r="B41" s="2" t="s">
        <v>2</v>
      </c>
      <c r="C41" s="3">
        <f>MIN(C7:C38)</f>
        <v>3.1</v>
      </c>
    </row>
    <row r="42" spans="1:17" x14ac:dyDescent="0.3">
      <c r="B42" s="2" t="s">
        <v>3</v>
      </c>
      <c r="C42" s="3">
        <f>SUM(C7:C38)</f>
        <v>965.00000000000011</v>
      </c>
    </row>
    <row r="43" spans="1:17" x14ac:dyDescent="0.3">
      <c r="B43" s="2" t="s">
        <v>40</v>
      </c>
      <c r="C43" s="29">
        <f>AVERAGE(C7:C38)</f>
        <v>30.156250000000004</v>
      </c>
      <c r="D43" s="29"/>
      <c r="F43" s="29"/>
    </row>
    <row r="44" spans="1:17" x14ac:dyDescent="0.3">
      <c r="B44" s="2" t="s">
        <v>41</v>
      </c>
      <c r="C44">
        <f>_xlfn.STDEV.P(C7:C38)</f>
        <v>26.098071498436429</v>
      </c>
    </row>
    <row r="45" spans="1:17" x14ac:dyDescent="0.3">
      <c r="B45" s="2" t="s">
        <v>57</v>
      </c>
      <c r="C45" s="29">
        <f>MEDIAN(C7:C38)</f>
        <v>19.399999999999999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DCA1-DD4A-45EB-B5FF-3E17514B7EB1}">
  <dimension ref="A1:AP88"/>
  <sheetViews>
    <sheetView tabSelected="1" workbookViewId="0">
      <selection activeCell="K4" sqref="K4"/>
    </sheetView>
  </sheetViews>
  <sheetFormatPr baseColWidth="10" defaultRowHeight="14.4" x14ac:dyDescent="0.3"/>
  <cols>
    <col min="1" max="1" width="3" bestFit="1" customWidth="1"/>
    <col min="2" max="2" width="17.5546875" customWidth="1"/>
    <col min="3" max="3" width="9.5546875" bestFit="1" customWidth="1"/>
    <col min="4" max="4" width="6.5546875" bestFit="1" customWidth="1"/>
    <col min="5" max="5" width="7.5546875" customWidth="1"/>
    <col min="6" max="6" width="9.6640625" customWidth="1"/>
    <col min="7" max="7" width="6.5546875" bestFit="1" customWidth="1"/>
    <col min="8" max="8" width="7.6640625" customWidth="1"/>
    <col min="9" max="9" width="11" customWidth="1"/>
    <col min="10" max="10" width="9.109375" customWidth="1"/>
    <col min="11" max="11" width="6.5546875" bestFit="1" customWidth="1"/>
    <col min="12" max="12" width="8" bestFit="1" customWidth="1"/>
    <col min="13" max="14" width="6.5546875" bestFit="1" customWidth="1"/>
    <col min="15" max="15" width="8.21875" bestFit="1" customWidth="1"/>
    <col min="16" max="16" width="6.5546875" customWidth="1"/>
    <col min="17" max="17" width="6.5546875" bestFit="1" customWidth="1"/>
    <col min="18" max="18" width="8" bestFit="1" customWidth="1"/>
    <col min="19" max="20" width="6.5546875" bestFit="1" customWidth="1"/>
    <col min="21" max="21" width="11.33203125" customWidth="1"/>
    <col min="22" max="22" width="8" customWidth="1"/>
    <col min="23" max="23" width="8" bestFit="1" customWidth="1"/>
    <col min="24" max="25" width="5.5546875" bestFit="1" customWidth="1"/>
    <col min="26" max="26" width="8.21875" bestFit="1" customWidth="1"/>
    <col min="27" max="27" width="8.21875" customWidth="1"/>
    <col min="28" max="28" width="6.33203125" customWidth="1"/>
    <col min="29" max="32" width="7.77734375" bestFit="1" customWidth="1"/>
    <col min="33" max="37" width="7.77734375" customWidth="1"/>
  </cols>
  <sheetData>
    <row r="1" spans="1:42" x14ac:dyDescent="0.3">
      <c r="B1" s="78" t="s">
        <v>90</v>
      </c>
      <c r="C1" s="79"/>
      <c r="D1" s="79"/>
      <c r="E1" s="79"/>
      <c r="F1" s="79"/>
      <c r="G1" s="79"/>
      <c r="H1" s="79"/>
      <c r="I1" s="79"/>
      <c r="J1" s="79"/>
      <c r="M1" s="94"/>
    </row>
    <row r="6" spans="1:42" ht="15" thickBot="1" x14ac:dyDescent="0.35">
      <c r="B6" s="39" t="s">
        <v>112</v>
      </c>
    </row>
    <row r="7" spans="1:42" ht="15" thickBot="1" x14ac:dyDescent="0.35">
      <c r="C7" s="73" t="s">
        <v>87</v>
      </c>
      <c r="D7" s="72" t="s">
        <v>89</v>
      </c>
      <c r="E7" s="72"/>
      <c r="F7" s="72"/>
      <c r="G7" s="72"/>
      <c r="H7" s="72"/>
      <c r="I7" s="71"/>
      <c r="J7" s="81"/>
      <c r="K7" s="77"/>
      <c r="L7" s="77"/>
      <c r="M7" s="77"/>
      <c r="N7" s="77"/>
      <c r="O7" s="77" t="s">
        <v>91</v>
      </c>
      <c r="P7" s="77"/>
      <c r="Q7" s="77"/>
      <c r="R7" s="77"/>
      <c r="S7" s="77"/>
      <c r="T7" s="77"/>
      <c r="U7" s="77"/>
      <c r="V7" s="90" t="s">
        <v>92</v>
      </c>
      <c r="W7" s="31"/>
      <c r="X7" s="31"/>
      <c r="Y7" s="31"/>
      <c r="Z7" s="31"/>
      <c r="AA7" s="31"/>
      <c r="AB7" s="31" t="s">
        <v>93</v>
      </c>
      <c r="AC7" s="32"/>
      <c r="AD7" s="32"/>
      <c r="AE7" s="32"/>
      <c r="AF7" s="32"/>
      <c r="AG7" s="82"/>
    </row>
    <row r="8" spans="1:42" x14ac:dyDescent="0.3">
      <c r="C8" s="73" t="s">
        <v>88</v>
      </c>
      <c r="D8" s="72"/>
      <c r="E8" s="71"/>
      <c r="F8" s="71"/>
      <c r="G8" s="71"/>
      <c r="H8" s="71"/>
      <c r="I8" s="71"/>
      <c r="J8" s="82"/>
      <c r="P8" s="94" t="s">
        <v>50</v>
      </c>
      <c r="V8" s="86" t="s">
        <v>97</v>
      </c>
      <c r="W8" s="1"/>
      <c r="X8" s="1"/>
      <c r="Y8" s="1"/>
      <c r="Z8" s="1"/>
      <c r="AB8" s="31" t="s">
        <v>94</v>
      </c>
      <c r="AC8" s="31"/>
      <c r="AD8" s="31"/>
      <c r="AE8" s="31"/>
      <c r="AF8" s="31"/>
      <c r="AG8" s="85"/>
      <c r="AH8" s="1"/>
      <c r="AI8" s="1"/>
      <c r="AJ8" s="1"/>
      <c r="AK8" s="1"/>
    </row>
    <row r="9" spans="1:42" ht="15" thickBot="1" x14ac:dyDescent="0.35">
      <c r="C9" s="2" t="s">
        <v>6</v>
      </c>
      <c r="J9" s="83" t="s">
        <v>95</v>
      </c>
      <c r="K9" s="25"/>
      <c r="L9" s="23"/>
      <c r="M9" s="23"/>
      <c r="N9" s="23"/>
      <c r="O9" s="23"/>
      <c r="P9" s="87" t="s">
        <v>96</v>
      </c>
      <c r="Q9" s="26"/>
      <c r="R9" s="24"/>
      <c r="S9" s="24"/>
      <c r="T9" s="24"/>
      <c r="U9" s="24"/>
      <c r="V9" s="30"/>
      <c r="W9" s="30"/>
      <c r="X9" s="30"/>
      <c r="Y9" s="30"/>
      <c r="Z9" s="30"/>
      <c r="AA9" s="30"/>
      <c r="AB9" s="2" t="s">
        <v>98</v>
      </c>
      <c r="AG9" s="95" t="s">
        <v>45</v>
      </c>
      <c r="AH9" s="30"/>
      <c r="AI9" s="30"/>
      <c r="AJ9" s="30"/>
      <c r="AK9" s="30"/>
      <c r="AL9" s="30"/>
    </row>
    <row r="10" spans="1:42" ht="16.8" thickBot="1" x14ac:dyDescent="0.35">
      <c r="C10" s="15" t="s">
        <v>0</v>
      </c>
      <c r="D10" s="58" t="s">
        <v>1</v>
      </c>
      <c r="E10" s="59" t="s">
        <v>5</v>
      </c>
      <c r="F10" s="74" t="s">
        <v>39</v>
      </c>
      <c r="G10" s="75" t="s">
        <v>3</v>
      </c>
      <c r="H10" s="76" t="s">
        <v>42</v>
      </c>
      <c r="I10" s="80" t="s">
        <v>4</v>
      </c>
      <c r="J10" s="84" t="s">
        <v>0</v>
      </c>
      <c r="K10" s="13" t="s">
        <v>1</v>
      </c>
      <c r="L10" s="22" t="s">
        <v>5</v>
      </c>
      <c r="M10" s="21" t="s">
        <v>3</v>
      </c>
      <c r="N10" s="20" t="s">
        <v>42</v>
      </c>
      <c r="O10" s="18" t="s">
        <v>39</v>
      </c>
      <c r="P10" s="84" t="s">
        <v>0</v>
      </c>
      <c r="Q10" s="13" t="s">
        <v>1</v>
      </c>
      <c r="R10" s="22" t="s">
        <v>5</v>
      </c>
      <c r="S10" s="21" t="s">
        <v>3</v>
      </c>
      <c r="T10" s="20" t="s">
        <v>42</v>
      </c>
      <c r="U10" s="18" t="s">
        <v>39</v>
      </c>
      <c r="V10" s="91" t="s">
        <v>1</v>
      </c>
      <c r="W10" s="22" t="s">
        <v>5</v>
      </c>
      <c r="X10" s="21" t="s">
        <v>3</v>
      </c>
      <c r="Y10" s="20" t="s">
        <v>42</v>
      </c>
      <c r="Z10" s="18" t="s">
        <v>39</v>
      </c>
      <c r="AA10" s="18"/>
      <c r="AB10" s="34" t="s">
        <v>1</v>
      </c>
      <c r="AC10" s="22" t="s">
        <v>5</v>
      </c>
      <c r="AD10" s="21" t="s">
        <v>3</v>
      </c>
      <c r="AE10" s="20" t="s">
        <v>42</v>
      </c>
      <c r="AF10" s="18" t="s">
        <v>39</v>
      </c>
      <c r="AG10" s="96" t="s">
        <v>46</v>
      </c>
      <c r="AH10" s="17"/>
      <c r="AI10" s="17"/>
      <c r="AJ10" s="17"/>
      <c r="AK10" s="17"/>
      <c r="AL10" s="17"/>
    </row>
    <row r="11" spans="1:42" ht="14.4" customHeight="1" x14ac:dyDescent="0.3">
      <c r="A11">
        <v>1</v>
      </c>
      <c r="B11" s="9" t="s">
        <v>7</v>
      </c>
      <c r="C11" s="8">
        <v>56.8</v>
      </c>
      <c r="D11" s="10">
        <f t="shared" ref="D11:D42" si="0">C11/C$44</f>
        <v>0.7347994825355757</v>
      </c>
      <c r="E11" s="11">
        <f t="shared" ref="E11:E42" si="1">(C11-C$45)/(C$44-C$45)</f>
        <v>0.29794520547945197</v>
      </c>
      <c r="F11" s="19">
        <f t="shared" ref="F11:F42" si="2">(C11-C$47)/(C$48)</f>
        <v>-0.44937432863578869</v>
      </c>
      <c r="G11" s="12">
        <f t="shared" ref="G11:G42" si="3">C11/C$46</f>
        <v>2.9975196580294471E-2</v>
      </c>
      <c r="H11" s="4">
        <f t="shared" ref="H11:H42" si="4">C11/I$46</f>
        <v>0.16887092921640295</v>
      </c>
      <c r="I11" s="1">
        <f>C11^2</f>
        <v>3226.24</v>
      </c>
      <c r="J11" s="85">
        <f t="shared" ref="J11:J42" si="5">C11-MIN(C$11:C$42)</f>
        <v>8.6999999999999957</v>
      </c>
      <c r="K11" s="1">
        <f t="shared" ref="K11:K42" si="6">D11-MIN(D$11:D$42)</f>
        <v>0.11254851228978002</v>
      </c>
      <c r="L11" s="1">
        <f t="shared" ref="L11:L42" si="7">E11-MIN(E$11:E$42)</f>
        <v>0.29794520547945197</v>
      </c>
      <c r="M11" s="1">
        <f t="shared" ref="M11:M42" si="8">G11-MIN(G$11:G$42)</f>
        <v>4.5912713071929873E-3</v>
      </c>
      <c r="N11" s="1">
        <f t="shared" ref="N11:N42" si="9">H11-MIN(H$11:H$42)</f>
        <v>2.5865793735611015E-2</v>
      </c>
      <c r="O11" s="1">
        <f t="shared" ref="O11:O42" si="10">F11-MIN(F$11:F$42)</f>
        <v>1.6184451887736511</v>
      </c>
      <c r="P11" s="88">
        <f t="shared" ref="P11:P42" si="11">J11/MAX(J$11:J$41)</f>
        <v>0.29794520547945197</v>
      </c>
      <c r="Q11" s="4">
        <f t="shared" ref="Q11:Q42" si="12">K11/MAX(K$11:K$41)</f>
        <v>0.29794520547945197</v>
      </c>
      <c r="R11" s="4">
        <f t="shared" ref="R11:R42" si="13">L11/MAX(L$11:L$41)</f>
        <v>0.29794520547945197</v>
      </c>
      <c r="S11" s="4">
        <f t="shared" ref="S11:S42" si="14">M11/MAX(M$11:M$41)</f>
        <v>0.29794520547945186</v>
      </c>
      <c r="T11" s="4">
        <f t="shared" ref="T11:T42" si="15">N11/MAX(N$11:N$41)</f>
        <v>0.29794520547945208</v>
      </c>
      <c r="U11" s="4">
        <f t="shared" ref="U11:U42" si="16">O11/MAX(O$11:O$41)</f>
        <v>0.29794520547945197</v>
      </c>
      <c r="V11" s="92">
        <f>((K11/MAX(K$11:K$41))*(130-70))+70</f>
        <v>87.876712328767127</v>
      </c>
      <c r="W11" s="98">
        <f t="shared" ref="W11:Z11" si="17">((L11/MAX(L$11:L$41))*(130-70))+70</f>
        <v>87.876712328767127</v>
      </c>
      <c r="X11" s="98">
        <f t="shared" si="17"/>
        <v>87.876712328767113</v>
      </c>
      <c r="Y11" s="98">
        <f t="shared" si="17"/>
        <v>87.876712328767127</v>
      </c>
      <c r="Z11" s="98">
        <f t="shared" si="17"/>
        <v>87.876712328767127</v>
      </c>
      <c r="AA11" s="4"/>
      <c r="AB11" s="35">
        <f>IF(Q11&gt;Q$44,(((((Q11-Q$44)/(MAX(Q$11:Q$42)-Q$44)))*(130-70)/2)+(130+70)/2),(((Q11-Q$44)/(Q$44-(MIN(Q$11:Q$42)))*(130-70)/2))+(130+70)/2)</f>
        <v>94.392523364485982</v>
      </c>
      <c r="AC11" s="98">
        <f>IF(R11&gt;R$44,(((((R11-R$44)/(MAX(R$11:R$42)-R$44)))*(130-70)/2)+(130+70)/2),(((R11-R$44)/(R$44-(MIN(R$11:R$42)))*(130-70)/2))+(130+70)/2)</f>
        <v>94.392523364485967</v>
      </c>
      <c r="AD11" s="98">
        <f t="shared" ref="AD11:AF11" si="18">IF(S11&gt;S$44,(((((S11-S$44)/(MAX(S$11:S$42)-S$44)))*(130-70)/2)+(130+70)/2),(((S11-S$44)/(S$44-(MIN(S$11:S$42)))*(130-70)/2))+(130+70)/2)</f>
        <v>94.392523364485967</v>
      </c>
      <c r="AE11" s="98">
        <f t="shared" si="18"/>
        <v>94.392523364485967</v>
      </c>
      <c r="AF11" s="100">
        <f t="shared" si="18"/>
        <v>94.392523364485967</v>
      </c>
      <c r="AG11" s="97">
        <f t="shared" ref="AG11:AG42" si="19">STANDARDIZE(Q11,Q$45,Q$46)</f>
        <v>-0.44937432863578775</v>
      </c>
      <c r="AH11" s="1">
        <f t="shared" ref="AH11:AH42" si="20">STANDARDIZE(R11,R$45,R$46)</f>
        <v>-0.44937432863578802</v>
      </c>
      <c r="AI11" s="1">
        <f t="shared" ref="AI11:AI42" si="21">STANDARDIZE(S11,S$45,S$46)</f>
        <v>-0.44937432863578836</v>
      </c>
      <c r="AJ11" s="1">
        <f t="shared" ref="AJ11:AJ42" si="22">STANDARDIZE(T11,T$45,T$46)</f>
        <v>-0.44937432863578836</v>
      </c>
      <c r="AK11" s="1">
        <f t="shared" ref="AK11:AK42" si="23">STANDARDIZE(U11,U$45,U$46)</f>
        <v>-0.44937432863578919</v>
      </c>
    </row>
    <row r="12" spans="1:42" ht="17.399999999999999" customHeight="1" x14ac:dyDescent="0.3">
      <c r="A12">
        <v>2</v>
      </c>
      <c r="B12" s="9" t="s">
        <v>8</v>
      </c>
      <c r="C12" s="8">
        <v>59.3</v>
      </c>
      <c r="D12" s="10">
        <f t="shared" si="0"/>
        <v>0.76714100905562743</v>
      </c>
      <c r="E12" s="11">
        <f t="shared" si="1"/>
        <v>0.38356164383561636</v>
      </c>
      <c r="F12" s="19">
        <f t="shared" si="2"/>
        <v>1.56961279083641E-2</v>
      </c>
      <c r="G12" s="12">
        <f t="shared" si="3"/>
        <v>3.1294527415694759E-2</v>
      </c>
      <c r="H12" s="4">
        <f t="shared" si="4"/>
        <v>0.17630362856571646</v>
      </c>
      <c r="I12" s="1">
        <f t="shared" ref="I12:I42" si="24">C12^2</f>
        <v>3516.49</v>
      </c>
      <c r="J12" s="85">
        <f t="shared" si="5"/>
        <v>11.199999999999996</v>
      </c>
      <c r="K12" s="1">
        <f t="shared" si="6"/>
        <v>0.14489003880983176</v>
      </c>
      <c r="L12" s="1">
        <f t="shared" si="7"/>
        <v>0.38356164383561636</v>
      </c>
      <c r="M12" s="1">
        <f t="shared" si="8"/>
        <v>5.9106021425932749E-3</v>
      </c>
      <c r="N12" s="1">
        <f t="shared" si="9"/>
        <v>3.3298493084924524E-2</v>
      </c>
      <c r="O12" s="1">
        <f t="shared" si="10"/>
        <v>2.0835156453178039</v>
      </c>
      <c r="P12" s="88">
        <f t="shared" si="11"/>
        <v>0.38356164383561636</v>
      </c>
      <c r="Q12" s="4">
        <f t="shared" si="12"/>
        <v>0.38356164383561631</v>
      </c>
      <c r="R12" s="4">
        <f t="shared" si="13"/>
        <v>0.38356164383561636</v>
      </c>
      <c r="S12" s="4">
        <f t="shared" si="14"/>
        <v>0.38356164383561642</v>
      </c>
      <c r="T12" s="4">
        <f t="shared" si="15"/>
        <v>0.38356164383561647</v>
      </c>
      <c r="U12" s="4">
        <f t="shared" si="16"/>
        <v>0.38356164383561636</v>
      </c>
      <c r="V12" s="92">
        <f t="shared" ref="V12:V42" si="25">((K12/MAX(K$11:K$41))*(130-70))+70</f>
        <v>93.013698630136986</v>
      </c>
      <c r="W12" s="98">
        <f t="shared" ref="W12:W42" si="26">((L12/MAX(L$11:L$41))*(130-70))+70</f>
        <v>93.013698630136986</v>
      </c>
      <c r="X12" s="98">
        <f t="shared" ref="X12:X42" si="27">((M12/MAX(M$11:M$41))*(130-70))+70</f>
        <v>93.013698630136986</v>
      </c>
      <c r="Y12" s="98">
        <f t="shared" ref="Y12:Y42" si="28">((N12/MAX(N$11:N$41))*(130-70))+70</f>
        <v>93.013698630136986</v>
      </c>
      <c r="Z12" s="98">
        <f t="shared" ref="Z12:Z42" si="29">((O12/MAX(O$11:O$41))*(130-70))+70</f>
        <v>93.013698630136986</v>
      </c>
      <c r="AA12" s="4"/>
      <c r="AB12" s="35">
        <f t="shared" ref="AB12:AB42" si="30">IF(Q12&gt;Q$44,(((((Q12-Q$44)/(MAX(Q$11:Q$42)-Q$44)))*(130-70)/2)+(130+70)/2),(((Q12-Q$44)/(Q$44-(MIN(Q$11:Q$42)))*(130-70)/2))+(130+70)/2)</f>
        <v>100.81081081081081</v>
      </c>
      <c r="AC12" s="98">
        <f t="shared" ref="AC12:AC42" si="31">IF(R12&gt;R$44,(((((R12-R$44)/(MAX(R$11:R$42)-R$44)))*(130-70)/2)+(130+70)/2),(((R12-R$44)/(R$44-(MIN(R$11:R$42)))*(130-70)/2))+(130+70)/2)</f>
        <v>100.81081081081081</v>
      </c>
      <c r="AD12" s="98">
        <f t="shared" ref="AD12:AD42" si="32">IF(S12&gt;S$44,(((((S12-S$44)/(MAX(S$11:S$42)-S$44)))*(130-70)/2)+(130+70)/2),(((S12-S$44)/(S$44-(MIN(S$11:S$42)))*(130-70)/2))+(130+70)/2)</f>
        <v>100.81081081081081</v>
      </c>
      <c r="AE12" s="98">
        <f t="shared" ref="AE12:AE42" si="33">IF(T12&gt;T$44,(((((T12-T$44)/(MAX(T$11:T$42)-T$44)))*(130-70)/2)+(130+70)/2),(((T12-T$44)/(T$44-(MIN(T$11:T$42)))*(130-70)/2))+(130+70)/2)</f>
        <v>100.81081081081081</v>
      </c>
      <c r="AF12" s="98">
        <f t="shared" ref="AF12:AF42" si="34">IF(U12&gt;U$44,(((((U12-U$44)/(MAX(U$11:U$42)-U$44)))*(130-70)/2)+(130+70)/2),(((U12-U$44)/(U$44-(MIN(U$11:U$42)))*(130-70)/2))+(130+70)/2)</f>
        <v>100.81081081081081</v>
      </c>
      <c r="AG12" s="85">
        <f t="shared" si="19"/>
        <v>1.5696127908364707E-2</v>
      </c>
      <c r="AH12" s="1">
        <f t="shared" si="20"/>
        <v>1.5696127908364707E-2</v>
      </c>
      <c r="AI12" s="1">
        <f t="shared" si="21"/>
        <v>1.5696127908365311E-2</v>
      </c>
      <c r="AJ12" s="1">
        <f t="shared" si="22"/>
        <v>1.5696127908364721E-2</v>
      </c>
      <c r="AK12" s="1">
        <f t="shared" si="23"/>
        <v>1.5696127908364124E-2</v>
      </c>
      <c r="AP12" s="28"/>
    </row>
    <row r="13" spans="1:42" x14ac:dyDescent="0.3">
      <c r="A13">
        <v>3</v>
      </c>
      <c r="B13" s="16" t="s">
        <v>9</v>
      </c>
      <c r="C13" s="8">
        <v>65.5</v>
      </c>
      <c r="D13" s="10">
        <f t="shared" si="0"/>
        <v>0.84734799482535583</v>
      </c>
      <c r="E13" s="11">
        <f t="shared" si="1"/>
        <v>0.59589041095890416</v>
      </c>
      <c r="F13" s="19">
        <f t="shared" si="2"/>
        <v>1.1690708601378637</v>
      </c>
      <c r="G13" s="12">
        <f t="shared" si="3"/>
        <v>3.4566467887487462E-2</v>
      </c>
      <c r="H13" s="4">
        <f t="shared" si="4"/>
        <v>0.19473672295201397</v>
      </c>
      <c r="I13" s="1">
        <f t="shared" si="24"/>
        <v>4290.25</v>
      </c>
      <c r="J13" s="85">
        <f t="shared" si="5"/>
        <v>17.399999999999999</v>
      </c>
      <c r="K13" s="1">
        <f t="shared" si="6"/>
        <v>0.22509702457956016</v>
      </c>
      <c r="L13" s="1">
        <f t="shared" si="7"/>
        <v>0.59589041095890416</v>
      </c>
      <c r="M13" s="1">
        <f t="shared" si="8"/>
        <v>9.182542614385978E-3</v>
      </c>
      <c r="N13" s="1">
        <f t="shared" si="9"/>
        <v>5.1731587471222029E-2</v>
      </c>
      <c r="O13" s="1">
        <f t="shared" si="10"/>
        <v>3.2368903775473035</v>
      </c>
      <c r="P13" s="88">
        <f t="shared" si="11"/>
        <v>0.59589041095890416</v>
      </c>
      <c r="Q13" s="4">
        <f t="shared" si="12"/>
        <v>0.59589041095890427</v>
      </c>
      <c r="R13" s="4">
        <f t="shared" si="13"/>
        <v>0.59589041095890416</v>
      </c>
      <c r="S13" s="4">
        <f t="shared" si="14"/>
        <v>0.59589041095890394</v>
      </c>
      <c r="T13" s="4">
        <f t="shared" si="15"/>
        <v>0.59589041095890416</v>
      </c>
      <c r="U13" s="4">
        <f t="shared" si="16"/>
        <v>0.59589041095890427</v>
      </c>
      <c r="V13" s="92">
        <f t="shared" si="25"/>
        <v>105.75342465753425</v>
      </c>
      <c r="W13" s="98">
        <f t="shared" si="26"/>
        <v>105.75342465753425</v>
      </c>
      <c r="X13" s="98">
        <f t="shared" si="27"/>
        <v>105.75342465753424</v>
      </c>
      <c r="Y13" s="98">
        <f t="shared" si="28"/>
        <v>105.75342465753425</v>
      </c>
      <c r="Z13" s="98">
        <f t="shared" si="29"/>
        <v>105.75342465753425</v>
      </c>
      <c r="AA13" s="4"/>
      <c r="AB13" s="35">
        <f t="shared" si="30"/>
        <v>110.86486486486487</v>
      </c>
      <c r="AC13" s="98">
        <f t="shared" si="31"/>
        <v>110.86486486486487</v>
      </c>
      <c r="AD13" s="98">
        <f t="shared" si="32"/>
        <v>110.86486486486486</v>
      </c>
      <c r="AE13" s="98">
        <f t="shared" si="33"/>
        <v>110.86486486486486</v>
      </c>
      <c r="AF13" s="98">
        <f t="shared" si="34"/>
        <v>110.86486486486487</v>
      </c>
      <c r="AG13" s="85">
        <f t="shared" si="19"/>
        <v>1.169070860137865</v>
      </c>
      <c r="AH13" s="1">
        <f t="shared" si="20"/>
        <v>1.1690708601378641</v>
      </c>
      <c r="AI13" s="1">
        <f t="shared" si="21"/>
        <v>1.1690708601378632</v>
      </c>
      <c r="AJ13" s="1">
        <f t="shared" si="22"/>
        <v>1.1690708601378643</v>
      </c>
      <c r="AK13" s="1">
        <f t="shared" si="23"/>
        <v>1.1690708601378654</v>
      </c>
      <c r="AP13" s="28"/>
    </row>
    <row r="14" spans="1:42" x14ac:dyDescent="0.3">
      <c r="A14">
        <v>4</v>
      </c>
      <c r="B14" s="9" t="s">
        <v>10</v>
      </c>
      <c r="C14" s="8">
        <v>60.8</v>
      </c>
      <c r="D14" s="10">
        <f t="shared" si="0"/>
        <v>0.78654592496765852</v>
      </c>
      <c r="E14" s="11">
        <f t="shared" si="1"/>
        <v>0.43493150684931497</v>
      </c>
      <c r="F14" s="19">
        <f t="shared" si="2"/>
        <v>0.29473840183485578</v>
      </c>
      <c r="G14" s="12">
        <f t="shared" si="3"/>
        <v>3.2086125916934931E-2</v>
      </c>
      <c r="H14" s="4">
        <f t="shared" si="4"/>
        <v>0.18076324817530456</v>
      </c>
      <c r="I14" s="1">
        <f t="shared" si="24"/>
        <v>3696.64</v>
      </c>
      <c r="J14" s="85">
        <f t="shared" si="5"/>
        <v>12.699999999999996</v>
      </c>
      <c r="K14" s="1">
        <f t="shared" si="6"/>
        <v>0.16429495472186284</v>
      </c>
      <c r="L14" s="1">
        <f t="shared" si="7"/>
        <v>0.43493150684931497</v>
      </c>
      <c r="M14" s="1">
        <f t="shared" si="8"/>
        <v>6.7022006438334468E-3</v>
      </c>
      <c r="N14" s="1">
        <f t="shared" si="9"/>
        <v>3.7758112694512624E-2</v>
      </c>
      <c r="O14" s="1">
        <f t="shared" si="10"/>
        <v>2.3625579192442956</v>
      </c>
      <c r="P14" s="88">
        <f t="shared" si="11"/>
        <v>0.43493150684931497</v>
      </c>
      <c r="Q14" s="4">
        <f t="shared" si="12"/>
        <v>0.43493150684931509</v>
      </c>
      <c r="R14" s="4">
        <f t="shared" si="13"/>
        <v>0.43493150684931497</v>
      </c>
      <c r="S14" s="4">
        <f t="shared" si="14"/>
        <v>0.43493150684931514</v>
      </c>
      <c r="T14" s="4">
        <f t="shared" si="15"/>
        <v>0.43493150684931509</v>
      </c>
      <c r="U14" s="4">
        <f t="shared" si="16"/>
        <v>0.43493150684931503</v>
      </c>
      <c r="V14" s="92">
        <f t="shared" si="25"/>
        <v>96.095890410958901</v>
      </c>
      <c r="W14" s="98">
        <f t="shared" si="26"/>
        <v>96.095890410958901</v>
      </c>
      <c r="X14" s="98">
        <f t="shared" si="27"/>
        <v>96.095890410958901</v>
      </c>
      <c r="Y14" s="98">
        <f t="shared" si="28"/>
        <v>96.095890410958901</v>
      </c>
      <c r="Z14" s="98">
        <f t="shared" si="29"/>
        <v>96.095890410958901</v>
      </c>
      <c r="AA14" s="4"/>
      <c r="AB14" s="35">
        <f t="shared" si="30"/>
        <v>103.24324324324324</v>
      </c>
      <c r="AC14" s="98">
        <f t="shared" si="31"/>
        <v>103.24324324324324</v>
      </c>
      <c r="AD14" s="98">
        <f t="shared" si="32"/>
        <v>103.24324324324326</v>
      </c>
      <c r="AE14" s="98">
        <f t="shared" si="33"/>
        <v>103.24324324324324</v>
      </c>
      <c r="AF14" s="98">
        <f t="shared" si="34"/>
        <v>103.24324324324324</v>
      </c>
      <c r="AG14" s="85">
        <f t="shared" si="19"/>
        <v>0.29473840183485717</v>
      </c>
      <c r="AH14" s="1">
        <f t="shared" si="20"/>
        <v>0.29473840183485622</v>
      </c>
      <c r="AI14" s="1">
        <f t="shared" si="21"/>
        <v>0.29473840183485744</v>
      </c>
      <c r="AJ14" s="1">
        <f t="shared" si="22"/>
        <v>0.29473840183485644</v>
      </c>
      <c r="AK14" s="1">
        <f t="shared" si="23"/>
        <v>0.29473840183485628</v>
      </c>
      <c r="AP14" s="28"/>
    </row>
    <row r="15" spans="1:42" x14ac:dyDescent="0.3">
      <c r="A15">
        <v>5</v>
      </c>
      <c r="B15" s="9" t="s">
        <v>11</v>
      </c>
      <c r="C15" s="8">
        <v>58.7</v>
      </c>
      <c r="D15" s="10">
        <f t="shared" si="0"/>
        <v>0.75937904269081502</v>
      </c>
      <c r="E15" s="11">
        <f t="shared" si="1"/>
        <v>0.3630136986301371</v>
      </c>
      <c r="F15" s="19">
        <f t="shared" si="2"/>
        <v>-9.5920781662231516E-2</v>
      </c>
      <c r="G15" s="12">
        <f t="shared" si="3"/>
        <v>3.0977888015198692E-2</v>
      </c>
      <c r="H15" s="4">
        <f t="shared" si="4"/>
        <v>0.17451978072188123</v>
      </c>
      <c r="I15" s="1">
        <f t="shared" si="24"/>
        <v>3445.6900000000005</v>
      </c>
      <c r="J15" s="85">
        <f t="shared" si="5"/>
        <v>10.600000000000001</v>
      </c>
      <c r="K15" s="1">
        <f t="shared" si="6"/>
        <v>0.13712807244501934</v>
      </c>
      <c r="L15" s="1">
        <f t="shared" si="7"/>
        <v>0.3630136986301371</v>
      </c>
      <c r="M15" s="1">
        <f t="shared" si="8"/>
        <v>5.5939627420972075E-3</v>
      </c>
      <c r="N15" s="1">
        <f t="shared" si="9"/>
        <v>3.1514645241089295E-2</v>
      </c>
      <c r="O15" s="1">
        <f t="shared" si="10"/>
        <v>1.9718987357472082</v>
      </c>
      <c r="P15" s="88">
        <f t="shared" si="11"/>
        <v>0.3630136986301371</v>
      </c>
      <c r="Q15" s="4">
        <f t="shared" si="12"/>
        <v>0.36301369863013688</v>
      </c>
      <c r="R15" s="4">
        <f t="shared" si="13"/>
        <v>0.3630136986301371</v>
      </c>
      <c r="S15" s="4">
        <f t="shared" si="14"/>
        <v>0.36301369863013705</v>
      </c>
      <c r="T15" s="4">
        <f t="shared" si="15"/>
        <v>0.36301369863013722</v>
      </c>
      <c r="U15" s="4">
        <f t="shared" si="16"/>
        <v>0.3630136986301371</v>
      </c>
      <c r="V15" s="92">
        <f t="shared" si="25"/>
        <v>91.780821917808211</v>
      </c>
      <c r="W15" s="98">
        <f t="shared" si="26"/>
        <v>91.780821917808225</v>
      </c>
      <c r="X15" s="98">
        <f t="shared" si="27"/>
        <v>91.780821917808225</v>
      </c>
      <c r="Y15" s="98">
        <f t="shared" si="28"/>
        <v>91.780821917808225</v>
      </c>
      <c r="Z15" s="98">
        <f t="shared" si="29"/>
        <v>91.780821917808225</v>
      </c>
      <c r="AA15" s="4"/>
      <c r="AB15" s="35">
        <f t="shared" si="30"/>
        <v>99.719626168224295</v>
      </c>
      <c r="AC15" s="98">
        <f t="shared" si="31"/>
        <v>99.719626168224309</v>
      </c>
      <c r="AD15" s="98">
        <f t="shared" si="32"/>
        <v>99.719626168224309</v>
      </c>
      <c r="AE15" s="98">
        <f t="shared" si="33"/>
        <v>99.719626168224309</v>
      </c>
      <c r="AF15" s="98">
        <f t="shared" si="34"/>
        <v>99.719626168224309</v>
      </c>
      <c r="AG15" s="85">
        <f t="shared" si="19"/>
        <v>-9.592078166223178E-2</v>
      </c>
      <c r="AH15" s="1">
        <f t="shared" si="20"/>
        <v>-9.5920781662230878E-2</v>
      </c>
      <c r="AI15" s="1">
        <f t="shared" si="21"/>
        <v>-9.5920781662230878E-2</v>
      </c>
      <c r="AJ15" s="1">
        <f t="shared" si="22"/>
        <v>-9.5920781662230947E-2</v>
      </c>
      <c r="AK15" s="1">
        <f t="shared" si="23"/>
        <v>-9.59207816622316E-2</v>
      </c>
      <c r="AP15" s="28"/>
    </row>
    <row r="16" spans="1:42" x14ac:dyDescent="0.3">
      <c r="A16">
        <v>6</v>
      </c>
      <c r="B16" s="9" t="s">
        <v>12</v>
      </c>
      <c r="C16" s="8">
        <v>67.400000000000006</v>
      </c>
      <c r="D16" s="10">
        <f t="shared" si="0"/>
        <v>0.87192755498059515</v>
      </c>
      <c r="E16" s="11">
        <f t="shared" si="1"/>
        <v>0.66095890410958924</v>
      </c>
      <c r="F16" s="19">
        <f t="shared" si="2"/>
        <v>1.5225244071114208</v>
      </c>
      <c r="G16" s="12">
        <f t="shared" si="3"/>
        <v>3.5569159322391686E-2</v>
      </c>
      <c r="H16" s="4">
        <f t="shared" si="4"/>
        <v>0.20038557445749225</v>
      </c>
      <c r="I16" s="1">
        <f t="shared" si="24"/>
        <v>4542.7600000000011</v>
      </c>
      <c r="J16" s="85">
        <f t="shared" si="5"/>
        <v>19.300000000000004</v>
      </c>
      <c r="K16" s="1">
        <f t="shared" si="6"/>
        <v>0.24967658473479948</v>
      </c>
      <c r="L16" s="1">
        <f t="shared" si="7"/>
        <v>0.66095890410958924</v>
      </c>
      <c r="M16" s="1">
        <f t="shared" si="8"/>
        <v>1.0185234049290202E-2</v>
      </c>
      <c r="N16" s="1">
        <f t="shared" si="9"/>
        <v>5.738043897670031E-2</v>
      </c>
      <c r="O16" s="1">
        <f t="shared" si="10"/>
        <v>3.5903439245208606</v>
      </c>
      <c r="P16" s="88">
        <f t="shared" si="11"/>
        <v>0.66095890410958924</v>
      </c>
      <c r="Q16" s="4">
        <f t="shared" si="12"/>
        <v>0.66095890410958913</v>
      </c>
      <c r="R16" s="4">
        <f t="shared" si="13"/>
        <v>0.66095890410958924</v>
      </c>
      <c r="S16" s="4">
        <f t="shared" si="14"/>
        <v>0.66095890410958935</v>
      </c>
      <c r="T16" s="4">
        <f t="shared" si="15"/>
        <v>0.66095890410958935</v>
      </c>
      <c r="U16" s="4">
        <f t="shared" si="16"/>
        <v>0.66095890410958935</v>
      </c>
      <c r="V16" s="92">
        <f t="shared" si="25"/>
        <v>109.65753424657535</v>
      </c>
      <c r="W16" s="98">
        <f t="shared" si="26"/>
        <v>109.65753424657535</v>
      </c>
      <c r="X16" s="98">
        <f t="shared" si="27"/>
        <v>109.65753424657535</v>
      </c>
      <c r="Y16" s="98">
        <f t="shared" si="28"/>
        <v>109.65753424657535</v>
      </c>
      <c r="Z16" s="98">
        <f t="shared" si="29"/>
        <v>109.65753424657535</v>
      </c>
      <c r="AA16" s="4"/>
      <c r="AB16" s="35">
        <f t="shared" si="30"/>
        <v>113.94594594594595</v>
      </c>
      <c r="AC16" s="98">
        <f t="shared" si="31"/>
        <v>113.94594594594595</v>
      </c>
      <c r="AD16" s="98">
        <f t="shared" si="32"/>
        <v>113.94594594594597</v>
      </c>
      <c r="AE16" s="98">
        <f t="shared" si="33"/>
        <v>113.94594594594595</v>
      </c>
      <c r="AF16" s="98">
        <f t="shared" si="34"/>
        <v>113.94594594594595</v>
      </c>
      <c r="AG16" s="85">
        <f t="shared" si="19"/>
        <v>1.5225244071114206</v>
      </c>
      <c r="AH16" s="1">
        <f t="shared" si="20"/>
        <v>1.522524407111421</v>
      </c>
      <c r="AI16" s="1">
        <f t="shared" si="21"/>
        <v>1.5225244071114219</v>
      </c>
      <c r="AJ16" s="1">
        <f t="shared" si="22"/>
        <v>1.5225244071114221</v>
      </c>
      <c r="AK16" s="1">
        <f t="shared" si="23"/>
        <v>1.5225244071114228</v>
      </c>
      <c r="AP16" s="28"/>
    </row>
    <row r="17" spans="1:42" x14ac:dyDescent="0.3">
      <c r="A17">
        <v>7</v>
      </c>
      <c r="B17" s="9" t="s">
        <v>13</v>
      </c>
      <c r="C17" s="8">
        <v>53.9</v>
      </c>
      <c r="D17" s="10">
        <f t="shared" si="0"/>
        <v>0.69728331177231562</v>
      </c>
      <c r="E17" s="11">
        <f t="shared" si="1"/>
        <v>0.1986301369863013</v>
      </c>
      <c r="F17" s="19">
        <f t="shared" si="2"/>
        <v>-0.98885605822700562</v>
      </c>
      <c r="G17" s="12">
        <f t="shared" si="3"/>
        <v>2.8444772811230142E-2</v>
      </c>
      <c r="H17" s="4">
        <f t="shared" si="4"/>
        <v>0.16024899797119929</v>
      </c>
      <c r="I17" s="1">
        <f t="shared" si="24"/>
        <v>2905.21</v>
      </c>
      <c r="J17" s="85">
        <f t="shared" si="5"/>
        <v>5.7999999999999972</v>
      </c>
      <c r="K17" s="1">
        <f t="shared" si="6"/>
        <v>7.5032341526519941E-2</v>
      </c>
      <c r="L17" s="1">
        <f t="shared" si="7"/>
        <v>0.1986301369863013</v>
      </c>
      <c r="M17" s="1">
        <f t="shared" si="8"/>
        <v>3.0608475381286582E-3</v>
      </c>
      <c r="N17" s="1">
        <f t="shared" si="9"/>
        <v>1.7243862490407352E-2</v>
      </c>
      <c r="O17" s="1">
        <f t="shared" si="10"/>
        <v>1.0789634591824342</v>
      </c>
      <c r="P17" s="88">
        <f t="shared" si="11"/>
        <v>0.1986301369863013</v>
      </c>
      <c r="Q17" s="4">
        <f t="shared" si="12"/>
        <v>0.19863013698630111</v>
      </c>
      <c r="R17" s="4">
        <f t="shared" si="13"/>
        <v>0.1986301369863013</v>
      </c>
      <c r="S17" s="4">
        <f t="shared" si="14"/>
        <v>0.19863013698630125</v>
      </c>
      <c r="T17" s="4">
        <f t="shared" si="15"/>
        <v>0.1986301369863015</v>
      </c>
      <c r="U17" s="4">
        <f t="shared" si="16"/>
        <v>0.19863013698630136</v>
      </c>
      <c r="V17" s="92">
        <f t="shared" si="25"/>
        <v>81.91780821917807</v>
      </c>
      <c r="W17" s="98">
        <f t="shared" si="26"/>
        <v>81.917808219178085</v>
      </c>
      <c r="X17" s="98">
        <f t="shared" si="27"/>
        <v>81.91780821917807</v>
      </c>
      <c r="Y17" s="98">
        <f t="shared" si="28"/>
        <v>81.917808219178085</v>
      </c>
      <c r="Z17" s="98">
        <f t="shared" si="29"/>
        <v>81.917808219178085</v>
      </c>
      <c r="AA17" s="4"/>
      <c r="AB17" s="35">
        <f t="shared" si="30"/>
        <v>86.261682242990631</v>
      </c>
      <c r="AC17" s="98">
        <f t="shared" si="31"/>
        <v>86.261682242990645</v>
      </c>
      <c r="AD17" s="98">
        <f t="shared" si="32"/>
        <v>86.261682242990645</v>
      </c>
      <c r="AE17" s="98">
        <f t="shared" si="33"/>
        <v>86.261682242990659</v>
      </c>
      <c r="AF17" s="98">
        <f t="shared" si="34"/>
        <v>86.261682242990645</v>
      </c>
      <c r="AG17" s="85">
        <f t="shared" si="19"/>
        <v>-0.98885605822700584</v>
      </c>
      <c r="AH17" s="1">
        <f t="shared" si="20"/>
        <v>-0.98885605822700506</v>
      </c>
      <c r="AI17" s="1">
        <f t="shared" si="21"/>
        <v>-0.98885605822700506</v>
      </c>
      <c r="AJ17" s="1">
        <f t="shared" si="22"/>
        <v>-0.9888560582270054</v>
      </c>
      <c r="AK17" s="1">
        <f t="shared" si="23"/>
        <v>-0.98885605822700662</v>
      </c>
      <c r="AP17" s="28"/>
    </row>
    <row r="18" spans="1:42" x14ac:dyDescent="0.3">
      <c r="A18">
        <v>8</v>
      </c>
      <c r="B18" s="9" t="s">
        <v>14</v>
      </c>
      <c r="C18" s="8">
        <v>65.3</v>
      </c>
      <c r="D18" s="10">
        <f t="shared" si="0"/>
        <v>0.84476067270375166</v>
      </c>
      <c r="E18" s="11">
        <f t="shared" si="1"/>
        <v>0.58904109589041087</v>
      </c>
      <c r="F18" s="19">
        <f t="shared" si="2"/>
        <v>1.1318652236143307</v>
      </c>
      <c r="G18" s="12">
        <f t="shared" si="3"/>
        <v>3.446092142065544E-2</v>
      </c>
      <c r="H18" s="4">
        <f t="shared" si="4"/>
        <v>0.19414210700406889</v>
      </c>
      <c r="I18" s="1">
        <f t="shared" si="24"/>
        <v>4264.0899999999992</v>
      </c>
      <c r="J18" s="85">
        <f t="shared" si="5"/>
        <v>17.199999999999996</v>
      </c>
      <c r="K18" s="1">
        <f t="shared" si="6"/>
        <v>0.22250970245795598</v>
      </c>
      <c r="L18" s="1">
        <f t="shared" si="7"/>
        <v>0.58904109589041087</v>
      </c>
      <c r="M18" s="1">
        <f t="shared" si="8"/>
        <v>9.0769961475539555E-3</v>
      </c>
      <c r="N18" s="1">
        <f t="shared" si="9"/>
        <v>5.1136971523276953E-2</v>
      </c>
      <c r="O18" s="1">
        <f t="shared" si="10"/>
        <v>3.1996847410237708</v>
      </c>
      <c r="P18" s="88">
        <f t="shared" si="11"/>
        <v>0.58904109589041087</v>
      </c>
      <c r="Q18" s="4">
        <f t="shared" si="12"/>
        <v>0.58904109589041098</v>
      </c>
      <c r="R18" s="4">
        <f t="shared" si="13"/>
        <v>0.58904109589041087</v>
      </c>
      <c r="S18" s="4">
        <f t="shared" si="14"/>
        <v>0.58904109589041076</v>
      </c>
      <c r="T18" s="4">
        <f t="shared" si="15"/>
        <v>0.58904109589041109</v>
      </c>
      <c r="U18" s="4">
        <f t="shared" si="16"/>
        <v>0.58904109589041098</v>
      </c>
      <c r="V18" s="92">
        <f t="shared" si="25"/>
        <v>105.34246575342466</v>
      </c>
      <c r="W18" s="98">
        <f t="shared" si="26"/>
        <v>105.34246575342465</v>
      </c>
      <c r="X18" s="98">
        <f t="shared" si="27"/>
        <v>105.34246575342465</v>
      </c>
      <c r="Y18" s="98">
        <f t="shared" si="28"/>
        <v>105.34246575342466</v>
      </c>
      <c r="Z18" s="98">
        <f t="shared" si="29"/>
        <v>105.34246575342466</v>
      </c>
      <c r="AA18" s="4"/>
      <c r="AB18" s="35">
        <f t="shared" si="30"/>
        <v>110.54054054054055</v>
      </c>
      <c r="AC18" s="98">
        <f t="shared" si="31"/>
        <v>110.54054054054053</v>
      </c>
      <c r="AD18" s="98">
        <f t="shared" si="32"/>
        <v>110.54054054054053</v>
      </c>
      <c r="AE18" s="98">
        <f t="shared" si="33"/>
        <v>110.54054054054055</v>
      </c>
      <c r="AF18" s="98">
        <f t="shared" si="34"/>
        <v>110.54054054054053</v>
      </c>
      <c r="AG18" s="85">
        <f t="shared" si="19"/>
        <v>1.1318652236143321</v>
      </c>
      <c r="AH18" s="1">
        <f t="shared" si="20"/>
        <v>1.1318652236143312</v>
      </c>
      <c r="AI18" s="1">
        <f t="shared" si="21"/>
        <v>1.1318652236143307</v>
      </c>
      <c r="AJ18" s="1">
        <f t="shared" si="22"/>
        <v>1.1318652236143325</v>
      </c>
      <c r="AK18" s="1">
        <f t="shared" si="23"/>
        <v>1.1318652236143325</v>
      </c>
      <c r="AP18" s="28"/>
    </row>
    <row r="19" spans="1:42" x14ac:dyDescent="0.3">
      <c r="A19">
        <v>9</v>
      </c>
      <c r="B19" s="9" t="s">
        <v>15</v>
      </c>
      <c r="C19" s="8">
        <v>49.6</v>
      </c>
      <c r="D19" s="10">
        <f t="shared" si="0"/>
        <v>0.64165588615782665</v>
      </c>
      <c r="E19" s="11">
        <f t="shared" si="1"/>
        <v>5.1369863013698634E-2</v>
      </c>
      <c r="F19" s="19">
        <f t="shared" si="2"/>
        <v>-1.7887772434829479</v>
      </c>
      <c r="G19" s="12">
        <f t="shared" si="3"/>
        <v>2.6175523774341652E-2</v>
      </c>
      <c r="H19" s="4">
        <f t="shared" si="4"/>
        <v>0.14746475509038004</v>
      </c>
      <c r="I19" s="1">
        <f t="shared" si="24"/>
        <v>2460.1600000000003</v>
      </c>
      <c r="J19" s="85">
        <f t="shared" si="5"/>
        <v>1.5</v>
      </c>
      <c r="K19" s="1">
        <f t="shared" si="6"/>
        <v>1.9404915912030973E-2</v>
      </c>
      <c r="L19" s="1">
        <f t="shared" si="7"/>
        <v>5.1369863013698634E-2</v>
      </c>
      <c r="M19" s="1">
        <f t="shared" si="8"/>
        <v>7.9159850124016842E-4</v>
      </c>
      <c r="N19" s="1">
        <f t="shared" si="9"/>
        <v>4.4596196095881002E-3</v>
      </c>
      <c r="O19" s="1">
        <f t="shared" si="10"/>
        <v>0.27904227392649195</v>
      </c>
      <c r="P19" s="88">
        <f t="shared" si="11"/>
        <v>5.1369863013698634E-2</v>
      </c>
      <c r="Q19" s="4">
        <f t="shared" si="12"/>
        <v>5.136986301369844E-2</v>
      </c>
      <c r="R19" s="4">
        <f t="shared" si="13"/>
        <v>5.1369863013698634E-2</v>
      </c>
      <c r="S19" s="4">
        <f t="shared" si="14"/>
        <v>5.1369863013698482E-2</v>
      </c>
      <c r="T19" s="4">
        <f t="shared" si="15"/>
        <v>5.1369863013698572E-2</v>
      </c>
      <c r="U19" s="4">
        <f t="shared" si="16"/>
        <v>5.136986301369869E-2</v>
      </c>
      <c r="V19" s="92">
        <f t="shared" si="25"/>
        <v>73.082191780821901</v>
      </c>
      <c r="W19" s="98">
        <f t="shared" si="26"/>
        <v>73.082191780821915</v>
      </c>
      <c r="X19" s="98">
        <f t="shared" si="27"/>
        <v>73.082191780821915</v>
      </c>
      <c r="Y19" s="98">
        <f t="shared" si="28"/>
        <v>73.082191780821915</v>
      </c>
      <c r="Z19" s="98">
        <f t="shared" si="29"/>
        <v>73.082191780821915</v>
      </c>
      <c r="AA19" s="4"/>
      <c r="AB19" s="35">
        <f t="shared" si="30"/>
        <v>74.205607476635493</v>
      </c>
      <c r="AC19" s="98">
        <f t="shared" si="31"/>
        <v>74.205607476635507</v>
      </c>
      <c r="AD19" s="98">
        <f t="shared" si="32"/>
        <v>74.205607476635507</v>
      </c>
      <c r="AE19" s="98">
        <f t="shared" si="33"/>
        <v>74.205607476635507</v>
      </c>
      <c r="AF19" s="98">
        <f t="shared" si="34"/>
        <v>74.205607476635521</v>
      </c>
      <c r="AG19" s="85">
        <f t="shared" si="19"/>
        <v>-1.7887772434829481</v>
      </c>
      <c r="AH19" s="1">
        <f t="shared" si="20"/>
        <v>-1.7887772434829474</v>
      </c>
      <c r="AI19" s="1">
        <f t="shared" si="21"/>
        <v>-1.7887772434829476</v>
      </c>
      <c r="AJ19" s="1">
        <f t="shared" si="22"/>
        <v>-1.7887772434829496</v>
      </c>
      <c r="AK19" s="1">
        <f t="shared" si="23"/>
        <v>-1.7887772434829499</v>
      </c>
      <c r="AP19" s="28"/>
    </row>
    <row r="20" spans="1:42" x14ac:dyDescent="0.3">
      <c r="A20">
        <v>10</v>
      </c>
      <c r="B20" s="9" t="s">
        <v>16</v>
      </c>
      <c r="C20" s="8">
        <v>62</v>
      </c>
      <c r="D20" s="10">
        <f t="shared" si="0"/>
        <v>0.80206985769728334</v>
      </c>
      <c r="E20" s="11">
        <f t="shared" si="1"/>
        <v>0.47602739726027399</v>
      </c>
      <c r="F20" s="19">
        <f t="shared" si="2"/>
        <v>0.51797222097604967</v>
      </c>
      <c r="G20" s="12">
        <f t="shared" si="3"/>
        <v>3.2719404717927066E-2</v>
      </c>
      <c r="H20" s="4">
        <f t="shared" si="4"/>
        <v>0.18433094386297505</v>
      </c>
      <c r="I20" s="1">
        <f t="shared" si="24"/>
        <v>3844</v>
      </c>
      <c r="J20" s="85">
        <f t="shared" si="5"/>
        <v>13.899999999999999</v>
      </c>
      <c r="K20" s="1">
        <f t="shared" si="6"/>
        <v>0.17981888745148766</v>
      </c>
      <c r="L20" s="1">
        <f t="shared" si="7"/>
        <v>0.47602739726027399</v>
      </c>
      <c r="M20" s="1">
        <f t="shared" si="8"/>
        <v>7.3354794448255815E-3</v>
      </c>
      <c r="N20" s="1">
        <f t="shared" si="9"/>
        <v>4.132580838218311E-2</v>
      </c>
      <c r="O20" s="1">
        <f t="shared" si="10"/>
        <v>2.5857917383854896</v>
      </c>
      <c r="P20" s="88">
        <f t="shared" si="11"/>
        <v>0.47602739726027399</v>
      </c>
      <c r="Q20" s="4">
        <f t="shared" si="12"/>
        <v>0.47602739726027393</v>
      </c>
      <c r="R20" s="4">
        <f t="shared" si="13"/>
        <v>0.47602739726027399</v>
      </c>
      <c r="S20" s="4">
        <f t="shared" si="14"/>
        <v>0.47602739726027393</v>
      </c>
      <c r="T20" s="4">
        <f t="shared" si="15"/>
        <v>0.47602739726027399</v>
      </c>
      <c r="U20" s="4">
        <f t="shared" si="16"/>
        <v>0.47602739726027404</v>
      </c>
      <c r="V20" s="92">
        <f t="shared" si="25"/>
        <v>98.561643835616437</v>
      </c>
      <c r="W20" s="98">
        <f t="shared" si="26"/>
        <v>98.561643835616437</v>
      </c>
      <c r="X20" s="98">
        <f t="shared" si="27"/>
        <v>98.561643835616437</v>
      </c>
      <c r="Y20" s="98">
        <f t="shared" si="28"/>
        <v>98.561643835616437</v>
      </c>
      <c r="Z20" s="98">
        <f t="shared" si="29"/>
        <v>98.561643835616451</v>
      </c>
      <c r="AA20" s="4"/>
      <c r="AB20" s="35">
        <f t="shared" si="30"/>
        <v>105.18918918918919</v>
      </c>
      <c r="AC20" s="98">
        <f t="shared" si="31"/>
        <v>105.18918918918919</v>
      </c>
      <c r="AD20" s="98">
        <f t="shared" si="32"/>
        <v>105.18918918918919</v>
      </c>
      <c r="AE20" s="98">
        <f t="shared" si="33"/>
        <v>105.18918918918918</v>
      </c>
      <c r="AF20" s="98">
        <f t="shared" si="34"/>
        <v>105.18918918918919</v>
      </c>
      <c r="AG20" s="85">
        <f t="shared" si="19"/>
        <v>0.51797222097605011</v>
      </c>
      <c r="AH20" s="1">
        <f t="shared" si="20"/>
        <v>0.51797222097605011</v>
      </c>
      <c r="AI20" s="1">
        <f t="shared" si="21"/>
        <v>0.51797222097605011</v>
      </c>
      <c r="AJ20" s="1">
        <f t="shared" si="22"/>
        <v>0.51797222097604989</v>
      </c>
      <c r="AK20" s="1">
        <f t="shared" si="23"/>
        <v>0.51797222097605045</v>
      </c>
      <c r="AP20" s="28"/>
    </row>
    <row r="21" spans="1:42" x14ac:dyDescent="0.3">
      <c r="A21">
        <v>11</v>
      </c>
      <c r="B21" s="9" t="s">
        <v>17</v>
      </c>
      <c r="C21" s="8">
        <v>56.5</v>
      </c>
      <c r="D21" s="10">
        <f t="shared" si="0"/>
        <v>0.73091849935316955</v>
      </c>
      <c r="E21" s="11">
        <f t="shared" si="1"/>
        <v>0.28767123287671231</v>
      </c>
      <c r="F21" s="19">
        <f t="shared" si="2"/>
        <v>-0.50518278342108647</v>
      </c>
      <c r="G21" s="12">
        <f t="shared" si="3"/>
        <v>2.9816876880046438E-2</v>
      </c>
      <c r="H21" s="4">
        <f t="shared" si="4"/>
        <v>0.16797900529448534</v>
      </c>
      <c r="I21" s="1">
        <f t="shared" si="24"/>
        <v>3192.25</v>
      </c>
      <c r="J21" s="85">
        <f t="shared" si="5"/>
        <v>8.3999999999999986</v>
      </c>
      <c r="K21" s="1">
        <f t="shared" si="6"/>
        <v>0.10866752910737387</v>
      </c>
      <c r="L21" s="1">
        <f t="shared" si="7"/>
        <v>0.28767123287671231</v>
      </c>
      <c r="M21" s="1">
        <f t="shared" si="8"/>
        <v>4.4329516069449536E-3</v>
      </c>
      <c r="N21" s="1">
        <f t="shared" si="9"/>
        <v>2.49738698136934E-2</v>
      </c>
      <c r="O21" s="1">
        <f t="shared" si="10"/>
        <v>1.5626367339883533</v>
      </c>
      <c r="P21" s="88">
        <f t="shared" si="11"/>
        <v>0.28767123287671231</v>
      </c>
      <c r="Q21" s="4">
        <f t="shared" si="12"/>
        <v>0.28767123287671242</v>
      </c>
      <c r="R21" s="4">
        <f t="shared" si="13"/>
        <v>0.28767123287671231</v>
      </c>
      <c r="S21" s="4">
        <f t="shared" si="14"/>
        <v>0.28767123287671215</v>
      </c>
      <c r="T21" s="4">
        <f t="shared" si="15"/>
        <v>0.28767123287671242</v>
      </c>
      <c r="U21" s="4">
        <f t="shared" si="16"/>
        <v>0.28767123287671237</v>
      </c>
      <c r="V21" s="92">
        <f t="shared" si="25"/>
        <v>87.260273972602747</v>
      </c>
      <c r="W21" s="98">
        <f t="shared" si="26"/>
        <v>87.260273972602732</v>
      </c>
      <c r="X21" s="98">
        <f t="shared" si="27"/>
        <v>87.260273972602732</v>
      </c>
      <c r="Y21" s="98">
        <f t="shared" si="28"/>
        <v>87.260273972602747</v>
      </c>
      <c r="Z21" s="98">
        <f t="shared" si="29"/>
        <v>87.260273972602747</v>
      </c>
      <c r="AA21" s="4"/>
      <c r="AB21" s="35">
        <f t="shared" si="30"/>
        <v>93.551401869158894</v>
      </c>
      <c r="AC21" s="98">
        <f t="shared" si="31"/>
        <v>93.55140186915888</v>
      </c>
      <c r="AD21" s="98">
        <f t="shared" si="32"/>
        <v>93.551401869158866</v>
      </c>
      <c r="AE21" s="98">
        <f t="shared" si="33"/>
        <v>93.55140186915888</v>
      </c>
      <c r="AF21" s="98">
        <f t="shared" si="34"/>
        <v>93.55140186915888</v>
      </c>
      <c r="AG21" s="85">
        <f t="shared" si="19"/>
        <v>-0.50518278342108514</v>
      </c>
      <c r="AH21" s="1">
        <f t="shared" si="20"/>
        <v>-0.50518278342108602</v>
      </c>
      <c r="AI21" s="1">
        <f t="shared" si="21"/>
        <v>-0.50518278342108658</v>
      </c>
      <c r="AJ21" s="1">
        <f t="shared" si="22"/>
        <v>-0.50518278342108636</v>
      </c>
      <c r="AK21" s="1">
        <f t="shared" si="23"/>
        <v>-0.50518278342108691</v>
      </c>
      <c r="AP21" s="28"/>
    </row>
    <row r="22" spans="1:42" x14ac:dyDescent="0.3">
      <c r="A22">
        <v>12</v>
      </c>
      <c r="B22" s="9" t="s">
        <v>18</v>
      </c>
      <c r="C22" s="8">
        <v>62.3</v>
      </c>
      <c r="D22" s="10">
        <f t="shared" si="0"/>
        <v>0.80595084087968949</v>
      </c>
      <c r="E22" s="11">
        <f t="shared" si="1"/>
        <v>0.48630136986301364</v>
      </c>
      <c r="F22" s="19">
        <f t="shared" si="2"/>
        <v>0.5737806757613475</v>
      </c>
      <c r="G22" s="12">
        <f t="shared" si="3"/>
        <v>3.2877724418175096E-2</v>
      </c>
      <c r="H22" s="4">
        <f t="shared" si="4"/>
        <v>0.18522286778489266</v>
      </c>
      <c r="I22" s="1">
        <f t="shared" si="24"/>
        <v>3881.2899999999995</v>
      </c>
      <c r="J22" s="85">
        <f t="shared" si="5"/>
        <v>14.199999999999996</v>
      </c>
      <c r="K22" s="1">
        <f t="shared" si="6"/>
        <v>0.18369987063389381</v>
      </c>
      <c r="L22" s="1">
        <f t="shared" si="7"/>
        <v>0.48630136986301364</v>
      </c>
      <c r="M22" s="1">
        <f t="shared" si="8"/>
        <v>7.4937991450736118E-3</v>
      </c>
      <c r="N22" s="1">
        <f t="shared" si="9"/>
        <v>4.2217732304100725E-2</v>
      </c>
      <c r="O22" s="1">
        <f t="shared" si="10"/>
        <v>2.6416001931707873</v>
      </c>
      <c r="P22" s="88">
        <f t="shared" si="11"/>
        <v>0.48630136986301364</v>
      </c>
      <c r="Q22" s="4">
        <f t="shared" si="12"/>
        <v>0.48630136986301353</v>
      </c>
      <c r="R22" s="4">
        <f t="shared" si="13"/>
        <v>0.48630136986301364</v>
      </c>
      <c r="S22" s="4">
        <f t="shared" si="14"/>
        <v>0.48630136986301342</v>
      </c>
      <c r="T22" s="4">
        <f t="shared" si="15"/>
        <v>0.48630136986301364</v>
      </c>
      <c r="U22" s="4">
        <f t="shared" si="16"/>
        <v>0.4863013698630137</v>
      </c>
      <c r="V22" s="92">
        <f t="shared" si="25"/>
        <v>99.178082191780817</v>
      </c>
      <c r="W22" s="98">
        <f t="shared" si="26"/>
        <v>99.178082191780817</v>
      </c>
      <c r="X22" s="98">
        <f t="shared" si="27"/>
        <v>99.178082191780803</v>
      </c>
      <c r="Y22" s="98">
        <f t="shared" si="28"/>
        <v>99.178082191780817</v>
      </c>
      <c r="Z22" s="98">
        <f t="shared" si="29"/>
        <v>99.178082191780817</v>
      </c>
      <c r="AA22" s="4"/>
      <c r="AB22" s="35">
        <f t="shared" si="30"/>
        <v>105.67567567567568</v>
      </c>
      <c r="AC22" s="98">
        <f t="shared" si="31"/>
        <v>105.67567567567568</v>
      </c>
      <c r="AD22" s="98">
        <f t="shared" si="32"/>
        <v>105.67567567567566</v>
      </c>
      <c r="AE22" s="98">
        <f t="shared" si="33"/>
        <v>105.67567567567566</v>
      </c>
      <c r="AF22" s="98">
        <f t="shared" si="34"/>
        <v>105.67567567567568</v>
      </c>
      <c r="AG22" s="85">
        <f t="shared" si="19"/>
        <v>0.57378067576134772</v>
      </c>
      <c r="AH22" s="1">
        <f t="shared" si="20"/>
        <v>0.57378067576134806</v>
      </c>
      <c r="AI22" s="1">
        <f t="shared" si="21"/>
        <v>0.57378067576134717</v>
      </c>
      <c r="AJ22" s="1">
        <f t="shared" si="22"/>
        <v>0.57378067576134795</v>
      </c>
      <c r="AK22" s="1">
        <f t="shared" si="23"/>
        <v>0.5737806757613485</v>
      </c>
      <c r="AP22" s="28"/>
    </row>
    <row r="23" spans="1:42" x14ac:dyDescent="0.3">
      <c r="A23">
        <v>13</v>
      </c>
      <c r="B23" s="9" t="s">
        <v>19</v>
      </c>
      <c r="C23" s="8">
        <v>55.8</v>
      </c>
      <c r="D23" s="10">
        <f t="shared" si="0"/>
        <v>0.72186287192755494</v>
      </c>
      <c r="E23" s="11">
        <f t="shared" si="1"/>
        <v>0.26369863013698619</v>
      </c>
      <c r="F23" s="19">
        <f t="shared" si="2"/>
        <v>-0.63540251125344982</v>
      </c>
      <c r="G23" s="12">
        <f t="shared" si="3"/>
        <v>2.9447464246134359E-2</v>
      </c>
      <c r="H23" s="4">
        <f t="shared" si="4"/>
        <v>0.16589784947667754</v>
      </c>
      <c r="I23" s="1">
        <f t="shared" si="24"/>
        <v>3113.64</v>
      </c>
      <c r="J23" s="85">
        <f t="shared" si="5"/>
        <v>7.6999999999999957</v>
      </c>
      <c r="K23" s="1">
        <f t="shared" si="6"/>
        <v>9.9611901681759263E-2</v>
      </c>
      <c r="L23" s="1">
        <f t="shared" si="7"/>
        <v>0.26369863013698619</v>
      </c>
      <c r="M23" s="1">
        <f t="shared" si="8"/>
        <v>4.063538973032875E-3</v>
      </c>
      <c r="N23" s="1">
        <f t="shared" si="9"/>
        <v>2.2892713995885605E-2</v>
      </c>
      <c r="O23" s="1">
        <f t="shared" si="10"/>
        <v>1.43241700615599</v>
      </c>
      <c r="P23" s="88">
        <f t="shared" si="11"/>
        <v>0.26369863013698619</v>
      </c>
      <c r="Q23" s="4">
        <f t="shared" si="12"/>
        <v>0.26369863013698602</v>
      </c>
      <c r="R23" s="4">
        <f t="shared" si="13"/>
        <v>0.26369863013698619</v>
      </c>
      <c r="S23" s="4">
        <f t="shared" si="14"/>
        <v>0.26369863013698619</v>
      </c>
      <c r="T23" s="4">
        <f t="shared" si="15"/>
        <v>0.2636986301369863</v>
      </c>
      <c r="U23" s="4">
        <f t="shared" si="16"/>
        <v>0.26369863013698625</v>
      </c>
      <c r="V23" s="92">
        <f t="shared" si="25"/>
        <v>85.821917808219155</v>
      </c>
      <c r="W23" s="98">
        <f t="shared" si="26"/>
        <v>85.821917808219169</v>
      </c>
      <c r="X23" s="98">
        <f t="shared" si="27"/>
        <v>85.821917808219169</v>
      </c>
      <c r="Y23" s="98">
        <f t="shared" si="28"/>
        <v>85.821917808219183</v>
      </c>
      <c r="Z23" s="98">
        <f t="shared" si="29"/>
        <v>85.821917808219169</v>
      </c>
      <c r="AA23" s="4"/>
      <c r="AB23" s="35">
        <f t="shared" si="30"/>
        <v>91.588785046728958</v>
      </c>
      <c r="AC23" s="98">
        <f t="shared" si="31"/>
        <v>91.588785046728958</v>
      </c>
      <c r="AD23" s="98">
        <f t="shared" si="32"/>
        <v>91.588785046728972</v>
      </c>
      <c r="AE23" s="98">
        <f t="shared" si="33"/>
        <v>91.588785046728958</v>
      </c>
      <c r="AF23" s="98">
        <f t="shared" si="34"/>
        <v>91.588785046728958</v>
      </c>
      <c r="AG23" s="85">
        <f t="shared" si="19"/>
        <v>-0.63540251125344982</v>
      </c>
      <c r="AH23" s="1">
        <f t="shared" si="20"/>
        <v>-0.63540251125344926</v>
      </c>
      <c r="AI23" s="1">
        <f t="shared" si="21"/>
        <v>-0.63540251125344893</v>
      </c>
      <c r="AJ23" s="1">
        <f t="shared" si="22"/>
        <v>-0.63540251125344971</v>
      </c>
      <c r="AK23" s="1">
        <f t="shared" si="23"/>
        <v>-0.63540251125345037</v>
      </c>
    </row>
    <row r="24" spans="1:42" x14ac:dyDescent="0.3">
      <c r="A24">
        <v>14</v>
      </c>
      <c r="B24" s="9" t="s">
        <v>20</v>
      </c>
      <c r="C24" s="8">
        <v>62.2</v>
      </c>
      <c r="D24" s="10">
        <f t="shared" si="0"/>
        <v>0.80465717981888751</v>
      </c>
      <c r="E24" s="11">
        <f t="shared" si="1"/>
        <v>0.48287671232876722</v>
      </c>
      <c r="F24" s="19">
        <f t="shared" si="2"/>
        <v>0.55517785749958237</v>
      </c>
      <c r="G24" s="12">
        <f t="shared" si="3"/>
        <v>3.2824951184759088E-2</v>
      </c>
      <c r="H24" s="4">
        <f t="shared" si="4"/>
        <v>0.18492555981092015</v>
      </c>
      <c r="I24" s="1">
        <f t="shared" si="24"/>
        <v>3868.84</v>
      </c>
      <c r="J24" s="85">
        <f t="shared" si="5"/>
        <v>14.100000000000001</v>
      </c>
      <c r="K24" s="1">
        <f t="shared" si="6"/>
        <v>0.18240620957309184</v>
      </c>
      <c r="L24" s="1">
        <f t="shared" si="7"/>
        <v>0.48287671232876722</v>
      </c>
      <c r="M24" s="1">
        <f t="shared" si="8"/>
        <v>7.441025911657604E-3</v>
      </c>
      <c r="N24" s="1">
        <f t="shared" si="9"/>
        <v>4.1920424330128214E-2</v>
      </c>
      <c r="O24" s="1">
        <f t="shared" si="10"/>
        <v>2.6229973749090223</v>
      </c>
      <c r="P24" s="88">
        <f t="shared" si="11"/>
        <v>0.48287671232876722</v>
      </c>
      <c r="Q24" s="4">
        <f t="shared" si="12"/>
        <v>0.48287671232876717</v>
      </c>
      <c r="R24" s="4">
        <f t="shared" si="13"/>
        <v>0.48287671232876722</v>
      </c>
      <c r="S24" s="4">
        <f t="shared" si="14"/>
        <v>0.48287671232876705</v>
      </c>
      <c r="T24" s="4">
        <f t="shared" si="15"/>
        <v>0.48287671232876739</v>
      </c>
      <c r="U24" s="4">
        <f t="shared" si="16"/>
        <v>0.48287671232876733</v>
      </c>
      <c r="V24" s="92">
        <f t="shared" si="25"/>
        <v>98.972602739726028</v>
      </c>
      <c r="W24" s="98">
        <f t="shared" si="26"/>
        <v>98.972602739726028</v>
      </c>
      <c r="X24" s="98">
        <f t="shared" si="27"/>
        <v>98.972602739726028</v>
      </c>
      <c r="Y24" s="98">
        <f t="shared" si="28"/>
        <v>98.972602739726042</v>
      </c>
      <c r="Z24" s="98">
        <f t="shared" si="29"/>
        <v>98.972602739726042</v>
      </c>
      <c r="AA24" s="4"/>
      <c r="AB24" s="35">
        <f t="shared" si="30"/>
        <v>105.51351351351352</v>
      </c>
      <c r="AC24" s="98">
        <f t="shared" si="31"/>
        <v>105.51351351351352</v>
      </c>
      <c r="AD24" s="98">
        <f t="shared" si="32"/>
        <v>105.51351351351352</v>
      </c>
      <c r="AE24" s="98">
        <f t="shared" si="33"/>
        <v>105.51351351351352</v>
      </c>
      <c r="AF24" s="98">
        <f t="shared" si="34"/>
        <v>105.51351351351352</v>
      </c>
      <c r="AG24" s="85">
        <f t="shared" si="19"/>
        <v>0.55517785749958282</v>
      </c>
      <c r="AH24" s="1">
        <f t="shared" si="20"/>
        <v>0.55517785749958282</v>
      </c>
      <c r="AI24" s="1">
        <f t="shared" si="21"/>
        <v>0.55517785749958215</v>
      </c>
      <c r="AJ24" s="1">
        <f t="shared" si="22"/>
        <v>0.55517785749958348</v>
      </c>
      <c r="AK24" s="1">
        <f t="shared" si="23"/>
        <v>0.55517785749958348</v>
      </c>
    </row>
    <row r="25" spans="1:42" x14ac:dyDescent="0.3">
      <c r="A25">
        <v>15</v>
      </c>
      <c r="B25" s="9" t="s">
        <v>21</v>
      </c>
      <c r="C25" s="8">
        <v>56.6</v>
      </c>
      <c r="D25" s="10">
        <f t="shared" si="0"/>
        <v>0.73221216041397164</v>
      </c>
      <c r="E25" s="11">
        <f t="shared" si="1"/>
        <v>0.29109589041095896</v>
      </c>
      <c r="F25" s="19">
        <f t="shared" si="2"/>
        <v>-0.48657996515932012</v>
      </c>
      <c r="G25" s="12">
        <f t="shared" si="3"/>
        <v>2.9869650113462452E-2</v>
      </c>
      <c r="H25" s="4">
        <f t="shared" si="4"/>
        <v>0.16827631326845788</v>
      </c>
      <c r="I25" s="1">
        <f t="shared" si="24"/>
        <v>3203.56</v>
      </c>
      <c r="J25" s="85">
        <f t="shared" si="5"/>
        <v>8.5</v>
      </c>
      <c r="K25" s="1">
        <f t="shared" si="6"/>
        <v>0.10996119016817596</v>
      </c>
      <c r="L25" s="1">
        <f t="shared" si="7"/>
        <v>0.29109589041095896</v>
      </c>
      <c r="M25" s="1">
        <f t="shared" si="8"/>
        <v>4.4857248403609683E-3</v>
      </c>
      <c r="N25" s="1">
        <f t="shared" si="9"/>
        <v>2.5271177787665938E-2</v>
      </c>
      <c r="O25" s="1">
        <f t="shared" si="10"/>
        <v>1.5812395522501197</v>
      </c>
      <c r="P25" s="88">
        <f t="shared" si="11"/>
        <v>0.29109589041095896</v>
      </c>
      <c r="Q25" s="4">
        <f t="shared" si="12"/>
        <v>0.29109589041095901</v>
      </c>
      <c r="R25" s="4">
        <f t="shared" si="13"/>
        <v>0.29109589041095896</v>
      </c>
      <c r="S25" s="4">
        <f t="shared" si="14"/>
        <v>0.29109589041095896</v>
      </c>
      <c r="T25" s="4">
        <f t="shared" si="15"/>
        <v>0.29109589041095901</v>
      </c>
      <c r="U25" s="4">
        <f t="shared" si="16"/>
        <v>0.29109589041095901</v>
      </c>
      <c r="V25" s="92">
        <f t="shared" si="25"/>
        <v>87.465753424657549</v>
      </c>
      <c r="W25" s="98">
        <f t="shared" si="26"/>
        <v>87.465753424657535</v>
      </c>
      <c r="X25" s="98">
        <f t="shared" si="27"/>
        <v>87.465753424657535</v>
      </c>
      <c r="Y25" s="98">
        <f t="shared" si="28"/>
        <v>87.465753424657549</v>
      </c>
      <c r="Z25" s="98">
        <f t="shared" si="29"/>
        <v>87.465753424657549</v>
      </c>
      <c r="AA25" s="4"/>
      <c r="AB25" s="35">
        <f t="shared" si="30"/>
        <v>93.8317757009346</v>
      </c>
      <c r="AC25" s="98">
        <f t="shared" si="31"/>
        <v>93.831775700934585</v>
      </c>
      <c r="AD25" s="98">
        <f t="shared" si="32"/>
        <v>93.831775700934585</v>
      </c>
      <c r="AE25" s="98">
        <f t="shared" si="33"/>
        <v>93.831775700934571</v>
      </c>
      <c r="AF25" s="98">
        <f t="shared" si="34"/>
        <v>93.831775700934585</v>
      </c>
      <c r="AG25" s="85">
        <f t="shared" si="19"/>
        <v>-0.48657996515931889</v>
      </c>
      <c r="AH25" s="1">
        <f t="shared" si="20"/>
        <v>-0.48657996515931951</v>
      </c>
      <c r="AI25" s="1">
        <f t="shared" si="21"/>
        <v>-0.48657996515931923</v>
      </c>
      <c r="AJ25" s="1">
        <f t="shared" si="22"/>
        <v>-0.48657996515932017</v>
      </c>
      <c r="AK25" s="1">
        <f t="shared" si="23"/>
        <v>-0.48657996515932039</v>
      </c>
    </row>
    <row r="26" spans="1:42" x14ac:dyDescent="0.3">
      <c r="A26">
        <v>16</v>
      </c>
      <c r="B26" s="9" t="s">
        <v>22</v>
      </c>
      <c r="C26" s="8">
        <v>58.2</v>
      </c>
      <c r="D26" s="10">
        <f t="shared" si="0"/>
        <v>0.7529107373868047</v>
      </c>
      <c r="E26" s="11">
        <f t="shared" si="1"/>
        <v>0.34589041095890422</v>
      </c>
      <c r="F26" s="19">
        <f t="shared" si="2"/>
        <v>-0.18893487297106207</v>
      </c>
      <c r="G26" s="12">
        <f t="shared" si="3"/>
        <v>3.0714021848118635E-2</v>
      </c>
      <c r="H26" s="4">
        <f t="shared" si="4"/>
        <v>0.17303324085201852</v>
      </c>
      <c r="I26" s="1">
        <f t="shared" si="24"/>
        <v>3387.2400000000002</v>
      </c>
      <c r="J26" s="85">
        <f t="shared" si="5"/>
        <v>10.100000000000001</v>
      </c>
      <c r="K26" s="1">
        <f t="shared" si="6"/>
        <v>0.13065976714100902</v>
      </c>
      <c r="L26" s="1">
        <f t="shared" si="7"/>
        <v>0.34589041095890422</v>
      </c>
      <c r="M26" s="1">
        <f t="shared" si="8"/>
        <v>5.3300965750171514E-3</v>
      </c>
      <c r="N26" s="1">
        <f t="shared" si="9"/>
        <v>3.0028105371226577E-2</v>
      </c>
      <c r="O26" s="1">
        <f t="shared" si="10"/>
        <v>1.8788846444383778</v>
      </c>
      <c r="P26" s="88">
        <f t="shared" si="11"/>
        <v>0.34589041095890422</v>
      </c>
      <c r="Q26" s="4">
        <f t="shared" si="12"/>
        <v>0.3458904109589041</v>
      </c>
      <c r="R26" s="4">
        <f t="shared" si="13"/>
        <v>0.34589041095890422</v>
      </c>
      <c r="S26" s="4">
        <f t="shared" si="14"/>
        <v>0.34589041095890422</v>
      </c>
      <c r="T26" s="4">
        <f t="shared" si="15"/>
        <v>0.3458904109589041</v>
      </c>
      <c r="U26" s="4">
        <f t="shared" si="16"/>
        <v>0.34589041095890427</v>
      </c>
      <c r="V26" s="92">
        <f t="shared" si="25"/>
        <v>90.753424657534254</v>
      </c>
      <c r="W26" s="98">
        <f t="shared" si="26"/>
        <v>90.753424657534254</v>
      </c>
      <c r="X26" s="98">
        <f t="shared" si="27"/>
        <v>90.753424657534254</v>
      </c>
      <c r="Y26" s="98">
        <f t="shared" si="28"/>
        <v>90.753424657534254</v>
      </c>
      <c r="Z26" s="98">
        <f t="shared" si="29"/>
        <v>90.753424657534254</v>
      </c>
      <c r="AA26" s="4"/>
      <c r="AB26" s="35">
        <f t="shared" si="30"/>
        <v>98.317757009345797</v>
      </c>
      <c r="AC26" s="98">
        <f t="shared" si="31"/>
        <v>98.317757009345797</v>
      </c>
      <c r="AD26" s="98">
        <f t="shared" si="32"/>
        <v>98.317757009345812</v>
      </c>
      <c r="AE26" s="98">
        <f t="shared" si="33"/>
        <v>98.317757009345783</v>
      </c>
      <c r="AF26" s="98">
        <f t="shared" si="34"/>
        <v>98.317757009345797</v>
      </c>
      <c r="AG26" s="85">
        <f t="shared" si="19"/>
        <v>-0.18893487297106179</v>
      </c>
      <c r="AH26" s="1">
        <f t="shared" si="20"/>
        <v>-0.18893487297106148</v>
      </c>
      <c r="AI26" s="1">
        <f t="shared" si="21"/>
        <v>-0.18893487297106118</v>
      </c>
      <c r="AJ26" s="1">
        <f t="shared" si="22"/>
        <v>-0.18893487297106284</v>
      </c>
      <c r="AK26" s="1">
        <f t="shared" si="23"/>
        <v>-0.18893487297106201</v>
      </c>
    </row>
    <row r="27" spans="1:42" x14ac:dyDescent="0.3">
      <c r="A27">
        <v>17</v>
      </c>
      <c r="B27" s="9" t="s">
        <v>23</v>
      </c>
      <c r="C27" s="8">
        <v>59.1</v>
      </c>
      <c r="D27" s="10">
        <f t="shared" si="0"/>
        <v>0.76455368693402337</v>
      </c>
      <c r="E27" s="11">
        <f t="shared" si="1"/>
        <v>0.37671232876712335</v>
      </c>
      <c r="F27" s="19">
        <f t="shared" si="2"/>
        <v>-2.150950861516733E-2</v>
      </c>
      <c r="G27" s="12">
        <f t="shared" si="3"/>
        <v>3.1188980948862736E-2</v>
      </c>
      <c r="H27" s="4">
        <f t="shared" si="4"/>
        <v>0.17570901261777139</v>
      </c>
      <c r="I27" s="1">
        <f t="shared" si="24"/>
        <v>3492.81</v>
      </c>
      <c r="J27" s="85">
        <f t="shared" si="5"/>
        <v>11</v>
      </c>
      <c r="K27" s="1">
        <f t="shared" si="6"/>
        <v>0.14230271668822769</v>
      </c>
      <c r="L27" s="1">
        <f t="shared" si="7"/>
        <v>0.37671232876712335</v>
      </c>
      <c r="M27" s="1">
        <f t="shared" si="8"/>
        <v>5.8050556757612524E-3</v>
      </c>
      <c r="N27" s="1">
        <f t="shared" si="9"/>
        <v>3.2703877136979448E-2</v>
      </c>
      <c r="O27" s="1">
        <f t="shared" si="10"/>
        <v>2.0463100087942725</v>
      </c>
      <c r="P27" s="88">
        <f t="shared" si="11"/>
        <v>0.37671232876712335</v>
      </c>
      <c r="Q27" s="4">
        <f t="shared" si="12"/>
        <v>0.37671232876712341</v>
      </c>
      <c r="R27" s="4">
        <f t="shared" si="13"/>
        <v>0.37671232876712335</v>
      </c>
      <c r="S27" s="4">
        <f t="shared" si="14"/>
        <v>0.37671232876712329</v>
      </c>
      <c r="T27" s="4">
        <f t="shared" si="15"/>
        <v>0.37671232876712341</v>
      </c>
      <c r="U27" s="4">
        <f t="shared" si="16"/>
        <v>0.37671232876712341</v>
      </c>
      <c r="V27" s="92">
        <f t="shared" si="25"/>
        <v>92.602739726027409</v>
      </c>
      <c r="W27" s="98">
        <f t="shared" si="26"/>
        <v>92.602739726027409</v>
      </c>
      <c r="X27" s="98">
        <f t="shared" si="27"/>
        <v>92.602739726027394</v>
      </c>
      <c r="Y27" s="98">
        <f t="shared" si="28"/>
        <v>92.602739726027409</v>
      </c>
      <c r="Z27" s="98">
        <f t="shared" si="29"/>
        <v>92.602739726027409</v>
      </c>
      <c r="AA27" s="4"/>
      <c r="AB27" s="35">
        <f t="shared" si="30"/>
        <v>100.4864864864865</v>
      </c>
      <c r="AC27" s="98">
        <f t="shared" si="31"/>
        <v>100.48648648648648</v>
      </c>
      <c r="AD27" s="98">
        <f t="shared" si="32"/>
        <v>100.48648648648648</v>
      </c>
      <c r="AE27" s="98">
        <f t="shared" si="33"/>
        <v>100.48648648648648</v>
      </c>
      <c r="AF27" s="98">
        <f t="shared" si="34"/>
        <v>100.48648648648648</v>
      </c>
      <c r="AG27" s="85">
        <f t="shared" si="19"/>
        <v>-2.1509508615166151E-2</v>
      </c>
      <c r="AH27" s="1">
        <f t="shared" si="20"/>
        <v>-2.1509508615166751E-2</v>
      </c>
      <c r="AI27" s="1">
        <f t="shared" si="21"/>
        <v>-2.1509508615166751E-2</v>
      </c>
      <c r="AJ27" s="1">
        <f t="shared" si="22"/>
        <v>-2.150950861516707E-2</v>
      </c>
      <c r="AK27" s="1">
        <f t="shared" si="23"/>
        <v>-2.1509508615167081E-2</v>
      </c>
    </row>
    <row r="28" spans="1:42" x14ac:dyDescent="0.3">
      <c r="A28">
        <v>18</v>
      </c>
      <c r="B28" s="9" t="s">
        <v>24</v>
      </c>
      <c r="C28" s="8">
        <v>77.3</v>
      </c>
      <c r="D28" s="10">
        <f t="shared" si="0"/>
        <v>1</v>
      </c>
      <c r="E28" s="11">
        <f t="shared" si="1"/>
        <v>1</v>
      </c>
      <c r="F28" s="19">
        <f t="shared" si="2"/>
        <v>3.3642034150262643</v>
      </c>
      <c r="G28" s="12">
        <f t="shared" si="3"/>
        <v>4.0793709430576808E-2</v>
      </c>
      <c r="H28" s="4">
        <f t="shared" si="4"/>
        <v>0.22981906388077372</v>
      </c>
      <c r="I28" s="1">
        <f t="shared" si="24"/>
        <v>5975.29</v>
      </c>
      <c r="J28" s="85">
        <f t="shared" si="5"/>
        <v>29.199999999999996</v>
      </c>
      <c r="K28" s="1">
        <f t="shared" si="6"/>
        <v>0.37774902975420432</v>
      </c>
      <c r="L28" s="1">
        <f t="shared" si="7"/>
        <v>1</v>
      </c>
      <c r="M28" s="1">
        <f t="shared" si="8"/>
        <v>1.5409784157475324E-2</v>
      </c>
      <c r="N28" s="1">
        <f t="shared" si="9"/>
        <v>8.6813928399981782E-2</v>
      </c>
      <c r="O28" s="1">
        <f t="shared" si="10"/>
        <v>5.4320229324357037</v>
      </c>
      <c r="P28" s="89">
        <f t="shared" si="11"/>
        <v>1</v>
      </c>
      <c r="Q28" s="27">
        <f t="shared" si="12"/>
        <v>1</v>
      </c>
      <c r="R28" s="27">
        <f t="shared" si="13"/>
        <v>1</v>
      </c>
      <c r="S28" s="27">
        <f t="shared" si="14"/>
        <v>1</v>
      </c>
      <c r="T28" s="27">
        <f t="shared" si="15"/>
        <v>1</v>
      </c>
      <c r="U28" s="27">
        <f t="shared" si="16"/>
        <v>1</v>
      </c>
      <c r="V28" s="93">
        <f t="shared" si="25"/>
        <v>130</v>
      </c>
      <c r="W28" s="99">
        <f t="shared" si="26"/>
        <v>130</v>
      </c>
      <c r="X28" s="99">
        <f t="shared" si="27"/>
        <v>130</v>
      </c>
      <c r="Y28" s="99">
        <f t="shared" si="28"/>
        <v>130</v>
      </c>
      <c r="Z28" s="99">
        <f t="shared" si="29"/>
        <v>130</v>
      </c>
      <c r="AA28" s="27"/>
      <c r="AB28" s="36">
        <f t="shared" si="30"/>
        <v>130</v>
      </c>
      <c r="AC28" s="99">
        <f t="shared" si="31"/>
        <v>130</v>
      </c>
      <c r="AD28" s="99">
        <f t="shared" si="32"/>
        <v>130</v>
      </c>
      <c r="AE28" s="99">
        <f t="shared" si="33"/>
        <v>130</v>
      </c>
      <c r="AF28" s="99">
        <f t="shared" si="34"/>
        <v>130</v>
      </c>
      <c r="AG28" s="85">
        <f t="shared" si="19"/>
        <v>3.3642034150262647</v>
      </c>
      <c r="AH28" s="1">
        <f t="shared" si="20"/>
        <v>3.3642034150262643</v>
      </c>
      <c r="AI28" s="1">
        <f t="shared" si="21"/>
        <v>3.3642034150262647</v>
      </c>
      <c r="AJ28" s="1">
        <f t="shared" si="22"/>
        <v>3.364203415026267</v>
      </c>
      <c r="AK28" s="1">
        <f t="shared" si="23"/>
        <v>3.3642034150262683</v>
      </c>
    </row>
    <row r="29" spans="1:42" x14ac:dyDescent="0.3">
      <c r="A29">
        <v>19</v>
      </c>
      <c r="B29" s="9" t="s">
        <v>25</v>
      </c>
      <c r="C29" s="8">
        <v>58.2</v>
      </c>
      <c r="D29" s="10">
        <f t="shared" si="0"/>
        <v>0.7529107373868047</v>
      </c>
      <c r="E29" s="11">
        <f t="shared" si="1"/>
        <v>0.34589041095890422</v>
      </c>
      <c r="F29" s="19">
        <f t="shared" si="2"/>
        <v>-0.18893487297106207</v>
      </c>
      <c r="G29" s="12">
        <f t="shared" si="3"/>
        <v>3.0714021848118635E-2</v>
      </c>
      <c r="H29" s="4">
        <f t="shared" si="4"/>
        <v>0.17303324085201852</v>
      </c>
      <c r="I29" s="1">
        <f t="shared" si="24"/>
        <v>3387.2400000000002</v>
      </c>
      <c r="J29" s="85">
        <f t="shared" si="5"/>
        <v>10.100000000000001</v>
      </c>
      <c r="K29" s="1">
        <f t="shared" si="6"/>
        <v>0.13065976714100902</v>
      </c>
      <c r="L29" s="1">
        <f t="shared" si="7"/>
        <v>0.34589041095890422</v>
      </c>
      <c r="M29" s="1">
        <f t="shared" si="8"/>
        <v>5.3300965750171514E-3</v>
      </c>
      <c r="N29" s="1">
        <f t="shared" si="9"/>
        <v>3.0028105371226577E-2</v>
      </c>
      <c r="O29" s="1">
        <f t="shared" si="10"/>
        <v>1.8788846444383778</v>
      </c>
      <c r="P29" s="88">
        <f t="shared" si="11"/>
        <v>0.34589041095890422</v>
      </c>
      <c r="Q29" s="4">
        <f t="shared" si="12"/>
        <v>0.3458904109589041</v>
      </c>
      <c r="R29" s="4">
        <f t="shared" si="13"/>
        <v>0.34589041095890422</v>
      </c>
      <c r="S29" s="4">
        <f t="shared" si="14"/>
        <v>0.34589041095890422</v>
      </c>
      <c r="T29" s="4">
        <f t="shared" si="15"/>
        <v>0.3458904109589041</v>
      </c>
      <c r="U29" s="4">
        <f t="shared" si="16"/>
        <v>0.34589041095890427</v>
      </c>
      <c r="V29" s="92">
        <f t="shared" si="25"/>
        <v>90.753424657534254</v>
      </c>
      <c r="W29" s="98">
        <f t="shared" si="26"/>
        <v>90.753424657534254</v>
      </c>
      <c r="X29" s="98">
        <f t="shared" si="27"/>
        <v>90.753424657534254</v>
      </c>
      <c r="Y29" s="98">
        <f t="shared" si="28"/>
        <v>90.753424657534254</v>
      </c>
      <c r="Z29" s="98">
        <f t="shared" si="29"/>
        <v>90.753424657534254</v>
      </c>
      <c r="AA29" s="4"/>
      <c r="AB29" s="35">
        <f t="shared" si="30"/>
        <v>98.317757009345797</v>
      </c>
      <c r="AC29" s="98">
        <f t="shared" si="31"/>
        <v>98.317757009345797</v>
      </c>
      <c r="AD29" s="98">
        <f t="shared" si="32"/>
        <v>98.317757009345812</v>
      </c>
      <c r="AE29" s="98">
        <f t="shared" si="33"/>
        <v>98.317757009345783</v>
      </c>
      <c r="AF29" s="98">
        <f t="shared" si="34"/>
        <v>98.317757009345797</v>
      </c>
      <c r="AG29" s="85">
        <f t="shared" si="19"/>
        <v>-0.18893487297106179</v>
      </c>
      <c r="AH29" s="1">
        <f t="shared" si="20"/>
        <v>-0.18893487297106148</v>
      </c>
      <c r="AI29" s="1">
        <f t="shared" si="21"/>
        <v>-0.18893487297106118</v>
      </c>
      <c r="AJ29" s="1">
        <f t="shared" si="22"/>
        <v>-0.18893487297106284</v>
      </c>
      <c r="AK29" s="1">
        <f t="shared" si="23"/>
        <v>-0.18893487297106201</v>
      </c>
    </row>
    <row r="30" spans="1:42" x14ac:dyDescent="0.3">
      <c r="A30">
        <v>20</v>
      </c>
      <c r="B30" s="9" t="s">
        <v>26</v>
      </c>
      <c r="C30" s="8">
        <v>62.8</v>
      </c>
      <c r="D30" s="10">
        <f t="shared" si="0"/>
        <v>0.81241914618369981</v>
      </c>
      <c r="E30" s="11">
        <f t="shared" si="1"/>
        <v>0.50342465753424648</v>
      </c>
      <c r="F30" s="19">
        <f t="shared" si="2"/>
        <v>0.66679476707017804</v>
      </c>
      <c r="G30" s="12">
        <f t="shared" si="3"/>
        <v>3.3141590585255155E-2</v>
      </c>
      <c r="H30" s="4">
        <f t="shared" si="4"/>
        <v>0.18670940765475538</v>
      </c>
      <c r="I30" s="1">
        <f t="shared" si="24"/>
        <v>3943.8399999999997</v>
      </c>
      <c r="J30" s="85">
        <f t="shared" si="5"/>
        <v>14.699999999999996</v>
      </c>
      <c r="K30" s="1">
        <f t="shared" si="6"/>
        <v>0.19016817593790414</v>
      </c>
      <c r="L30" s="1">
        <f t="shared" si="7"/>
        <v>0.50342465753424648</v>
      </c>
      <c r="M30" s="1">
        <f t="shared" si="8"/>
        <v>7.7576653121536714E-3</v>
      </c>
      <c r="N30" s="1">
        <f t="shared" si="9"/>
        <v>4.3704272173963443E-2</v>
      </c>
      <c r="O30" s="1">
        <f t="shared" si="10"/>
        <v>2.7346142844796177</v>
      </c>
      <c r="P30" s="88">
        <f t="shared" si="11"/>
        <v>0.50342465753424648</v>
      </c>
      <c r="Q30" s="4">
        <f t="shared" si="12"/>
        <v>0.50342465753424637</v>
      </c>
      <c r="R30" s="4">
        <f t="shared" si="13"/>
        <v>0.50342465753424648</v>
      </c>
      <c r="S30" s="4">
        <f t="shared" si="14"/>
        <v>0.50342465753424648</v>
      </c>
      <c r="T30" s="4">
        <f t="shared" si="15"/>
        <v>0.5034246575342467</v>
      </c>
      <c r="U30" s="4">
        <f t="shared" si="16"/>
        <v>0.50342465753424659</v>
      </c>
      <c r="V30" s="92">
        <f t="shared" si="25"/>
        <v>100.20547945205479</v>
      </c>
      <c r="W30" s="98">
        <f t="shared" si="26"/>
        <v>100.20547945205479</v>
      </c>
      <c r="X30" s="98">
        <f t="shared" si="27"/>
        <v>100.20547945205479</v>
      </c>
      <c r="Y30" s="98">
        <f t="shared" si="28"/>
        <v>100.2054794520548</v>
      </c>
      <c r="Z30" s="98">
        <f t="shared" si="29"/>
        <v>100.20547945205479</v>
      </c>
      <c r="AA30" s="4"/>
      <c r="AB30" s="35">
        <f t="shared" si="30"/>
        <v>106.48648648648648</v>
      </c>
      <c r="AC30" s="98">
        <f t="shared" si="31"/>
        <v>106.48648648648648</v>
      </c>
      <c r="AD30" s="98">
        <f t="shared" si="32"/>
        <v>106.48648648648648</v>
      </c>
      <c r="AE30" s="98">
        <f t="shared" si="33"/>
        <v>106.48648648648648</v>
      </c>
      <c r="AF30" s="98">
        <f t="shared" si="34"/>
        <v>106.48648648648648</v>
      </c>
      <c r="AG30" s="85">
        <f t="shared" si="19"/>
        <v>0.66679476707017804</v>
      </c>
      <c r="AH30" s="1">
        <f t="shared" si="20"/>
        <v>0.66679476707017837</v>
      </c>
      <c r="AI30" s="1">
        <f t="shared" si="21"/>
        <v>0.66679476707017871</v>
      </c>
      <c r="AJ30" s="1">
        <f t="shared" si="22"/>
        <v>0.66679476707017948</v>
      </c>
      <c r="AK30" s="1">
        <f t="shared" si="23"/>
        <v>0.66679476707017915</v>
      </c>
    </row>
    <row r="31" spans="1:42" x14ac:dyDescent="0.3">
      <c r="A31">
        <v>21</v>
      </c>
      <c r="B31" s="9" t="s">
        <v>27</v>
      </c>
      <c r="C31" s="8">
        <v>58.4</v>
      </c>
      <c r="D31" s="10">
        <f t="shared" si="0"/>
        <v>0.75549805950840876</v>
      </c>
      <c r="E31" s="11">
        <f t="shared" si="1"/>
        <v>0.35273972602739723</v>
      </c>
      <c r="F31" s="19">
        <f t="shared" si="2"/>
        <v>-0.15172923644753064</v>
      </c>
      <c r="G31" s="12">
        <f t="shared" si="3"/>
        <v>3.0819568314950654E-2</v>
      </c>
      <c r="H31" s="4">
        <f t="shared" si="4"/>
        <v>0.17362785679996359</v>
      </c>
      <c r="I31" s="1">
        <f t="shared" si="24"/>
        <v>3410.56</v>
      </c>
      <c r="J31" s="85">
        <f t="shared" si="5"/>
        <v>10.299999999999997</v>
      </c>
      <c r="K31" s="1">
        <f t="shared" si="6"/>
        <v>0.13324708926261308</v>
      </c>
      <c r="L31" s="1">
        <f t="shared" si="7"/>
        <v>0.35273972602739723</v>
      </c>
      <c r="M31" s="1">
        <f t="shared" si="8"/>
        <v>5.4356430418491704E-3</v>
      </c>
      <c r="N31" s="1">
        <f t="shared" si="9"/>
        <v>3.0622721319171653E-2</v>
      </c>
      <c r="O31" s="1">
        <f t="shared" si="10"/>
        <v>1.9160902809619091</v>
      </c>
      <c r="P31" s="88">
        <f t="shared" si="11"/>
        <v>0.35273972602739723</v>
      </c>
      <c r="Q31" s="4">
        <f t="shared" si="12"/>
        <v>0.35273972602739706</v>
      </c>
      <c r="R31" s="4">
        <f t="shared" si="13"/>
        <v>0.35273972602739723</v>
      </c>
      <c r="S31" s="4">
        <f t="shared" si="14"/>
        <v>0.35273972602739712</v>
      </c>
      <c r="T31" s="4">
        <f t="shared" si="15"/>
        <v>0.35273972602739723</v>
      </c>
      <c r="U31" s="4">
        <f t="shared" si="16"/>
        <v>0.35273972602739728</v>
      </c>
      <c r="V31" s="92">
        <f t="shared" si="25"/>
        <v>91.164383561643831</v>
      </c>
      <c r="W31" s="98">
        <f t="shared" si="26"/>
        <v>91.164383561643831</v>
      </c>
      <c r="X31" s="98">
        <f t="shared" si="27"/>
        <v>91.164383561643831</v>
      </c>
      <c r="Y31" s="98">
        <f t="shared" si="28"/>
        <v>91.164383561643831</v>
      </c>
      <c r="Z31" s="98">
        <f t="shared" si="29"/>
        <v>91.164383561643831</v>
      </c>
      <c r="AA31" s="4"/>
      <c r="AB31" s="35">
        <f t="shared" si="30"/>
        <v>98.878504672897193</v>
      </c>
      <c r="AC31" s="98">
        <f t="shared" si="31"/>
        <v>98.878504672897193</v>
      </c>
      <c r="AD31" s="98">
        <f t="shared" si="32"/>
        <v>98.878504672897193</v>
      </c>
      <c r="AE31" s="98">
        <f t="shared" si="33"/>
        <v>98.878504672897179</v>
      </c>
      <c r="AF31" s="98">
        <f t="shared" si="34"/>
        <v>98.878504672897193</v>
      </c>
      <c r="AG31" s="85">
        <f t="shared" si="19"/>
        <v>-0.15172923644753064</v>
      </c>
      <c r="AH31" s="1">
        <f t="shared" si="20"/>
        <v>-0.15172923644753003</v>
      </c>
      <c r="AI31" s="1">
        <f t="shared" si="21"/>
        <v>-0.15172923644753034</v>
      </c>
      <c r="AJ31" s="1">
        <f t="shared" si="22"/>
        <v>-0.15172923644753075</v>
      </c>
      <c r="AK31" s="1">
        <f t="shared" si="23"/>
        <v>-0.1517292364475305</v>
      </c>
    </row>
    <row r="32" spans="1:42" x14ac:dyDescent="0.3">
      <c r="A32">
        <v>22</v>
      </c>
      <c r="B32" s="9" t="s">
        <v>28</v>
      </c>
      <c r="C32" s="8">
        <v>48.1</v>
      </c>
      <c r="D32" s="10">
        <f t="shared" si="0"/>
        <v>0.62225097024579568</v>
      </c>
      <c r="E32" s="11">
        <f t="shared" si="1"/>
        <v>0</v>
      </c>
      <c r="F32" s="19">
        <f t="shared" si="2"/>
        <v>-2.0678195174094398</v>
      </c>
      <c r="G32" s="12">
        <f t="shared" si="3"/>
        <v>2.5383925273101484E-2</v>
      </c>
      <c r="H32" s="4">
        <f t="shared" si="4"/>
        <v>0.14300513548079194</v>
      </c>
      <c r="I32" s="1">
        <f t="shared" si="24"/>
        <v>2313.61</v>
      </c>
      <c r="J32" s="86">
        <f t="shared" si="5"/>
        <v>0</v>
      </c>
      <c r="K32" s="3">
        <f t="shared" si="6"/>
        <v>0</v>
      </c>
      <c r="L32" s="3">
        <f t="shared" si="7"/>
        <v>0</v>
      </c>
      <c r="M32" s="3">
        <f t="shared" si="8"/>
        <v>0</v>
      </c>
      <c r="N32" s="3">
        <f t="shared" si="9"/>
        <v>0</v>
      </c>
      <c r="O32" s="3">
        <f t="shared" si="10"/>
        <v>0</v>
      </c>
      <c r="P32" s="89">
        <f t="shared" si="11"/>
        <v>0</v>
      </c>
      <c r="Q32" s="27">
        <f t="shared" si="12"/>
        <v>0</v>
      </c>
      <c r="R32" s="27">
        <f t="shared" si="13"/>
        <v>0</v>
      </c>
      <c r="S32" s="27">
        <f t="shared" si="14"/>
        <v>0</v>
      </c>
      <c r="T32" s="27">
        <f t="shared" si="15"/>
        <v>0</v>
      </c>
      <c r="U32" s="27">
        <f t="shared" si="16"/>
        <v>0</v>
      </c>
      <c r="V32" s="93">
        <f t="shared" si="25"/>
        <v>70</v>
      </c>
      <c r="W32" s="99">
        <f t="shared" si="26"/>
        <v>70</v>
      </c>
      <c r="X32" s="99">
        <f t="shared" si="27"/>
        <v>70</v>
      </c>
      <c r="Y32" s="99">
        <f t="shared" si="28"/>
        <v>70</v>
      </c>
      <c r="Z32" s="99">
        <f t="shared" si="29"/>
        <v>70</v>
      </c>
      <c r="AA32" s="27"/>
      <c r="AB32" s="36">
        <f t="shared" si="30"/>
        <v>70</v>
      </c>
      <c r="AC32" s="99">
        <f t="shared" si="31"/>
        <v>70</v>
      </c>
      <c r="AD32" s="99">
        <f t="shared" si="32"/>
        <v>70</v>
      </c>
      <c r="AE32" s="99">
        <f t="shared" si="33"/>
        <v>70</v>
      </c>
      <c r="AF32" s="99">
        <f t="shared" si="34"/>
        <v>70</v>
      </c>
      <c r="AG32" s="85">
        <f t="shared" si="19"/>
        <v>-2.0678195174094385</v>
      </c>
      <c r="AH32" s="1">
        <f t="shared" si="20"/>
        <v>-2.0678195174094389</v>
      </c>
      <c r="AI32" s="1">
        <f t="shared" si="21"/>
        <v>-2.0678195174094385</v>
      </c>
      <c r="AJ32" s="1">
        <f t="shared" si="22"/>
        <v>-2.0678195174094411</v>
      </c>
      <c r="AK32" s="1">
        <f t="shared" si="23"/>
        <v>-2.067819517409442</v>
      </c>
    </row>
    <row r="33" spans="1:37" x14ac:dyDescent="0.3">
      <c r="A33">
        <v>23</v>
      </c>
      <c r="B33" s="9" t="s">
        <v>29</v>
      </c>
      <c r="C33" s="8">
        <v>52.9</v>
      </c>
      <c r="D33" s="10">
        <f t="shared" si="0"/>
        <v>0.68434670116429497</v>
      </c>
      <c r="E33" s="11">
        <f t="shared" si="1"/>
        <v>0.16438356164383555</v>
      </c>
      <c r="F33" s="19">
        <f t="shared" si="2"/>
        <v>-1.1748842408446667</v>
      </c>
      <c r="G33" s="12">
        <f t="shared" si="3"/>
        <v>2.7917040477070026E-2</v>
      </c>
      <c r="H33" s="4">
        <f t="shared" si="4"/>
        <v>0.15727591823147388</v>
      </c>
      <c r="I33" s="1">
        <f t="shared" si="24"/>
        <v>2798.41</v>
      </c>
      <c r="J33" s="85">
        <f t="shared" si="5"/>
        <v>4.7999999999999972</v>
      </c>
      <c r="K33" s="1">
        <f t="shared" si="6"/>
        <v>6.2095730918499292E-2</v>
      </c>
      <c r="L33" s="1">
        <f t="shared" si="7"/>
        <v>0.16438356164383555</v>
      </c>
      <c r="M33" s="1">
        <f t="shared" si="8"/>
        <v>2.5331152039685424E-3</v>
      </c>
      <c r="N33" s="1">
        <f t="shared" si="9"/>
        <v>1.4270782750681943E-2</v>
      </c>
      <c r="O33" s="1">
        <f t="shared" si="10"/>
        <v>0.89293527656477312</v>
      </c>
      <c r="P33" s="88">
        <f t="shared" si="11"/>
        <v>0.16438356164383555</v>
      </c>
      <c r="Q33" s="4">
        <f t="shared" si="12"/>
        <v>0.1643835616438355</v>
      </c>
      <c r="R33" s="4">
        <f t="shared" si="13"/>
        <v>0.16438356164383555</v>
      </c>
      <c r="S33" s="4">
        <f t="shared" si="14"/>
        <v>0.16438356164383536</v>
      </c>
      <c r="T33" s="4">
        <f t="shared" si="15"/>
        <v>0.16438356164383569</v>
      </c>
      <c r="U33" s="4">
        <f t="shared" si="16"/>
        <v>0.16438356164383561</v>
      </c>
      <c r="V33" s="92">
        <f t="shared" si="25"/>
        <v>79.863013698630127</v>
      </c>
      <c r="W33" s="98">
        <f t="shared" si="26"/>
        <v>79.863013698630141</v>
      </c>
      <c r="X33" s="98">
        <f t="shared" si="27"/>
        <v>79.863013698630127</v>
      </c>
      <c r="Y33" s="98">
        <f t="shared" si="28"/>
        <v>79.863013698630141</v>
      </c>
      <c r="Z33" s="98">
        <f t="shared" si="29"/>
        <v>79.863013698630141</v>
      </c>
      <c r="AA33" s="4"/>
      <c r="AB33" s="35">
        <f t="shared" si="30"/>
        <v>83.457943925233636</v>
      </c>
      <c r="AC33" s="98">
        <f t="shared" si="31"/>
        <v>83.457943925233636</v>
      </c>
      <c r="AD33" s="98">
        <f t="shared" si="32"/>
        <v>83.457943925233621</v>
      </c>
      <c r="AE33" s="98">
        <f t="shared" si="33"/>
        <v>83.45794392523365</v>
      </c>
      <c r="AF33" s="98">
        <f t="shared" si="34"/>
        <v>83.457943925233636</v>
      </c>
      <c r="AG33" s="85">
        <f t="shared" si="19"/>
        <v>-1.1748842408446662</v>
      </c>
      <c r="AH33" s="1">
        <f t="shared" si="20"/>
        <v>-1.1748842408446662</v>
      </c>
      <c r="AI33" s="1">
        <f t="shared" si="21"/>
        <v>-1.1748842408446669</v>
      </c>
      <c r="AJ33" s="1">
        <f t="shared" si="22"/>
        <v>-1.1748842408446669</v>
      </c>
      <c r="AK33" s="1">
        <f t="shared" si="23"/>
        <v>-1.1748842408446678</v>
      </c>
    </row>
    <row r="34" spans="1:37" x14ac:dyDescent="0.3">
      <c r="A34">
        <v>24</v>
      </c>
      <c r="B34" s="9" t="s">
        <v>30</v>
      </c>
      <c r="C34" s="8">
        <v>59.1</v>
      </c>
      <c r="D34" s="10">
        <f t="shared" si="0"/>
        <v>0.76455368693402337</v>
      </c>
      <c r="E34" s="11">
        <f t="shared" si="1"/>
        <v>0.37671232876712335</v>
      </c>
      <c r="F34" s="19">
        <f t="shared" si="2"/>
        <v>-2.150950861516733E-2</v>
      </c>
      <c r="G34" s="12">
        <f t="shared" si="3"/>
        <v>3.1188980948862736E-2</v>
      </c>
      <c r="H34" s="4">
        <f t="shared" si="4"/>
        <v>0.17570901261777139</v>
      </c>
      <c r="I34" s="1">
        <f t="shared" si="24"/>
        <v>3492.81</v>
      </c>
      <c r="J34" s="85">
        <f t="shared" si="5"/>
        <v>11</v>
      </c>
      <c r="K34" s="1">
        <f t="shared" si="6"/>
        <v>0.14230271668822769</v>
      </c>
      <c r="L34" s="1">
        <f t="shared" si="7"/>
        <v>0.37671232876712335</v>
      </c>
      <c r="M34" s="1">
        <f t="shared" si="8"/>
        <v>5.8050556757612524E-3</v>
      </c>
      <c r="N34" s="1">
        <f t="shared" si="9"/>
        <v>3.2703877136979448E-2</v>
      </c>
      <c r="O34" s="1">
        <f t="shared" si="10"/>
        <v>2.0463100087942725</v>
      </c>
      <c r="P34" s="88">
        <f t="shared" si="11"/>
        <v>0.37671232876712335</v>
      </c>
      <c r="Q34" s="4">
        <f t="shared" si="12"/>
        <v>0.37671232876712341</v>
      </c>
      <c r="R34" s="4">
        <f t="shared" si="13"/>
        <v>0.37671232876712335</v>
      </c>
      <c r="S34" s="4">
        <f t="shared" si="14"/>
        <v>0.37671232876712329</v>
      </c>
      <c r="T34" s="4">
        <f t="shared" si="15"/>
        <v>0.37671232876712341</v>
      </c>
      <c r="U34" s="4">
        <f t="shared" si="16"/>
        <v>0.37671232876712341</v>
      </c>
      <c r="V34" s="92">
        <f t="shared" si="25"/>
        <v>92.602739726027409</v>
      </c>
      <c r="W34" s="98">
        <f t="shared" si="26"/>
        <v>92.602739726027409</v>
      </c>
      <c r="X34" s="98">
        <f t="shared" si="27"/>
        <v>92.602739726027394</v>
      </c>
      <c r="Y34" s="98">
        <f t="shared" si="28"/>
        <v>92.602739726027409</v>
      </c>
      <c r="Z34" s="98">
        <f t="shared" si="29"/>
        <v>92.602739726027409</v>
      </c>
      <c r="AA34" s="4"/>
      <c r="AB34" s="35">
        <f t="shared" si="30"/>
        <v>100.4864864864865</v>
      </c>
      <c r="AC34" s="98">
        <f t="shared" si="31"/>
        <v>100.48648648648648</v>
      </c>
      <c r="AD34" s="98">
        <f t="shared" si="32"/>
        <v>100.48648648648648</v>
      </c>
      <c r="AE34" s="98">
        <f t="shared" si="33"/>
        <v>100.48648648648648</v>
      </c>
      <c r="AF34" s="98">
        <f t="shared" si="34"/>
        <v>100.48648648648648</v>
      </c>
      <c r="AG34" s="85">
        <f t="shared" si="19"/>
        <v>-2.1509508615166151E-2</v>
      </c>
      <c r="AH34" s="1">
        <f t="shared" si="20"/>
        <v>-2.1509508615166751E-2</v>
      </c>
      <c r="AI34" s="1">
        <f t="shared" si="21"/>
        <v>-2.1509508615166751E-2</v>
      </c>
      <c r="AJ34" s="1">
        <f t="shared" si="22"/>
        <v>-2.150950861516707E-2</v>
      </c>
      <c r="AK34" s="1">
        <f t="shared" si="23"/>
        <v>-2.1509508615167081E-2</v>
      </c>
    </row>
    <row r="35" spans="1:37" x14ac:dyDescent="0.3">
      <c r="A35">
        <v>25</v>
      </c>
      <c r="B35" s="9" t="s">
        <v>31</v>
      </c>
      <c r="C35" s="8">
        <v>57.3</v>
      </c>
      <c r="D35" s="10">
        <f t="shared" si="0"/>
        <v>0.74126778783958602</v>
      </c>
      <c r="E35" s="11">
        <f t="shared" si="1"/>
        <v>0.31506849315068486</v>
      </c>
      <c r="F35" s="19">
        <f t="shared" si="2"/>
        <v>-0.35636023732695815</v>
      </c>
      <c r="G35" s="12">
        <f t="shared" si="3"/>
        <v>3.0239062747374527E-2</v>
      </c>
      <c r="H35" s="4">
        <f t="shared" si="4"/>
        <v>0.17035746908626564</v>
      </c>
      <c r="I35" s="1">
        <f t="shared" si="24"/>
        <v>3283.2899999999995</v>
      </c>
      <c r="J35" s="85">
        <f t="shared" si="5"/>
        <v>9.1999999999999957</v>
      </c>
      <c r="K35" s="1">
        <f t="shared" si="6"/>
        <v>0.11901681759379035</v>
      </c>
      <c r="L35" s="1">
        <f t="shared" si="7"/>
        <v>0.31506849315068486</v>
      </c>
      <c r="M35" s="1">
        <f t="shared" si="8"/>
        <v>4.8551374742730434E-3</v>
      </c>
      <c r="N35" s="1">
        <f t="shared" si="9"/>
        <v>2.7352333605473705E-2</v>
      </c>
      <c r="O35" s="1">
        <f t="shared" si="10"/>
        <v>1.7114592800824817</v>
      </c>
      <c r="P35" s="88">
        <f t="shared" si="11"/>
        <v>0.31506849315068486</v>
      </c>
      <c r="Q35" s="4">
        <f t="shared" si="12"/>
        <v>0.3150684931506848</v>
      </c>
      <c r="R35" s="4">
        <f t="shared" si="13"/>
        <v>0.31506849315068486</v>
      </c>
      <c r="S35" s="4">
        <f t="shared" si="14"/>
        <v>0.31506849315068469</v>
      </c>
      <c r="T35" s="4">
        <f t="shared" si="15"/>
        <v>0.31506849315068486</v>
      </c>
      <c r="U35" s="4">
        <f t="shared" si="16"/>
        <v>0.31506849315068486</v>
      </c>
      <c r="V35" s="92">
        <f t="shared" si="25"/>
        <v>88.904109589041084</v>
      </c>
      <c r="W35" s="98">
        <f t="shared" si="26"/>
        <v>88.904109589041099</v>
      </c>
      <c r="X35" s="98">
        <f t="shared" si="27"/>
        <v>88.904109589041084</v>
      </c>
      <c r="Y35" s="98">
        <f t="shared" si="28"/>
        <v>88.904109589041099</v>
      </c>
      <c r="Z35" s="98">
        <f t="shared" si="29"/>
        <v>88.904109589041099</v>
      </c>
      <c r="AA35" s="4"/>
      <c r="AB35" s="35">
        <f t="shared" si="30"/>
        <v>95.794392523364479</v>
      </c>
      <c r="AC35" s="98">
        <f t="shared" si="31"/>
        <v>95.794392523364479</v>
      </c>
      <c r="AD35" s="98">
        <f t="shared" si="32"/>
        <v>95.794392523364479</v>
      </c>
      <c r="AE35" s="98">
        <f t="shared" si="33"/>
        <v>95.794392523364465</v>
      </c>
      <c r="AF35" s="98">
        <f t="shared" si="34"/>
        <v>95.794392523364479</v>
      </c>
      <c r="AG35" s="85">
        <f t="shared" si="19"/>
        <v>-0.35636023732695743</v>
      </c>
      <c r="AH35" s="1">
        <f t="shared" si="20"/>
        <v>-0.35636023732695743</v>
      </c>
      <c r="AI35" s="1">
        <f t="shared" si="21"/>
        <v>-0.35636023732695804</v>
      </c>
      <c r="AJ35" s="1">
        <f t="shared" si="22"/>
        <v>-0.35636023732695832</v>
      </c>
      <c r="AK35" s="1">
        <f t="shared" si="23"/>
        <v>-0.35636023732695848</v>
      </c>
    </row>
    <row r="36" spans="1:37" x14ac:dyDescent="0.3">
      <c r="A36">
        <v>26</v>
      </c>
      <c r="B36" s="9" t="s">
        <v>32</v>
      </c>
      <c r="C36" s="8">
        <v>58.9</v>
      </c>
      <c r="D36" s="10">
        <f t="shared" si="0"/>
        <v>0.76196636481241919</v>
      </c>
      <c r="E36" s="11">
        <f t="shared" si="1"/>
        <v>0.36986301369863012</v>
      </c>
      <c r="F36" s="19">
        <f t="shared" si="2"/>
        <v>-5.8715145138700083E-2</v>
      </c>
      <c r="G36" s="12">
        <f t="shared" si="3"/>
        <v>3.1083434482030711E-2</v>
      </c>
      <c r="H36" s="4">
        <f t="shared" si="4"/>
        <v>0.17511439666982631</v>
      </c>
      <c r="I36" s="1">
        <f t="shared" si="24"/>
        <v>3469.21</v>
      </c>
      <c r="J36" s="85">
        <f t="shared" si="5"/>
        <v>10.799999999999997</v>
      </c>
      <c r="K36" s="1">
        <f t="shared" si="6"/>
        <v>0.13971539456662352</v>
      </c>
      <c r="L36" s="1">
        <f t="shared" si="7"/>
        <v>0.36986301369863012</v>
      </c>
      <c r="M36" s="1">
        <f t="shared" si="8"/>
        <v>5.6995092089292265E-3</v>
      </c>
      <c r="N36" s="1">
        <f t="shared" si="9"/>
        <v>3.2109261189034372E-2</v>
      </c>
      <c r="O36" s="1">
        <f t="shared" si="10"/>
        <v>2.0091043722707398</v>
      </c>
      <c r="P36" s="88">
        <f t="shared" si="11"/>
        <v>0.36986301369863012</v>
      </c>
      <c r="Q36" s="4">
        <f t="shared" si="12"/>
        <v>0.36986301369863012</v>
      </c>
      <c r="R36" s="4">
        <f t="shared" si="13"/>
        <v>0.36986301369863012</v>
      </c>
      <c r="S36" s="4">
        <f t="shared" si="14"/>
        <v>0.36986301369862995</v>
      </c>
      <c r="T36" s="4">
        <f t="shared" si="15"/>
        <v>0.36986301369863028</v>
      </c>
      <c r="U36" s="4">
        <f t="shared" si="16"/>
        <v>0.36986301369863017</v>
      </c>
      <c r="V36" s="92">
        <f t="shared" si="25"/>
        <v>92.191780821917803</v>
      </c>
      <c r="W36" s="98">
        <f t="shared" si="26"/>
        <v>92.191780821917803</v>
      </c>
      <c r="X36" s="98">
        <f t="shared" si="27"/>
        <v>92.191780821917803</v>
      </c>
      <c r="Y36" s="98">
        <f t="shared" si="28"/>
        <v>92.191780821917817</v>
      </c>
      <c r="Z36" s="98">
        <f t="shared" si="29"/>
        <v>92.191780821917803</v>
      </c>
      <c r="AA36" s="4"/>
      <c r="AB36" s="35">
        <f t="shared" si="30"/>
        <v>100.16216216216216</v>
      </c>
      <c r="AC36" s="98">
        <f t="shared" si="31"/>
        <v>100.16216216216216</v>
      </c>
      <c r="AD36" s="98">
        <f t="shared" si="32"/>
        <v>100.16216216216216</v>
      </c>
      <c r="AE36" s="98">
        <f t="shared" si="33"/>
        <v>100.16216216216216</v>
      </c>
      <c r="AF36" s="98">
        <f t="shared" si="34"/>
        <v>100.16216216216216</v>
      </c>
      <c r="AG36" s="85">
        <f t="shared" si="19"/>
        <v>-5.8715145138699118E-2</v>
      </c>
      <c r="AH36" s="1">
        <f t="shared" si="20"/>
        <v>-5.8715145138699416E-2</v>
      </c>
      <c r="AI36" s="1">
        <f t="shared" si="21"/>
        <v>-5.871514513870002E-2</v>
      </c>
      <c r="AJ36" s="1">
        <f t="shared" si="22"/>
        <v>-5.871514513869916E-2</v>
      </c>
      <c r="AK36" s="1">
        <f t="shared" si="23"/>
        <v>-5.8715145138699791E-2</v>
      </c>
    </row>
    <row r="37" spans="1:37" x14ac:dyDescent="0.3">
      <c r="A37">
        <v>27</v>
      </c>
      <c r="B37" s="9" t="s">
        <v>33</v>
      </c>
      <c r="C37" s="8">
        <v>51.7</v>
      </c>
      <c r="D37" s="10">
        <f t="shared" si="0"/>
        <v>0.66882276843467015</v>
      </c>
      <c r="E37" s="11">
        <f t="shared" si="1"/>
        <v>0.12328767123287677</v>
      </c>
      <c r="F37" s="19">
        <f t="shared" si="2"/>
        <v>-1.3981180599858594</v>
      </c>
      <c r="G37" s="12">
        <f t="shared" si="3"/>
        <v>2.7283761676077895E-2</v>
      </c>
      <c r="H37" s="4">
        <f t="shared" si="4"/>
        <v>0.1537082225438034</v>
      </c>
      <c r="I37" s="1">
        <f t="shared" si="24"/>
        <v>2672.8900000000003</v>
      </c>
      <c r="J37" s="85">
        <f t="shared" si="5"/>
        <v>3.6000000000000014</v>
      </c>
      <c r="K37" s="1">
        <f t="shared" si="6"/>
        <v>4.6571798188874469E-2</v>
      </c>
      <c r="L37" s="1">
        <f t="shared" si="7"/>
        <v>0.12328767123287677</v>
      </c>
      <c r="M37" s="1">
        <f t="shared" si="8"/>
        <v>1.8998364029764112E-3</v>
      </c>
      <c r="N37" s="1">
        <f t="shared" si="9"/>
        <v>1.0703087063011457E-2</v>
      </c>
      <c r="O37" s="1">
        <f t="shared" si="10"/>
        <v>0.66970145742358045</v>
      </c>
      <c r="P37" s="88">
        <f t="shared" si="11"/>
        <v>0.12328767123287677</v>
      </c>
      <c r="Q37" s="4">
        <f t="shared" si="12"/>
        <v>0.12328767123287662</v>
      </c>
      <c r="R37" s="4">
        <f t="shared" si="13"/>
        <v>0.12328767123287677</v>
      </c>
      <c r="S37" s="4">
        <f t="shared" si="14"/>
        <v>0.1232876712328768</v>
      </c>
      <c r="T37" s="4">
        <f t="shared" si="15"/>
        <v>0.12328767123287676</v>
      </c>
      <c r="U37" s="4">
        <f t="shared" si="16"/>
        <v>0.12328767123287682</v>
      </c>
      <c r="V37" s="92">
        <f t="shared" si="25"/>
        <v>77.397260273972591</v>
      </c>
      <c r="W37" s="98">
        <f t="shared" si="26"/>
        <v>77.397260273972606</v>
      </c>
      <c r="X37" s="98">
        <f t="shared" si="27"/>
        <v>77.397260273972606</v>
      </c>
      <c r="Y37" s="98">
        <f t="shared" si="28"/>
        <v>77.397260273972606</v>
      </c>
      <c r="Z37" s="98">
        <f t="shared" si="29"/>
        <v>77.397260273972606</v>
      </c>
      <c r="AA37" s="4"/>
      <c r="AB37" s="35">
        <f t="shared" si="30"/>
        <v>80.09345794392523</v>
      </c>
      <c r="AC37" s="98">
        <f t="shared" si="31"/>
        <v>80.093457943925245</v>
      </c>
      <c r="AD37" s="98">
        <f t="shared" si="32"/>
        <v>80.093457943925245</v>
      </c>
      <c r="AE37" s="98">
        <f t="shared" si="33"/>
        <v>80.09345794392523</v>
      </c>
      <c r="AF37" s="98">
        <f t="shared" si="34"/>
        <v>80.093457943925245</v>
      </c>
      <c r="AG37" s="85">
        <f t="shared" si="19"/>
        <v>-1.3981180599858591</v>
      </c>
      <c r="AH37" s="1">
        <f t="shared" si="20"/>
        <v>-1.3981180599858589</v>
      </c>
      <c r="AI37" s="1">
        <f t="shared" si="21"/>
        <v>-1.3981180599858583</v>
      </c>
      <c r="AJ37" s="1">
        <f t="shared" si="22"/>
        <v>-1.3981180599858605</v>
      </c>
      <c r="AK37" s="1">
        <f t="shared" si="23"/>
        <v>-1.3981180599858609</v>
      </c>
    </row>
    <row r="38" spans="1:37" x14ac:dyDescent="0.3">
      <c r="A38">
        <v>28</v>
      </c>
      <c r="B38" s="9" t="s">
        <v>34</v>
      </c>
      <c r="C38" s="8">
        <v>62.2</v>
      </c>
      <c r="D38" s="10">
        <f t="shared" si="0"/>
        <v>0.80465717981888751</v>
      </c>
      <c r="E38" s="11">
        <f t="shared" si="1"/>
        <v>0.48287671232876722</v>
      </c>
      <c r="F38" s="19">
        <f t="shared" si="2"/>
        <v>0.55517785749958237</v>
      </c>
      <c r="G38" s="12">
        <f t="shared" si="3"/>
        <v>3.2824951184759088E-2</v>
      </c>
      <c r="H38" s="4">
        <f t="shared" si="4"/>
        <v>0.18492555981092015</v>
      </c>
      <c r="I38" s="1">
        <f t="shared" si="24"/>
        <v>3868.84</v>
      </c>
      <c r="J38" s="85">
        <f t="shared" si="5"/>
        <v>14.100000000000001</v>
      </c>
      <c r="K38" s="1">
        <f t="shared" si="6"/>
        <v>0.18240620957309184</v>
      </c>
      <c r="L38" s="1">
        <f t="shared" si="7"/>
        <v>0.48287671232876722</v>
      </c>
      <c r="M38" s="1">
        <f t="shared" si="8"/>
        <v>7.441025911657604E-3</v>
      </c>
      <c r="N38" s="1">
        <f t="shared" si="9"/>
        <v>4.1920424330128214E-2</v>
      </c>
      <c r="O38" s="1">
        <f t="shared" si="10"/>
        <v>2.6229973749090223</v>
      </c>
      <c r="P38" s="88">
        <f t="shared" si="11"/>
        <v>0.48287671232876722</v>
      </c>
      <c r="Q38" s="4">
        <f t="shared" si="12"/>
        <v>0.48287671232876717</v>
      </c>
      <c r="R38" s="4">
        <f t="shared" si="13"/>
        <v>0.48287671232876722</v>
      </c>
      <c r="S38" s="4">
        <f t="shared" si="14"/>
        <v>0.48287671232876705</v>
      </c>
      <c r="T38" s="4">
        <f t="shared" si="15"/>
        <v>0.48287671232876739</v>
      </c>
      <c r="U38" s="4">
        <f t="shared" si="16"/>
        <v>0.48287671232876733</v>
      </c>
      <c r="V38" s="92">
        <f t="shared" si="25"/>
        <v>98.972602739726028</v>
      </c>
      <c r="W38" s="98">
        <f t="shared" si="26"/>
        <v>98.972602739726028</v>
      </c>
      <c r="X38" s="98">
        <f t="shared" si="27"/>
        <v>98.972602739726028</v>
      </c>
      <c r="Y38" s="98">
        <f t="shared" si="28"/>
        <v>98.972602739726042</v>
      </c>
      <c r="Z38" s="98">
        <f t="shared" si="29"/>
        <v>98.972602739726042</v>
      </c>
      <c r="AA38" s="4"/>
      <c r="AB38" s="35">
        <f t="shared" si="30"/>
        <v>105.51351351351352</v>
      </c>
      <c r="AC38" s="98">
        <f t="shared" si="31"/>
        <v>105.51351351351352</v>
      </c>
      <c r="AD38" s="98">
        <f t="shared" si="32"/>
        <v>105.51351351351352</v>
      </c>
      <c r="AE38" s="98">
        <f t="shared" si="33"/>
        <v>105.51351351351352</v>
      </c>
      <c r="AF38" s="98">
        <f t="shared" si="34"/>
        <v>105.51351351351352</v>
      </c>
      <c r="AG38" s="85">
        <f t="shared" si="19"/>
        <v>0.55517785749958282</v>
      </c>
      <c r="AH38" s="1">
        <f t="shared" si="20"/>
        <v>0.55517785749958282</v>
      </c>
      <c r="AI38" s="1">
        <f t="shared" si="21"/>
        <v>0.55517785749958215</v>
      </c>
      <c r="AJ38" s="1">
        <f t="shared" si="22"/>
        <v>0.55517785749958348</v>
      </c>
      <c r="AK38" s="1">
        <f t="shared" si="23"/>
        <v>0.55517785749958348</v>
      </c>
    </row>
    <row r="39" spans="1:37" x14ac:dyDescent="0.3">
      <c r="A39">
        <v>29</v>
      </c>
      <c r="B39" s="9" t="s">
        <v>35</v>
      </c>
      <c r="C39" s="8">
        <v>57.9</v>
      </c>
      <c r="D39" s="10">
        <f t="shared" si="0"/>
        <v>0.74902975420439843</v>
      </c>
      <c r="E39" s="11">
        <f t="shared" si="1"/>
        <v>0.33561643835616434</v>
      </c>
      <c r="F39" s="19">
        <f t="shared" si="2"/>
        <v>-0.24474332775636121</v>
      </c>
      <c r="G39" s="12">
        <f t="shared" si="3"/>
        <v>3.0555702147870598E-2</v>
      </c>
      <c r="H39" s="4">
        <f t="shared" si="4"/>
        <v>0.1721413169301009</v>
      </c>
      <c r="I39" s="1">
        <f t="shared" si="24"/>
        <v>3352.41</v>
      </c>
      <c r="J39" s="85">
        <f t="shared" si="5"/>
        <v>9.7999999999999972</v>
      </c>
      <c r="K39" s="1">
        <f t="shared" si="6"/>
        <v>0.12677878395860276</v>
      </c>
      <c r="L39" s="1">
        <f t="shared" si="7"/>
        <v>0.33561643835616434</v>
      </c>
      <c r="M39" s="1">
        <f t="shared" si="8"/>
        <v>5.1717768747691142E-3</v>
      </c>
      <c r="N39" s="1">
        <f t="shared" si="9"/>
        <v>2.9136181449308962E-2</v>
      </c>
      <c r="O39" s="1">
        <f t="shared" si="10"/>
        <v>1.8230761896530785</v>
      </c>
      <c r="P39" s="88">
        <f t="shared" si="11"/>
        <v>0.33561643835616434</v>
      </c>
      <c r="Q39" s="4">
        <f t="shared" si="12"/>
        <v>0.33561643835616423</v>
      </c>
      <c r="R39" s="4">
        <f t="shared" si="13"/>
        <v>0.33561643835616434</v>
      </c>
      <c r="S39" s="4">
        <f t="shared" si="14"/>
        <v>0.33561643835616428</v>
      </c>
      <c r="T39" s="4">
        <f t="shared" si="15"/>
        <v>0.33561643835616445</v>
      </c>
      <c r="U39" s="4">
        <f t="shared" si="16"/>
        <v>0.33561643835616434</v>
      </c>
      <c r="V39" s="92">
        <f t="shared" si="25"/>
        <v>90.136986301369859</v>
      </c>
      <c r="W39" s="98">
        <f t="shared" si="26"/>
        <v>90.136986301369859</v>
      </c>
      <c r="X39" s="98">
        <f t="shared" si="27"/>
        <v>90.136986301369859</v>
      </c>
      <c r="Y39" s="98">
        <f t="shared" si="28"/>
        <v>90.136986301369859</v>
      </c>
      <c r="Z39" s="98">
        <f t="shared" si="29"/>
        <v>90.136986301369859</v>
      </c>
      <c r="AA39" s="4"/>
      <c r="AB39" s="35">
        <f t="shared" si="30"/>
        <v>97.476635514018682</v>
      </c>
      <c r="AC39" s="98">
        <f t="shared" si="31"/>
        <v>97.476635514018682</v>
      </c>
      <c r="AD39" s="98">
        <f t="shared" si="32"/>
        <v>97.476635514018696</v>
      </c>
      <c r="AE39" s="98">
        <f t="shared" si="33"/>
        <v>97.476635514018682</v>
      </c>
      <c r="AF39" s="98">
        <f t="shared" si="34"/>
        <v>97.476635514018682</v>
      </c>
      <c r="AG39" s="85">
        <f t="shared" si="19"/>
        <v>-0.24474332775636093</v>
      </c>
      <c r="AH39" s="1">
        <f t="shared" si="20"/>
        <v>-0.24474332775636065</v>
      </c>
      <c r="AI39" s="1">
        <f t="shared" si="21"/>
        <v>-0.24474332775636065</v>
      </c>
      <c r="AJ39" s="1">
        <f t="shared" si="22"/>
        <v>-0.24474332775636082</v>
      </c>
      <c r="AK39" s="1">
        <f t="shared" si="23"/>
        <v>-0.24474332775636154</v>
      </c>
    </row>
    <row r="40" spans="1:37" x14ac:dyDescent="0.3">
      <c r="A40">
        <v>30</v>
      </c>
      <c r="B40" s="9" t="s">
        <v>36</v>
      </c>
      <c r="C40" s="8">
        <v>56.6</v>
      </c>
      <c r="D40" s="10">
        <f t="shared" si="0"/>
        <v>0.73221216041397164</v>
      </c>
      <c r="E40" s="11">
        <f t="shared" si="1"/>
        <v>0.29109589041095896</v>
      </c>
      <c r="F40" s="19">
        <f t="shared" si="2"/>
        <v>-0.48657996515932012</v>
      </c>
      <c r="G40" s="12">
        <f t="shared" si="3"/>
        <v>2.9869650113462452E-2</v>
      </c>
      <c r="H40" s="4">
        <f t="shared" si="4"/>
        <v>0.16827631326845788</v>
      </c>
      <c r="I40" s="1">
        <f t="shared" si="24"/>
        <v>3203.56</v>
      </c>
      <c r="J40" s="85">
        <f t="shared" si="5"/>
        <v>8.5</v>
      </c>
      <c r="K40" s="1">
        <f t="shared" si="6"/>
        <v>0.10996119016817596</v>
      </c>
      <c r="L40" s="1">
        <f t="shared" si="7"/>
        <v>0.29109589041095896</v>
      </c>
      <c r="M40" s="1">
        <f t="shared" si="8"/>
        <v>4.4857248403609683E-3</v>
      </c>
      <c r="N40" s="1">
        <f t="shared" si="9"/>
        <v>2.5271177787665938E-2</v>
      </c>
      <c r="O40" s="1">
        <f t="shared" si="10"/>
        <v>1.5812395522501197</v>
      </c>
      <c r="P40" s="88">
        <f t="shared" si="11"/>
        <v>0.29109589041095896</v>
      </c>
      <c r="Q40" s="4">
        <f t="shared" si="12"/>
        <v>0.29109589041095901</v>
      </c>
      <c r="R40" s="4">
        <f t="shared" si="13"/>
        <v>0.29109589041095896</v>
      </c>
      <c r="S40" s="4">
        <f t="shared" si="14"/>
        <v>0.29109589041095896</v>
      </c>
      <c r="T40" s="4">
        <f t="shared" si="15"/>
        <v>0.29109589041095901</v>
      </c>
      <c r="U40" s="4">
        <f t="shared" si="16"/>
        <v>0.29109589041095901</v>
      </c>
      <c r="V40" s="92">
        <f t="shared" si="25"/>
        <v>87.465753424657549</v>
      </c>
      <c r="W40" s="98">
        <f t="shared" si="26"/>
        <v>87.465753424657535</v>
      </c>
      <c r="X40" s="98">
        <f t="shared" si="27"/>
        <v>87.465753424657535</v>
      </c>
      <c r="Y40" s="98">
        <f t="shared" si="28"/>
        <v>87.465753424657549</v>
      </c>
      <c r="Z40" s="98">
        <f t="shared" si="29"/>
        <v>87.465753424657549</v>
      </c>
      <c r="AA40" s="4"/>
      <c r="AB40" s="35">
        <f t="shared" si="30"/>
        <v>93.8317757009346</v>
      </c>
      <c r="AC40" s="98">
        <f t="shared" si="31"/>
        <v>93.831775700934585</v>
      </c>
      <c r="AD40" s="98">
        <f t="shared" si="32"/>
        <v>93.831775700934585</v>
      </c>
      <c r="AE40" s="98">
        <f t="shared" si="33"/>
        <v>93.831775700934571</v>
      </c>
      <c r="AF40" s="98">
        <f t="shared" si="34"/>
        <v>93.831775700934585</v>
      </c>
      <c r="AG40" s="85">
        <f t="shared" si="19"/>
        <v>-0.48657996515931889</v>
      </c>
      <c r="AH40" s="1">
        <f t="shared" si="20"/>
        <v>-0.48657996515931951</v>
      </c>
      <c r="AI40" s="1">
        <f t="shared" si="21"/>
        <v>-0.48657996515931923</v>
      </c>
      <c r="AJ40" s="1">
        <f t="shared" si="22"/>
        <v>-0.48657996515932017</v>
      </c>
      <c r="AK40" s="1">
        <f t="shared" si="23"/>
        <v>-0.48657996515932039</v>
      </c>
    </row>
    <row r="41" spans="1:37" x14ac:dyDescent="0.3">
      <c r="A41">
        <v>31</v>
      </c>
      <c r="B41" s="9" t="s">
        <v>37</v>
      </c>
      <c r="C41" s="8">
        <v>63</v>
      </c>
      <c r="D41" s="10">
        <f t="shared" si="0"/>
        <v>0.81500646830530399</v>
      </c>
      <c r="E41" s="11">
        <f t="shared" si="1"/>
        <v>0.51027397260273977</v>
      </c>
      <c r="F41" s="19">
        <f t="shared" si="2"/>
        <v>0.70400040359371074</v>
      </c>
      <c r="G41" s="12">
        <f t="shared" si="3"/>
        <v>3.3247137052087178E-2</v>
      </c>
      <c r="H41" s="4">
        <f t="shared" si="4"/>
        <v>0.18730402360270046</v>
      </c>
      <c r="I41" s="1">
        <f t="shared" si="24"/>
        <v>3969</v>
      </c>
      <c r="J41" s="85">
        <f t="shared" si="5"/>
        <v>14.899999999999999</v>
      </c>
      <c r="K41" s="1">
        <f t="shared" si="6"/>
        <v>0.19275549805950831</v>
      </c>
      <c r="L41" s="1">
        <f t="shared" si="7"/>
        <v>0.51027397260273977</v>
      </c>
      <c r="M41" s="1">
        <f t="shared" si="8"/>
        <v>7.8632117789856938E-3</v>
      </c>
      <c r="N41" s="1">
        <f t="shared" si="9"/>
        <v>4.429888812190852E-2</v>
      </c>
      <c r="O41" s="1">
        <f t="shared" si="10"/>
        <v>2.7718199210031504</v>
      </c>
      <c r="P41" s="88">
        <f t="shared" si="11"/>
        <v>0.51027397260273977</v>
      </c>
      <c r="Q41" s="4">
        <f t="shared" si="12"/>
        <v>0.51027397260273955</v>
      </c>
      <c r="R41" s="4">
        <f t="shared" si="13"/>
        <v>0.51027397260273977</v>
      </c>
      <c r="S41" s="4">
        <f t="shared" si="14"/>
        <v>0.51027397260273955</v>
      </c>
      <c r="T41" s="4">
        <f t="shared" si="15"/>
        <v>0.51027397260273977</v>
      </c>
      <c r="U41" s="4">
        <f t="shared" si="16"/>
        <v>0.51027397260273977</v>
      </c>
      <c r="V41" s="92">
        <f t="shared" si="25"/>
        <v>100.61643835616437</v>
      </c>
      <c r="W41" s="98">
        <f t="shared" si="26"/>
        <v>100.61643835616439</v>
      </c>
      <c r="X41" s="98">
        <f t="shared" si="27"/>
        <v>100.61643835616437</v>
      </c>
      <c r="Y41" s="98">
        <f t="shared" si="28"/>
        <v>100.61643835616439</v>
      </c>
      <c r="Z41" s="98">
        <f t="shared" si="29"/>
        <v>100.61643835616439</v>
      </c>
      <c r="AA41" s="4"/>
      <c r="AB41" s="35">
        <f t="shared" si="30"/>
        <v>106.81081081081081</v>
      </c>
      <c r="AC41" s="98">
        <f t="shared" si="31"/>
        <v>106.81081081081081</v>
      </c>
      <c r="AD41" s="98">
        <f t="shared" si="32"/>
        <v>106.81081081081081</v>
      </c>
      <c r="AE41" s="98">
        <f t="shared" si="33"/>
        <v>106.81081081081081</v>
      </c>
      <c r="AF41" s="98">
        <f t="shared" si="34"/>
        <v>106.81081081081081</v>
      </c>
      <c r="AG41" s="85">
        <f t="shared" si="19"/>
        <v>0.70400040359371041</v>
      </c>
      <c r="AH41" s="1">
        <f t="shared" si="20"/>
        <v>0.7040004035937113</v>
      </c>
      <c r="AI41" s="1">
        <f t="shared" si="21"/>
        <v>0.70400040359371041</v>
      </c>
      <c r="AJ41" s="1">
        <f t="shared" si="22"/>
        <v>0.7040004035937113</v>
      </c>
      <c r="AK41" s="1">
        <f t="shared" si="23"/>
        <v>0.70400040359371163</v>
      </c>
    </row>
    <row r="42" spans="1:37" x14ac:dyDescent="0.3">
      <c r="A42">
        <v>32</v>
      </c>
      <c r="B42" s="9" t="s">
        <v>38</v>
      </c>
      <c r="C42" s="8">
        <v>60.5</v>
      </c>
      <c r="D42" s="10">
        <f t="shared" si="0"/>
        <v>0.78266494178525226</v>
      </c>
      <c r="E42" s="11">
        <f t="shared" si="1"/>
        <v>0.42465753424657537</v>
      </c>
      <c r="F42" s="19">
        <f t="shared" si="2"/>
        <v>0.23892994704955797</v>
      </c>
      <c r="G42" s="12">
        <f t="shared" si="3"/>
        <v>3.1927806216686894E-2</v>
      </c>
      <c r="H42" s="4">
        <f t="shared" si="4"/>
        <v>0.17987132425338695</v>
      </c>
      <c r="I42" s="1">
        <f t="shared" si="24"/>
        <v>3660.25</v>
      </c>
      <c r="J42" s="85">
        <f t="shared" si="5"/>
        <v>12.399999999999999</v>
      </c>
      <c r="K42" s="1">
        <f t="shared" si="6"/>
        <v>0.16041397153945658</v>
      </c>
      <c r="L42" s="1">
        <f t="shared" si="7"/>
        <v>0.42465753424657537</v>
      </c>
      <c r="M42" s="1">
        <f t="shared" si="8"/>
        <v>6.5438809435854096E-3</v>
      </c>
      <c r="N42" s="1">
        <f t="shared" si="9"/>
        <v>3.686618877259501E-2</v>
      </c>
      <c r="O42" s="1">
        <f t="shared" si="10"/>
        <v>2.3067494644589979</v>
      </c>
      <c r="P42" s="88">
        <f t="shared" si="11"/>
        <v>0.42465753424657537</v>
      </c>
      <c r="Q42" s="4">
        <f t="shared" si="12"/>
        <v>0.42465753424657521</v>
      </c>
      <c r="R42" s="4">
        <f t="shared" si="13"/>
        <v>0.42465753424657537</v>
      </c>
      <c r="S42" s="4">
        <f t="shared" si="14"/>
        <v>0.42465753424657521</v>
      </c>
      <c r="T42" s="4">
        <f t="shared" si="15"/>
        <v>0.42465753424657543</v>
      </c>
      <c r="U42" s="4">
        <f t="shared" si="16"/>
        <v>0.42465753424657543</v>
      </c>
      <c r="V42" s="92">
        <f t="shared" si="25"/>
        <v>95.479452054794507</v>
      </c>
      <c r="W42" s="98">
        <f t="shared" si="26"/>
        <v>95.479452054794521</v>
      </c>
      <c r="X42" s="98">
        <f t="shared" si="27"/>
        <v>95.479452054794507</v>
      </c>
      <c r="Y42" s="98">
        <f t="shared" si="28"/>
        <v>95.479452054794521</v>
      </c>
      <c r="Z42" s="98">
        <f t="shared" si="29"/>
        <v>95.479452054794521</v>
      </c>
      <c r="AA42" s="4"/>
      <c r="AB42" s="35">
        <f t="shared" si="30"/>
        <v>102.75675675675676</v>
      </c>
      <c r="AC42" s="98">
        <f t="shared" si="31"/>
        <v>102.75675675675676</v>
      </c>
      <c r="AD42" s="98">
        <f t="shared" si="32"/>
        <v>102.75675675675676</v>
      </c>
      <c r="AE42" s="98">
        <f t="shared" si="33"/>
        <v>102.75675675675676</v>
      </c>
      <c r="AF42" s="98">
        <f t="shared" si="34"/>
        <v>102.75675675675676</v>
      </c>
      <c r="AG42" s="85">
        <f t="shared" si="19"/>
        <v>0.238929947049558</v>
      </c>
      <c r="AH42" s="1">
        <f t="shared" si="20"/>
        <v>0.23892994704955858</v>
      </c>
      <c r="AI42" s="1">
        <f t="shared" si="21"/>
        <v>0.238929947049558</v>
      </c>
      <c r="AJ42" s="1">
        <f t="shared" si="22"/>
        <v>0.23892994704955847</v>
      </c>
      <c r="AK42" s="1">
        <f t="shared" si="23"/>
        <v>0.23892994704955858</v>
      </c>
    </row>
    <row r="43" spans="1:37" x14ac:dyDescent="0.3">
      <c r="X43" s="29"/>
      <c r="AE43" s="29"/>
    </row>
    <row r="44" spans="1:37" x14ac:dyDescent="0.3">
      <c r="B44" s="2" t="s">
        <v>1</v>
      </c>
      <c r="C44" s="3">
        <f>MAX(C11:C42)</f>
        <v>77.3</v>
      </c>
      <c r="F44" s="6" t="s">
        <v>48</v>
      </c>
      <c r="P44" s="2"/>
      <c r="Q44" s="3">
        <f>MEDIAN(Q11:Q42)</f>
        <v>0.36643835616438347</v>
      </c>
      <c r="R44" s="3">
        <f t="shared" ref="R44:AF44" si="35">MEDIAN(R11:R42)</f>
        <v>0.36643835616438358</v>
      </c>
      <c r="S44" s="3">
        <f t="shared" si="35"/>
        <v>0.36643835616438347</v>
      </c>
      <c r="T44" s="3">
        <f t="shared" si="35"/>
        <v>0.36643835616438375</v>
      </c>
      <c r="U44" s="3">
        <f t="shared" si="35"/>
        <v>0.36643835616438364</v>
      </c>
      <c r="V44" s="29">
        <f>AVERAGE(V11:V42)</f>
        <v>92.840325342465746</v>
      </c>
      <c r="W44" t="s">
        <v>43</v>
      </c>
      <c r="AA44" s="3"/>
      <c r="AB44" s="42">
        <f t="shared" si="35"/>
        <v>99.940894165193228</v>
      </c>
      <c r="AC44" s="3">
        <f t="shared" si="35"/>
        <v>99.940894165193242</v>
      </c>
      <c r="AD44" s="3">
        <f t="shared" si="35"/>
        <v>99.940894165193242</v>
      </c>
      <c r="AE44" s="3">
        <f t="shared" si="35"/>
        <v>99.940894165193242</v>
      </c>
      <c r="AF44" s="3">
        <f t="shared" si="35"/>
        <v>99.940894165193242</v>
      </c>
    </row>
    <row r="45" spans="1:37" x14ac:dyDescent="0.3">
      <c r="B45" s="2" t="s">
        <v>2</v>
      </c>
      <c r="C45" s="3">
        <f>MIN(C11:C42)</f>
        <v>48.1</v>
      </c>
      <c r="F45" s="40"/>
      <c r="Q45" s="1">
        <f>AVERAGE(Q11:Q42)</f>
        <v>0.38067208904109584</v>
      </c>
      <c r="R45" s="1">
        <f t="shared" ref="R45:U45" si="36">AVERAGE(R11:R42)</f>
        <v>0.3806720890410959</v>
      </c>
      <c r="S45" s="1">
        <f t="shared" si="36"/>
        <v>0.38067208904109584</v>
      </c>
      <c r="T45" s="1">
        <f t="shared" si="36"/>
        <v>0.38067208904109601</v>
      </c>
      <c r="U45" s="1">
        <f t="shared" si="36"/>
        <v>0.38067208904109601</v>
      </c>
      <c r="V45" s="41">
        <f>_xlfn.STDEV.P(V11:V42)</f>
        <v>11.045608743977903</v>
      </c>
      <c r="W45" t="s">
        <v>44</v>
      </c>
      <c r="AA45" s="1"/>
    </row>
    <row r="46" spans="1:37" x14ac:dyDescent="0.3">
      <c r="B46" s="2" t="s">
        <v>3</v>
      </c>
      <c r="C46" s="3">
        <f>SUM(C11:C42)</f>
        <v>1894.9</v>
      </c>
      <c r="I46" s="5">
        <f>SQRT(SUM(I11:I42))</f>
        <v>336.35155715411815</v>
      </c>
      <c r="Q46">
        <f>_xlfn.STDEV.P(Q11:Q42)</f>
        <v>0.18409347906629747</v>
      </c>
      <c r="R46">
        <f t="shared" ref="R46:U46" si="37">_xlfn.STDEV.P(R11:R42)</f>
        <v>0.18409347906629747</v>
      </c>
      <c r="S46">
        <f t="shared" si="37"/>
        <v>0.18409347906629747</v>
      </c>
      <c r="T46">
        <f t="shared" si="37"/>
        <v>0.18409347906629733</v>
      </c>
      <c r="U46">
        <f t="shared" si="37"/>
        <v>0.18409347906629725</v>
      </c>
    </row>
    <row r="47" spans="1:37" x14ac:dyDescent="0.3">
      <c r="B47" s="2" t="s">
        <v>40</v>
      </c>
      <c r="C47" s="14">
        <f>AVERAGE(C11:C42)</f>
        <v>59.215625000000003</v>
      </c>
      <c r="E47" s="1">
        <f>AVERAGE(E11:E42)</f>
        <v>0.3806720890410959</v>
      </c>
      <c r="F47" s="1">
        <f>AVERAGE(F11:F42)</f>
        <v>-5.0914134019919288E-16</v>
      </c>
      <c r="V47" s="29">
        <f>MAX(V11:V42)</f>
        <v>130</v>
      </c>
      <c r="W47" t="s">
        <v>1</v>
      </c>
    </row>
    <row r="48" spans="1:37" x14ac:dyDescent="0.3">
      <c r="B48" s="2" t="s">
        <v>41</v>
      </c>
      <c r="C48" s="2">
        <f>_xlfn.STDEV.P(C11:C42)</f>
        <v>5.3755295887358852</v>
      </c>
      <c r="E48">
        <f>_xlfn.STDEV.S(E11:E42)</f>
        <v>0.18703916177061353</v>
      </c>
      <c r="F48">
        <f>_xlfn.STDEV.S(F11:F42)</f>
        <v>1.016001016001524</v>
      </c>
      <c r="V48" s="29">
        <f>MIN(V11:V42)</f>
        <v>70</v>
      </c>
      <c r="W48" t="s">
        <v>49</v>
      </c>
    </row>
    <row r="49" spans="2:37" x14ac:dyDescent="0.3">
      <c r="B49" s="2" t="s">
        <v>47</v>
      </c>
      <c r="C49" s="14">
        <f>MEDIAN(C11:C42)</f>
        <v>58.8</v>
      </c>
    </row>
    <row r="52" spans="2:37" x14ac:dyDescent="0.3">
      <c r="I52">
        <f>(C44+C45)/2</f>
        <v>62.7</v>
      </c>
    </row>
    <row r="60" spans="2:37" ht="15" thickBot="1" x14ac:dyDescent="0.35"/>
    <row r="61" spans="2:37" x14ac:dyDescent="0.3">
      <c r="AB61" s="32"/>
      <c r="AC61" s="32"/>
      <c r="AD61" s="32"/>
      <c r="AE61" s="32"/>
      <c r="AF61" s="33"/>
      <c r="AH61" s="2" t="s">
        <v>82</v>
      </c>
    </row>
    <row r="62" spans="2:37" x14ac:dyDescent="0.3">
      <c r="AH62" s="2" t="s">
        <v>64</v>
      </c>
    </row>
    <row r="63" spans="2:37" x14ac:dyDescent="0.3">
      <c r="AB63" s="57" t="str">
        <f t="shared" ref="AB63:AF63" si="38">AB10</f>
        <v>Max</v>
      </c>
      <c r="AC63" s="57" t="str">
        <f t="shared" si="38"/>
        <v>Min-Max</v>
      </c>
      <c r="AD63" s="57" t="str">
        <f t="shared" si="38"/>
        <v>Sum</v>
      </c>
      <c r="AE63" s="57" t="str">
        <f t="shared" si="38"/>
        <v>zVT</v>
      </c>
      <c r="AF63" s="57" t="str">
        <f t="shared" si="38"/>
        <v>z clásica</v>
      </c>
      <c r="AH63" s="57"/>
      <c r="AI63" s="57" t="str">
        <f>F10</f>
        <v>z clásica</v>
      </c>
      <c r="AJ63" s="57" t="str">
        <f>C10</f>
        <v>c1</v>
      </c>
      <c r="AK63" s="57" t="str">
        <f>D10</f>
        <v>Max</v>
      </c>
    </row>
    <row r="64" spans="2:37" x14ac:dyDescent="0.3">
      <c r="AB64" s="29">
        <f t="shared" ref="AB64:AF64" si="39">AVERAGE(AB11:AB42)</f>
        <v>98.693941020459704</v>
      </c>
      <c r="AC64" s="29">
        <f t="shared" si="39"/>
        <v>98.693941020459704</v>
      </c>
      <c r="AD64" s="29">
        <f t="shared" si="39"/>
        <v>98.69394102045969</v>
      </c>
      <c r="AE64" s="29">
        <f t="shared" si="39"/>
        <v>98.69394102045969</v>
      </c>
      <c r="AF64" s="29">
        <f t="shared" si="39"/>
        <v>98.693941020459704</v>
      </c>
      <c r="AH64" t="s">
        <v>65</v>
      </c>
      <c r="AI64" s="1">
        <f>AVERAGE(F11:F42)</f>
        <v>-5.0914134019919288E-16</v>
      </c>
      <c r="AJ64" s="29">
        <f>AVERAGE(C11:C42)</f>
        <v>59.215625000000003</v>
      </c>
      <c r="AK64" s="29">
        <f>AVERAGE(D11:D42)</f>
        <v>0.76604948253557559</v>
      </c>
    </row>
    <row r="65" spans="2:37" x14ac:dyDescent="0.3">
      <c r="AB65">
        <f t="shared" ref="AB65:AF65" si="40">_xlfn.STDEV.S(AB11:AB42)/SQRT(COUNT(AB11:AB42))</f>
        <v>2.0506813530555354</v>
      </c>
      <c r="AC65">
        <f t="shared" si="40"/>
        <v>2.0506813530555497</v>
      </c>
      <c r="AD65">
        <f t="shared" si="40"/>
        <v>2.0506813530555643</v>
      </c>
      <c r="AE65">
        <f t="shared" si="40"/>
        <v>2.0506813530555497</v>
      </c>
      <c r="AF65">
        <f t="shared" si="40"/>
        <v>2.0506813530555497</v>
      </c>
      <c r="AH65" t="s">
        <v>66</v>
      </c>
      <c r="AI65">
        <f>_xlfn.STDEV.S(F11:F42)/SQRT(COUNT(F11:F42))</f>
        <v>0.17960530202677488</v>
      </c>
      <c r="AJ65">
        <f>_xlfn.STDEV.S(C11:C42)/SQRT(COUNT(C11:C42))</f>
        <v>0.96547361533877363</v>
      </c>
      <c r="AK65">
        <f>_xlfn.STDEV.S(D11:D42)/SQRT(COUNT(D11:D42))</f>
        <v>1.2489956213955678E-2</v>
      </c>
    </row>
    <row r="66" spans="2:37" x14ac:dyDescent="0.3">
      <c r="AB66" s="29">
        <f t="shared" ref="AB66:AF66" si="41">MEDIAN(AB11:AB42)</f>
        <v>99.940894165193228</v>
      </c>
      <c r="AC66" s="29">
        <f t="shared" si="41"/>
        <v>99.940894165193242</v>
      </c>
      <c r="AD66" s="29">
        <f t="shared" si="41"/>
        <v>99.940894165193242</v>
      </c>
      <c r="AE66" s="29">
        <f t="shared" si="41"/>
        <v>99.940894165193242</v>
      </c>
      <c r="AF66" s="29">
        <f t="shared" si="41"/>
        <v>99.940894165193242</v>
      </c>
      <c r="AH66" t="s">
        <v>67</v>
      </c>
      <c r="AI66" s="1">
        <f>MEDIAN(F11:F42)</f>
        <v>-7.7317963400465803E-2</v>
      </c>
      <c r="AJ66" s="29">
        <f>MEDIAN(C11:C42)</f>
        <v>58.8</v>
      </c>
      <c r="AK66" s="29">
        <f>MEDIAN(D11:D42)</f>
        <v>0.76067270375161711</v>
      </c>
    </row>
    <row r="67" spans="2:37" x14ac:dyDescent="0.3">
      <c r="AB67">
        <f t="shared" ref="AB67:AF67" si="42">MODE(AB11:AB42)</f>
        <v>105.51351351351352</v>
      </c>
      <c r="AC67">
        <f t="shared" si="42"/>
        <v>105.51351351351352</v>
      </c>
      <c r="AD67">
        <f t="shared" si="42"/>
        <v>105.51351351351352</v>
      </c>
      <c r="AE67">
        <f t="shared" si="42"/>
        <v>105.51351351351352</v>
      </c>
      <c r="AF67">
        <f t="shared" si="42"/>
        <v>105.51351351351352</v>
      </c>
      <c r="AH67" t="s">
        <v>68</v>
      </c>
      <c r="AI67">
        <f>MODE(F11:F42)</f>
        <v>0.55517785749958237</v>
      </c>
      <c r="AJ67">
        <f>MODE(C11:C42)</f>
        <v>62.2</v>
      </c>
      <c r="AK67">
        <f>MODE(D11:D42)</f>
        <v>0.80465717981888751</v>
      </c>
    </row>
    <row r="68" spans="2:37" x14ac:dyDescent="0.3">
      <c r="AB68">
        <f t="shared" ref="AB68:AF68" si="43">_xlfn.STDEV.S(AB11:AB42)</f>
        <v>11.600405526386991</v>
      </c>
      <c r="AC68">
        <f t="shared" si="43"/>
        <v>11.600405526387071</v>
      </c>
      <c r="AD68">
        <f t="shared" si="43"/>
        <v>11.600405526387153</v>
      </c>
      <c r="AE68">
        <f t="shared" si="43"/>
        <v>11.600405526387071</v>
      </c>
      <c r="AF68">
        <f t="shared" si="43"/>
        <v>11.600405526387071</v>
      </c>
      <c r="AH68" t="s">
        <v>69</v>
      </c>
      <c r="AI68">
        <f>_xlfn.STDEV.S(F11:F42)</f>
        <v>1.016001016001524</v>
      </c>
      <c r="AJ68">
        <f>_xlfn.STDEV.S(C11:C42)</f>
        <v>5.4615435237019136</v>
      </c>
      <c r="AK68">
        <f>_xlfn.STDEV.S(D11:D42)</f>
        <v>7.0653861884888938E-2</v>
      </c>
    </row>
    <row r="69" spans="2:37" ht="15" thickBot="1" x14ac:dyDescent="0.35">
      <c r="AB69">
        <f t="shared" ref="AB69:AF69" si="44">_xlfn.VAR.S(AB11:AB42)</f>
        <v>134.56940837662984</v>
      </c>
      <c r="AC69">
        <f t="shared" si="44"/>
        <v>134.56940837663171</v>
      </c>
      <c r="AD69">
        <f t="shared" si="44"/>
        <v>134.56940837663359</v>
      </c>
      <c r="AE69">
        <f t="shared" si="44"/>
        <v>134.56940837663171</v>
      </c>
      <c r="AF69">
        <f t="shared" si="44"/>
        <v>134.56940837663171</v>
      </c>
      <c r="AH69" t="s">
        <v>70</v>
      </c>
      <c r="AI69">
        <f>_xlfn.VAR.S(F11:F42)</f>
        <v>1.032258064516129</v>
      </c>
      <c r="AJ69">
        <f>_xlfn.VAR.S(C11:C42)</f>
        <v>29.828457661290319</v>
      </c>
      <c r="AK69">
        <f>_xlfn.VAR.S(D11:D42)</f>
        <v>4.9919681992489622E-3</v>
      </c>
    </row>
    <row r="70" spans="2:37" x14ac:dyDescent="0.3">
      <c r="AB70" s="60">
        <f t="shared" ref="AB70:AF70" si="45">KURT(AB11:AB42)</f>
        <v>1.6879811730727341</v>
      </c>
      <c r="AC70" s="60">
        <f t="shared" si="45"/>
        <v>1.687981173072735</v>
      </c>
      <c r="AD70" s="60">
        <f t="shared" si="45"/>
        <v>1.6879811730727323</v>
      </c>
      <c r="AE70" s="60">
        <f t="shared" si="45"/>
        <v>1.6879811730727368</v>
      </c>
      <c r="AF70" s="60">
        <f t="shared" si="45"/>
        <v>1.6879811730727368</v>
      </c>
      <c r="AG70" s="61"/>
      <c r="AH70" s="60" t="s">
        <v>71</v>
      </c>
      <c r="AI70" s="60">
        <f>KURT(F11:F42)</f>
        <v>3.0582425010156045</v>
      </c>
      <c r="AJ70" s="60">
        <f>KURT(C11:C42)</f>
        <v>3.0582425010156036</v>
      </c>
      <c r="AK70" s="60">
        <f>KURT(D11:D42)</f>
        <v>3.0582425010156045</v>
      </c>
    </row>
    <row r="71" spans="2:37" x14ac:dyDescent="0.3">
      <c r="AB71" s="2">
        <f t="shared" ref="AB71:AF71" si="46">SKEW(AB11:AB42)</f>
        <v>-0.24015861268386035</v>
      </c>
      <c r="AC71" s="2">
        <f t="shared" si="46"/>
        <v>-0.24015861268385971</v>
      </c>
      <c r="AD71" s="2">
        <f t="shared" si="46"/>
        <v>-0.24015861268385597</v>
      </c>
      <c r="AE71" s="2">
        <f t="shared" si="46"/>
        <v>-0.24015861268385608</v>
      </c>
      <c r="AF71" s="2">
        <f t="shared" si="46"/>
        <v>-0.24015861268385946</v>
      </c>
      <c r="AH71" s="2" t="s">
        <v>72</v>
      </c>
      <c r="AI71" s="2">
        <f>SKEW(F11:F42)</f>
        <v>0.83123047267455541</v>
      </c>
      <c r="AJ71" s="2">
        <f>SKEW(C11:C42)</f>
        <v>0.83123047267455386</v>
      </c>
      <c r="AK71" s="2">
        <f>SKEW(D11:D42)</f>
        <v>0.83123047267455996</v>
      </c>
    </row>
    <row r="72" spans="2:37" x14ac:dyDescent="0.3">
      <c r="AB72" s="2">
        <f>AB73-AB74</f>
        <v>60</v>
      </c>
      <c r="AC72" s="2">
        <f t="shared" ref="AC72:AF72" si="47">AC73-AC74</f>
        <v>60</v>
      </c>
      <c r="AD72" s="2">
        <f t="shared" si="47"/>
        <v>60</v>
      </c>
      <c r="AE72" s="2">
        <f t="shared" si="47"/>
        <v>60</v>
      </c>
      <c r="AF72" s="2">
        <f t="shared" si="47"/>
        <v>60</v>
      </c>
      <c r="AH72" s="2" t="s">
        <v>73</v>
      </c>
      <c r="AI72" s="2">
        <f>AI73-AI74</f>
        <v>5.4320229324357037</v>
      </c>
      <c r="AJ72" s="2">
        <f>AJ73-AJ74</f>
        <v>29.199999999999996</v>
      </c>
      <c r="AK72" s="2">
        <f t="shared" ref="AK72" si="48">AK73-AK74</f>
        <v>0.37774902975420432</v>
      </c>
    </row>
    <row r="73" spans="2:37" x14ac:dyDescent="0.3">
      <c r="AB73" s="14">
        <f t="shared" ref="AB73:AF73" si="49">MAX(AB11:AB42)</f>
        <v>130</v>
      </c>
      <c r="AC73" s="14">
        <f t="shared" si="49"/>
        <v>130</v>
      </c>
      <c r="AD73" s="14">
        <f t="shared" si="49"/>
        <v>130</v>
      </c>
      <c r="AE73" s="14">
        <f t="shared" si="49"/>
        <v>130</v>
      </c>
      <c r="AF73" s="14">
        <f t="shared" si="49"/>
        <v>130</v>
      </c>
      <c r="AH73" s="2" t="s">
        <v>74</v>
      </c>
      <c r="AI73" s="3">
        <f>MAX(F11:F42)</f>
        <v>3.3642034150262643</v>
      </c>
      <c r="AJ73" s="14">
        <f>MAX(C11:C42)</f>
        <v>77.3</v>
      </c>
      <c r="AK73" s="14">
        <f>MAX(D11:D42)</f>
        <v>1</v>
      </c>
    </row>
    <row r="74" spans="2:37" ht="15" thickBot="1" x14ac:dyDescent="0.35">
      <c r="AB74" s="38">
        <f t="shared" ref="AB74:AF74" si="50">MIN(AB11:AB42)</f>
        <v>70</v>
      </c>
      <c r="AC74" s="38">
        <f t="shared" si="50"/>
        <v>70</v>
      </c>
      <c r="AD74" s="38">
        <f t="shared" si="50"/>
        <v>70</v>
      </c>
      <c r="AE74" s="38">
        <f t="shared" si="50"/>
        <v>70</v>
      </c>
      <c r="AF74" s="38">
        <f t="shared" si="50"/>
        <v>70</v>
      </c>
      <c r="AG74" s="63"/>
      <c r="AH74" s="64" t="s">
        <v>75</v>
      </c>
      <c r="AI74" s="65">
        <f>MIN(F11:F42)</f>
        <v>-2.0678195174094398</v>
      </c>
      <c r="AJ74" s="66">
        <f>MIN(C11:C42)</f>
        <v>48.1</v>
      </c>
      <c r="AK74" s="66">
        <f>MIN(D11:D42)</f>
        <v>0.62225097024579568</v>
      </c>
    </row>
    <row r="75" spans="2:37" x14ac:dyDescent="0.3">
      <c r="AB75" s="29">
        <f t="shared" ref="AB75:AF75" si="51">SUM(AB11:AB42)</f>
        <v>3158.2061126547105</v>
      </c>
      <c r="AC75" s="29">
        <f t="shared" si="51"/>
        <v>3158.2061126547105</v>
      </c>
      <c r="AD75" s="29">
        <f t="shared" si="51"/>
        <v>3158.2061126547101</v>
      </c>
      <c r="AE75" s="29">
        <f t="shared" si="51"/>
        <v>3158.2061126547101</v>
      </c>
      <c r="AF75" s="29">
        <f t="shared" si="51"/>
        <v>3158.2061126547105</v>
      </c>
      <c r="AH75" t="s">
        <v>3</v>
      </c>
      <c r="AI75" s="1">
        <f>SUM(F11:F42)</f>
        <v>-1.6292522886374172E-14</v>
      </c>
      <c r="AJ75" s="29">
        <f>SUM(C11:C42)</f>
        <v>1894.9</v>
      </c>
      <c r="AK75" s="29">
        <f>SUM(D11:D42)</f>
        <v>24.513583441138419</v>
      </c>
    </row>
    <row r="76" spans="2:37" ht="15.6" x14ac:dyDescent="0.3">
      <c r="B76" s="67" t="s">
        <v>83</v>
      </c>
      <c r="AB76">
        <f t="shared" ref="AB76:AF76" si="52">COUNT(AB11:AB42)</f>
        <v>32</v>
      </c>
      <c r="AC76">
        <f t="shared" si="52"/>
        <v>32</v>
      </c>
      <c r="AD76">
        <f t="shared" si="52"/>
        <v>32</v>
      </c>
      <c r="AE76">
        <f t="shared" si="52"/>
        <v>32</v>
      </c>
      <c r="AF76">
        <f t="shared" si="52"/>
        <v>32</v>
      </c>
      <c r="AH76" t="s">
        <v>76</v>
      </c>
      <c r="AI76">
        <f>COUNT(F11:F42)</f>
        <v>32</v>
      </c>
      <c r="AJ76">
        <f>COUNT(C11:C42)</f>
        <v>32</v>
      </c>
      <c r="AK76">
        <f>COUNT(D11:D42)</f>
        <v>32</v>
      </c>
    </row>
    <row r="77" spans="2:37" x14ac:dyDescent="0.3">
      <c r="AB77">
        <f t="shared" ref="AB77:AF77" si="53">GEOMEAN(AB11:AB42)</f>
        <v>98.004428866745229</v>
      </c>
      <c r="AC77">
        <f t="shared" si="53"/>
        <v>98.004428866745229</v>
      </c>
      <c r="AD77">
        <f t="shared" si="53"/>
        <v>98.004428866745229</v>
      </c>
      <c r="AE77">
        <f t="shared" si="53"/>
        <v>98.004428866745229</v>
      </c>
      <c r="AF77">
        <f t="shared" si="53"/>
        <v>98.004428866745229</v>
      </c>
      <c r="AH77" t="s">
        <v>77</v>
      </c>
      <c r="AI77" t="e">
        <f>GEOMEAN(F11:F42)</f>
        <v>#NUM!</v>
      </c>
      <c r="AJ77">
        <f>GEOMEAN(C11:C42)</f>
        <v>58.978988134897385</v>
      </c>
      <c r="AK77">
        <f>GEOMEAN(D11:D42)</f>
        <v>0.76298820355624042</v>
      </c>
    </row>
    <row r="78" spans="2:37" x14ac:dyDescent="0.3">
      <c r="AB78">
        <f t="shared" ref="AB78:AF78" si="54">HARMEAN(AB11:AB42)</f>
        <v>97.27722949467082</v>
      </c>
      <c r="AC78">
        <f t="shared" si="54"/>
        <v>97.277229494670806</v>
      </c>
      <c r="AD78">
        <f t="shared" si="54"/>
        <v>97.277229494670806</v>
      </c>
      <c r="AE78">
        <f t="shared" si="54"/>
        <v>97.27722949467082</v>
      </c>
      <c r="AF78">
        <f t="shared" si="54"/>
        <v>97.277229494670806</v>
      </c>
      <c r="AH78" t="s">
        <v>78</v>
      </c>
      <c r="AI78" t="e">
        <f>HARMEAN(F11:F42)</f>
        <v>#NUM!</v>
      </c>
      <c r="AJ78">
        <f>HARMEAN(C11:C42)</f>
        <v>58.747651502833847</v>
      </c>
      <c r="AK78">
        <f>HARMEAN(D11:D42)</f>
        <v>0.75999549162786351</v>
      </c>
    </row>
    <row r="79" spans="2:37" x14ac:dyDescent="0.3">
      <c r="AB79">
        <f t="shared" ref="AB79:AF79" si="55">AVEDEV(AB11:AB42)</f>
        <v>8.162104934958327</v>
      </c>
      <c r="AC79">
        <f t="shared" si="55"/>
        <v>8.162104934958327</v>
      </c>
      <c r="AD79">
        <f t="shared" si="55"/>
        <v>8.1621049349583288</v>
      </c>
      <c r="AE79">
        <f t="shared" si="55"/>
        <v>8.162104934958327</v>
      </c>
      <c r="AF79">
        <f t="shared" si="55"/>
        <v>8.162104934958327</v>
      </c>
      <c r="AH79" t="s">
        <v>79</v>
      </c>
      <c r="AI79">
        <f>AVEDEV(F11:F42)</f>
        <v>0.70687076031769458</v>
      </c>
      <c r="AJ79">
        <f>AVEDEV(C11:C42)</f>
        <v>3.7998046875</v>
      </c>
      <c r="AK79">
        <f>AVEDEV(D11:D42)</f>
        <v>4.9156593628719242E-2</v>
      </c>
    </row>
    <row r="80" spans="2:37" ht="15.6" x14ac:dyDescent="0.3">
      <c r="B80" s="67" t="s">
        <v>84</v>
      </c>
      <c r="AB80">
        <f>[1]!MAD(AB11:AB42)</f>
        <v>5.6537004294013684</v>
      </c>
      <c r="AC80">
        <f>[1]!MAD(AC11:AC42)</f>
        <v>5.6537004294013542</v>
      </c>
      <c r="AD80">
        <f>[1]!MAD(AD11:AD42)</f>
        <v>5.6537004294013471</v>
      </c>
      <c r="AE80">
        <f>[1]!MAD(AE11:AE42)</f>
        <v>5.6537004294013471</v>
      </c>
      <c r="AF80">
        <f>[1]!MAD(AF11:AF42)</f>
        <v>5.6537004294013542</v>
      </c>
      <c r="AH80" t="s">
        <v>80</v>
      </c>
      <c r="AI80">
        <f>[1]!MAD(F11:F42)</f>
        <v>0.49297468393680233</v>
      </c>
      <c r="AJ80">
        <f>[1]!MAD(C11:C42)</f>
        <v>2.6499999999999986</v>
      </c>
      <c r="AK80">
        <f>[1]!MAD(D11:D42)</f>
        <v>3.4282018111254864E-2</v>
      </c>
    </row>
    <row r="81" spans="2:37" x14ac:dyDescent="0.3">
      <c r="AB81" s="56">
        <f>[1]!IQR(AB11:AB42,FALSE)</f>
        <v>11.681737812578916</v>
      </c>
      <c r="AC81" s="56">
        <f>[1]!IQR(AC11:AC42,FALSE)</f>
        <v>11.68173781257893</v>
      </c>
      <c r="AD81" s="56">
        <f>[1]!IQR(AD11:AD42,FALSE)</f>
        <v>11.68173781257893</v>
      </c>
      <c r="AE81" s="56">
        <f>[1]!IQR(AE11:AE42,FALSE)</f>
        <v>11.681737812578945</v>
      </c>
      <c r="AF81" s="56">
        <f>[1]!IQR(AF11:AF42,FALSE)</f>
        <v>11.68173781257893</v>
      </c>
      <c r="AH81" s="56" t="s">
        <v>81</v>
      </c>
      <c r="AI81" s="56">
        <f>[1]!IQR(F11:F42,FALSE)</f>
        <v>1.0417578226589024</v>
      </c>
      <c r="AJ81" s="56">
        <f>[1]!IQR(C11:C42,FALSE)</f>
        <v>5.6000000000000014</v>
      </c>
      <c r="AK81" s="56">
        <f>[1]!IQR(D11:D42,FALSE)</f>
        <v>7.2445019404915878E-2</v>
      </c>
    </row>
    <row r="84" spans="2:37" x14ac:dyDescent="0.3">
      <c r="B84" s="68" t="s">
        <v>85</v>
      </c>
    </row>
    <row r="85" spans="2:37" x14ac:dyDescent="0.3">
      <c r="B85" t="s">
        <v>86</v>
      </c>
    </row>
    <row r="88" spans="2:37" x14ac:dyDescent="0.3">
      <c r="B88" s="101" t="s">
        <v>99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Homicidios (-) 2021 </vt:lpstr>
      <vt:lpstr>Employment rate (+)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A. Treviño C.</dc:creator>
  <cp:lastModifiedBy>Jesús A. Treviño C.</cp:lastModifiedBy>
  <dcterms:created xsi:type="dcterms:W3CDTF">2024-05-03T02:09:54Z</dcterms:created>
  <dcterms:modified xsi:type="dcterms:W3CDTF">2024-07-25T00:55:26Z</dcterms:modified>
</cp:coreProperties>
</file>