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al\Desktop\פרויקט גמר\קבצים מעודכנים\קבצים עדכניים להאקתון\"/>
    </mc:Choice>
  </mc:AlternateContent>
  <xr:revisionPtr revIDLastSave="0" documentId="13_ncr:1_{04CD391A-13A7-42A7-94C7-B2075635F700}" xr6:coauthVersionLast="47" xr6:coauthVersionMax="47" xr10:uidLastSave="{00000000-0000-0000-0000-000000000000}"/>
  <bookViews>
    <workbookView xWindow="-110" yWindow="-110" windowWidth="19420" windowHeight="11500" xr2:uid="{12EA996E-06D0-AB40-B60D-F98F2415A9C9}"/>
  </bookViews>
  <sheets>
    <sheet name="summary" sheetId="7" r:id="rId1"/>
    <sheet name="success first trial" sheetId="1" r:id="rId2"/>
    <sheet name="success or not" sheetId="4" r:id="rId3"/>
    <sheet name="number of attempts until succes" sheetId="2" r:id="rId4"/>
    <sheet name="total time to success" sheetId="3" r:id="rId5"/>
    <sheet name="time per successful trial" sheetId="5" r:id="rId6"/>
    <sheet name="average time per trial" sheetId="6" r:id="rId7"/>
  </sheets>
  <definedNames>
    <definedName name="_xlchart.v1.0" hidden="1">summary!$B$40</definedName>
    <definedName name="_xlchart.v1.1" hidden="1">summary!$B$41:$B$50</definedName>
    <definedName name="_xlchart.v1.10" hidden="1">summary!$B$40:$E$40</definedName>
    <definedName name="_xlchart.v1.11" hidden="1">summary!$B$41:$B$50</definedName>
    <definedName name="_xlchart.v1.12" hidden="1">summary!$C$40</definedName>
    <definedName name="_xlchart.v1.13" hidden="1">summary!$C$41:$C$50</definedName>
    <definedName name="_xlchart.v1.14" hidden="1">summary!$D$40</definedName>
    <definedName name="_xlchart.v1.15" hidden="1">summary!$D$41:$D$50</definedName>
    <definedName name="_xlchart.v1.16" hidden="1">summary!$E$40</definedName>
    <definedName name="_xlchart.v1.17" hidden="1">summary!$E$41:$E$50</definedName>
    <definedName name="_xlchart.v1.2" hidden="1">summary!$C$40</definedName>
    <definedName name="_xlchart.v1.3" hidden="1">summary!$C$41:$C$50</definedName>
    <definedName name="_xlchart.v1.4" hidden="1">summary!$D$40</definedName>
    <definedName name="_xlchart.v1.5" hidden="1">summary!$D$41:$D$50</definedName>
    <definedName name="_xlchart.v1.6" hidden="1">summary!$E$40</definedName>
    <definedName name="_xlchart.v1.7" hidden="1">summary!$E$41:$E$50</definedName>
    <definedName name="_xlchart.v1.8" hidden="1">summary!$B$40</definedName>
    <definedName name="_xlchart.v1.9" hidden="1">summary!$B$40:$D$40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7" l="1"/>
  <c r="D69" i="7"/>
  <c r="C69" i="7"/>
  <c r="B69" i="7"/>
  <c r="E68" i="7"/>
  <c r="D68" i="7"/>
  <c r="C68" i="7"/>
  <c r="B68" i="7"/>
  <c r="E67" i="7"/>
  <c r="D67" i="7"/>
  <c r="C67" i="7"/>
  <c r="B67" i="7"/>
  <c r="E66" i="7"/>
  <c r="D66" i="7"/>
  <c r="C66" i="7"/>
  <c r="B66" i="7"/>
  <c r="E65" i="7"/>
  <c r="D65" i="7"/>
  <c r="C65" i="7"/>
  <c r="B65" i="7"/>
  <c r="E64" i="7"/>
  <c r="D64" i="7"/>
  <c r="C64" i="7"/>
  <c r="B64" i="7"/>
  <c r="E63" i="7"/>
  <c r="D63" i="7"/>
  <c r="C63" i="7"/>
  <c r="B63" i="7"/>
  <c r="E62" i="7"/>
  <c r="D62" i="7"/>
  <c r="C62" i="7"/>
  <c r="C71" i="7" s="1"/>
  <c r="B62" i="7"/>
  <c r="B71" i="7" s="1"/>
  <c r="E61" i="7"/>
  <c r="E71" i="7" s="1"/>
  <c r="D61" i="7"/>
  <c r="D71" i="7" s="1"/>
  <c r="C61" i="7"/>
  <c r="B61" i="7"/>
  <c r="E60" i="7"/>
  <c r="D60" i="7"/>
  <c r="C60" i="7"/>
  <c r="B60" i="7"/>
  <c r="C53" i="7"/>
  <c r="D53" i="7"/>
  <c r="E53" i="7"/>
  <c r="B53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E52" i="7" s="1"/>
  <c r="D42" i="7"/>
  <c r="D52" i="7" s="1"/>
  <c r="C42" i="7"/>
  <c r="C52" i="7" s="1"/>
  <c r="B42" i="7"/>
  <c r="B52" i="7" s="1"/>
  <c r="E41" i="7"/>
  <c r="D41" i="7"/>
  <c r="C41" i="7"/>
  <c r="B41" i="7"/>
  <c r="E31" i="7"/>
  <c r="E30" i="7"/>
  <c r="E29" i="7"/>
  <c r="E28" i="7"/>
  <c r="E27" i="7"/>
  <c r="E26" i="7"/>
  <c r="E25" i="7"/>
  <c r="E24" i="7"/>
  <c r="E23" i="7"/>
  <c r="E22" i="7"/>
  <c r="D31" i="7"/>
  <c r="D30" i="7"/>
  <c r="D29" i="7"/>
  <c r="D28" i="7"/>
  <c r="D27" i="7"/>
  <c r="D26" i="7"/>
  <c r="D25" i="7"/>
  <c r="D24" i="7"/>
  <c r="D23" i="7"/>
  <c r="D22" i="7"/>
  <c r="C31" i="7"/>
  <c r="C30" i="7"/>
  <c r="C29" i="7"/>
  <c r="C28" i="7"/>
  <c r="C27" i="7"/>
  <c r="C26" i="7"/>
  <c r="C25" i="7"/>
  <c r="C24" i="7"/>
  <c r="C23" i="7"/>
  <c r="C22" i="7"/>
  <c r="B31" i="7"/>
  <c r="B30" i="7"/>
  <c r="B29" i="7"/>
  <c r="B28" i="7"/>
  <c r="B27" i="7"/>
  <c r="B26" i="7"/>
  <c r="B25" i="7"/>
  <c r="B24" i="7"/>
  <c r="B23" i="7"/>
  <c r="B22" i="7"/>
  <c r="B33" i="7" s="1"/>
  <c r="D4" i="7"/>
  <c r="D15" i="7" s="1"/>
  <c r="B6" i="7"/>
  <c r="B5" i="7"/>
  <c r="E15" i="7"/>
  <c r="C15" i="7"/>
  <c r="B15" i="7"/>
  <c r="E13" i="7"/>
  <c r="E12" i="7"/>
  <c r="E11" i="7"/>
  <c r="E10" i="7"/>
  <c r="E9" i="7"/>
  <c r="E8" i="7"/>
  <c r="E7" i="7"/>
  <c r="E6" i="7"/>
  <c r="E5" i="7"/>
  <c r="E4" i="7"/>
  <c r="D13" i="7"/>
  <c r="D12" i="7"/>
  <c r="D11" i="7"/>
  <c r="D10" i="7"/>
  <c r="D9" i="7"/>
  <c r="D8" i="7"/>
  <c r="D7" i="7"/>
  <c r="D6" i="7"/>
  <c r="D5" i="7"/>
  <c r="C13" i="7"/>
  <c r="C12" i="7"/>
  <c r="C11" i="7"/>
  <c r="C10" i="7"/>
  <c r="C9" i="7"/>
  <c r="C8" i="7"/>
  <c r="C7" i="7"/>
  <c r="C6" i="7"/>
  <c r="C5" i="7"/>
  <c r="C4" i="7"/>
  <c r="B13" i="7"/>
  <c r="B12" i="7"/>
  <c r="B11" i="7"/>
  <c r="B10" i="7"/>
  <c r="B9" i="7"/>
  <c r="B8" i="7"/>
  <c r="B7" i="7"/>
  <c r="B4" i="7"/>
  <c r="J40" i="6"/>
  <c r="J39" i="6"/>
  <c r="J37" i="6"/>
  <c r="J35" i="6"/>
  <c r="J33" i="6"/>
  <c r="J27" i="6"/>
  <c r="G25" i="6"/>
  <c r="K24" i="6"/>
  <c r="J24" i="6"/>
  <c r="J23" i="6"/>
  <c r="J21" i="6"/>
  <c r="K18" i="6"/>
  <c r="J18" i="6"/>
  <c r="J16" i="6"/>
  <c r="J13" i="6"/>
  <c r="J12" i="6"/>
  <c r="J9" i="6"/>
  <c r="J8" i="6"/>
  <c r="K5" i="6"/>
  <c r="J5" i="6"/>
  <c r="J4" i="6"/>
  <c r="I3" i="6"/>
  <c r="R26" i="6"/>
  <c r="V25" i="6"/>
  <c r="S5" i="6"/>
  <c r="V5" i="6"/>
  <c r="U3" i="6"/>
  <c r="Y3" i="6"/>
  <c r="S2" i="6"/>
  <c r="R2" i="6"/>
  <c r="G27" i="6"/>
  <c r="T40" i="6"/>
  <c r="V36" i="6"/>
  <c r="V10" i="6"/>
  <c r="Y9" i="6"/>
  <c r="R4" i="6"/>
  <c r="X2" i="6"/>
  <c r="G39" i="6"/>
  <c r="I38" i="6"/>
  <c r="J38" i="6"/>
  <c r="K38" i="6"/>
  <c r="N37" i="6"/>
  <c r="L37" i="6"/>
  <c r="G37" i="6"/>
  <c r="F36" i="6"/>
  <c r="G36" i="6"/>
  <c r="I36" i="6"/>
  <c r="J36" i="6"/>
  <c r="N36" i="6"/>
  <c r="G35" i="6"/>
  <c r="G34" i="6"/>
  <c r="J34" i="6"/>
  <c r="K34" i="6"/>
  <c r="I33" i="6"/>
  <c r="G33" i="6"/>
  <c r="G32" i="6"/>
  <c r="J32" i="6"/>
  <c r="N32" i="6"/>
  <c r="J31" i="6"/>
  <c r="G31" i="6"/>
  <c r="G30" i="6"/>
  <c r="J30" i="6"/>
  <c r="L29" i="6"/>
  <c r="K29" i="6"/>
  <c r="J29" i="6"/>
  <c r="G29" i="6"/>
  <c r="G28" i="6"/>
  <c r="I28" i="6"/>
  <c r="J28" i="6"/>
  <c r="K28" i="6"/>
  <c r="H26" i="6"/>
  <c r="G26" i="6"/>
  <c r="F26" i="6"/>
  <c r="H25" i="6"/>
  <c r="J25" i="6"/>
  <c r="K25" i="6"/>
  <c r="I24" i="6"/>
  <c r="H24" i="6"/>
  <c r="G24" i="6"/>
  <c r="F23" i="6"/>
  <c r="G23" i="6"/>
  <c r="K23" i="6"/>
  <c r="N23" i="6"/>
  <c r="O22" i="6"/>
  <c r="N22" i="6"/>
  <c r="L22" i="6"/>
  <c r="I22" i="6"/>
  <c r="G22" i="6"/>
  <c r="F22" i="6"/>
  <c r="N21" i="6"/>
  <c r="G20" i="6"/>
  <c r="J19" i="6"/>
  <c r="K19" i="6"/>
  <c r="N19" i="6"/>
  <c r="L18" i="6"/>
  <c r="G18" i="6"/>
  <c r="K17" i="6"/>
  <c r="G16" i="6"/>
  <c r="N16" i="6"/>
  <c r="N15" i="6"/>
  <c r="J15" i="6"/>
  <c r="G15" i="6"/>
  <c r="J14" i="6"/>
  <c r="K14" i="6"/>
  <c r="L14" i="6"/>
  <c r="N13" i="6"/>
  <c r="G12" i="6"/>
  <c r="N12" i="6"/>
  <c r="N11" i="6"/>
  <c r="H11" i="6"/>
  <c r="G11" i="6"/>
  <c r="G10" i="6"/>
  <c r="K10" i="6"/>
  <c r="M10" i="6"/>
  <c r="L9" i="6"/>
  <c r="K9" i="6"/>
  <c r="I9" i="6"/>
  <c r="H9" i="6"/>
  <c r="G9" i="6"/>
  <c r="F9" i="6"/>
  <c r="G8" i="6"/>
  <c r="L8" i="6"/>
  <c r="N7" i="6"/>
  <c r="K7" i="6"/>
  <c r="H7" i="6"/>
  <c r="K6" i="6"/>
  <c r="H5" i="6"/>
  <c r="N5" i="6"/>
  <c r="N4" i="6"/>
  <c r="I4" i="6"/>
  <c r="G3" i="6"/>
  <c r="K3" i="6"/>
  <c r="L3" i="6"/>
  <c r="N3" i="6"/>
  <c r="L2" i="6"/>
  <c r="K2" i="6"/>
  <c r="J2" i="6"/>
  <c r="F2" i="6"/>
  <c r="N26" i="6"/>
  <c r="I26" i="6"/>
  <c r="K2" i="3"/>
  <c r="T40" i="3"/>
  <c r="V36" i="3"/>
  <c r="R26" i="3"/>
  <c r="V25" i="3"/>
  <c r="V10" i="3"/>
  <c r="Y9" i="3"/>
  <c r="V5" i="3"/>
  <c r="S5" i="3"/>
  <c r="R4" i="3"/>
  <c r="Y3" i="3"/>
  <c r="U3" i="3"/>
  <c r="X2" i="3"/>
  <c r="S2" i="3"/>
  <c r="R2" i="3"/>
  <c r="L3" i="3"/>
  <c r="G39" i="3"/>
  <c r="K38" i="3"/>
  <c r="J38" i="3"/>
  <c r="I38" i="3"/>
  <c r="N37" i="3"/>
  <c r="L37" i="3"/>
  <c r="G37" i="3"/>
  <c r="N36" i="3"/>
  <c r="J36" i="3"/>
  <c r="I36" i="3"/>
  <c r="G36" i="3"/>
  <c r="F36" i="3"/>
  <c r="G35" i="3"/>
  <c r="K34" i="3"/>
  <c r="J34" i="3"/>
  <c r="G34" i="3"/>
  <c r="I33" i="3"/>
  <c r="G33" i="3"/>
  <c r="N32" i="3"/>
  <c r="J32" i="3"/>
  <c r="G32" i="3"/>
  <c r="J31" i="3"/>
  <c r="G31" i="3"/>
  <c r="J30" i="3"/>
  <c r="G30" i="3"/>
  <c r="L29" i="3"/>
  <c r="K29" i="3"/>
  <c r="J29" i="3"/>
  <c r="G29" i="3"/>
  <c r="G27" i="3"/>
  <c r="K28" i="3"/>
  <c r="J28" i="3"/>
  <c r="I28" i="3"/>
  <c r="G28" i="3"/>
  <c r="N26" i="3"/>
  <c r="I26" i="3"/>
  <c r="H26" i="3"/>
  <c r="G26" i="3"/>
  <c r="F26" i="3"/>
  <c r="K25" i="3"/>
  <c r="J25" i="3"/>
  <c r="H25" i="3"/>
  <c r="I24" i="3"/>
  <c r="H24" i="3"/>
  <c r="G24" i="3"/>
  <c r="N23" i="3"/>
  <c r="K23" i="3"/>
  <c r="G23" i="3"/>
  <c r="F23" i="3"/>
  <c r="O22" i="3"/>
  <c r="N22" i="3"/>
  <c r="L22" i="3"/>
  <c r="I22" i="3"/>
  <c r="G22" i="3"/>
  <c r="F22" i="3"/>
  <c r="N21" i="3"/>
  <c r="G20" i="3"/>
  <c r="N19" i="3"/>
  <c r="K19" i="3"/>
  <c r="J19" i="3"/>
  <c r="L18" i="3"/>
  <c r="G18" i="3"/>
  <c r="N16" i="3"/>
  <c r="G16" i="3"/>
  <c r="K17" i="3"/>
  <c r="N15" i="3"/>
  <c r="J15" i="3"/>
  <c r="G15" i="3"/>
  <c r="L14" i="3"/>
  <c r="K14" i="3"/>
  <c r="J14" i="3"/>
  <c r="N13" i="3"/>
  <c r="N12" i="3"/>
  <c r="G12" i="3"/>
  <c r="N11" i="3"/>
  <c r="H11" i="3"/>
  <c r="G11" i="3"/>
  <c r="M10" i="3"/>
  <c r="K10" i="3"/>
  <c r="G10" i="3"/>
  <c r="L9" i="3"/>
  <c r="K9" i="3"/>
  <c r="I9" i="3"/>
  <c r="H9" i="3"/>
  <c r="G9" i="3"/>
  <c r="F9" i="3"/>
  <c r="L8" i="3"/>
  <c r="G8" i="3"/>
  <c r="N7" i="3"/>
  <c r="K7" i="3"/>
  <c r="H7" i="3"/>
  <c r="K6" i="3"/>
  <c r="N5" i="3"/>
  <c r="H5" i="3"/>
  <c r="N4" i="3"/>
  <c r="I4" i="3"/>
  <c r="N3" i="3"/>
  <c r="K3" i="3"/>
  <c r="G3" i="3"/>
  <c r="L2" i="3"/>
  <c r="J2" i="3"/>
  <c r="F2" i="3"/>
  <c r="B72" i="7" l="1"/>
  <c r="C72" i="7"/>
  <c r="D72" i="7"/>
  <c r="E72" i="7"/>
  <c r="E33" i="7"/>
  <c r="D33" i="7"/>
  <c r="C33" i="7"/>
</calcChain>
</file>

<file path=xl/sharedStrings.xml><?xml version="1.0" encoding="utf-8"?>
<sst xmlns="http://schemas.openxmlformats.org/spreadsheetml/2006/main" count="938" uniqueCount="109">
  <si>
    <t xml:space="preserve">id </t>
  </si>
  <si>
    <t>full_name</t>
  </si>
  <si>
    <t>age</t>
  </si>
  <si>
    <t>gender</t>
  </si>
  <si>
    <t>age_group</t>
  </si>
  <si>
    <t>elder</t>
  </si>
  <si>
    <t>young</t>
  </si>
  <si>
    <t>Leah Taib</t>
  </si>
  <si>
    <t>Gigi Simha</t>
  </si>
  <si>
    <t>Shulamit Weizmann</t>
  </si>
  <si>
    <t>Esther Meir</t>
  </si>
  <si>
    <t>Inbal Cohen</t>
  </si>
  <si>
    <t>Yarin Shohat</t>
  </si>
  <si>
    <t>Maya Azari</t>
  </si>
  <si>
    <t>Rachel Shlomowitz</t>
  </si>
  <si>
    <t>Noa Segev</t>
  </si>
  <si>
    <t>Niv Dolev</t>
  </si>
  <si>
    <t>Yoav Evron</t>
  </si>
  <si>
    <t>Shoham Choklin</t>
  </si>
  <si>
    <t>Dor Benita</t>
  </si>
  <si>
    <t>Itay Mendelsohn</t>
  </si>
  <si>
    <t>Shiran Ashtamkar</t>
  </si>
  <si>
    <t>Matan Noam</t>
  </si>
  <si>
    <t>Bar Evron</t>
  </si>
  <si>
    <t>Dennis Coleman</t>
  </si>
  <si>
    <t>Rinat Haddad</t>
  </si>
  <si>
    <t>Lidor Maimon</t>
  </si>
  <si>
    <t>Omri Hershkowitz</t>
  </si>
  <si>
    <t>Shalom Azoulay</t>
  </si>
  <si>
    <t>Hannah Azoulay</t>
  </si>
  <si>
    <t>Tami Shahar</t>
  </si>
  <si>
    <t>Pavel Stavinsky</t>
  </si>
  <si>
    <t>Besmet Gazit</t>
  </si>
  <si>
    <t>Maya Gonen</t>
  </si>
  <si>
    <t>Dotan Katz</t>
  </si>
  <si>
    <t>Yael Dorhali</t>
  </si>
  <si>
    <t>Alon Kaminetzky</t>
  </si>
  <si>
    <t>Ronnie Goftler</t>
  </si>
  <si>
    <t>Ronnie London</t>
  </si>
  <si>
    <t>Yahli Katz</t>
  </si>
  <si>
    <t>Ohad Mottola</t>
  </si>
  <si>
    <t>Roei Mensheko</t>
  </si>
  <si>
    <t>Idan Schreiber</t>
  </si>
  <si>
    <t>Shai Avraham</t>
  </si>
  <si>
    <t>Agam Cohen</t>
  </si>
  <si>
    <t>Yahli Hadar</t>
  </si>
  <si>
    <t>task_1_call_voice</t>
  </si>
  <si>
    <t>task_2_alarm_clock_voice</t>
  </si>
  <si>
    <t>task_3_sms_voice</t>
  </si>
  <si>
    <t>task_4_search_voice</t>
  </si>
  <si>
    <t>task_5_transport_voice</t>
  </si>
  <si>
    <t>task_6_calendar_voice</t>
  </si>
  <si>
    <t>task_7_camera_voice</t>
  </si>
  <si>
    <t>task_8_weather_voice</t>
  </si>
  <si>
    <t>task_9_notes_voice</t>
  </si>
  <si>
    <t>task_10_flashlight_voice</t>
  </si>
  <si>
    <t>time_task_1_call_voice</t>
  </si>
  <si>
    <t>time_task_2_alarm_clock_voice</t>
  </si>
  <si>
    <t>time_task_3_sms_voice</t>
  </si>
  <si>
    <t>time_task_4_search_voice</t>
  </si>
  <si>
    <t>time_task_5_transport_voice</t>
  </si>
  <si>
    <t>time_task_6_calendar_voice</t>
  </si>
  <si>
    <t>time_task_7_camera_voice</t>
  </si>
  <si>
    <t>time_task_8_weather_voice</t>
  </si>
  <si>
    <t>time_task_9_notes_voice</t>
  </si>
  <si>
    <t>time_task_10_flashlight_voice</t>
  </si>
  <si>
    <t>task_1_call_touch</t>
  </si>
  <si>
    <t>task_2_alarm_clock_touch</t>
  </si>
  <si>
    <t>task_3_sms_touch</t>
  </si>
  <si>
    <t>task_4_search_touch</t>
  </si>
  <si>
    <t>task_5_transport_touch</t>
  </si>
  <si>
    <t>task_6_calendar_touch</t>
  </si>
  <si>
    <t>task_7_camera_touch</t>
  </si>
  <si>
    <t>task_8_weather_touch</t>
  </si>
  <si>
    <t>task_9_notes_touch</t>
  </si>
  <si>
    <t>task_10_flashlight_touch</t>
  </si>
  <si>
    <t>time_task_1_call_touch</t>
  </si>
  <si>
    <t>time_task_2_alarm_clock_touch</t>
  </si>
  <si>
    <t>time_task_3_sms_touch</t>
  </si>
  <si>
    <t>time_task_4_search_touch</t>
  </si>
  <si>
    <t>time_task_5_transport_touch</t>
  </si>
  <si>
    <t>time_task_6_calendar_touch</t>
  </si>
  <si>
    <t>time_task_7_camera_touch</t>
  </si>
  <si>
    <t>time_task_8_weather_touch</t>
  </si>
  <si>
    <t>time_task_9_notes_touch</t>
  </si>
  <si>
    <t>time_task_10_flashlight_touch</t>
  </si>
  <si>
    <t>F</t>
  </si>
  <si>
    <t>M</t>
  </si>
  <si>
    <t>task</t>
  </si>
  <si>
    <t>young touch</t>
  </si>
  <si>
    <t>young voice</t>
  </si>
  <si>
    <t>eldery touch</t>
  </si>
  <si>
    <t>eldery voice</t>
  </si>
  <si>
    <t>task_4_search</t>
  </si>
  <si>
    <t>task_3_sms</t>
  </si>
  <si>
    <t>task_2_alarm_clock</t>
  </si>
  <si>
    <t>task_1_call</t>
  </si>
  <si>
    <t>task_5_transport</t>
  </si>
  <si>
    <t>task_6_calendar</t>
  </si>
  <si>
    <t>task_7_camera</t>
  </si>
  <si>
    <t>task_8_weather</t>
  </si>
  <si>
    <t>task_9_notes</t>
  </si>
  <si>
    <t>task_10_flashlight</t>
  </si>
  <si>
    <t>Succedd Rate On First Trial</t>
  </si>
  <si>
    <t>Succedd Rate In General</t>
  </si>
  <si>
    <t>Average Total Time To Success</t>
  </si>
  <si>
    <t>Mean</t>
  </si>
  <si>
    <t>STD</t>
  </si>
  <si>
    <t>Average Number Of Attempts Until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</si>
</sst>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2" fillId="0" borderId="2" xfId="0" applyFont="1" applyBorder="1"/>
    <xf numFmtId="0" fontId="2" fillId="2" borderId="1" xfId="0" applyFont="1" applyFill="1" applyBorder="1" applyAlignment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Young Group: Touch vs Voice Contribution per Task</a:t>
            </a:r>
            <a:endParaRPr lang="he-I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young 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summary!$A$4:$A$13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summary!$B$4:$B$13</c:f>
              <c:numCache>
                <c:formatCode>General</c:formatCode>
                <c:ptCount val="10"/>
                <c:pt idx="0">
                  <c:v>0.93333333333333335</c:v>
                </c:pt>
                <c:pt idx="1">
                  <c:v>0.3</c:v>
                </c:pt>
                <c:pt idx="2">
                  <c:v>0.96666666666666667</c:v>
                </c:pt>
                <c:pt idx="3">
                  <c:v>0.83333333333333337</c:v>
                </c:pt>
                <c:pt idx="4">
                  <c:v>0.26666666666666666</c:v>
                </c:pt>
                <c:pt idx="5">
                  <c:v>0.76666666666666672</c:v>
                </c:pt>
                <c:pt idx="6">
                  <c:v>0.8</c:v>
                </c:pt>
                <c:pt idx="7">
                  <c:v>0.96666666666666667</c:v>
                </c:pt>
                <c:pt idx="8">
                  <c:v>0.56666666666666665</c:v>
                </c:pt>
                <c:pt idx="9">
                  <c:v>0.96666666666666667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E-4655-BFA1-5AA7D77F4D50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young touch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summary!$A$4:$A$13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0.96666666666666667</c:v>
                </c:pt>
                <c:pt idx="4">
                  <c:v>1</c:v>
                </c:pt>
                <c:pt idx="5">
                  <c:v>0.93333333333333335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E-4655-BFA1-5AA7D77F4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900015"/>
        <c:axId val="282903375"/>
      </c:barChart>
      <c:catAx>
        <c:axId val="2829000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2903375"/>
        <c:crosses val="autoZero"/>
        <c:auto val="1"/>
        <c:lblAlgn val="ctr"/>
        <c:lblOffset val="100"/>
        <c:noMultiLvlLbl val="0"/>
      </c:catAx>
      <c:valAx>
        <c:axId val="2829033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29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Success Time Trend per Group Across Tasks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summary!$B$40</c:f>
              <c:strCache>
                <c:ptCount val="1"/>
                <c:pt idx="0">
                  <c:v>young voice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summary!$A$41:$A$50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summary!$B$41:$B$50</c:f>
              <c:numCache>
                <c:formatCode>General</c:formatCode>
                <c:ptCount val="10"/>
                <c:pt idx="0">
                  <c:v>7.5646666666666667</c:v>
                </c:pt>
                <c:pt idx="1">
                  <c:v>20.862000000000002</c:v>
                </c:pt>
                <c:pt idx="2">
                  <c:v>18.463000000000005</c:v>
                </c:pt>
                <c:pt idx="3">
                  <c:v>10.247666666666666</c:v>
                </c:pt>
                <c:pt idx="4">
                  <c:v>36.24388888888889</c:v>
                </c:pt>
                <c:pt idx="5">
                  <c:v>26.622758620689659</c:v>
                </c:pt>
                <c:pt idx="6">
                  <c:v>9.1966666666666654</c:v>
                </c:pt>
                <c:pt idx="7">
                  <c:v>8.0959999999999983</c:v>
                </c:pt>
                <c:pt idx="8">
                  <c:v>18.214333333333336</c:v>
                </c:pt>
                <c:pt idx="9">
                  <c:v>6.345666666666669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8-4FDC-B415-269B3D7E6F1A}"/>
            </c:ext>
          </c:extLst>
        </c:ser>
        <c:ser>
          <c:idx val="1"/>
          <c:order val="1"/>
          <c:tx>
            <c:strRef>
              <c:f>summary!$C$40</c:f>
              <c:strCache>
                <c:ptCount val="1"/>
                <c:pt idx="0">
                  <c:v>young touch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summary!$A$41:$A$50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summary!$C$41:$C$50</c:f>
              <c:numCache>
                <c:formatCode>General</c:formatCode>
                <c:ptCount val="10"/>
                <c:pt idx="0">
                  <c:v>8.8660000000000014</c:v>
                </c:pt>
                <c:pt idx="1">
                  <c:v>13.002000000000002</c:v>
                </c:pt>
                <c:pt idx="2">
                  <c:v>25.24766666666666</c:v>
                </c:pt>
                <c:pt idx="3">
                  <c:v>13.784666666666668</c:v>
                </c:pt>
                <c:pt idx="4">
                  <c:v>18.747999999999998</c:v>
                </c:pt>
                <c:pt idx="5">
                  <c:v>37.207999999999991</c:v>
                </c:pt>
                <c:pt idx="6">
                  <c:v>1.593</c:v>
                </c:pt>
                <c:pt idx="7">
                  <c:v>13.117000000000001</c:v>
                </c:pt>
                <c:pt idx="8">
                  <c:v>20.515333333333331</c:v>
                </c:pt>
                <c:pt idx="9">
                  <c:v>4.2426666666666657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8-4FDC-B415-269B3D7E6F1A}"/>
            </c:ext>
          </c:extLst>
        </c:ser>
        <c:ser>
          <c:idx val="2"/>
          <c:order val="2"/>
          <c:tx>
            <c:strRef>
              <c:f>summary!$D$40</c:f>
              <c:strCache>
                <c:ptCount val="1"/>
                <c:pt idx="0">
                  <c:v>eldery voice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summary!$A$41:$A$50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summary!$D$41:$D$50</c:f>
              <c:numCache>
                <c:formatCode>General</c:formatCode>
                <c:ptCount val="10"/>
                <c:pt idx="0">
                  <c:v>32.403333333333336</c:v>
                </c:pt>
                <c:pt idx="1">
                  <c:v>30.21125</c:v>
                </c:pt>
                <c:pt idx="2">
                  <c:v>33.531111111111109</c:v>
                </c:pt>
                <c:pt idx="3">
                  <c:v>19.598749999999999</c:v>
                </c:pt>
                <c:pt idx="4">
                  <c:v>25.477499999999999</c:v>
                </c:pt>
                <c:pt idx="5">
                  <c:v>73.517142857142858</c:v>
                </c:pt>
                <c:pt idx="6">
                  <c:v>16.097777777777779</c:v>
                </c:pt>
                <c:pt idx="7">
                  <c:v>9.0299999999999994</c:v>
                </c:pt>
                <c:pt idx="8">
                  <c:v>29.695555555555554</c:v>
                </c:pt>
                <c:pt idx="9">
                  <c:v>6.4366666666666665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8-4FDC-B415-269B3D7E6F1A}"/>
            </c:ext>
          </c:extLst>
        </c:ser>
        <c:ser>
          <c:idx val="3"/>
          <c:order val="3"/>
          <c:tx>
            <c:strRef>
              <c:f>summary!$E$40</c:f>
              <c:strCache>
                <c:ptCount val="1"/>
                <c:pt idx="0">
                  <c:v>eldery touch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summary!$A$41:$A$50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summary!$E$41:$E$50</c:f>
              <c:numCache>
                <c:formatCode>General</c:formatCode>
                <c:ptCount val="10"/>
                <c:pt idx="0">
                  <c:v>34.370000000000005</c:v>
                </c:pt>
                <c:pt idx="1">
                  <c:v>65.24111111111111</c:v>
                </c:pt>
                <c:pt idx="2">
                  <c:v>77.082222222222228</c:v>
                </c:pt>
                <c:pt idx="3">
                  <c:v>63.005555555555553</c:v>
                </c:pt>
                <c:pt idx="4">
                  <c:v>75.58</c:v>
                </c:pt>
                <c:pt idx="5">
                  <c:v>112.43624999999999</c:v>
                </c:pt>
                <c:pt idx="6">
                  <c:v>7.8033333333333337</c:v>
                </c:pt>
                <c:pt idx="7">
                  <c:v>65.207777777777778</c:v>
                </c:pt>
                <c:pt idx="8">
                  <c:v>60.769999999999996</c:v>
                </c:pt>
                <c:pt idx="9">
                  <c:v>24.02375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8-4FDC-B415-269B3D7E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94623"/>
        <c:axId val="283892703"/>
      </c:lineChart>
      <c:catAx>
        <c:axId val="28389462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3892703"/>
        <c:crosses val="autoZero"/>
        <c:auto val="1"/>
        <c:lblAlgn val="ctr"/>
        <c:lblOffset val="100"/>
        <c:noMultiLvlLbl val="0"/>
      </c:catAx>
      <c:valAx>
        <c:axId val="2838927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389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Time to Success ±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summary!$A$52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01-4E91-91CE-E304A1E69A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summary!$B$51:$E$51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summary!$B$52:$E$52</c:f>
              <c:numCache>
                <c:formatCode>General</c:formatCode>
                <c:ptCount val="4"/>
                <c:pt idx="0">
                  <c:v>16.185664750957855</c:v>
                </c:pt>
                <c:pt idx="1">
                  <c:v>15.632433333333333</c:v>
                </c:pt>
                <c:pt idx="2">
                  <c:v>27.599908730158727</c:v>
                </c:pt>
                <c:pt idx="3">
                  <c:v>58.552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1-4E91-91CE-E304A1E6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36943"/>
        <c:axId val="154937903"/>
      </c:barChart>
      <c:catAx>
        <c:axId val="15493694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937903"/>
        <c:crosses val="autoZero"/>
        <c:auto val="1"/>
        <c:lblAlgn val="ctr"/>
        <c:lblOffset val="100"/>
        <c:noMultiLvlLbl val="0"/>
      </c:catAx>
      <c:valAx>
        <c:axId val="1549379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93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Number Of Attempts Until Success by Group and Task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summary!$A$60</c:f>
              <c:strCache>
                <c:ptCount val="1"/>
                <c:pt idx="0">
                  <c:v>task_1_call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summary!$B$60:$E$60</c:f>
              <c:numCache>
                <c:formatCode>General</c:formatCode>
                <c:ptCount val="4"/>
                <c:pt idx="0">
                  <c:v>1.0666666666666667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6-417F-A9E1-7B0B11E28381}"/>
            </c:ext>
          </c:extLst>
        </c:ser>
        <c:ser>
          <c:idx val="1"/>
          <c:order val="1"/>
          <c:tx>
            <c:strRef>
              <c:f>summary!$A$61</c:f>
              <c:strCache>
                <c:ptCount val="1"/>
                <c:pt idx="0">
                  <c:v>task_2_alarm_clock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summary!$B$61:$E$61</c:f>
              <c:numCache>
                <c:formatCode>General</c:formatCode>
                <c:ptCount val="4"/>
                <c:pt idx="0">
                  <c:v>2.3333333333333335</c:v>
                </c:pt>
                <c:pt idx="1">
                  <c:v>1</c:v>
                </c:pt>
                <c:pt idx="2">
                  <c:v>2.625</c:v>
                </c:pt>
                <c:pt idx="3">
                  <c:v>1.1111111111111112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6-417F-A9E1-7B0B11E28381}"/>
            </c:ext>
          </c:extLst>
        </c:ser>
        <c:ser>
          <c:idx val="2"/>
          <c:order val="2"/>
          <c:tx>
            <c:strRef>
              <c:f>summary!$A$62</c:f>
              <c:strCache>
                <c:ptCount val="1"/>
                <c:pt idx="0">
                  <c:v>task_3_sms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summary!$B$62:$E$62</c:f>
              <c:numCache>
                <c:formatCode>General</c:formatCode>
                <c:ptCount val="4"/>
                <c:pt idx="0">
                  <c:v>1.0333333333333334</c:v>
                </c:pt>
                <c:pt idx="1">
                  <c:v>1</c:v>
                </c:pt>
                <c:pt idx="2">
                  <c:v>1.8888888888888888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6-417F-A9E1-7B0B11E28381}"/>
            </c:ext>
          </c:extLst>
        </c:ser>
        <c:ser>
          <c:idx val="3"/>
          <c:order val="3"/>
          <c:tx>
            <c:strRef>
              <c:f>summary!$A$63</c:f>
              <c:strCache>
                <c:ptCount val="1"/>
                <c:pt idx="0">
                  <c:v>task_4_search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summary!$B$63:$E$63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1.0333333333333334</c:v>
                </c:pt>
                <c:pt idx="2">
                  <c:v>2.2222222222222223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6-417F-A9E1-7B0B11E28381}"/>
            </c:ext>
          </c:extLst>
        </c:ser>
        <c:ser>
          <c:idx val="4"/>
          <c:order val="4"/>
          <c:tx>
            <c:strRef>
              <c:f>summary!$A$64</c:f>
              <c:strCache>
                <c:ptCount val="1"/>
                <c:pt idx="0">
                  <c:v>task_5_transport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summary!$B$64:$E$64</c:f>
              <c:numCache>
                <c:formatCode>General</c:formatCode>
                <c:ptCount val="4"/>
                <c:pt idx="0">
                  <c:v>3.1578947368421053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66-417F-A9E1-7B0B11E28381}"/>
            </c:ext>
          </c:extLst>
        </c:ser>
        <c:ser>
          <c:idx val="5"/>
          <c:order val="5"/>
          <c:tx>
            <c:strRef>
              <c:f>summary!$A$65</c:f>
              <c:strCache>
                <c:ptCount val="1"/>
                <c:pt idx="0">
                  <c:v>task_6_calendar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summary!$B$65:$E$65</c:f>
              <c:numCache>
                <c:formatCode>General</c:formatCode>
                <c:ptCount val="4"/>
                <c:pt idx="0">
                  <c:v>1.4285714285714286</c:v>
                </c:pt>
                <c:pt idx="1">
                  <c:v>1.0666666666666667</c:v>
                </c:pt>
                <c:pt idx="2">
                  <c:v>2.5714285714285716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66-417F-A9E1-7B0B11E28381}"/>
            </c:ext>
          </c:extLst>
        </c:ser>
        <c:ser>
          <c:idx val="6"/>
          <c:order val="6"/>
          <c:tx>
            <c:strRef>
              <c:f>summary!$A$66</c:f>
              <c:strCache>
                <c:ptCount val="1"/>
                <c:pt idx="0">
                  <c:v>task_7_camera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summary!$B$66:$E$66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1</c:v>
                </c:pt>
                <c:pt idx="2">
                  <c:v>1.6666666666666667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66-417F-A9E1-7B0B11E28381}"/>
            </c:ext>
          </c:extLst>
        </c:ser>
        <c:ser>
          <c:idx val="7"/>
          <c:order val="7"/>
          <c:tx>
            <c:strRef>
              <c:f>summary!$A$67</c:f>
              <c:strCache>
                <c:ptCount val="1"/>
                <c:pt idx="0">
                  <c:v>task_8_weather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summary!$B$67:$E$67</c:f>
              <c:numCache>
                <c:formatCode>General</c:formatCode>
                <c:ptCount val="4"/>
                <c:pt idx="0">
                  <c:v>1.0333333333333334</c:v>
                </c:pt>
                <c:pt idx="1">
                  <c:v>1</c:v>
                </c:pt>
                <c:pt idx="2">
                  <c:v>1</c:v>
                </c:pt>
                <c:pt idx="3">
                  <c:v>1.2222222222222223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66-417F-A9E1-7B0B11E28381}"/>
            </c:ext>
          </c:extLst>
        </c:ser>
        <c:ser>
          <c:idx val="8"/>
          <c:order val="8"/>
          <c:tx>
            <c:strRef>
              <c:f>summary!$A$68</c:f>
              <c:strCache>
                <c:ptCount val="1"/>
                <c:pt idx="0">
                  <c:v>task_9_notes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summary!$B$68:$E$68</c:f>
              <c:numCache>
                <c:formatCode>General</c:formatCode>
                <c:ptCount val="4"/>
                <c:pt idx="0">
                  <c:v>1.6333333333333333</c:v>
                </c:pt>
                <c:pt idx="1">
                  <c:v>1</c:v>
                </c:pt>
                <c:pt idx="2">
                  <c:v>2.3333333333333335</c:v>
                </c:pt>
                <c:pt idx="3">
                  <c:v>1.1111111111111112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66-417F-A9E1-7B0B11E28381}"/>
            </c:ext>
          </c:extLst>
        </c:ser>
        <c:ser>
          <c:idx val="9"/>
          <c:order val="9"/>
          <c:tx>
            <c:strRef>
              <c:f>summary!$A$69</c:f>
              <c:strCache>
                <c:ptCount val="1"/>
                <c:pt idx="0">
                  <c:v>task_10_flashlight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summary!$B$59:$E$59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summary!$B$69:$E$69</c:f>
              <c:numCache>
                <c:formatCode>General</c:formatCode>
                <c:ptCount val="4"/>
                <c:pt idx="0">
                  <c:v>1.0333333333333334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66-417F-A9E1-7B0B11E2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520879"/>
        <c:axId val="587510319"/>
      </c:barChart>
      <c:catAx>
        <c:axId val="58752087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7510319"/>
        <c:crosses val="autoZero"/>
        <c:auto val="1"/>
        <c:lblAlgn val="ctr"/>
        <c:lblOffset val="100"/>
        <c:noMultiLvlLbl val="0"/>
      </c:catAx>
      <c:valAx>
        <c:axId val="5875103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75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Young Group: Touch vs Voice Contribution per Task</a:t>
            </a:r>
            <a:endParaRPr lang="he-IL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summary!$B$59</c:f>
              <c:strCache>
                <c:ptCount val="1"/>
                <c:pt idx="0">
                  <c:v>young 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summary!$A$60:$A$69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summary!$B$60:$B$69</c:f>
              <c:numCache>
                <c:formatCode>General</c:formatCode>
                <c:ptCount val="10"/>
                <c:pt idx="0">
                  <c:v>1.0666666666666667</c:v>
                </c:pt>
                <c:pt idx="1">
                  <c:v>2.3333333333333335</c:v>
                </c:pt>
                <c:pt idx="2">
                  <c:v>1.0333333333333334</c:v>
                </c:pt>
                <c:pt idx="3">
                  <c:v>1.3333333333333333</c:v>
                </c:pt>
                <c:pt idx="4">
                  <c:v>3.1578947368421053</c:v>
                </c:pt>
                <c:pt idx="5">
                  <c:v>1.4285714285714286</c:v>
                </c:pt>
                <c:pt idx="6">
                  <c:v>1.3333333333333333</c:v>
                </c:pt>
                <c:pt idx="7">
                  <c:v>1.0333333333333334</c:v>
                </c:pt>
                <c:pt idx="8">
                  <c:v>1.6333333333333333</c:v>
                </c:pt>
                <c:pt idx="9">
                  <c:v>1.0333333333333334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7-4790-8643-BFC0CC9BB905}"/>
            </c:ext>
          </c:extLst>
        </c:ser>
        <c:ser>
          <c:idx val="1"/>
          <c:order val="1"/>
          <c:tx>
            <c:strRef>
              <c:f>summary!$C$59</c:f>
              <c:strCache>
                <c:ptCount val="1"/>
                <c:pt idx="0">
                  <c:v>young touch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summary!$A$60:$A$69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summary!$C$60:$C$69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1.0333333333333334</c:v>
                </c:pt>
                <c:pt idx="4">
                  <c:v>1</c:v>
                </c:pt>
                <c:pt idx="5">
                  <c:v>1.0666666666666667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7-4790-8643-BFC0CC9B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143871"/>
        <c:axId val="582146271"/>
      </c:barChart>
      <c:catAx>
        <c:axId val="58214387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2146271"/>
        <c:crosses val="autoZero"/>
        <c:auto val="1"/>
        <c:lblAlgn val="ctr"/>
        <c:lblOffset val="100"/>
        <c:noMultiLvlLbl val="0"/>
      </c:catAx>
      <c:valAx>
        <c:axId val="5821462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21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Elderly Group: Touch vs Voice Contribution per Task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summary!$D$59</c:f>
              <c:strCache>
                <c:ptCount val="1"/>
                <c:pt idx="0">
                  <c:v>eldery voice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summary!$A$60:$A$69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summary!$D$60:$D$69</c:f>
              <c:numCache>
                <c:formatCode>General</c:formatCode>
                <c:ptCount val="10"/>
                <c:pt idx="0">
                  <c:v>3</c:v>
                </c:pt>
                <c:pt idx="1">
                  <c:v>2.625</c:v>
                </c:pt>
                <c:pt idx="2">
                  <c:v>1.8888888888888888</c:v>
                </c:pt>
                <c:pt idx="3">
                  <c:v>2.2222222222222223</c:v>
                </c:pt>
                <c:pt idx="4">
                  <c:v>2</c:v>
                </c:pt>
                <c:pt idx="5">
                  <c:v>2.5714285714285716</c:v>
                </c:pt>
                <c:pt idx="6">
                  <c:v>1.6666666666666667</c:v>
                </c:pt>
                <c:pt idx="7">
                  <c:v>1</c:v>
                </c:pt>
                <c:pt idx="8">
                  <c:v>2.3333333333333335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D-4B31-8185-F09D9BCE13AC}"/>
            </c:ext>
          </c:extLst>
        </c:ser>
        <c:ser>
          <c:idx val="3"/>
          <c:order val="3"/>
          <c:tx>
            <c:strRef>
              <c:f>summary!$E$59</c:f>
              <c:strCache>
                <c:ptCount val="1"/>
                <c:pt idx="0">
                  <c:v>eldery touch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summary!$A$60:$A$69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summary!$E$60:$E$69</c:f>
              <c:numCache>
                <c:formatCode>General</c:formatCode>
                <c:ptCount val="10"/>
                <c:pt idx="0">
                  <c:v>1</c:v>
                </c:pt>
                <c:pt idx="1">
                  <c:v>1.1111111111111112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1.2222222222222223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D-4B31-8185-F09D9BCE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305935"/>
        <c:axId val="4593256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summary!$B$59</c15:sqref>
                        </c15:formulaRef>
                      </c:ext>
                    </c:extLst>
                    <c:strCache>
                      <c:ptCount val="1"/>
                      <c:pt idx="0">
                        <c:v>young voice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summary!$A$60:$A$69</c15:sqref>
                        </c15:formulaRef>
                      </c:ext>
                    </c:extLst>
                    <c:strCache>
                      <c:ptCount val="10"/>
                      <c:pt idx="0">
                        <c:v>task_1_call</c:v>
                      </c:pt>
                      <c:pt idx="1">
                        <c:v>task_2_alarm_clock</c:v>
                      </c:pt>
                      <c:pt idx="2">
                        <c:v>task_3_sms</c:v>
                      </c:pt>
                      <c:pt idx="3">
                        <c:v>task_4_search</c:v>
                      </c:pt>
                      <c:pt idx="4">
                        <c:v>task_5_transport</c:v>
                      </c:pt>
                      <c:pt idx="5">
                        <c:v>task_6_calendar</c:v>
                      </c:pt>
                      <c:pt idx="6">
                        <c:v>task_7_camera</c:v>
                      </c:pt>
                      <c:pt idx="7">
                        <c:v>task_8_weather</c:v>
                      </c:pt>
                      <c:pt idx="8">
                        <c:v>task_9_notes</c:v>
                      </c:pt>
                      <c:pt idx="9">
                        <c:v>task_10_flashlight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summary!$B$60:$B$69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1.0666666666666667</c:v>
                      </c:pt>
                      <c:pt idx="1">
                        <c:v>2.3333333333333335</c:v>
                      </c:pt>
                      <c:pt idx="2">
                        <c:v>1.0333333333333334</c:v>
                      </c:pt>
                      <c:pt idx="3">
                        <c:v>1.3333333333333333</c:v>
                      </c:pt>
                      <c:pt idx="4">
                        <c:v>3.1578947368421053</c:v>
                      </c:pt>
                      <c:pt idx="5">
                        <c:v>1.4285714285714286</c:v>
                      </c:pt>
                      <c:pt idx="6">
                        <c:v>1.3333333333333333</c:v>
                      </c:pt>
                      <c:pt idx="7">
                        <c:v>1.0333333333333334</c:v>
                      </c:pt>
                      <c:pt idx="8">
                        <c:v>1.6333333333333333</c:v>
                      </c:pt>
                      <c:pt idx="9">
                        <c:v>1.0333333333333334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FD-4B31-8185-F09D9BCE13A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summary!$C$59</c15:sqref>
                        </c15:formulaRef>
                      </c:ext>
                    </c:extLst>
                    <c:strCache>
                      <c:ptCount val="1"/>
                      <c:pt idx="0">
                        <c:v>young touch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summary!$A$60:$A$69</c15:sqref>
                        </c15:formulaRef>
                      </c:ext>
                    </c:extLst>
                    <c:strCache>
                      <c:ptCount val="10"/>
                      <c:pt idx="0">
                        <c:v>task_1_call</c:v>
                      </c:pt>
                      <c:pt idx="1">
                        <c:v>task_2_alarm_clock</c:v>
                      </c:pt>
                      <c:pt idx="2">
                        <c:v>task_3_sms</c:v>
                      </c:pt>
                      <c:pt idx="3">
                        <c:v>task_4_search</c:v>
                      </c:pt>
                      <c:pt idx="4">
                        <c:v>task_5_transport</c:v>
                      </c:pt>
                      <c:pt idx="5">
                        <c:v>task_6_calendar</c:v>
                      </c:pt>
                      <c:pt idx="6">
                        <c:v>task_7_camera</c:v>
                      </c:pt>
                      <c:pt idx="7">
                        <c:v>task_8_weather</c:v>
                      </c:pt>
                      <c:pt idx="8">
                        <c:v>task_9_notes</c:v>
                      </c:pt>
                      <c:pt idx="9">
                        <c:v>task_10_flashlight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summary!$C$60:$C$69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1.0333333333333334</c:v>
                      </c:pt>
                      <c:pt idx="4">
                        <c:v>1</c:v>
                      </c:pt>
                      <c:pt idx="5">
                        <c:v>1.0666666666666667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FD-4B31-8185-F09D9BCE13AC}"/>
                  </c:ext>
                </c:extLst>
              </c15:ser>
            </c15:filteredBarSeries>
          </c:ext>
        </c:extLst>
      </c:barChart>
      <c:catAx>
        <c:axId val="45930593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325615"/>
        <c:crosses val="autoZero"/>
        <c:auto val="1"/>
        <c:lblAlgn val="ctr"/>
        <c:lblOffset val="100"/>
        <c:noMultiLvlLbl val="0"/>
      </c:catAx>
      <c:valAx>
        <c:axId val="4593256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3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Number of Attempts Until Success by Input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summary!$A$71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summary!$B$70:$E$70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summary!$B$71:$E$71</c:f>
              <c:numCache>
                <c:formatCode>General</c:formatCode>
                <c:ptCount val="4"/>
                <c:pt idx="0">
                  <c:v>1.5386466165413535</c:v>
                </c:pt>
                <c:pt idx="1">
                  <c:v>1.01</c:v>
                </c:pt>
                <c:pt idx="2">
                  <c:v>2.0307539682539679</c:v>
                </c:pt>
                <c:pt idx="3">
                  <c:v>1.0444444444444443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4-46DE-89F0-67EE2107E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2776095"/>
        <c:axId val="602764095"/>
      </c:barChart>
      <c:catAx>
        <c:axId val="6027760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764095"/>
        <c:crosses val="autoZero"/>
        <c:auto val="1"/>
        <c:lblAlgn val="ctr"/>
        <c:lblOffset val="100"/>
        <c:noMultiLvlLbl val="0"/>
      </c:catAx>
      <c:valAx>
        <c:axId val="60276409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77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Elderly Group: Touch vs Voice Contribution per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summary!$D$3</c:f>
              <c:strCache>
                <c:ptCount val="1"/>
                <c:pt idx="0">
                  <c:v>eldery voice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summary!$A$4:$A$13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summary!$D$4:$D$13</c:f>
              <c:numCache>
                <c:formatCode>General</c:formatCode>
                <c:ptCount val="10"/>
                <c:pt idx="0">
                  <c:v>0.55555555555555558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0.22222222222222221</c:v>
                </c:pt>
                <c:pt idx="5">
                  <c:v>0.22222222222222221</c:v>
                </c:pt>
                <c:pt idx="6">
                  <c:v>0.66666666666666663</c:v>
                </c:pt>
                <c:pt idx="7">
                  <c:v>1</c:v>
                </c:pt>
                <c:pt idx="8">
                  <c:v>0.33333333333333331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0-4011-B36C-1FBE2383AFD6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eldery touch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summary!$A$4:$A$13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summary!$E$4:$E$13</c:f>
              <c:numCache>
                <c:formatCode>General</c:formatCode>
                <c:ptCount val="10"/>
                <c:pt idx="0">
                  <c:v>1</c:v>
                </c:pt>
                <c:pt idx="1">
                  <c:v>0.88888888888888884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0.88888888888888884</c:v>
                </c:pt>
                <c:pt idx="6">
                  <c:v>1</c:v>
                </c:pt>
                <c:pt idx="7">
                  <c:v>0.88888888888888884</c:v>
                </c:pt>
                <c:pt idx="8">
                  <c:v>0.88888888888888884</c:v>
                </c:pt>
                <c:pt idx="9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0-4011-B36C-1FBE2383A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04335"/>
        <c:axId val="85305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summary!$B$3</c15:sqref>
                        </c15:formulaRef>
                      </c:ext>
                    </c:extLst>
                    <c:strCache>
                      <c:ptCount val="1"/>
                      <c:pt idx="0">
                        <c:v>young voice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summary!$A$4:$A$13</c15:sqref>
                        </c15:formulaRef>
                      </c:ext>
                    </c:extLst>
                    <c:strCache>
                      <c:ptCount val="10"/>
                      <c:pt idx="0">
                        <c:v>task_1_call</c:v>
                      </c:pt>
                      <c:pt idx="1">
                        <c:v>task_2_alarm_clock</c:v>
                      </c:pt>
                      <c:pt idx="2">
                        <c:v>task_3_sms</c:v>
                      </c:pt>
                      <c:pt idx="3">
                        <c:v>task_4_search</c:v>
                      </c:pt>
                      <c:pt idx="4">
                        <c:v>task_5_transport</c:v>
                      </c:pt>
                      <c:pt idx="5">
                        <c:v>task_6_calendar</c:v>
                      </c:pt>
                      <c:pt idx="6">
                        <c:v>task_7_camera</c:v>
                      </c:pt>
                      <c:pt idx="7">
                        <c:v>task_8_weather</c:v>
                      </c:pt>
                      <c:pt idx="8">
                        <c:v>task_9_notes</c:v>
                      </c:pt>
                      <c:pt idx="9">
                        <c:v>task_10_flashlight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0.93333333333333335</c:v>
                      </c:pt>
                      <c:pt idx="1">
                        <c:v>0.3</c:v>
                      </c:pt>
                      <c:pt idx="2">
                        <c:v>0.96666666666666667</c:v>
                      </c:pt>
                      <c:pt idx="3">
                        <c:v>0.83333333333333337</c:v>
                      </c:pt>
                      <c:pt idx="4">
                        <c:v>0.26666666666666666</c:v>
                      </c:pt>
                      <c:pt idx="5">
                        <c:v>0.76666666666666672</c:v>
                      </c:pt>
                      <c:pt idx="6">
                        <c:v>0.8</c:v>
                      </c:pt>
                      <c:pt idx="7">
                        <c:v>0.96666666666666667</c:v>
                      </c:pt>
                      <c:pt idx="8">
                        <c:v>0.56666666666666665</c:v>
                      </c:pt>
                      <c:pt idx="9">
                        <c:v>0.96666666666666667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F0-4011-B36C-1FBE2383AF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summary!$C$3</c15:sqref>
                        </c15:formulaRef>
                      </c:ext>
                    </c:extLst>
                    <c:strCache>
                      <c:ptCount val="1"/>
                      <c:pt idx="0">
                        <c:v>young touch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summary!$A$4:$A$13</c15:sqref>
                        </c15:formulaRef>
                      </c:ext>
                    </c:extLst>
                    <c:strCache>
                      <c:ptCount val="10"/>
                      <c:pt idx="0">
                        <c:v>task_1_call</c:v>
                      </c:pt>
                      <c:pt idx="1">
                        <c:v>task_2_alarm_clock</c:v>
                      </c:pt>
                      <c:pt idx="2">
                        <c:v>task_3_sms</c:v>
                      </c:pt>
                      <c:pt idx="3">
                        <c:v>task_4_search</c:v>
                      </c:pt>
                      <c:pt idx="4">
                        <c:v>task_5_transport</c:v>
                      </c:pt>
                      <c:pt idx="5">
                        <c:v>task_6_calendar</c:v>
                      </c:pt>
                      <c:pt idx="6">
                        <c:v>task_7_camera</c:v>
                      </c:pt>
                      <c:pt idx="7">
                        <c:v>task_8_weather</c:v>
                      </c:pt>
                      <c:pt idx="8">
                        <c:v>task_9_notes</c:v>
                      </c:pt>
                      <c:pt idx="9">
                        <c:v>task_10_flashlight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0.96666666666666667</c:v>
                      </c:pt>
                      <c:pt idx="4">
                        <c:v>1</c:v>
                      </c:pt>
                      <c:pt idx="5">
                        <c:v>0.93333333333333335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F0-4011-B36C-1FBE2383AFD6}"/>
                  </c:ext>
                </c:extLst>
              </c15:ser>
            </c15:filteredBarSeries>
          </c:ext>
        </c:extLst>
      </c:barChart>
      <c:catAx>
        <c:axId val="8530433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305295"/>
        <c:crosses val="autoZero"/>
        <c:auto val="1"/>
        <c:lblAlgn val="ctr"/>
        <c:lblOffset val="100"/>
        <c:noMultiLvlLbl val="0"/>
      </c:catAx>
      <c:valAx>
        <c:axId val="853052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30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Average First Trial Success Rate by Age Group and Input Type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summary!$A$15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summary!$B$14:$E$14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0.73666666666666669</c:v>
                </c:pt>
                <c:pt idx="1">
                  <c:v>0.99</c:v>
                </c:pt>
                <c:pt idx="2">
                  <c:v>0.51111111111111107</c:v>
                </c:pt>
                <c:pt idx="3">
                  <c:v>0.94444444444444464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4-4811-8F8D-C3A8E679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33151"/>
        <c:axId val="287436511"/>
      </c:barChart>
      <c:catAx>
        <c:axId val="287433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7436511"/>
        <c:auto val="1"/>
        <c:lblAlgn val="ctr"/>
        <c:lblOffset val="100"/>
        <c:noMultiLvlLbl val="0"/>
      </c:catAx>
      <c:valAx>
        <c:axId val="28743651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743315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Success Rate  by Group and Task</a:t>
            </a:r>
            <a:endParaRPr lang="he-IL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task_1_call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summary!$B$22:$E$22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2-440F-BA61-4F7DB11144AC}"/>
            </c:ext>
          </c:extLst>
        </c:ser>
        <c:ser>
          <c:idx val="1"/>
          <c:order val="1"/>
          <c:tx>
            <c:strRef>
              <c:f>summary!$A$23</c:f>
              <c:strCache>
                <c:ptCount val="1"/>
                <c:pt idx="0">
                  <c:v>task_2_alarm_clock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summary!$B$23:$E$23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2-440F-BA61-4F7DB11144AC}"/>
            </c:ext>
          </c:extLst>
        </c:ser>
        <c:ser>
          <c:idx val="2"/>
          <c:order val="2"/>
          <c:tx>
            <c:strRef>
              <c:f>summary!$A$24</c:f>
              <c:strCache>
                <c:ptCount val="1"/>
                <c:pt idx="0">
                  <c:v>task_3_sms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summary!$B$24:$E$24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2-440F-BA61-4F7DB11144AC}"/>
            </c:ext>
          </c:extLst>
        </c:ser>
        <c:ser>
          <c:idx val="3"/>
          <c:order val="3"/>
          <c:tx>
            <c:strRef>
              <c:f>summary!$A$25</c:f>
              <c:strCache>
                <c:ptCount val="1"/>
                <c:pt idx="0">
                  <c:v>task_4_search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summary!$B$25:$E$25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2-440F-BA61-4F7DB11144AC}"/>
            </c:ext>
          </c:extLst>
        </c:ser>
        <c:ser>
          <c:idx val="4"/>
          <c:order val="4"/>
          <c:tx>
            <c:strRef>
              <c:f>summary!$A$26</c:f>
              <c:strCache>
                <c:ptCount val="1"/>
                <c:pt idx="0">
                  <c:v>task_5_transport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summary!$B$26:$E$26</c:f>
              <c:numCache>
                <c:formatCode>General</c:formatCode>
                <c:ptCount val="4"/>
                <c:pt idx="0">
                  <c:v>0.6333333333333333</c:v>
                </c:pt>
                <c:pt idx="1">
                  <c:v>1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2-440F-BA61-4F7DB11144AC}"/>
            </c:ext>
          </c:extLst>
        </c:ser>
        <c:ser>
          <c:idx val="5"/>
          <c:order val="5"/>
          <c:tx>
            <c:strRef>
              <c:f>summary!$A$27</c:f>
              <c:strCache>
                <c:ptCount val="1"/>
                <c:pt idx="0">
                  <c:v>task_6_calendar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summary!$B$27:$E$27</c:f>
              <c:numCache>
                <c:formatCode>General</c:formatCode>
                <c:ptCount val="4"/>
                <c:pt idx="0">
                  <c:v>0.93333333333333335</c:v>
                </c:pt>
                <c:pt idx="1">
                  <c:v>1</c:v>
                </c:pt>
                <c:pt idx="2">
                  <c:v>0.88888888888888884</c:v>
                </c:pt>
                <c:pt idx="3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F2-440F-BA61-4F7DB11144AC}"/>
            </c:ext>
          </c:extLst>
        </c:ser>
        <c:ser>
          <c:idx val="6"/>
          <c:order val="6"/>
          <c:tx>
            <c:strRef>
              <c:f>summary!$A$28</c:f>
              <c:strCache>
                <c:ptCount val="1"/>
                <c:pt idx="0">
                  <c:v>task_7_camera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summary!$B$28:$E$28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F2-440F-BA61-4F7DB11144AC}"/>
            </c:ext>
          </c:extLst>
        </c:ser>
        <c:ser>
          <c:idx val="7"/>
          <c:order val="7"/>
          <c:tx>
            <c:strRef>
              <c:f>summary!$A$29</c:f>
              <c:strCache>
                <c:ptCount val="1"/>
                <c:pt idx="0">
                  <c:v>task_8_weather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summary!$B$29:$E$29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F2-440F-BA61-4F7DB11144AC}"/>
            </c:ext>
          </c:extLst>
        </c:ser>
        <c:ser>
          <c:idx val="8"/>
          <c:order val="8"/>
          <c:tx>
            <c:strRef>
              <c:f>summary!$A$30</c:f>
              <c:strCache>
                <c:ptCount val="1"/>
                <c:pt idx="0">
                  <c:v>task_9_notes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summary!$B$30:$E$30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F2-440F-BA61-4F7DB11144AC}"/>
            </c:ext>
          </c:extLst>
        </c:ser>
        <c:ser>
          <c:idx val="9"/>
          <c:order val="9"/>
          <c:tx>
            <c:strRef>
              <c:f>summary!$A$31</c:f>
              <c:strCache>
                <c:ptCount val="1"/>
                <c:pt idx="0">
                  <c:v>task_10_flashlight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summary!$B$21:$E$21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summary!$B$31:$E$31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F2-440F-BA61-4F7DB111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682959"/>
        <c:axId val="286691599"/>
      </c:barChart>
      <c:catAx>
        <c:axId val="28668295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6691599"/>
        <c:crosses val="autoZero"/>
        <c:auto val="1"/>
        <c:lblAlgn val="ctr"/>
        <c:lblOffset val="100"/>
        <c:noMultiLvlLbl val="0"/>
      </c:catAx>
      <c:valAx>
        <c:axId val="286691599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66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Success Rate On First Trial  by Group and Task</a:t>
            </a:r>
            <a:endParaRPr lang="he-IL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task_1_call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summary!$B$4:$E$4</c:f>
              <c:numCache>
                <c:formatCode>General</c:formatCode>
                <c:ptCount val="4"/>
                <c:pt idx="0">
                  <c:v>0.93333333333333335</c:v>
                </c:pt>
                <c:pt idx="1">
                  <c:v>1</c:v>
                </c:pt>
                <c:pt idx="2">
                  <c:v>0.55555555555555558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F-4B0D-B8CB-20160004DF32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task_2_alarm_clock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summary!$B$5:$E$5</c:f>
              <c:numCache>
                <c:formatCode>General</c:formatCode>
                <c:ptCount val="4"/>
                <c:pt idx="0">
                  <c:v>0.3</c:v>
                </c:pt>
                <c:pt idx="1">
                  <c:v>1</c:v>
                </c:pt>
                <c:pt idx="2">
                  <c:v>0.33333333333333331</c:v>
                </c:pt>
                <c:pt idx="3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F-4B0D-B8CB-20160004DF32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task_3_sms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summary!$B$6:$E$6</c:f>
              <c:numCache>
                <c:formatCode>General</c:formatCode>
                <c:ptCount val="4"/>
                <c:pt idx="0">
                  <c:v>0.96666666666666667</c:v>
                </c:pt>
                <c:pt idx="1">
                  <c:v>1</c:v>
                </c:pt>
                <c:pt idx="2">
                  <c:v>0.33333333333333331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F-4B0D-B8CB-20160004DF32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task_4_search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summary!$B$7:$E$7</c:f>
              <c:numCache>
                <c:formatCode>General</c:formatCode>
                <c:ptCount val="4"/>
                <c:pt idx="0">
                  <c:v>0.83333333333333337</c:v>
                </c:pt>
                <c:pt idx="1">
                  <c:v>0.96666666666666667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F-4B0D-B8CB-20160004DF32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task_5_transport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summary!$B$8:$E$8</c:f>
              <c:numCache>
                <c:formatCode>General</c:formatCode>
                <c:ptCount val="4"/>
                <c:pt idx="0">
                  <c:v>0.26666666666666666</c:v>
                </c:pt>
                <c:pt idx="1">
                  <c:v>1</c:v>
                </c:pt>
                <c:pt idx="2">
                  <c:v>0.22222222222222221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F-4B0D-B8CB-20160004DF32}"/>
            </c:ext>
          </c:extLst>
        </c:ser>
        <c:ser>
          <c:idx val="5"/>
          <c:order val="5"/>
          <c:tx>
            <c:strRef>
              <c:f>summary!$A$9</c:f>
              <c:strCache>
                <c:ptCount val="1"/>
                <c:pt idx="0">
                  <c:v>task_6_calendar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summary!$B$9:$E$9</c:f>
              <c:numCache>
                <c:formatCode>General</c:formatCode>
                <c:ptCount val="4"/>
                <c:pt idx="0">
                  <c:v>0.76666666666666672</c:v>
                </c:pt>
                <c:pt idx="1">
                  <c:v>0.93333333333333335</c:v>
                </c:pt>
                <c:pt idx="2">
                  <c:v>0.22222222222222221</c:v>
                </c:pt>
                <c:pt idx="3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F-4B0D-B8CB-20160004DF32}"/>
            </c:ext>
          </c:extLst>
        </c:ser>
        <c:ser>
          <c:idx val="6"/>
          <c:order val="6"/>
          <c:tx>
            <c:strRef>
              <c:f>summary!$A$10</c:f>
              <c:strCache>
                <c:ptCount val="1"/>
                <c:pt idx="0">
                  <c:v>task_7_camera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F-4B0D-B8CB-20160004DF32}"/>
            </c:ext>
          </c:extLst>
        </c:ser>
        <c:ser>
          <c:idx val="7"/>
          <c:order val="7"/>
          <c:tx>
            <c:strRef>
              <c:f>summary!$A$11</c:f>
              <c:strCache>
                <c:ptCount val="1"/>
                <c:pt idx="0">
                  <c:v>task_8_weather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summary!$B$11:$E$11</c:f>
              <c:numCache>
                <c:formatCode>General</c:formatCode>
                <c:ptCount val="4"/>
                <c:pt idx="0">
                  <c:v>0.96666666666666667</c:v>
                </c:pt>
                <c:pt idx="1">
                  <c:v>1</c:v>
                </c:pt>
                <c:pt idx="2">
                  <c:v>1</c:v>
                </c:pt>
                <c:pt idx="3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F-4B0D-B8CB-20160004DF32}"/>
            </c:ext>
          </c:extLst>
        </c:ser>
        <c:ser>
          <c:idx val="8"/>
          <c:order val="8"/>
          <c:tx>
            <c:strRef>
              <c:f>summary!$A$12</c:f>
              <c:strCache>
                <c:ptCount val="1"/>
                <c:pt idx="0">
                  <c:v>task_9_notes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summary!$B$12:$E$12</c:f>
              <c:numCache>
                <c:formatCode>General</c:formatCode>
                <c:ptCount val="4"/>
                <c:pt idx="0">
                  <c:v>0.56666666666666665</c:v>
                </c:pt>
                <c:pt idx="1">
                  <c:v>1</c:v>
                </c:pt>
                <c:pt idx="2">
                  <c:v>0.33333333333333331</c:v>
                </c:pt>
                <c:pt idx="3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9F-4B0D-B8CB-20160004DF32}"/>
            </c:ext>
          </c:extLst>
        </c:ser>
        <c:ser>
          <c:idx val="9"/>
          <c:order val="9"/>
          <c:tx>
            <c:strRef>
              <c:f>summary!$A$13</c:f>
              <c:strCache>
                <c:ptCount val="1"/>
                <c:pt idx="0">
                  <c:v>task_10_flashlight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summary!$B$13:$E$13</c:f>
              <c:numCache>
                <c:formatCode>General</c:formatCode>
                <c:ptCount val="4"/>
                <c:pt idx="0">
                  <c:v>0.96666666666666667</c:v>
                </c:pt>
                <c:pt idx="1">
                  <c:v>1</c:v>
                </c:pt>
                <c:pt idx="2">
                  <c:v>1</c:v>
                </c:pt>
                <c:pt idx="3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9F-4B0D-B8CB-20160004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951711"/>
        <c:axId val="447942591"/>
      </c:barChart>
      <c:catAx>
        <c:axId val="44795171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7942591"/>
        <c:crosses val="autoZero"/>
        <c:auto val="1"/>
        <c:lblAlgn val="ctr"/>
        <c:lblOffset val="100"/>
        <c:noMultiLvlLbl val="0"/>
      </c:catAx>
      <c:valAx>
        <c:axId val="447942591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79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Young Group: Touch vs Voice Contribution per Task</a:t>
            </a:r>
            <a:endParaRPr lang="he-IL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summary!$B$21</c:f>
              <c:strCache>
                <c:ptCount val="1"/>
                <c:pt idx="0">
                  <c:v>young 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summary!$A$22:$A$31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summary!$B$22:$B$31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0.6333333333333333</c:v>
                </c:pt>
                <c:pt idx="5">
                  <c:v>0.93333333333333335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0-4746-AFB2-4F3620246A82}"/>
            </c:ext>
          </c:extLst>
        </c:ser>
        <c:ser>
          <c:idx val="1"/>
          <c:order val="1"/>
          <c:tx>
            <c:strRef>
              <c:f>summary!$C$21</c:f>
              <c:strCache>
                <c:ptCount val="1"/>
                <c:pt idx="0">
                  <c:v>young touch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summary!$A$22:$A$31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summary!$C$22:$C$31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0-4746-AFB2-4F362024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384959"/>
        <c:axId val="923854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summary!$D$21</c15:sqref>
                        </c15:formulaRef>
                      </c:ext>
                    </c:extLst>
                    <c:strCache>
                      <c:ptCount val="1"/>
                      <c:pt idx="0">
                        <c:v>eldery voice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summary!$A$22:$A$31</c15:sqref>
                        </c15:formulaRef>
                      </c:ext>
                    </c:extLst>
                    <c:strCache>
                      <c:ptCount val="10"/>
                      <c:pt idx="0">
                        <c:v>task_1_call</c:v>
                      </c:pt>
                      <c:pt idx="1">
                        <c:v>task_2_alarm_clock</c:v>
                      </c:pt>
                      <c:pt idx="2">
                        <c:v>task_3_sms</c:v>
                      </c:pt>
                      <c:pt idx="3">
                        <c:v>task_4_search</c:v>
                      </c:pt>
                      <c:pt idx="4">
                        <c:v>task_5_transport</c:v>
                      </c:pt>
                      <c:pt idx="5">
                        <c:v>task_6_calendar</c:v>
                      </c:pt>
                      <c:pt idx="6">
                        <c:v>task_7_camera</c:v>
                      </c:pt>
                      <c:pt idx="7">
                        <c:v>task_8_weather</c:v>
                      </c:pt>
                      <c:pt idx="8">
                        <c:v>task_9_notes</c:v>
                      </c:pt>
                      <c:pt idx="9">
                        <c:v>task_10_flashlight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summary!$D$22:$D$31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0.88888888888888884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0.44444444444444442</c:v>
                      </c:pt>
                      <c:pt idx="5">
                        <c:v>0.88888888888888884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60-4746-AFB2-4F3620246A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eldery touch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summary!$A$22:$A$31</c15:sqref>
                        </c15:formulaRef>
                      </c:ext>
                    </c:extLst>
                    <c:strCache>
                      <c:ptCount val="10"/>
                      <c:pt idx="0">
                        <c:v>task_1_call</c:v>
                      </c:pt>
                      <c:pt idx="1">
                        <c:v>task_2_alarm_clock</c:v>
                      </c:pt>
                      <c:pt idx="2">
                        <c:v>task_3_sms</c:v>
                      </c:pt>
                      <c:pt idx="3">
                        <c:v>task_4_search</c:v>
                      </c:pt>
                      <c:pt idx="4">
                        <c:v>task_5_transport</c:v>
                      </c:pt>
                      <c:pt idx="5">
                        <c:v>task_6_calendar</c:v>
                      </c:pt>
                      <c:pt idx="6">
                        <c:v>task_7_camera</c:v>
                      </c:pt>
                      <c:pt idx="7">
                        <c:v>task_8_weather</c:v>
                      </c:pt>
                      <c:pt idx="8">
                        <c:v>task_9_notes</c:v>
                      </c:pt>
                      <c:pt idx="9">
                        <c:v>task_10_flashlight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summary!$E$22:$E$31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0.88888888888888884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0.88888888888888884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B60-4746-AFB2-4F3620246A82}"/>
                  </c:ext>
                </c:extLst>
              </c15:ser>
            </c15:filteredBarSeries>
          </c:ext>
        </c:extLst>
      </c:barChart>
      <c:catAx>
        <c:axId val="9238495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385439"/>
        <c:crosses val="autoZero"/>
        <c:auto val="1"/>
        <c:lblAlgn val="ctr"/>
        <c:lblOffset val="100"/>
        <c:noMultiLvlLbl val="0"/>
      </c:catAx>
      <c:valAx>
        <c:axId val="923854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3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Elderly Group: Touch vs Voice Contribution per Task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summary!$D$21</c:f>
              <c:strCache>
                <c:ptCount val="1"/>
                <c:pt idx="0">
                  <c:v>eldery voice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summary!$A$22:$A$31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summary!$D$22:$D$31</c:f>
              <c:numCache>
                <c:formatCode>General</c:formatCode>
                <c:ptCount val="10"/>
                <c:pt idx="0">
                  <c:v>1</c:v>
                </c:pt>
                <c:pt idx="1">
                  <c:v>0.88888888888888884</c:v>
                </c:pt>
                <c:pt idx="2">
                  <c:v>1</c:v>
                </c:pt>
                <c:pt idx="3">
                  <c:v>1</c:v>
                </c:pt>
                <c:pt idx="4">
                  <c:v>0.44444444444444442</c:v>
                </c:pt>
                <c:pt idx="5">
                  <c:v>0.88888888888888884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E-4A6D-89D6-CC325FF8AF7C}"/>
            </c:ext>
          </c:extLst>
        </c:ser>
        <c:ser>
          <c:idx val="3"/>
          <c:order val="3"/>
          <c:tx>
            <c:strRef>
              <c:f>summary!$E$21</c:f>
              <c:strCache>
                <c:ptCount val="1"/>
                <c:pt idx="0">
                  <c:v>eldery touch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summary!$A$22:$A$31</c:f>
              <c:strCache>
                <c:ptCount val="10"/>
                <c:pt idx="0">
                  <c:v>task_1_call</c:v>
                </c:pt>
                <c:pt idx="1">
                  <c:v>task_2_alarm_clock</c:v>
                </c:pt>
                <c:pt idx="2">
                  <c:v>task_3_sms</c:v>
                </c:pt>
                <c:pt idx="3">
                  <c:v>task_4_search</c:v>
                </c:pt>
                <c:pt idx="4">
                  <c:v>task_5_transport</c:v>
                </c:pt>
                <c:pt idx="5">
                  <c:v>task_6_calendar</c:v>
                </c:pt>
                <c:pt idx="6">
                  <c:v>task_7_camera</c:v>
                </c:pt>
                <c:pt idx="7">
                  <c:v>task_8_weather</c:v>
                </c:pt>
                <c:pt idx="8">
                  <c:v>task_9_notes</c:v>
                </c:pt>
                <c:pt idx="9">
                  <c:v>task_10_flashlight</c:v>
                </c:pt>
              </c:strCache>
            </c:strRef>
          </c:cat>
          <c:val>
            <c:numRef>
              <c:f>summary!$E$22:$E$31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0.88888888888888884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E-4A6D-89D6-CC325FF8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684015"/>
        <c:axId val="434683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summary!$B$21</c15:sqref>
                        </c15:formulaRef>
                      </c:ext>
                    </c:extLst>
                    <c:strCache>
                      <c:ptCount val="1"/>
                      <c:pt idx="0">
                        <c:v>young voice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summary!$A$22:$A$31</c15:sqref>
                        </c15:formulaRef>
                      </c:ext>
                    </c:extLst>
                    <c:strCache>
                      <c:ptCount val="10"/>
                      <c:pt idx="0">
                        <c:v>task_1_call</c:v>
                      </c:pt>
                      <c:pt idx="1">
                        <c:v>task_2_alarm_clock</c:v>
                      </c:pt>
                      <c:pt idx="2">
                        <c:v>task_3_sms</c:v>
                      </c:pt>
                      <c:pt idx="3">
                        <c:v>task_4_search</c:v>
                      </c:pt>
                      <c:pt idx="4">
                        <c:v>task_5_transport</c:v>
                      </c:pt>
                      <c:pt idx="5">
                        <c:v>task_6_calendar</c:v>
                      </c:pt>
                      <c:pt idx="6">
                        <c:v>task_7_camera</c:v>
                      </c:pt>
                      <c:pt idx="7">
                        <c:v>task_8_weather</c:v>
                      </c:pt>
                      <c:pt idx="8">
                        <c:v>task_9_notes</c:v>
                      </c:pt>
                      <c:pt idx="9">
                        <c:v>task_10_flashlight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summary!$B$22:$B$31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0.6333333333333333</c:v>
                      </c:pt>
                      <c:pt idx="5">
                        <c:v>0.93333333333333335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E4E-4A6D-89D6-CC325FF8AF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young touch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summary!$A$22:$A$31</c15:sqref>
                        </c15:formulaRef>
                      </c:ext>
                    </c:extLst>
                    <c:strCache>
                      <c:ptCount val="10"/>
                      <c:pt idx="0">
                        <c:v>task_1_call</c:v>
                      </c:pt>
                      <c:pt idx="1">
                        <c:v>task_2_alarm_clock</c:v>
                      </c:pt>
                      <c:pt idx="2">
                        <c:v>task_3_sms</c:v>
                      </c:pt>
                      <c:pt idx="3">
                        <c:v>task_4_search</c:v>
                      </c:pt>
                      <c:pt idx="4">
                        <c:v>task_5_transport</c:v>
                      </c:pt>
                      <c:pt idx="5">
                        <c:v>task_6_calendar</c:v>
                      </c:pt>
                      <c:pt idx="6">
                        <c:v>task_7_camera</c:v>
                      </c:pt>
                      <c:pt idx="7">
                        <c:v>task_8_weather</c:v>
                      </c:pt>
                      <c:pt idx="8">
                        <c:v>task_9_notes</c:v>
                      </c:pt>
                      <c:pt idx="9">
                        <c:v>task_10_flashlight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4E-4A6D-89D6-CC325FF8AF7C}"/>
                  </c:ext>
                </c:extLst>
              </c15:ser>
            </c15:filteredBarSeries>
          </c:ext>
        </c:extLst>
      </c:barChart>
      <c:catAx>
        <c:axId val="4346840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4683055"/>
        <c:crosses val="autoZero"/>
        <c:auto val="1"/>
        <c:lblAlgn val="ctr"/>
        <c:lblOffset val="100"/>
        <c:noMultiLvlLbl val="0"/>
      </c:catAx>
      <c:valAx>
        <c:axId val="434683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468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Success Rate by Age Group and Input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summary!$A$33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summary!$B$32:$E$32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summary!$B$33:$E$33</c:f>
              <c:numCache>
                <c:formatCode>General</c:formatCode>
                <c:ptCount val="4"/>
                <c:pt idx="0">
                  <c:v>0.95666666666666667</c:v>
                </c:pt>
                <c:pt idx="1">
                  <c:v>1</c:v>
                </c:pt>
                <c:pt idx="2">
                  <c:v>0.92222222222222217</c:v>
                </c:pt>
                <c:pt idx="3">
                  <c:v>0.97777777777777786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5-4AEE-8BEC-CB5BDDDFB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1071279"/>
        <c:axId val="281068399"/>
      </c:barChart>
      <c:catAx>
        <c:axId val="2810712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068399"/>
        <c:crosses val="autoZero"/>
        <c:auto val="1"/>
        <c:lblAlgn val="ctr"/>
        <c:lblOffset val="100"/>
        <c:noMultiLvlLbl val="0"/>
      </c:catAx>
      <c:valAx>
        <c:axId val="28106839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07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Average Total Time to Success by Group and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summary!$A$41</c:f>
              <c:strCache>
                <c:ptCount val="1"/>
                <c:pt idx="0">
                  <c:v>task_1_call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summary!$B$41:$E$41</c:f>
              <c:numCache>
                <c:formatCode>General</c:formatCode>
                <c:ptCount val="4"/>
                <c:pt idx="0">
                  <c:v>7.5646666666666667</c:v>
                </c:pt>
                <c:pt idx="1">
                  <c:v>8.8660000000000014</c:v>
                </c:pt>
                <c:pt idx="2">
                  <c:v>32.403333333333336</c:v>
                </c:pt>
                <c:pt idx="3">
                  <c:v>34.370000000000005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0D0-8F41-1496263328BA}"/>
            </c:ext>
          </c:extLst>
        </c:ser>
        <c:ser>
          <c:idx val="1"/>
          <c:order val="1"/>
          <c:tx>
            <c:strRef>
              <c:f>summary!$A$42</c:f>
              <c:strCache>
                <c:ptCount val="1"/>
                <c:pt idx="0">
                  <c:v>task_2_alarm_clock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summary!$B$42:$E$42</c:f>
              <c:numCache>
                <c:formatCode>General</c:formatCode>
                <c:ptCount val="4"/>
                <c:pt idx="0">
                  <c:v>20.862000000000002</c:v>
                </c:pt>
                <c:pt idx="1">
                  <c:v>13.002000000000002</c:v>
                </c:pt>
                <c:pt idx="2">
                  <c:v>30.21125</c:v>
                </c:pt>
                <c:pt idx="3">
                  <c:v>65.24111111111111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E-40D0-8F41-1496263328BA}"/>
            </c:ext>
          </c:extLst>
        </c:ser>
        <c:ser>
          <c:idx val="2"/>
          <c:order val="2"/>
          <c:tx>
            <c:strRef>
              <c:f>summary!$A$43</c:f>
              <c:strCache>
                <c:ptCount val="1"/>
                <c:pt idx="0">
                  <c:v>task_3_sms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summary!$B$43:$E$43</c:f>
              <c:numCache>
                <c:formatCode>General</c:formatCode>
                <c:ptCount val="4"/>
                <c:pt idx="0">
                  <c:v>18.463000000000005</c:v>
                </c:pt>
                <c:pt idx="1">
                  <c:v>25.24766666666666</c:v>
                </c:pt>
                <c:pt idx="2">
                  <c:v>33.531111111111109</c:v>
                </c:pt>
                <c:pt idx="3">
                  <c:v>77.082222222222228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E-40D0-8F41-1496263328BA}"/>
            </c:ext>
          </c:extLst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task_4_search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summary!$B$44:$E$44</c:f>
              <c:numCache>
                <c:formatCode>General</c:formatCode>
                <c:ptCount val="4"/>
                <c:pt idx="0">
                  <c:v>10.247666666666666</c:v>
                </c:pt>
                <c:pt idx="1">
                  <c:v>13.784666666666668</c:v>
                </c:pt>
                <c:pt idx="2">
                  <c:v>19.598749999999999</c:v>
                </c:pt>
                <c:pt idx="3">
                  <c:v>63.005555555555553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E-40D0-8F41-1496263328BA}"/>
            </c:ext>
          </c:extLst>
        </c:ser>
        <c:ser>
          <c:idx val="4"/>
          <c:order val="4"/>
          <c:tx>
            <c:strRef>
              <c:f>summary!$A$45</c:f>
              <c:strCache>
                <c:ptCount val="1"/>
                <c:pt idx="0">
                  <c:v>task_5_transport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summary!$B$45:$E$45</c:f>
              <c:numCache>
                <c:formatCode>General</c:formatCode>
                <c:ptCount val="4"/>
                <c:pt idx="0">
                  <c:v>36.24388888888889</c:v>
                </c:pt>
                <c:pt idx="1">
                  <c:v>18.747999999999998</c:v>
                </c:pt>
                <c:pt idx="2">
                  <c:v>25.477499999999999</c:v>
                </c:pt>
                <c:pt idx="3">
                  <c:v>75.58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E-40D0-8F41-1496263328BA}"/>
            </c:ext>
          </c:extLst>
        </c:ser>
        <c:ser>
          <c:idx val="5"/>
          <c:order val="5"/>
          <c:tx>
            <c:strRef>
              <c:f>summary!$A$46</c:f>
              <c:strCache>
                <c:ptCount val="1"/>
                <c:pt idx="0">
                  <c:v>task_6_calendar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summary!$B$46:$E$46</c:f>
              <c:numCache>
                <c:formatCode>General</c:formatCode>
                <c:ptCount val="4"/>
                <c:pt idx="0">
                  <c:v>26.622758620689659</c:v>
                </c:pt>
                <c:pt idx="1">
                  <c:v>37.207999999999991</c:v>
                </c:pt>
                <c:pt idx="2">
                  <c:v>73.517142857142858</c:v>
                </c:pt>
                <c:pt idx="3">
                  <c:v>112.43624999999999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E-40D0-8F41-1496263328BA}"/>
            </c:ext>
          </c:extLst>
        </c:ser>
        <c:ser>
          <c:idx val="6"/>
          <c:order val="6"/>
          <c:tx>
            <c:strRef>
              <c:f>summary!$A$47</c:f>
              <c:strCache>
                <c:ptCount val="1"/>
                <c:pt idx="0">
                  <c:v>task_7_camera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summary!$B$47:$E$47</c:f>
              <c:numCache>
                <c:formatCode>General</c:formatCode>
                <c:ptCount val="4"/>
                <c:pt idx="0">
                  <c:v>9.1966666666666654</c:v>
                </c:pt>
                <c:pt idx="1">
                  <c:v>1.593</c:v>
                </c:pt>
                <c:pt idx="2">
                  <c:v>16.097777777777779</c:v>
                </c:pt>
                <c:pt idx="3">
                  <c:v>7.8033333333333337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E-40D0-8F41-1496263328BA}"/>
            </c:ext>
          </c:extLst>
        </c:ser>
        <c:ser>
          <c:idx val="7"/>
          <c:order val="7"/>
          <c:tx>
            <c:strRef>
              <c:f>summary!$A$48</c:f>
              <c:strCache>
                <c:ptCount val="1"/>
                <c:pt idx="0">
                  <c:v>task_8_weather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summary!$B$48:$E$48</c:f>
              <c:numCache>
                <c:formatCode>General</c:formatCode>
                <c:ptCount val="4"/>
                <c:pt idx="0">
                  <c:v>8.0959999999999983</c:v>
                </c:pt>
                <c:pt idx="1">
                  <c:v>13.117000000000001</c:v>
                </c:pt>
                <c:pt idx="2">
                  <c:v>9.0299999999999994</c:v>
                </c:pt>
                <c:pt idx="3">
                  <c:v>65.207777777777778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3E-40D0-8F41-1496263328BA}"/>
            </c:ext>
          </c:extLst>
        </c:ser>
        <c:ser>
          <c:idx val="8"/>
          <c:order val="8"/>
          <c:tx>
            <c:strRef>
              <c:f>summary!$A$49</c:f>
              <c:strCache>
                <c:ptCount val="1"/>
                <c:pt idx="0">
                  <c:v>task_9_notes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summary!$B$49:$E$49</c:f>
              <c:numCache>
                <c:formatCode>General</c:formatCode>
                <c:ptCount val="4"/>
                <c:pt idx="0">
                  <c:v>18.214333333333336</c:v>
                </c:pt>
                <c:pt idx="1">
                  <c:v>20.515333333333331</c:v>
                </c:pt>
                <c:pt idx="2">
                  <c:v>29.695555555555554</c:v>
                </c:pt>
                <c:pt idx="3">
                  <c:v>60.769999999999996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3E-40D0-8F41-1496263328BA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task_10_flashlight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summary!$B$40:$E$40</c:f>
              <c:strCache>
                <c:ptCount val="4"/>
                <c:pt idx="0">
                  <c:v>young voice</c:v>
                </c:pt>
                <c:pt idx="1">
                  <c:v>young touch</c:v>
                </c:pt>
                <c:pt idx="2">
                  <c:v>eldery voice</c:v>
                </c:pt>
                <c:pt idx="3">
                  <c:v>eldery touch</c:v>
                </c:pt>
              </c:strCache>
            </c:strRef>
          </c:cat>
          <c:val>
            <c:numRef>
              <c:f>summary!$B$50:$E$50</c:f>
              <c:numCache>
                <c:formatCode>General</c:formatCode>
                <c:ptCount val="4"/>
                <c:pt idx="0">
                  <c:v>6.345666666666669</c:v>
                </c:pt>
                <c:pt idx="1">
                  <c:v>4.2426666666666657</c:v>
                </c:pt>
                <c:pt idx="2">
                  <c:v>6.4366666666666665</c:v>
                </c:pt>
                <c:pt idx="3">
                  <c:v>24.02375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3E-40D0-8F41-14962633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47487"/>
        <c:axId val="158547967"/>
      </c:barChart>
      <c:catAx>
        <c:axId val="15854748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47967"/>
        <c:crosses val="autoZero"/>
        <c:auto val="1"/>
        <c:lblAlgn val="ctr"/>
        <c:lblOffset val="100"/>
        <c:noMultiLvlLbl val="0"/>
      </c:catAx>
      <c:valAx>
        <c:axId val="1585479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209021</xdr:colOff>
      <xdr:row>1</xdr:row>
      <xdr:rowOff>158748</xdr:rowOff>
    </xdr:from>
    <xdr:to>
      <xdr:col>16</xdr:col>
      <xdr:colOff>746125</xdr:colOff>
      <xdr:row>14</xdr:row>
      <xdr:rowOff>158750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C56BEDB-4943-94A2-3C3A-593A06A3E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26863</xdr:colOff>
      <xdr:row>1</xdr:row>
      <xdr:rowOff>148482</xdr:rowOff>
    </xdr:from>
    <xdr:to>
      <xdr:col>22</xdr:col>
      <xdr:colOff>665725</xdr:colOff>
      <xdr:row>14</xdr:row>
      <xdr:rowOff>143388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EA41840-AFA1-21F0-DD7A-FE8B53F83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2769</xdr:colOff>
      <xdr:row>1</xdr:row>
      <xdr:rowOff>144810</xdr:rowOff>
    </xdr:from>
    <xdr:to>
      <xdr:col>28</xdr:col>
      <xdr:colOff>604274</xdr:colOff>
      <xdr:row>14</xdr:row>
      <xdr:rowOff>143388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2F82510E-7D94-A0EF-B437-0811B2058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165309</xdr:colOff>
      <xdr:row>20</xdr:row>
      <xdr:rowOff>27585</xdr:rowOff>
    </xdr:from>
    <xdr:to>
      <xdr:col>10</xdr:col>
      <xdr:colOff>732693</xdr:colOff>
      <xdr:row>33</xdr:row>
      <xdr:rowOff>48845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DCDD2EDB-F915-99AD-3715-AB02333CE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200526</xdr:colOff>
      <xdr:row>1</xdr:row>
      <xdr:rowOff>155964</xdr:rowOff>
    </xdr:from>
    <xdr:to>
      <xdr:col>11</xdr:col>
      <xdr:colOff>127000</xdr:colOff>
      <xdr:row>14</xdr:row>
      <xdr:rowOff>144824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52E31DFB-6BCB-D08A-FB1C-E4C95DB87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101356</xdr:colOff>
      <xdr:row>20</xdr:row>
      <xdr:rowOff>8304</xdr:rowOff>
    </xdr:from>
    <xdr:to>
      <xdr:col>16</xdr:col>
      <xdr:colOff>720481</xdr:colOff>
      <xdr:row>33</xdr:row>
      <xdr:rowOff>48846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4F995603-D09C-9132-08D2-BD953EEB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52510</xdr:colOff>
      <xdr:row>20</xdr:row>
      <xdr:rowOff>36634</xdr:rowOff>
    </xdr:from>
    <xdr:to>
      <xdr:col>23</xdr:col>
      <xdr:colOff>12212</xdr:colOff>
      <xdr:row>33</xdr:row>
      <xdr:rowOff>36634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6166AB25-3763-2B09-64D2-D6F580EF6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72163</xdr:colOff>
      <xdr:row>20</xdr:row>
      <xdr:rowOff>34987</xdr:rowOff>
    </xdr:from>
    <xdr:to>
      <xdr:col>28</xdr:col>
      <xdr:colOff>657281</xdr:colOff>
      <xdr:row>33</xdr:row>
      <xdr:rowOff>66842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4A3C254D-7854-4A51-B260-60BF6F109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98363</xdr:colOff>
      <xdr:row>39</xdr:row>
      <xdr:rowOff>16684</xdr:rowOff>
    </xdr:from>
    <xdr:to>
      <xdr:col>11</xdr:col>
      <xdr:colOff>62255</xdr:colOff>
      <xdr:row>52</xdr:row>
      <xdr:rowOff>0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8BB19B9A-EDD8-2963-D017-85606BD0B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123265</xdr:colOff>
      <xdr:row>38</xdr:row>
      <xdr:rowOff>190998</xdr:rowOff>
    </xdr:from>
    <xdr:to>
      <xdr:col>17</xdr:col>
      <xdr:colOff>24902</xdr:colOff>
      <xdr:row>52</xdr:row>
      <xdr:rowOff>24902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0111F97A-B650-5CE4-15F4-B4DEA3EC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110502</xdr:colOff>
      <xdr:row>38</xdr:row>
      <xdr:rowOff>169753</xdr:rowOff>
    </xdr:from>
    <xdr:to>
      <xdr:col>22</xdr:col>
      <xdr:colOff>610097</xdr:colOff>
      <xdr:row>52</xdr:row>
      <xdr:rowOff>0</xdr:rowOff>
    </xdr:to>
    <xdr:graphicFrame macro="">
      <xdr:nvGraphicFramePr>
        <xdr:cNvPr id="17" name="תרשים 16">
          <a:extLst>
            <a:ext uri="{FF2B5EF4-FFF2-40B4-BE49-F238E27FC236}">
              <a16:creationId xmlns:a16="http://schemas.microsoft.com/office/drawing/2014/main" id="{BE109DDE-5709-C83B-9E9D-FFA732309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201874</xdr:colOff>
      <xdr:row>58</xdr:row>
      <xdr:rowOff>130602</xdr:rowOff>
    </xdr:from>
    <xdr:to>
      <xdr:col>10</xdr:col>
      <xdr:colOff>616045</xdr:colOff>
      <xdr:row>72</xdr:row>
      <xdr:rowOff>9478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71ECA981-473A-20C8-2499-D0070B4ED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747260</xdr:colOff>
      <xdr:row>58</xdr:row>
      <xdr:rowOff>147865</xdr:rowOff>
    </xdr:from>
    <xdr:to>
      <xdr:col>16</xdr:col>
      <xdr:colOff>555626</xdr:colOff>
      <xdr:row>72</xdr:row>
      <xdr:rowOff>11340</xdr:rowOff>
    </xdr:to>
    <xdr:graphicFrame macro="">
      <xdr:nvGraphicFramePr>
        <xdr:cNvPr id="19" name="תרשים 18">
          <a:extLst>
            <a:ext uri="{FF2B5EF4-FFF2-40B4-BE49-F238E27FC236}">
              <a16:creationId xmlns:a16="http://schemas.microsoft.com/office/drawing/2014/main" id="{F84A4E05-82B7-0E7F-A67D-947CA6301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713241</xdr:colOff>
      <xdr:row>58</xdr:row>
      <xdr:rowOff>125186</xdr:rowOff>
    </xdr:from>
    <xdr:to>
      <xdr:col>22</xdr:col>
      <xdr:colOff>408214</xdr:colOff>
      <xdr:row>72</xdr:row>
      <xdr:rowOff>34018</xdr:rowOff>
    </xdr:to>
    <xdr:graphicFrame macro="">
      <xdr:nvGraphicFramePr>
        <xdr:cNvPr id="20" name="תרשים 19">
          <a:extLst>
            <a:ext uri="{FF2B5EF4-FFF2-40B4-BE49-F238E27FC236}">
              <a16:creationId xmlns:a16="http://schemas.microsoft.com/office/drawing/2014/main" id="{FF2FCA20-628E-3936-D6E1-EFCA27017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567681</xdr:colOff>
      <xdr:row>58</xdr:row>
      <xdr:rowOff>98154</xdr:rowOff>
    </xdr:from>
    <xdr:to>
      <xdr:col>28</xdr:col>
      <xdr:colOff>438728</xdr:colOff>
      <xdr:row>72</xdr:row>
      <xdr:rowOff>34637</xdr:rowOff>
    </xdr:to>
    <xdr:graphicFrame macro="">
      <xdr:nvGraphicFramePr>
        <xdr:cNvPr id="21" name="תרשים 20">
          <a:extLst>
            <a:ext uri="{FF2B5EF4-FFF2-40B4-BE49-F238E27FC236}">
              <a16:creationId xmlns:a16="http://schemas.microsoft.com/office/drawing/2014/main" id="{CD37C17A-94A0-64E0-6132-FA47664DD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52AC-9E18-4832-8E23-E0D4840F1432}">
  <dimension ref="A1:I72"/>
  <sheetViews>
    <sheetView rightToLeft="1" tabSelected="1" zoomScale="35" workbookViewId="0">
      <selection activeCell="V81" sqref="V81"/>
    </sheetView>
  </sheetViews>
  <sheetFormatPr defaultRowHeight="15.5" x14ac:dyDescent="0.35"/>
  <cols>
    <col min="1" max="1" width="17.3046875" bestFit="1" customWidth="1"/>
    <col min="2" max="3" width="12.61328125" bestFit="1" customWidth="1"/>
    <col min="4" max="5" width="12.3828125" bestFit="1" customWidth="1"/>
    <col min="9" max="9" width="16.23046875" customWidth="1"/>
  </cols>
  <sheetData>
    <row r="1" spans="1:9" s="8" customFormat="1" ht="20" x14ac:dyDescent="0.4">
      <c r="A1" s="7"/>
      <c r="B1" s="7"/>
      <c r="C1" s="7"/>
      <c r="D1" s="7"/>
      <c r="E1" s="9" t="s">
        <v>103</v>
      </c>
      <c r="F1" s="9"/>
      <c r="G1" s="9"/>
      <c r="H1" s="9"/>
      <c r="I1" s="9"/>
    </row>
    <row r="3" spans="1:9" x14ac:dyDescent="0.35">
      <c r="A3" s="2" t="s">
        <v>88</v>
      </c>
      <c r="B3" s="6" t="s">
        <v>90</v>
      </c>
      <c r="C3" s="6" t="s">
        <v>89</v>
      </c>
      <c r="D3" s="6" t="s">
        <v>92</v>
      </c>
      <c r="E3" s="6" t="s">
        <v>91</v>
      </c>
    </row>
    <row r="4" spans="1:9" x14ac:dyDescent="0.35">
      <c r="A4" s="4" t="s">
        <v>96</v>
      </c>
      <c r="B4" s="3">
        <f>AVERAGE('success first trial'!F6:F8,'success first trial'!F10:F22,'success first trial'!F27:F40)</f>
        <v>0.93333333333333335</v>
      </c>
      <c r="C4" s="3">
        <f>AVERAGE('success first trial'!Q6:Q8,'success first trial'!Q10:Q22,'success first trial'!Q27:Q40)</f>
        <v>1</v>
      </c>
      <c r="D4" s="3">
        <f>AVERAGE('success first trial'!F2:F5,'success first trial'!F9,'success first trial'!F23:F26)</f>
        <v>0.55555555555555558</v>
      </c>
      <c r="E4" s="3">
        <f>AVERAGE('success first trial'!Q2:Q5,'success first trial'!Q9,'success first trial'!Q23:Q26)</f>
        <v>1</v>
      </c>
    </row>
    <row r="5" spans="1:9" x14ac:dyDescent="0.35">
      <c r="A5" s="4" t="s">
        <v>95</v>
      </c>
      <c r="B5" s="3">
        <f>AVERAGE('success first trial'!G6:G8,'success first trial'!G10:G22,'success first trial'!G27:G40)</f>
        <v>0.3</v>
      </c>
      <c r="C5" s="3">
        <f>AVERAGE('success first trial'!R6:R8,'success first trial'!R10:R22,'success first trial'!R27:R40)</f>
        <v>1</v>
      </c>
      <c r="D5" s="3">
        <f>AVERAGE('success first trial'!G2:G5,'success first trial'!G9,'success first trial'!G23:G26)</f>
        <v>0.33333333333333331</v>
      </c>
      <c r="E5" s="3">
        <f>AVERAGE('success first trial'!R2:R5,'success first trial'!R9,'success first trial'!R23:R26)</f>
        <v>0.88888888888888884</v>
      </c>
    </row>
    <row r="6" spans="1:9" x14ac:dyDescent="0.35">
      <c r="A6" s="4" t="s">
        <v>94</v>
      </c>
      <c r="B6" s="3">
        <f>AVERAGE('success first trial'!H6:H8,'success first trial'!H10:H22,'success first trial'!H27:H40)</f>
        <v>0.96666666666666667</v>
      </c>
      <c r="C6" s="3">
        <f>AVERAGE('success first trial'!S6:S8,'success first trial'!S10:S22,'success first trial'!S27:S40)</f>
        <v>1</v>
      </c>
      <c r="D6" s="3">
        <f>AVERAGE('success first trial'!H2:H5,'success first trial'!H9,'success first trial'!H23:H26)</f>
        <v>0.33333333333333331</v>
      </c>
      <c r="E6" s="3">
        <f>AVERAGE('success first trial'!S2:S5,'success first trial'!S9,'success first trial'!S23:S26)</f>
        <v>1</v>
      </c>
    </row>
    <row r="7" spans="1:9" x14ac:dyDescent="0.35">
      <c r="A7" s="4" t="s">
        <v>93</v>
      </c>
      <c r="B7" s="3">
        <f>AVERAGE('success first trial'!I6:I8,'success first trial'!I10:I22,'success first trial'!I27:I40)</f>
        <v>0.83333333333333337</v>
      </c>
      <c r="C7" s="3">
        <f>AVERAGE('success first trial'!T6:T8,'success first trial'!T10:T22,'success first trial'!T27:T40)</f>
        <v>0.96666666666666667</v>
      </c>
      <c r="D7" s="3">
        <f>AVERAGE('success first trial'!I2:I5,'success first trial'!I9,'success first trial'!I23:I26)</f>
        <v>0.44444444444444442</v>
      </c>
      <c r="E7" s="3">
        <f>AVERAGE('success first trial'!T2:T5,'success first trial'!T9,'success first trial'!T23:T26)</f>
        <v>1</v>
      </c>
    </row>
    <row r="8" spans="1:9" x14ac:dyDescent="0.35">
      <c r="A8" s="4" t="s">
        <v>97</v>
      </c>
      <c r="B8" s="3">
        <f>AVERAGE('success first trial'!J6:J8,'success first trial'!J10:J22,'success first trial'!J27:J40)</f>
        <v>0.26666666666666666</v>
      </c>
      <c r="C8" s="3">
        <f>AVERAGE('success first trial'!U6:U8,'success first trial'!U10:U22,'success first trial'!U27:U40)</f>
        <v>1</v>
      </c>
      <c r="D8" s="3">
        <f>AVERAGE('success first trial'!J2:J5,'success first trial'!J9,'success first trial'!J23:J26)</f>
        <v>0.22222222222222221</v>
      </c>
      <c r="E8" s="3">
        <f>AVERAGE('success first trial'!U2:U5,'success first trial'!U9,'success first trial'!U23:U26)</f>
        <v>1</v>
      </c>
    </row>
    <row r="9" spans="1:9" x14ac:dyDescent="0.35">
      <c r="A9" s="4" t="s">
        <v>98</v>
      </c>
      <c r="B9" s="3">
        <f>AVERAGE('success first trial'!K6:K8,'success first trial'!K10:K22,'success first trial'!K27:K40)</f>
        <v>0.76666666666666672</v>
      </c>
      <c r="C9" s="3">
        <f>AVERAGE('success first trial'!V6:V8,'success first trial'!V10:V22,'success first trial'!V27:V40)</f>
        <v>0.93333333333333335</v>
      </c>
      <c r="D9" s="3">
        <f>AVERAGE('success first trial'!K2:K5,'success first trial'!K9,'success first trial'!K23:K26)</f>
        <v>0.22222222222222221</v>
      </c>
      <c r="E9" s="3">
        <f>AVERAGE('success first trial'!V2:V5,'success first trial'!V9,'success first trial'!V23:V26)</f>
        <v>0.88888888888888884</v>
      </c>
    </row>
    <row r="10" spans="1:9" x14ac:dyDescent="0.35">
      <c r="A10" s="4" t="s">
        <v>99</v>
      </c>
      <c r="B10" s="3">
        <f>AVERAGE('success first trial'!L6:L8,'success first trial'!L10:L22,'success first trial'!L27:L40)</f>
        <v>0.8</v>
      </c>
      <c r="C10" s="3">
        <f>AVERAGE('success first trial'!W6:W8,'success first trial'!W10:W22,'success first trial'!W27:W40)</f>
        <v>1</v>
      </c>
      <c r="D10" s="3">
        <f>AVERAGE('success first trial'!L2:L5,'success first trial'!L9,'success first trial'!L23:L26)</f>
        <v>0.66666666666666663</v>
      </c>
      <c r="E10" s="3">
        <f>AVERAGE('success first trial'!W2:W5,'success first trial'!W9,'success first trial'!W23:W26)</f>
        <v>1</v>
      </c>
    </row>
    <row r="11" spans="1:9" x14ac:dyDescent="0.35">
      <c r="A11" s="4" t="s">
        <v>100</v>
      </c>
      <c r="B11" s="3">
        <f>AVERAGE('success first trial'!M6:M8,'success first trial'!M10:M22,'success first trial'!M27:M40)</f>
        <v>0.96666666666666667</v>
      </c>
      <c r="C11" s="3">
        <f>AVERAGE('success first trial'!X6:X8,'success first trial'!X10:X22,'success first trial'!X27:X40)</f>
        <v>1</v>
      </c>
      <c r="D11" s="3">
        <f>AVERAGE('success first trial'!M2:M5,'success first trial'!M9,'success first trial'!M23:M26)</f>
        <v>1</v>
      </c>
      <c r="E11" s="3">
        <f>AVERAGE('success first trial'!X2:X5,'success first trial'!X9,'success first trial'!X23:X26)</f>
        <v>0.88888888888888884</v>
      </c>
    </row>
    <row r="12" spans="1:9" x14ac:dyDescent="0.35">
      <c r="A12" s="4" t="s">
        <v>101</v>
      </c>
      <c r="B12" s="3">
        <f>AVERAGE('success first trial'!N6:N8,'success first trial'!N10:N22,'success first trial'!N27:N40)</f>
        <v>0.56666666666666665</v>
      </c>
      <c r="C12" s="3">
        <f>AVERAGE('success first trial'!Y6:Y8,'success first trial'!Y10:Y22,'success first trial'!Y27:Y40)</f>
        <v>1</v>
      </c>
      <c r="D12" s="3">
        <f>AVERAGE('success first trial'!N2:N5,'success first trial'!N9,'success first trial'!N23:N26)</f>
        <v>0.33333333333333331</v>
      </c>
      <c r="E12" s="3">
        <f>AVERAGE('success first trial'!Y2:Y5,'success first trial'!Y9,'success first trial'!Y23:Y26)</f>
        <v>0.88888888888888884</v>
      </c>
    </row>
    <row r="13" spans="1:9" x14ac:dyDescent="0.35">
      <c r="A13" s="4" t="s">
        <v>102</v>
      </c>
      <c r="B13" s="3">
        <f>AVERAGE('success first trial'!O6:O8,'success first trial'!O10:O22,'success first trial'!O27:O40)</f>
        <v>0.96666666666666667</v>
      </c>
      <c r="C13" s="3">
        <f>AVERAGE('success first trial'!Z6:Z8,'success first trial'!Z10:Z22,'success first trial'!Z27:Z40)</f>
        <v>1</v>
      </c>
      <c r="D13" s="3">
        <f>AVERAGE('success first trial'!O2:O5,'success first trial'!O9,'success first trial'!O23:O26)</f>
        <v>1</v>
      </c>
      <c r="E13" s="3">
        <f>AVERAGE('success first trial'!Z2:Z5,'success first trial'!Z9,'success first trial'!Z23:Z26)</f>
        <v>0.88888888888888884</v>
      </c>
    </row>
    <row r="14" spans="1:9" x14ac:dyDescent="0.35">
      <c r="A14" s="4"/>
      <c r="B14" s="6" t="s">
        <v>90</v>
      </c>
      <c r="C14" s="6" t="s">
        <v>89</v>
      </c>
      <c r="D14" s="6" t="s">
        <v>92</v>
      </c>
      <c r="E14" s="6" t="s">
        <v>91</v>
      </c>
    </row>
    <row r="15" spans="1:9" x14ac:dyDescent="0.35">
      <c r="A15" s="2" t="s">
        <v>106</v>
      </c>
      <c r="B15" s="3">
        <f>AVERAGE(B4:B13)</f>
        <v>0.73666666666666669</v>
      </c>
      <c r="C15" s="3">
        <f>AVERAGE(C4:C13)</f>
        <v>0.99</v>
      </c>
      <c r="D15" s="3">
        <f>AVERAGE(D4:D13)</f>
        <v>0.51111111111111107</v>
      </c>
      <c r="E15" s="3">
        <f>AVERAGE(E4:E13)</f>
        <v>0.94444444444444464</v>
      </c>
    </row>
    <row r="17" spans="1:9" s="5" customFormat="1" x14ac:dyDescent="0.35"/>
    <row r="19" spans="1:9" s="8" customFormat="1" ht="20" x14ac:dyDescent="0.4">
      <c r="A19" s="7"/>
      <c r="B19" s="7"/>
      <c r="C19" s="7"/>
      <c r="D19" s="7"/>
      <c r="E19" s="9" t="s">
        <v>104</v>
      </c>
      <c r="F19" s="9"/>
      <c r="G19" s="9"/>
      <c r="H19" s="9"/>
      <c r="I19" s="9"/>
    </row>
    <row r="21" spans="1:9" x14ac:dyDescent="0.35">
      <c r="A21" s="2" t="s">
        <v>88</v>
      </c>
      <c r="B21" s="6" t="s">
        <v>90</v>
      </c>
      <c r="C21" s="6" t="s">
        <v>89</v>
      </c>
      <c r="D21" s="6" t="s">
        <v>92</v>
      </c>
      <c r="E21" s="6" t="s">
        <v>91</v>
      </c>
    </row>
    <row r="22" spans="1:9" x14ac:dyDescent="0.35">
      <c r="A22" s="4" t="s">
        <v>96</v>
      </c>
      <c r="B22" s="3">
        <f>AVERAGE('success or not'!F$6:F$8,'success or not'!F$10:F$22,'success or not'!F$27:F$40)</f>
        <v>1</v>
      </c>
      <c r="C22" s="3">
        <f>AVERAGE('success or not'!Q$6:Q$8,'success or not'!Q$10:Q$22,'success or not'!Q$27:Q$40)</f>
        <v>1</v>
      </c>
      <c r="D22" s="3">
        <f>AVERAGE('success or not'!F$2:F$5,'success or not'!F$9,'success or not'!F$23:F$26)</f>
        <v>1</v>
      </c>
      <c r="E22" s="3">
        <f>AVERAGE('success or not'!Q$2:Q$5,'success or not'!Q$9,'success or not'!Q$23:Q$26)</f>
        <v>1</v>
      </c>
    </row>
    <row r="23" spans="1:9" x14ac:dyDescent="0.35">
      <c r="A23" s="4" t="s">
        <v>95</v>
      </c>
      <c r="B23" s="3">
        <f>AVERAGE('success or not'!G$6:G$8,'success or not'!G$10:G$22,'success or not'!G$27:G$40)</f>
        <v>1</v>
      </c>
      <c r="C23" s="3">
        <f>AVERAGE('success or not'!R$6:R$8,'success or not'!R$10:R$22,'success or not'!R$27:R$40)</f>
        <v>1</v>
      </c>
      <c r="D23" s="3">
        <f>AVERAGE('success or not'!G$2:G$5,'success or not'!G$9,'success or not'!G$23:G$26)</f>
        <v>0.88888888888888884</v>
      </c>
      <c r="E23" s="3">
        <f>AVERAGE('success or not'!R$2:R$5,'success or not'!R$9,'success or not'!R$23:R$26)</f>
        <v>1</v>
      </c>
    </row>
    <row r="24" spans="1:9" x14ac:dyDescent="0.35">
      <c r="A24" s="4" t="s">
        <v>94</v>
      </c>
      <c r="B24" s="3">
        <f>AVERAGE('success or not'!H$6:H$8,'success or not'!H$10:H$22,'success or not'!H$27:H$40)</f>
        <v>1</v>
      </c>
      <c r="C24" s="3">
        <f>AVERAGE('success or not'!S$6:S$8,'success or not'!S$10:S$22,'success or not'!S$27:S$40)</f>
        <v>1</v>
      </c>
      <c r="D24" s="3">
        <f>AVERAGE('success or not'!H$2:H$5,'success or not'!H$9,'success or not'!H$23:H$26)</f>
        <v>1</v>
      </c>
      <c r="E24" s="3">
        <f>AVERAGE('success or not'!S$2:S$5,'success or not'!S$9,'success or not'!S$23:S$26)</f>
        <v>1</v>
      </c>
    </row>
    <row r="25" spans="1:9" x14ac:dyDescent="0.35">
      <c r="A25" s="4" t="s">
        <v>93</v>
      </c>
      <c r="B25" s="3">
        <f>AVERAGE('success or not'!I$6:I$8,'success or not'!I$10:I$22,'success or not'!I$27:I$40)</f>
        <v>1</v>
      </c>
      <c r="C25" s="3">
        <f>AVERAGE('success or not'!T$6:T$8,'success or not'!T$10:T$22,'success or not'!T$27:T$40)</f>
        <v>1</v>
      </c>
      <c r="D25" s="3">
        <f>AVERAGE('success or not'!I$2:I$5,'success or not'!I$9,'success or not'!I$23:I$26)</f>
        <v>1</v>
      </c>
      <c r="E25" s="3">
        <f>AVERAGE('success or not'!T$2:T$5,'success or not'!T$9,'success or not'!T$23:T$26)</f>
        <v>1</v>
      </c>
    </row>
    <row r="26" spans="1:9" x14ac:dyDescent="0.35">
      <c r="A26" s="4" t="s">
        <v>97</v>
      </c>
      <c r="B26" s="3">
        <f>AVERAGE('success or not'!J$6:J$8,'success or not'!J$10:J$22,'success or not'!J$27:J$40)</f>
        <v>0.6333333333333333</v>
      </c>
      <c r="C26" s="3">
        <f>AVERAGE('success or not'!U$6:U$8,'success or not'!U$10:U$22,'success or not'!U$27:U$40)</f>
        <v>1</v>
      </c>
      <c r="D26" s="3">
        <f>AVERAGE('success or not'!J$2:J$5,'success or not'!J$9,'success or not'!J$23:J$26)</f>
        <v>0.44444444444444442</v>
      </c>
      <c r="E26" s="3">
        <f>AVERAGE('success or not'!U$2:U$5,'success or not'!U$9,'success or not'!U$23:U$26)</f>
        <v>1</v>
      </c>
    </row>
    <row r="27" spans="1:9" x14ac:dyDescent="0.35">
      <c r="A27" s="4" t="s">
        <v>98</v>
      </c>
      <c r="B27" s="3">
        <f>AVERAGE('success or not'!K$6:K$8,'success or not'!K$10:K$22,'success or not'!K$27:K$40)</f>
        <v>0.93333333333333335</v>
      </c>
      <c r="C27" s="3">
        <f>AVERAGE('success or not'!V$6:V$8,'success or not'!V$10:V$22,'success or not'!V$27:V$40)</f>
        <v>1</v>
      </c>
      <c r="D27" s="3">
        <f>AVERAGE('success or not'!K$2:K$5,'success or not'!K$9,'success or not'!K$23:K$26)</f>
        <v>0.88888888888888884</v>
      </c>
      <c r="E27" s="3">
        <f>AVERAGE('success or not'!V$2:V$5,'success or not'!V$9,'success or not'!V$23:V$26)</f>
        <v>0.88888888888888884</v>
      </c>
    </row>
    <row r="28" spans="1:9" x14ac:dyDescent="0.35">
      <c r="A28" s="4" t="s">
        <v>99</v>
      </c>
      <c r="B28" s="3">
        <f>AVERAGE('success or not'!L$6:L$8,'success or not'!L$10:L$22,'success or not'!L$27:L$40)</f>
        <v>1</v>
      </c>
      <c r="C28" s="3">
        <f>AVERAGE('success or not'!W$6:W$8,'success or not'!W$10:W$22,'success or not'!W$27:W$40)</f>
        <v>1</v>
      </c>
      <c r="D28" s="3">
        <f>AVERAGE('success or not'!L$2:L$5,'success or not'!L$9,'success or not'!L$23:L$26)</f>
        <v>1</v>
      </c>
      <c r="E28" s="3">
        <f>AVERAGE('success or not'!W$2:W$5,'success or not'!W$9,'success or not'!W$23:W$26)</f>
        <v>1</v>
      </c>
    </row>
    <row r="29" spans="1:9" x14ac:dyDescent="0.35">
      <c r="A29" s="4" t="s">
        <v>100</v>
      </c>
      <c r="B29" s="3">
        <f>AVERAGE('success or not'!M$6:M$8,'success or not'!M$10:M$22,'success or not'!M$27:M$40)</f>
        <v>1</v>
      </c>
      <c r="C29" s="3">
        <f>AVERAGE('success or not'!X$6:X$8,'success or not'!X$10:X$22,'success or not'!X$27:X$40)</f>
        <v>1</v>
      </c>
      <c r="D29" s="3">
        <f>AVERAGE('success or not'!M$2:M$5,'success or not'!M$9,'success or not'!M$23:M$26)</f>
        <v>1</v>
      </c>
      <c r="E29" s="3">
        <f>AVERAGE('success or not'!X$2:X$5,'success or not'!X$9,'success or not'!X$23:X$26)</f>
        <v>1</v>
      </c>
    </row>
    <row r="30" spans="1:9" x14ac:dyDescent="0.35">
      <c r="A30" s="4" t="s">
        <v>101</v>
      </c>
      <c r="B30" s="3">
        <f>AVERAGE('success or not'!N$6:N$8,'success or not'!N$10:N$22,'success or not'!N$27:N$40)</f>
        <v>1</v>
      </c>
      <c r="C30" s="3">
        <f>AVERAGE('success or not'!Y$6:Y$8,'success or not'!Y$10:Y$22,'success or not'!Y$27:Y$40)</f>
        <v>1</v>
      </c>
      <c r="D30" s="3">
        <f>AVERAGE('success or not'!N$2:N$5,'success or not'!N$9,'success or not'!N$23:N$26)</f>
        <v>1</v>
      </c>
      <c r="E30" s="3">
        <f>AVERAGE('success or not'!Y$2:Y$5,'success or not'!Y$9,'success or not'!Y$23:Y$26)</f>
        <v>1</v>
      </c>
    </row>
    <row r="31" spans="1:9" x14ac:dyDescent="0.35">
      <c r="A31" s="4" t="s">
        <v>102</v>
      </c>
      <c r="B31" s="3">
        <f>AVERAGE('success or not'!O$6:O$8,'success or not'!O$10:O$22,'success or not'!O$27:O$40)</f>
        <v>1</v>
      </c>
      <c r="C31" s="3">
        <f>AVERAGE('success or not'!Z$6:Z$8,'success or not'!Z$10:Z$22,'success or not'!Z$27:Z$40)</f>
        <v>1</v>
      </c>
      <c r="D31" s="3">
        <f>AVERAGE('success or not'!O$2:O$5,'success or not'!O$9,'success or not'!O$23:O$26)</f>
        <v>1</v>
      </c>
      <c r="E31" s="3">
        <f>AVERAGE('success or not'!Z$2:Z$5,'success or not'!Z$9,'success or not'!Z$23:Z$26)</f>
        <v>0.88888888888888884</v>
      </c>
    </row>
    <row r="32" spans="1:9" x14ac:dyDescent="0.35">
      <c r="A32" s="4"/>
      <c r="B32" s="6" t="s">
        <v>90</v>
      </c>
      <c r="C32" s="6" t="s">
        <v>89</v>
      </c>
      <c r="D32" s="6" t="s">
        <v>92</v>
      </c>
      <c r="E32" s="6" t="s">
        <v>91</v>
      </c>
    </row>
    <row r="33" spans="1:9" x14ac:dyDescent="0.35">
      <c r="A33" s="2" t="s">
        <v>106</v>
      </c>
      <c r="B33" s="3">
        <f>AVERAGE(B22:B31)</f>
        <v>0.95666666666666667</v>
      </c>
      <c r="C33" s="3">
        <f>AVERAGE(C22:C31)</f>
        <v>1</v>
      </c>
      <c r="D33" s="3">
        <f>AVERAGE(D22:D31)</f>
        <v>0.92222222222222217</v>
      </c>
      <c r="E33" s="3">
        <f>AVERAGE(E22:E31)</f>
        <v>0.97777777777777786</v>
      </c>
    </row>
    <row r="36" spans="1:9" s="5" customFormat="1" x14ac:dyDescent="0.35"/>
    <row r="38" spans="1:9" s="8" customFormat="1" ht="20" x14ac:dyDescent="0.4">
      <c r="A38" s="7"/>
      <c r="B38" s="7"/>
      <c r="C38" s="7"/>
      <c r="D38" s="7"/>
      <c r="E38" s="9" t="s">
        <v>105</v>
      </c>
      <c r="F38" s="9"/>
      <c r="G38" s="9"/>
      <c r="H38" s="9"/>
      <c r="I38" s="9"/>
    </row>
    <row r="40" spans="1:9" x14ac:dyDescent="0.35">
      <c r="A40" s="2" t="s">
        <v>88</v>
      </c>
      <c r="B40" s="6" t="s">
        <v>90</v>
      </c>
      <c r="C40" s="6" t="s">
        <v>89</v>
      </c>
      <c r="D40" s="6" t="s">
        <v>92</v>
      </c>
      <c r="E40" s="6" t="s">
        <v>91</v>
      </c>
      <c r="F40" s="10"/>
    </row>
    <row r="41" spans="1:9" x14ac:dyDescent="0.35">
      <c r="A41" s="4" t="s">
        <v>96</v>
      </c>
      <c r="B41" s="3">
        <f>AVERAGE('total time to success'!F$6:F$8,'total time to success'!F$10:F$22,'total time to success'!F$27:F$40)</f>
        <v>7.5646666666666667</v>
      </c>
      <c r="C41" s="3">
        <f>AVERAGE('total time to success'!Q$6:Q$8,'total time to success'!Q$10:Q$22,'total time to success'!Q$27:Q$40)</f>
        <v>8.8660000000000014</v>
      </c>
      <c r="D41" s="3">
        <f>AVERAGE('total time to success'!F$2:F$5,'total time to success'!F$9,'total time to success'!F$23:F$26)</f>
        <v>32.403333333333336</v>
      </c>
      <c r="E41" s="3">
        <f>AVERAGE('total time to success'!Q$2:Q$5,'total time to success'!Q$9,'total time to success'!Q$23:Q$26)</f>
        <v>34.370000000000005</v>
      </c>
      <c r="F41" s="10"/>
    </row>
    <row r="42" spans="1:9" x14ac:dyDescent="0.35">
      <c r="A42" s="4" t="s">
        <v>95</v>
      </c>
      <c r="B42" s="3">
        <f>AVERAGE('total time to success'!G$6:G$8,'total time to success'!G$10:G$22,'total time to success'!G$27:G$40)</f>
        <v>20.862000000000002</v>
      </c>
      <c r="C42" s="3">
        <f>AVERAGE('total time to success'!R$6:R$8,'total time to success'!R$10:R$22,'total time to success'!R$27:R$40)</f>
        <v>13.002000000000002</v>
      </c>
      <c r="D42" s="3">
        <f>AVERAGE('total time to success'!G$2:G$5,'total time to success'!G$9,'total time to success'!G$23:G$26)</f>
        <v>30.21125</v>
      </c>
      <c r="E42" s="3">
        <f>AVERAGE('total time to success'!R$2:R$5,'total time to success'!R$9,'total time to success'!R$23:R$26)</f>
        <v>65.24111111111111</v>
      </c>
      <c r="F42" s="10"/>
    </row>
    <row r="43" spans="1:9" x14ac:dyDescent="0.35">
      <c r="A43" s="4" t="s">
        <v>94</v>
      </c>
      <c r="B43" s="3">
        <f>AVERAGE('total time to success'!H$6:H$8,'total time to success'!H$10:H$22,'total time to success'!H$27:H$40)</f>
        <v>18.463000000000005</v>
      </c>
      <c r="C43" s="3">
        <f>AVERAGE('total time to success'!S$6:S$8,'total time to success'!S$10:S$22,'total time to success'!S$27:S$40)</f>
        <v>25.24766666666666</v>
      </c>
      <c r="D43" s="3">
        <f>AVERAGE('total time to success'!H$2:H$5,'total time to success'!H$9,'total time to success'!H$23:H$26)</f>
        <v>33.531111111111109</v>
      </c>
      <c r="E43" s="3">
        <f>AVERAGE('total time to success'!S$2:S$5,'total time to success'!S$9,'total time to success'!S$23:S$26)</f>
        <v>77.082222222222228</v>
      </c>
      <c r="F43" s="10"/>
    </row>
    <row r="44" spans="1:9" x14ac:dyDescent="0.35">
      <c r="A44" s="4" t="s">
        <v>93</v>
      </c>
      <c r="B44" s="3">
        <f>AVERAGE('total time to success'!I$6:I$8,'total time to success'!I$10:I$22,'total time to success'!I$27:I$40)</f>
        <v>10.247666666666666</v>
      </c>
      <c r="C44" s="3">
        <f>AVERAGE('total time to success'!T$6:T$8,'total time to success'!T$10:T$22,'total time to success'!T$27:T$40)</f>
        <v>13.784666666666668</v>
      </c>
      <c r="D44" s="3">
        <f>AVERAGE('total time to success'!I$2:I$5,'total time to success'!I$9,'total time to success'!I$23:I$26)</f>
        <v>19.598749999999999</v>
      </c>
      <c r="E44" s="3">
        <f>AVERAGE('total time to success'!T$2:T$5,'total time to success'!T$9,'total time to success'!T$23:T$26)</f>
        <v>63.005555555555553</v>
      </c>
      <c r="F44" s="10"/>
    </row>
    <row r="45" spans="1:9" x14ac:dyDescent="0.35">
      <c r="A45" s="4" t="s">
        <v>97</v>
      </c>
      <c r="B45" s="3">
        <f>AVERAGE('total time to success'!J$6:J$8,'total time to success'!J$10:J$22,'total time to success'!J$27:J$40)</f>
        <v>36.24388888888889</v>
      </c>
      <c r="C45" s="3">
        <f>AVERAGE('total time to success'!U$6:U$8,'total time to success'!U$10:U$22,'total time to success'!U$27:U$40)</f>
        <v>18.747999999999998</v>
      </c>
      <c r="D45" s="3">
        <f>AVERAGE('total time to success'!J$2:J$5,'total time to success'!J$9,'total time to success'!J$23:J$26)</f>
        <v>25.477499999999999</v>
      </c>
      <c r="E45" s="3">
        <f>AVERAGE('total time to success'!U$2:U$5,'total time to success'!U$9,'total time to success'!U$23:U$26)</f>
        <v>75.58</v>
      </c>
      <c r="F45" s="10"/>
    </row>
    <row r="46" spans="1:9" x14ac:dyDescent="0.35">
      <c r="A46" s="4" t="s">
        <v>98</v>
      </c>
      <c r="B46" s="3">
        <f>AVERAGE('total time to success'!K$6:K$8,'total time to success'!K$10:K$22,'total time to success'!K$27:K$40)</f>
        <v>26.622758620689659</v>
      </c>
      <c r="C46" s="3">
        <f>AVERAGE('total time to success'!V$6:V$8,'total time to success'!V$10:V$22,'total time to success'!V$27:V$40)</f>
        <v>37.207999999999991</v>
      </c>
      <c r="D46" s="3">
        <f>AVERAGE('total time to success'!K$2:K$5,'total time to success'!K$9,'total time to success'!K$23:K$26)</f>
        <v>73.517142857142858</v>
      </c>
      <c r="E46" s="3">
        <f>AVERAGE('total time to success'!V$2:V$5,'total time to success'!V$9,'total time to success'!V$23:V$26)</f>
        <v>112.43624999999999</v>
      </c>
      <c r="F46" s="10"/>
    </row>
    <row r="47" spans="1:9" x14ac:dyDescent="0.35">
      <c r="A47" s="4" t="s">
        <v>99</v>
      </c>
      <c r="B47" s="3">
        <f>AVERAGE('total time to success'!L$6:L$8,'total time to success'!L$10:L$22,'total time to success'!L$27:L$40)</f>
        <v>9.1966666666666654</v>
      </c>
      <c r="C47" s="3">
        <f>AVERAGE('total time to success'!W$6:W$8,'total time to success'!W$10:W$22,'total time to success'!W$27:W$40)</f>
        <v>1.593</v>
      </c>
      <c r="D47" s="3">
        <f>AVERAGE('total time to success'!L$2:L$5,'total time to success'!L$9,'total time to success'!L$23:L$26)</f>
        <v>16.097777777777779</v>
      </c>
      <c r="E47" s="3">
        <f>AVERAGE('total time to success'!W$2:W$5,'total time to success'!W$9,'total time to success'!W$23:W$26)</f>
        <v>7.8033333333333337</v>
      </c>
      <c r="F47" s="10"/>
    </row>
    <row r="48" spans="1:9" x14ac:dyDescent="0.35">
      <c r="A48" s="4" t="s">
        <v>100</v>
      </c>
      <c r="B48" s="3">
        <f>AVERAGE('total time to success'!M$6:M$8,'total time to success'!M$10:M$22,'total time to success'!M$27:M$40)</f>
        <v>8.0959999999999983</v>
      </c>
      <c r="C48" s="3">
        <f>AVERAGE('total time to success'!X$6:X$8,'total time to success'!X$10:X$22,'total time to success'!X$27:X$40)</f>
        <v>13.117000000000001</v>
      </c>
      <c r="D48" s="3">
        <f>AVERAGE('total time to success'!M$2:M$5,'total time to success'!M$9,'total time to success'!M$23:M$26)</f>
        <v>9.0299999999999994</v>
      </c>
      <c r="E48" s="3">
        <f>AVERAGE('total time to success'!X$2:X$5,'total time to success'!X$9,'total time to success'!X$23:X$26)</f>
        <v>65.207777777777778</v>
      </c>
      <c r="F48" s="10"/>
    </row>
    <row r="49" spans="1:9" x14ac:dyDescent="0.35">
      <c r="A49" s="4" t="s">
        <v>101</v>
      </c>
      <c r="B49" s="3">
        <f>AVERAGE('total time to success'!N$6:N$8,'total time to success'!N$10:N$22,'total time to success'!N$27:N$40)</f>
        <v>18.214333333333336</v>
      </c>
      <c r="C49" s="3">
        <f>AVERAGE('total time to success'!Y$6:Y$8,'total time to success'!Y$10:Y$22,'total time to success'!Y$27:Y$40)</f>
        <v>20.515333333333331</v>
      </c>
      <c r="D49" s="3">
        <f>AVERAGE('total time to success'!N$2:N$5,'total time to success'!N$9,'total time to success'!N$23:N$26)</f>
        <v>29.695555555555554</v>
      </c>
      <c r="E49" s="3">
        <f>AVERAGE('total time to success'!Y$2:Y$5,'total time to success'!Y$9,'total time to success'!Y$23:Y$26)</f>
        <v>60.769999999999996</v>
      </c>
      <c r="F49" s="10"/>
    </row>
    <row r="50" spans="1:9" x14ac:dyDescent="0.35">
      <c r="A50" s="4" t="s">
        <v>102</v>
      </c>
      <c r="B50" s="3">
        <f>AVERAGE('total time to success'!O$6:O$8,'total time to success'!O$10:O$22,'total time to success'!O$27:O$40)</f>
        <v>6.345666666666669</v>
      </c>
      <c r="C50" s="3">
        <f>AVERAGE('total time to success'!Z$6:Z$8,'total time to success'!Z$10:Z$22,'total time to success'!Z$27:Z$40)</f>
        <v>4.2426666666666657</v>
      </c>
      <c r="D50" s="3">
        <f>AVERAGE('total time to success'!O$2:O$5,'total time to success'!O$9,'total time to success'!O$23:O$26)</f>
        <v>6.4366666666666665</v>
      </c>
      <c r="E50" s="3">
        <f>AVERAGE('total time to success'!Z$2:Z$5,'total time to success'!Z$9,'total time to success'!Z$23:Z$26)</f>
        <v>24.02375</v>
      </c>
      <c r="F50" s="10"/>
    </row>
    <row r="51" spans="1:9" x14ac:dyDescent="0.35">
      <c r="A51" s="4"/>
      <c r="B51" s="6" t="s">
        <v>90</v>
      </c>
      <c r="C51" s="6" t="s">
        <v>89</v>
      </c>
      <c r="D51" s="6" t="s">
        <v>92</v>
      </c>
      <c r="E51" s="6" t="s">
        <v>91</v>
      </c>
      <c r="F51" s="10"/>
    </row>
    <row r="52" spans="1:9" x14ac:dyDescent="0.35">
      <c r="A52" s="2" t="s">
        <v>106</v>
      </c>
      <c r="B52" s="3">
        <f>AVERAGE(B41:B50)</f>
        <v>16.185664750957855</v>
      </c>
      <c r="C52" s="3">
        <f>AVERAGE(C41:C50)</f>
        <v>15.632433333333333</v>
      </c>
      <c r="D52" s="3">
        <f>AVERAGE(D41:D50)</f>
        <v>27.599908730158727</v>
      </c>
      <c r="E52" s="3">
        <f>AVERAGE(E41:E50)</f>
        <v>58.552</v>
      </c>
      <c r="F52" s="10"/>
    </row>
    <row r="53" spans="1:9" x14ac:dyDescent="0.35">
      <c r="A53" s="2" t="s">
        <v>107</v>
      </c>
      <c r="B53" s="3">
        <f>_xlfn.STDEV.P(B41:B50)</f>
        <v>9.2904838891767181</v>
      </c>
      <c r="C53" s="3">
        <f t="shared" ref="C53:E53" si="0">_xlfn.STDEV.P(C41:C50)</f>
        <v>9.9034598814421031</v>
      </c>
      <c r="D53" s="3">
        <f t="shared" si="0"/>
        <v>17.808429968674954</v>
      </c>
      <c r="E53" s="3">
        <f t="shared" si="0"/>
        <v>28.28962340602072</v>
      </c>
    </row>
    <row r="55" spans="1:9" s="5" customFormat="1" x14ac:dyDescent="0.35"/>
    <row r="57" spans="1:9" s="8" customFormat="1" ht="20" x14ac:dyDescent="0.4">
      <c r="A57" s="7"/>
      <c r="B57" s="7"/>
      <c r="C57" s="7"/>
      <c r="D57" s="7"/>
      <c r="E57" s="9" t="s">
        <v>108</v>
      </c>
      <c r="F57" s="9"/>
      <c r="G57" s="9"/>
      <c r="H57" s="9"/>
      <c r="I57" s="9"/>
    </row>
    <row r="59" spans="1:9" x14ac:dyDescent="0.35">
      <c r="A59" s="2" t="s">
        <v>88</v>
      </c>
      <c r="B59" s="6" t="s">
        <v>90</v>
      </c>
      <c r="C59" s="6" t="s">
        <v>89</v>
      </c>
      <c r="D59" s="6" t="s">
        <v>92</v>
      </c>
      <c r="E59" s="6" t="s">
        <v>91</v>
      </c>
    </row>
    <row r="60" spans="1:9" x14ac:dyDescent="0.35">
      <c r="A60" s="4" t="s">
        <v>96</v>
      </c>
      <c r="B60" s="3">
        <f>AVERAGE('number of attempts until succes'!F$6:F$8,'number of attempts until succes'!F$10:F$22,'number of attempts until succes'!F$27:F$40)</f>
        <v>1.0666666666666667</v>
      </c>
      <c r="C60" s="3">
        <f>AVERAGE('number of attempts until succes'!Q$6:Q$8,'number of attempts until succes'!Q$10:Q$22,'number of attempts until succes'!Q$27:Q$40)</f>
        <v>1</v>
      </c>
      <c r="D60" s="3">
        <f>AVERAGE('number of attempts until succes'!F$2:F$5,'number of attempts until succes'!F$9,'number of attempts until succes'!F$23:F$26)</f>
        <v>3</v>
      </c>
      <c r="E60" s="3">
        <f>AVERAGE('number of attempts until succes'!Q$2:Q$5,'number of attempts until succes'!Q$9,'number of attempts until succes'!Q$23:Q$26)</f>
        <v>1</v>
      </c>
    </row>
    <row r="61" spans="1:9" x14ac:dyDescent="0.35">
      <c r="A61" s="4" t="s">
        <v>95</v>
      </c>
      <c r="B61" s="3">
        <f>AVERAGE('number of attempts until succes'!G$6:G$8,'number of attempts until succes'!G$10:G$22,'number of attempts until succes'!G$27:G$40)</f>
        <v>2.3333333333333335</v>
      </c>
      <c r="C61" s="3">
        <f>AVERAGE('number of attempts until succes'!R$6:R$8,'number of attempts until succes'!R$10:R$22,'number of attempts until succes'!R$27:R$40)</f>
        <v>1</v>
      </c>
      <c r="D61" s="3">
        <f>AVERAGE('number of attempts until succes'!G$2:G$5,'number of attempts until succes'!G$9,'number of attempts until succes'!G$23:G$26)</f>
        <v>2.625</v>
      </c>
      <c r="E61" s="3">
        <f>AVERAGE('number of attempts until succes'!R$2:R$5,'number of attempts until succes'!R$9,'number of attempts until succes'!R$23:R$26)</f>
        <v>1.1111111111111112</v>
      </c>
    </row>
    <row r="62" spans="1:9" x14ac:dyDescent="0.35">
      <c r="A62" s="4" t="s">
        <v>94</v>
      </c>
      <c r="B62" s="3">
        <f>AVERAGE('number of attempts until succes'!H$6:H$8,'number of attempts until succes'!H$10:H$22,'number of attempts until succes'!H$27:H$40)</f>
        <v>1.0333333333333334</v>
      </c>
      <c r="C62" s="3">
        <f>AVERAGE('number of attempts until succes'!S$6:S$8,'number of attempts until succes'!S$10:S$22,'number of attempts until succes'!S$27:S$40)</f>
        <v>1</v>
      </c>
      <c r="D62" s="3">
        <f>AVERAGE('number of attempts until succes'!H$2:H$5,'number of attempts until succes'!H$9,'number of attempts until succes'!H$23:H$26)</f>
        <v>1.8888888888888888</v>
      </c>
      <c r="E62" s="3">
        <f>AVERAGE('number of attempts until succes'!S$2:S$5,'number of attempts until succes'!S$9,'number of attempts until succes'!S$23:S$26)</f>
        <v>1</v>
      </c>
    </row>
    <row r="63" spans="1:9" x14ac:dyDescent="0.35">
      <c r="A63" s="4" t="s">
        <v>93</v>
      </c>
      <c r="B63" s="3">
        <f>AVERAGE('number of attempts until succes'!I$6:I$8,'number of attempts until succes'!I$10:I$22,'number of attempts until succes'!I$27:I$40)</f>
        <v>1.3333333333333333</v>
      </c>
      <c r="C63" s="3">
        <f>AVERAGE('number of attempts until succes'!T$6:T$8,'number of attempts until succes'!T$10:T$22,'number of attempts until succes'!T$27:T$40)</f>
        <v>1.0333333333333334</v>
      </c>
      <c r="D63" s="3">
        <f>AVERAGE('number of attempts until succes'!I$2:I$5,'number of attempts until succes'!I$9,'number of attempts until succes'!I$23:I$26)</f>
        <v>2.2222222222222223</v>
      </c>
      <c r="E63" s="3">
        <f>AVERAGE('number of attempts until succes'!T$2:T$5,'number of attempts until succes'!T$9,'number of attempts until succes'!T$23:T$26)</f>
        <v>1</v>
      </c>
    </row>
    <row r="64" spans="1:9" x14ac:dyDescent="0.35">
      <c r="A64" s="4" t="s">
        <v>97</v>
      </c>
      <c r="B64" s="3">
        <f>AVERAGE('number of attempts until succes'!J$6:J$8,'number of attempts until succes'!J$10:J$22,'number of attempts until succes'!J$27:J$40)</f>
        <v>3.1578947368421053</v>
      </c>
      <c r="C64" s="3">
        <f>AVERAGE('number of attempts until succes'!U$6:U$8,'number of attempts until succes'!U$10:U$22,'number of attempts until succes'!U$27:U$40)</f>
        <v>1</v>
      </c>
      <c r="D64" s="3">
        <f>AVERAGE('number of attempts until succes'!J$2:J$5,'number of attempts until succes'!J$9,'number of attempts until succes'!J$23:J$26)</f>
        <v>2</v>
      </c>
      <c r="E64" s="3">
        <f>AVERAGE('number of attempts until succes'!U$2:U$5,'number of attempts until succes'!U$9,'number of attempts until succes'!U$23:U$26)</f>
        <v>1</v>
      </c>
    </row>
    <row r="65" spans="1:5" x14ac:dyDescent="0.35">
      <c r="A65" s="4" t="s">
        <v>98</v>
      </c>
      <c r="B65" s="3">
        <f>AVERAGE('number of attempts until succes'!K$6:K$8,'number of attempts until succes'!K$10:K$22,'number of attempts until succes'!K$27:K$40)</f>
        <v>1.4285714285714286</v>
      </c>
      <c r="C65" s="3">
        <f>AVERAGE('number of attempts until succes'!V$6:V$8,'number of attempts until succes'!V$10:V$22,'number of attempts until succes'!V$27:V$40)</f>
        <v>1.0666666666666667</v>
      </c>
      <c r="D65" s="3">
        <f>AVERAGE('number of attempts until succes'!K$2:K$5,'number of attempts until succes'!K$9,'number of attempts until succes'!K$23:K$26)</f>
        <v>2.5714285714285716</v>
      </c>
      <c r="E65" s="3">
        <f>AVERAGE('number of attempts until succes'!V$2:V$5,'number of attempts until succes'!V$9,'number of attempts until succes'!V$23:V$26)</f>
        <v>1</v>
      </c>
    </row>
    <row r="66" spans="1:5" x14ac:dyDescent="0.35">
      <c r="A66" s="4" t="s">
        <v>99</v>
      </c>
      <c r="B66" s="3">
        <f>AVERAGE('number of attempts until succes'!L$6:L$8,'number of attempts until succes'!L$10:L$22,'number of attempts until succes'!L$27:L$40)</f>
        <v>1.3333333333333333</v>
      </c>
      <c r="C66" s="3">
        <f>AVERAGE('number of attempts until succes'!W$6:W$8,'number of attempts until succes'!W$10:W$22,'number of attempts until succes'!W$27:W$40)</f>
        <v>1</v>
      </c>
      <c r="D66" s="3">
        <f>AVERAGE('number of attempts until succes'!L$2:L$5,'number of attempts until succes'!L$9,'number of attempts until succes'!L$23:L$26)</f>
        <v>1.6666666666666667</v>
      </c>
      <c r="E66" s="3">
        <f>AVERAGE('number of attempts until succes'!W$2:W$5,'number of attempts until succes'!W$9,'number of attempts until succes'!W$23:W$26)</f>
        <v>1</v>
      </c>
    </row>
    <row r="67" spans="1:5" x14ac:dyDescent="0.35">
      <c r="A67" s="4" t="s">
        <v>100</v>
      </c>
      <c r="B67" s="3">
        <f>AVERAGE('number of attempts until succes'!M$6:M$8,'number of attempts until succes'!M$10:M$22,'number of attempts until succes'!M$27:M$40)</f>
        <v>1.0333333333333334</v>
      </c>
      <c r="C67" s="3">
        <f>AVERAGE('number of attempts until succes'!X$6:X$8,'number of attempts until succes'!X$10:X$22,'number of attempts until succes'!X$27:X$40)</f>
        <v>1</v>
      </c>
      <c r="D67" s="3">
        <f>AVERAGE('number of attempts until succes'!M$2:M$5,'number of attempts until succes'!M$9,'number of attempts until succes'!M$23:M$26)</f>
        <v>1</v>
      </c>
      <c r="E67" s="3">
        <f>AVERAGE('number of attempts until succes'!X$2:X$5,'number of attempts until succes'!X$9,'number of attempts until succes'!X$23:X$26)</f>
        <v>1.2222222222222223</v>
      </c>
    </row>
    <row r="68" spans="1:5" x14ac:dyDescent="0.35">
      <c r="A68" s="4" t="s">
        <v>101</v>
      </c>
      <c r="B68" s="3">
        <f>AVERAGE('number of attempts until succes'!N$6:N$8,'number of attempts until succes'!N$10:N$22,'number of attempts until succes'!N$27:N$40)</f>
        <v>1.6333333333333333</v>
      </c>
      <c r="C68" s="3">
        <f>AVERAGE('number of attempts until succes'!Y$6:Y$8,'number of attempts until succes'!Y$10:Y$22,'number of attempts until succes'!Y$27:Y$40)</f>
        <v>1</v>
      </c>
      <c r="D68" s="3">
        <f>AVERAGE('number of attempts until succes'!N$2:N$5,'number of attempts until succes'!N$9,'number of attempts until succes'!N$23:N$26)</f>
        <v>2.3333333333333335</v>
      </c>
      <c r="E68" s="3">
        <f>AVERAGE('number of attempts until succes'!Y$2:Y$5,'number of attempts until succes'!Y$9,'number of attempts until succes'!Y$23:Y$26)</f>
        <v>1.1111111111111112</v>
      </c>
    </row>
    <row r="69" spans="1:5" x14ac:dyDescent="0.35">
      <c r="A69" s="4" t="s">
        <v>102</v>
      </c>
      <c r="B69" s="3">
        <f>AVERAGE('number of attempts until succes'!O$6:O$8,'number of attempts until succes'!O$10:O$22,'number of attempts until succes'!O$27:O$40)</f>
        <v>1.0333333333333334</v>
      </c>
      <c r="C69" s="3">
        <f>AVERAGE('number of attempts until succes'!Z$6:Z$8,'number of attempts until succes'!Z$10:Z$22,'number of attempts until succes'!Z$27:Z$40)</f>
        <v>1</v>
      </c>
      <c r="D69" s="3">
        <f>AVERAGE('number of attempts until succes'!O$2:O$5,'number of attempts until succes'!O$9,'number of attempts until succes'!O$23:O$26)</f>
        <v>1</v>
      </c>
      <c r="E69" s="3">
        <f>AVERAGE('number of attempts until succes'!Z$2:Z$5,'number of attempts until succes'!Z$9,'number of attempts until succes'!Z$23:Z$26)</f>
        <v>1</v>
      </c>
    </row>
    <row r="70" spans="1:5" x14ac:dyDescent="0.35">
      <c r="A70" s="4"/>
      <c r="B70" s="6" t="s">
        <v>90</v>
      </c>
      <c r="C70" s="6" t="s">
        <v>89</v>
      </c>
      <c r="D70" s="6" t="s">
        <v>92</v>
      </c>
      <c r="E70" s="6" t="s">
        <v>91</v>
      </c>
    </row>
    <row r="71" spans="1:5" x14ac:dyDescent="0.35">
      <c r="A71" s="2" t="s">
        <v>106</v>
      </c>
      <c r="B71" s="3">
        <f>AVERAGE(B60:B69)</f>
        <v>1.5386466165413535</v>
      </c>
      <c r="C71" s="3">
        <f>AVERAGE(C60:C69)</f>
        <v>1.01</v>
      </c>
      <c r="D71" s="3">
        <f>AVERAGE(D60:D69)</f>
        <v>2.0307539682539679</v>
      </c>
      <c r="E71" s="3">
        <f>AVERAGE(E60:E69)</f>
        <v>1.0444444444444443</v>
      </c>
    </row>
    <row r="72" spans="1:5" x14ac:dyDescent="0.35">
      <c r="A72" s="2" t="s">
        <v>107</v>
      </c>
      <c r="B72" s="3">
        <f>_xlfn.STDEV.P(B60:B69)</f>
        <v>0.65936865852518567</v>
      </c>
      <c r="C72" s="3">
        <f t="shared" ref="C72:E72" si="1">_xlfn.STDEV.P(C60:C69)</f>
        <v>2.1343747458109505E-2</v>
      </c>
      <c r="D72" s="3">
        <f t="shared" si="1"/>
        <v>0.63179491640050378</v>
      </c>
      <c r="E72" s="3">
        <f t="shared" si="1"/>
        <v>7.3702773119008913E-2</v>
      </c>
    </row>
  </sheetData>
  <mergeCells count="4">
    <mergeCell ref="E57:I57"/>
    <mergeCell ref="E1:I1"/>
    <mergeCell ref="E19:I19"/>
    <mergeCell ref="E38:I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0E71-D145-764C-870B-24B280C07813}">
  <dimension ref="A1:Z40"/>
  <sheetViews>
    <sheetView topLeftCell="E1" zoomScale="67" workbookViewId="0">
      <selection activeCell="N1" sqref="N1"/>
    </sheetView>
  </sheetViews>
  <sheetFormatPr defaultColWidth="11.07421875" defaultRowHeight="15.5" x14ac:dyDescent="0.35"/>
  <cols>
    <col min="2" max="2" width="17.3046875" bestFit="1" customWidth="1"/>
    <col min="6" max="6" width="11" customWidth="1"/>
    <col min="7" max="7" width="13.3046875" customWidth="1"/>
    <col min="8" max="8" width="9" customWidth="1"/>
    <col min="15" max="15" width="20.84375" bestFit="1" customWidth="1"/>
  </cols>
  <sheetData>
    <row r="1" spans="1:26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</row>
    <row r="2" spans="1:26" x14ac:dyDescent="0.35">
      <c r="A2">
        <v>0</v>
      </c>
      <c r="B2" t="s">
        <v>7</v>
      </c>
      <c r="C2" t="s">
        <v>5</v>
      </c>
      <c r="D2" t="s">
        <v>86</v>
      </c>
      <c r="E2">
        <v>76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</row>
    <row r="3" spans="1:26" x14ac:dyDescent="0.35">
      <c r="A3">
        <v>1</v>
      </c>
      <c r="B3" t="s">
        <v>8</v>
      </c>
      <c r="C3" t="s">
        <v>5</v>
      </c>
      <c r="D3" t="s">
        <v>86</v>
      </c>
      <c r="E3">
        <v>67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35">
      <c r="A4">
        <v>2</v>
      </c>
      <c r="B4" t="s">
        <v>9</v>
      </c>
      <c r="C4" t="s">
        <v>5</v>
      </c>
      <c r="D4" t="s">
        <v>86</v>
      </c>
      <c r="E4">
        <v>67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Q4" s="1">
        <v>1</v>
      </c>
      <c r="R4" s="1">
        <v>0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A5">
        <v>3</v>
      </c>
      <c r="B5" t="s">
        <v>10</v>
      </c>
      <c r="C5" t="s">
        <v>5</v>
      </c>
      <c r="D5" t="s">
        <v>86</v>
      </c>
      <c r="E5">
        <v>77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35">
      <c r="A6">
        <v>4</v>
      </c>
      <c r="B6" t="s">
        <v>11</v>
      </c>
      <c r="C6" t="s">
        <v>6</v>
      </c>
      <c r="D6" t="s">
        <v>86</v>
      </c>
      <c r="E6">
        <v>23</v>
      </c>
      <c r="F6">
        <v>1</v>
      </c>
      <c r="G6">
        <v>1</v>
      </c>
      <c r="H6">
        <v>1</v>
      </c>
      <c r="I6">
        <v>1</v>
      </c>
      <c r="J6">
        <v>1</v>
      </c>
      <c r="K6">
        <v>3</v>
      </c>
      <c r="L6">
        <v>1</v>
      </c>
      <c r="M6">
        <v>1</v>
      </c>
      <c r="N6">
        <v>1</v>
      </c>
      <c r="O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35">
      <c r="A7">
        <v>5</v>
      </c>
      <c r="B7" t="s">
        <v>12</v>
      </c>
      <c r="C7" t="s">
        <v>6</v>
      </c>
      <c r="D7" t="s">
        <v>87</v>
      </c>
      <c r="E7">
        <v>24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35">
      <c r="A8">
        <v>6</v>
      </c>
      <c r="B8" t="s">
        <v>13</v>
      </c>
      <c r="C8" t="s">
        <v>6</v>
      </c>
      <c r="D8" t="s">
        <v>86</v>
      </c>
      <c r="E8">
        <v>23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35">
      <c r="A9">
        <v>7</v>
      </c>
      <c r="B9" t="s">
        <v>14</v>
      </c>
      <c r="C9" t="s">
        <v>5</v>
      </c>
      <c r="D9" s="1" t="s">
        <v>86</v>
      </c>
      <c r="E9">
        <v>72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1</v>
      </c>
    </row>
    <row r="10" spans="1:26" x14ac:dyDescent="0.35">
      <c r="A10">
        <v>8</v>
      </c>
      <c r="B10" t="s">
        <v>15</v>
      </c>
      <c r="C10" t="s">
        <v>6</v>
      </c>
      <c r="D10" t="s">
        <v>86</v>
      </c>
      <c r="E10">
        <v>24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1</v>
      </c>
      <c r="Y10" s="1">
        <v>1</v>
      </c>
      <c r="Z10" s="1">
        <v>1</v>
      </c>
    </row>
    <row r="11" spans="1:26" x14ac:dyDescent="0.35">
      <c r="A11">
        <v>9</v>
      </c>
      <c r="B11" t="s">
        <v>16</v>
      </c>
      <c r="C11" t="s">
        <v>6</v>
      </c>
      <c r="D11" t="s">
        <v>87</v>
      </c>
      <c r="E11">
        <v>23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 x14ac:dyDescent="0.35">
      <c r="A12">
        <v>10</v>
      </c>
      <c r="B12" t="s">
        <v>17</v>
      </c>
      <c r="C12" t="s">
        <v>6</v>
      </c>
      <c r="D12" t="s">
        <v>87</v>
      </c>
      <c r="E12">
        <v>24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 x14ac:dyDescent="0.35">
      <c r="A13">
        <v>11</v>
      </c>
      <c r="B13" t="s">
        <v>18</v>
      </c>
      <c r="C13" t="s">
        <v>6</v>
      </c>
      <c r="D13" t="s">
        <v>87</v>
      </c>
      <c r="E13">
        <v>24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 x14ac:dyDescent="0.35">
      <c r="A14">
        <v>12</v>
      </c>
      <c r="B14" t="s">
        <v>19</v>
      </c>
      <c r="C14" t="s">
        <v>6</v>
      </c>
      <c r="D14" t="s">
        <v>87</v>
      </c>
      <c r="E14">
        <v>26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 x14ac:dyDescent="0.35">
      <c r="A15">
        <v>13</v>
      </c>
      <c r="B15" t="s">
        <v>20</v>
      </c>
      <c r="C15" t="s">
        <v>6</v>
      </c>
      <c r="D15" t="s">
        <v>87</v>
      </c>
      <c r="E15">
        <v>26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 x14ac:dyDescent="0.35">
      <c r="A16">
        <v>14</v>
      </c>
      <c r="B16" t="s">
        <v>21</v>
      </c>
      <c r="C16" t="s">
        <v>6</v>
      </c>
      <c r="D16" t="s">
        <v>86</v>
      </c>
      <c r="E16">
        <v>22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1:26" x14ac:dyDescent="0.35">
      <c r="A17">
        <v>15</v>
      </c>
      <c r="B17" t="s">
        <v>22</v>
      </c>
      <c r="C17" t="s">
        <v>6</v>
      </c>
      <c r="D17" t="s">
        <v>87</v>
      </c>
      <c r="E17">
        <v>26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1:26" x14ac:dyDescent="0.35">
      <c r="A18">
        <v>16</v>
      </c>
      <c r="B18" t="s">
        <v>23</v>
      </c>
      <c r="C18" t="s">
        <v>6</v>
      </c>
      <c r="D18" t="s">
        <v>86</v>
      </c>
      <c r="E18">
        <v>23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1:26" x14ac:dyDescent="0.35">
      <c r="A19">
        <v>17</v>
      </c>
      <c r="B19" t="s">
        <v>24</v>
      </c>
      <c r="C19" t="s">
        <v>6</v>
      </c>
      <c r="D19" t="s">
        <v>87</v>
      </c>
      <c r="E19">
        <v>24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1:26" x14ac:dyDescent="0.35">
      <c r="A20">
        <v>18</v>
      </c>
      <c r="B20" t="s">
        <v>25</v>
      </c>
      <c r="C20" t="s">
        <v>6</v>
      </c>
      <c r="D20" t="s">
        <v>86</v>
      </c>
      <c r="E20">
        <v>26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1:26" x14ac:dyDescent="0.35">
      <c r="A21">
        <v>19</v>
      </c>
      <c r="B21" t="s">
        <v>26</v>
      </c>
      <c r="C21" t="s">
        <v>6</v>
      </c>
      <c r="D21" t="s">
        <v>87</v>
      </c>
      <c r="E21">
        <v>25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1:26" x14ac:dyDescent="0.35">
      <c r="A22">
        <v>20</v>
      </c>
      <c r="B22" t="s">
        <v>27</v>
      </c>
      <c r="C22" t="s">
        <v>6</v>
      </c>
      <c r="D22" t="s">
        <v>87</v>
      </c>
      <c r="E22">
        <v>25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1:26" x14ac:dyDescent="0.35">
      <c r="A23">
        <v>21</v>
      </c>
      <c r="B23" t="s">
        <v>28</v>
      </c>
      <c r="C23" t="s">
        <v>5</v>
      </c>
      <c r="D23" t="s">
        <v>87</v>
      </c>
      <c r="E23">
        <v>73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</row>
    <row r="24" spans="1:26" x14ac:dyDescent="0.35">
      <c r="A24">
        <v>22</v>
      </c>
      <c r="B24" t="s">
        <v>29</v>
      </c>
      <c r="C24" t="s">
        <v>5</v>
      </c>
      <c r="D24" t="s">
        <v>86</v>
      </c>
      <c r="E24">
        <v>70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1:26" x14ac:dyDescent="0.35">
      <c r="A25">
        <v>23</v>
      </c>
      <c r="B25" t="s">
        <v>30</v>
      </c>
      <c r="C25" t="s">
        <v>5</v>
      </c>
      <c r="D25" t="s">
        <v>86</v>
      </c>
      <c r="E25">
        <v>70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1:26" x14ac:dyDescent="0.35">
      <c r="A26">
        <v>24</v>
      </c>
      <c r="B26" t="s">
        <v>31</v>
      </c>
      <c r="C26" t="s">
        <v>5</v>
      </c>
      <c r="D26" t="s">
        <v>87</v>
      </c>
      <c r="E26">
        <v>67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1:26" x14ac:dyDescent="0.35">
      <c r="A27">
        <v>25</v>
      </c>
      <c r="B27" t="s">
        <v>32</v>
      </c>
      <c r="C27" t="s">
        <v>6</v>
      </c>
      <c r="D27" t="s">
        <v>86</v>
      </c>
      <c r="E27">
        <v>25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 x14ac:dyDescent="0.35">
      <c r="A28">
        <v>26</v>
      </c>
      <c r="B28" t="s">
        <v>33</v>
      </c>
      <c r="C28" t="s">
        <v>6</v>
      </c>
      <c r="D28" t="s">
        <v>86</v>
      </c>
      <c r="E28">
        <v>24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  <row r="29" spans="1:26" x14ac:dyDescent="0.35">
      <c r="A29">
        <v>27</v>
      </c>
      <c r="B29" t="s">
        <v>34</v>
      </c>
      <c r="C29" t="s">
        <v>6</v>
      </c>
      <c r="D29" t="s">
        <v>87</v>
      </c>
      <c r="E29">
        <v>26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</row>
    <row r="30" spans="1:26" x14ac:dyDescent="0.35">
      <c r="A30">
        <v>28</v>
      </c>
      <c r="B30" t="s">
        <v>35</v>
      </c>
      <c r="C30" t="s">
        <v>6</v>
      </c>
      <c r="D30" t="s">
        <v>86</v>
      </c>
      <c r="E30">
        <v>23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</row>
    <row r="31" spans="1:26" x14ac:dyDescent="0.35">
      <c r="A31">
        <v>29</v>
      </c>
      <c r="B31" t="s">
        <v>36</v>
      </c>
      <c r="C31" t="s">
        <v>6</v>
      </c>
      <c r="D31" t="s">
        <v>87</v>
      </c>
      <c r="E31">
        <v>22</v>
      </c>
      <c r="F31">
        <v>1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</row>
    <row r="32" spans="1:26" x14ac:dyDescent="0.35">
      <c r="A32">
        <v>30</v>
      </c>
      <c r="B32" t="s">
        <v>37</v>
      </c>
      <c r="C32" t="s">
        <v>6</v>
      </c>
      <c r="D32" t="s">
        <v>87</v>
      </c>
      <c r="E32">
        <v>23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</row>
    <row r="33" spans="1:26" x14ac:dyDescent="0.35">
      <c r="A33">
        <v>31</v>
      </c>
      <c r="B33" t="s">
        <v>38</v>
      </c>
      <c r="C33" t="s">
        <v>6</v>
      </c>
      <c r="D33" t="s">
        <v>87</v>
      </c>
      <c r="E33">
        <v>19</v>
      </c>
      <c r="F33">
        <v>1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</row>
    <row r="34" spans="1:26" x14ac:dyDescent="0.35">
      <c r="A34">
        <v>32</v>
      </c>
      <c r="B34" t="s">
        <v>39</v>
      </c>
      <c r="C34" t="s">
        <v>6</v>
      </c>
      <c r="D34" t="s">
        <v>87</v>
      </c>
      <c r="E34">
        <v>25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</row>
    <row r="35" spans="1:26" x14ac:dyDescent="0.35">
      <c r="A35">
        <v>33</v>
      </c>
      <c r="B35" t="s">
        <v>40</v>
      </c>
      <c r="C35" t="s">
        <v>6</v>
      </c>
      <c r="D35" t="s">
        <v>87</v>
      </c>
      <c r="E35">
        <v>26</v>
      </c>
      <c r="F35">
        <v>1</v>
      </c>
      <c r="G35">
        <v>0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</row>
    <row r="36" spans="1:26" x14ac:dyDescent="0.35">
      <c r="A36">
        <v>34</v>
      </c>
      <c r="B36" t="s">
        <v>41</v>
      </c>
      <c r="C36" t="s">
        <v>6</v>
      </c>
      <c r="D36" t="s">
        <v>87</v>
      </c>
      <c r="E36">
        <v>23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1</v>
      </c>
      <c r="N36">
        <v>0</v>
      </c>
      <c r="O36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</row>
    <row r="37" spans="1:26" x14ac:dyDescent="0.35">
      <c r="A37">
        <v>35</v>
      </c>
      <c r="B37" t="s">
        <v>42</v>
      </c>
      <c r="C37" t="s">
        <v>6</v>
      </c>
      <c r="D37" t="s">
        <v>87</v>
      </c>
      <c r="E37">
        <v>24</v>
      </c>
      <c r="F37">
        <v>1</v>
      </c>
      <c r="G37">
        <v>0</v>
      </c>
      <c r="H37">
        <v>1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</row>
    <row r="38" spans="1:26" x14ac:dyDescent="0.35">
      <c r="A38">
        <v>36</v>
      </c>
      <c r="B38" t="s">
        <v>43</v>
      </c>
      <c r="C38" t="s">
        <v>6</v>
      </c>
      <c r="D38" t="s">
        <v>86</v>
      </c>
      <c r="E38">
        <v>27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</row>
    <row r="39" spans="1:26" x14ac:dyDescent="0.35">
      <c r="A39">
        <v>37</v>
      </c>
      <c r="B39" t="s">
        <v>44</v>
      </c>
      <c r="C39" t="s">
        <v>6</v>
      </c>
      <c r="D39" t="s">
        <v>86</v>
      </c>
      <c r="E39">
        <v>19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</row>
    <row r="40" spans="1:26" x14ac:dyDescent="0.35">
      <c r="A40">
        <v>38</v>
      </c>
      <c r="B40" t="s">
        <v>45</v>
      </c>
      <c r="C40" t="s">
        <v>6</v>
      </c>
      <c r="D40" t="s">
        <v>87</v>
      </c>
      <c r="E40">
        <v>25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Q40">
        <v>1</v>
      </c>
      <c r="R40">
        <v>1</v>
      </c>
      <c r="S40">
        <v>1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4728-55B8-C248-90B5-FA1AA59F9B8B}">
  <dimension ref="A1:Z40"/>
  <sheetViews>
    <sheetView topLeftCell="L1" workbookViewId="0">
      <selection activeCell="U2" sqref="U2"/>
    </sheetView>
  </sheetViews>
  <sheetFormatPr defaultColWidth="11.07421875" defaultRowHeight="15.5" x14ac:dyDescent="0.35"/>
  <sheetData>
    <row r="1" spans="1:26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</row>
    <row r="2" spans="1:26" x14ac:dyDescent="0.35">
      <c r="A2">
        <v>0</v>
      </c>
      <c r="B2" t="s">
        <v>7</v>
      </c>
      <c r="C2" t="s">
        <v>5</v>
      </c>
      <c r="D2" t="s">
        <v>86</v>
      </c>
      <c r="E2">
        <v>76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</row>
    <row r="3" spans="1:26" x14ac:dyDescent="0.35">
      <c r="A3">
        <v>1</v>
      </c>
      <c r="B3" t="s">
        <v>8</v>
      </c>
      <c r="C3" t="s">
        <v>5</v>
      </c>
      <c r="D3" t="s">
        <v>86</v>
      </c>
      <c r="E3">
        <v>67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35">
      <c r="A4">
        <v>2</v>
      </c>
      <c r="B4" t="s">
        <v>9</v>
      </c>
      <c r="C4" t="s">
        <v>5</v>
      </c>
      <c r="D4" t="s">
        <v>86</v>
      </c>
      <c r="E4">
        <v>67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A5">
        <v>3</v>
      </c>
      <c r="B5" t="s">
        <v>10</v>
      </c>
      <c r="C5" t="s">
        <v>5</v>
      </c>
      <c r="D5" t="s">
        <v>86</v>
      </c>
      <c r="E5">
        <v>77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35">
      <c r="A6">
        <v>4</v>
      </c>
      <c r="B6" t="s">
        <v>11</v>
      </c>
      <c r="C6" t="s">
        <v>6</v>
      </c>
      <c r="D6" t="s">
        <v>86</v>
      </c>
      <c r="E6">
        <v>23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35">
      <c r="A7">
        <v>5</v>
      </c>
      <c r="B7" t="s">
        <v>12</v>
      </c>
      <c r="C7" t="s">
        <v>6</v>
      </c>
      <c r="D7" t="s">
        <v>87</v>
      </c>
      <c r="E7">
        <v>24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35">
      <c r="A8">
        <v>6</v>
      </c>
      <c r="B8" t="s">
        <v>13</v>
      </c>
      <c r="C8" t="s">
        <v>6</v>
      </c>
      <c r="D8" t="s">
        <v>86</v>
      </c>
      <c r="E8">
        <v>23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35">
      <c r="A9">
        <v>7</v>
      </c>
      <c r="B9" t="s">
        <v>14</v>
      </c>
      <c r="C9" t="s">
        <v>5</v>
      </c>
      <c r="D9" s="1" t="s">
        <v>86</v>
      </c>
      <c r="E9">
        <v>72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35">
      <c r="A10">
        <v>8</v>
      </c>
      <c r="B10" t="s">
        <v>15</v>
      </c>
      <c r="C10" t="s">
        <v>6</v>
      </c>
      <c r="D10" t="s">
        <v>86</v>
      </c>
      <c r="E10">
        <v>24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35">
      <c r="A11">
        <v>9</v>
      </c>
      <c r="B11" t="s">
        <v>16</v>
      </c>
      <c r="C11" t="s">
        <v>6</v>
      </c>
      <c r="D11" t="s">
        <v>87</v>
      </c>
      <c r="E11">
        <v>23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 x14ac:dyDescent="0.35">
      <c r="A12">
        <v>10</v>
      </c>
      <c r="B12" t="s">
        <v>17</v>
      </c>
      <c r="C12" t="s">
        <v>6</v>
      </c>
      <c r="D12" t="s">
        <v>87</v>
      </c>
      <c r="E12">
        <v>24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 x14ac:dyDescent="0.35">
      <c r="A13">
        <v>11</v>
      </c>
      <c r="B13" t="s">
        <v>18</v>
      </c>
      <c r="C13" t="s">
        <v>6</v>
      </c>
      <c r="D13" t="s">
        <v>87</v>
      </c>
      <c r="E13">
        <v>24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 x14ac:dyDescent="0.35">
      <c r="A14">
        <v>12</v>
      </c>
      <c r="B14" t="s">
        <v>19</v>
      </c>
      <c r="C14" t="s">
        <v>6</v>
      </c>
      <c r="D14" t="s">
        <v>87</v>
      </c>
      <c r="E14">
        <v>26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 x14ac:dyDescent="0.35">
      <c r="A15">
        <v>13</v>
      </c>
      <c r="B15" t="s">
        <v>20</v>
      </c>
      <c r="C15" t="s">
        <v>6</v>
      </c>
      <c r="D15" t="s">
        <v>87</v>
      </c>
      <c r="E15">
        <v>26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 x14ac:dyDescent="0.35">
      <c r="A16">
        <v>14</v>
      </c>
      <c r="B16" t="s">
        <v>21</v>
      </c>
      <c r="C16" t="s">
        <v>6</v>
      </c>
      <c r="D16" t="s">
        <v>86</v>
      </c>
      <c r="E16">
        <v>22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1:26" x14ac:dyDescent="0.35">
      <c r="A17">
        <v>15</v>
      </c>
      <c r="B17" t="s">
        <v>22</v>
      </c>
      <c r="C17" t="s">
        <v>6</v>
      </c>
      <c r="D17" t="s">
        <v>87</v>
      </c>
      <c r="E17">
        <v>26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1:26" x14ac:dyDescent="0.35">
      <c r="A18">
        <v>16</v>
      </c>
      <c r="B18" t="s">
        <v>23</v>
      </c>
      <c r="C18" t="s">
        <v>6</v>
      </c>
      <c r="D18" t="s">
        <v>86</v>
      </c>
      <c r="E18">
        <v>23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1:26" x14ac:dyDescent="0.35">
      <c r="A19">
        <v>17</v>
      </c>
      <c r="B19" t="s">
        <v>24</v>
      </c>
      <c r="C19" t="s">
        <v>6</v>
      </c>
      <c r="D19" t="s">
        <v>87</v>
      </c>
      <c r="E19">
        <v>24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1:26" x14ac:dyDescent="0.35">
      <c r="A20">
        <v>18</v>
      </c>
      <c r="B20" t="s">
        <v>25</v>
      </c>
      <c r="C20" t="s">
        <v>6</v>
      </c>
      <c r="D20" t="s">
        <v>86</v>
      </c>
      <c r="E20">
        <v>26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1:26" x14ac:dyDescent="0.35">
      <c r="A21">
        <v>19</v>
      </c>
      <c r="B21" t="s">
        <v>26</v>
      </c>
      <c r="C21" t="s">
        <v>6</v>
      </c>
      <c r="D21" t="s">
        <v>87</v>
      </c>
      <c r="E21">
        <v>25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1:26" x14ac:dyDescent="0.35">
      <c r="A22">
        <v>20</v>
      </c>
      <c r="B22" t="s">
        <v>27</v>
      </c>
      <c r="C22" t="s">
        <v>6</v>
      </c>
      <c r="D22" t="s">
        <v>87</v>
      </c>
      <c r="E22">
        <v>25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1:26" x14ac:dyDescent="0.35">
      <c r="A23">
        <v>21</v>
      </c>
      <c r="B23" t="s">
        <v>28</v>
      </c>
      <c r="C23" t="s">
        <v>5</v>
      </c>
      <c r="D23" t="s">
        <v>87</v>
      </c>
      <c r="E23">
        <v>73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</row>
    <row r="24" spans="1:26" x14ac:dyDescent="0.35">
      <c r="A24">
        <v>22</v>
      </c>
      <c r="B24" t="s">
        <v>29</v>
      </c>
      <c r="C24" t="s">
        <v>5</v>
      </c>
      <c r="D24" t="s">
        <v>86</v>
      </c>
      <c r="E24">
        <v>70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1:26" x14ac:dyDescent="0.35">
      <c r="A25">
        <v>23</v>
      </c>
      <c r="B25" t="s">
        <v>30</v>
      </c>
      <c r="C25" t="s">
        <v>5</v>
      </c>
      <c r="D25" t="s">
        <v>86</v>
      </c>
      <c r="E25">
        <v>70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1:26" x14ac:dyDescent="0.35">
      <c r="A26">
        <v>24</v>
      </c>
      <c r="B26" t="s">
        <v>31</v>
      </c>
      <c r="C26" t="s">
        <v>5</v>
      </c>
      <c r="D26" t="s">
        <v>87</v>
      </c>
      <c r="E26">
        <v>67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1:26" x14ac:dyDescent="0.35">
      <c r="A27">
        <v>25</v>
      </c>
      <c r="B27" t="s">
        <v>32</v>
      </c>
      <c r="C27" t="s">
        <v>6</v>
      </c>
      <c r="D27" t="s">
        <v>86</v>
      </c>
      <c r="E27">
        <v>25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 x14ac:dyDescent="0.35">
      <c r="A28">
        <v>26</v>
      </c>
      <c r="B28" t="s">
        <v>33</v>
      </c>
      <c r="C28" t="s">
        <v>6</v>
      </c>
      <c r="D28" t="s">
        <v>86</v>
      </c>
      <c r="E28">
        <v>24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  <row r="29" spans="1:26" x14ac:dyDescent="0.35">
      <c r="A29">
        <v>27</v>
      </c>
      <c r="B29" t="s">
        <v>34</v>
      </c>
      <c r="C29" t="s">
        <v>6</v>
      </c>
      <c r="D29" t="s">
        <v>87</v>
      </c>
      <c r="E29">
        <v>26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</row>
    <row r="30" spans="1:26" x14ac:dyDescent="0.35">
      <c r="A30">
        <v>28</v>
      </c>
      <c r="B30" t="s">
        <v>35</v>
      </c>
      <c r="C30" t="s">
        <v>6</v>
      </c>
      <c r="D30" t="s">
        <v>86</v>
      </c>
      <c r="E30">
        <v>23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</row>
    <row r="31" spans="1:26" x14ac:dyDescent="0.35">
      <c r="A31">
        <v>29</v>
      </c>
      <c r="B31" t="s">
        <v>36</v>
      </c>
      <c r="C31" t="s">
        <v>6</v>
      </c>
      <c r="D31" t="s">
        <v>87</v>
      </c>
      <c r="E31">
        <v>22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</row>
    <row r="32" spans="1:26" x14ac:dyDescent="0.35">
      <c r="A32">
        <v>30</v>
      </c>
      <c r="B32" t="s">
        <v>37</v>
      </c>
      <c r="C32" t="s">
        <v>6</v>
      </c>
      <c r="D32" t="s">
        <v>87</v>
      </c>
      <c r="E32">
        <v>23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</row>
    <row r="33" spans="1:26" x14ac:dyDescent="0.35">
      <c r="A33">
        <v>31</v>
      </c>
      <c r="B33" t="s">
        <v>38</v>
      </c>
      <c r="C33" t="s">
        <v>6</v>
      </c>
      <c r="D33" t="s">
        <v>87</v>
      </c>
      <c r="E33">
        <v>19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</row>
    <row r="34" spans="1:26" x14ac:dyDescent="0.35">
      <c r="A34">
        <v>32</v>
      </c>
      <c r="B34" t="s">
        <v>39</v>
      </c>
      <c r="C34" t="s">
        <v>6</v>
      </c>
      <c r="D34" t="s">
        <v>87</v>
      </c>
      <c r="E34">
        <v>25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</row>
    <row r="35" spans="1:26" x14ac:dyDescent="0.35">
      <c r="A35">
        <v>33</v>
      </c>
      <c r="B35" t="s">
        <v>40</v>
      </c>
      <c r="C35" t="s">
        <v>6</v>
      </c>
      <c r="D35" t="s">
        <v>87</v>
      </c>
      <c r="E35">
        <v>26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</row>
    <row r="36" spans="1:26" x14ac:dyDescent="0.35">
      <c r="A36">
        <v>34</v>
      </c>
      <c r="B36" t="s">
        <v>41</v>
      </c>
      <c r="C36" t="s">
        <v>6</v>
      </c>
      <c r="D36" t="s">
        <v>87</v>
      </c>
      <c r="E36">
        <v>23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</row>
    <row r="37" spans="1:26" x14ac:dyDescent="0.35">
      <c r="A37">
        <v>35</v>
      </c>
      <c r="B37" t="s">
        <v>42</v>
      </c>
      <c r="C37" t="s">
        <v>6</v>
      </c>
      <c r="D37" t="s">
        <v>87</v>
      </c>
      <c r="E37">
        <v>24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</row>
    <row r="38" spans="1:26" x14ac:dyDescent="0.35">
      <c r="A38">
        <v>36</v>
      </c>
      <c r="B38" t="s">
        <v>43</v>
      </c>
      <c r="C38" t="s">
        <v>6</v>
      </c>
      <c r="D38" t="s">
        <v>86</v>
      </c>
      <c r="E38">
        <v>27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</row>
    <row r="39" spans="1:26" x14ac:dyDescent="0.35">
      <c r="A39">
        <v>37</v>
      </c>
      <c r="B39" t="s">
        <v>44</v>
      </c>
      <c r="C39" t="s">
        <v>6</v>
      </c>
      <c r="D39" t="s">
        <v>86</v>
      </c>
      <c r="E39">
        <v>19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</row>
    <row r="40" spans="1:26" x14ac:dyDescent="0.35">
      <c r="A40">
        <v>38</v>
      </c>
      <c r="B40" t="s">
        <v>45</v>
      </c>
      <c r="C40" t="s">
        <v>6</v>
      </c>
      <c r="D40" t="s">
        <v>87</v>
      </c>
      <c r="E40">
        <v>25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C0-B6CD-DD40-8B52-807815F524CE}">
  <dimension ref="A1:Z40"/>
  <sheetViews>
    <sheetView workbookViewId="0">
      <selection activeCell="F3" sqref="F3"/>
    </sheetView>
  </sheetViews>
  <sheetFormatPr defaultColWidth="11.07421875" defaultRowHeight="15.5" x14ac:dyDescent="0.35"/>
  <sheetData>
    <row r="1" spans="1:26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</row>
    <row r="2" spans="1:26" x14ac:dyDescent="0.35">
      <c r="A2">
        <v>0</v>
      </c>
      <c r="B2" t="s">
        <v>7</v>
      </c>
      <c r="C2" t="s">
        <v>5</v>
      </c>
      <c r="D2" t="s">
        <v>86</v>
      </c>
      <c r="E2">
        <v>76</v>
      </c>
      <c r="F2">
        <v>3</v>
      </c>
      <c r="G2">
        <v>1</v>
      </c>
      <c r="H2">
        <v>1</v>
      </c>
      <c r="I2">
        <v>1</v>
      </c>
      <c r="J2">
        <v>2</v>
      </c>
      <c r="K2">
        <v>3</v>
      </c>
      <c r="L2">
        <v>2</v>
      </c>
      <c r="M2">
        <v>1</v>
      </c>
      <c r="N2">
        <v>1</v>
      </c>
      <c r="O2">
        <v>1</v>
      </c>
      <c r="Q2">
        <v>1</v>
      </c>
      <c r="R2">
        <v>1</v>
      </c>
      <c r="S2">
        <v>1</v>
      </c>
      <c r="T2">
        <v>1</v>
      </c>
      <c r="U2">
        <v>1</v>
      </c>
      <c r="W2">
        <v>1</v>
      </c>
      <c r="X2">
        <v>3</v>
      </c>
      <c r="Y2">
        <v>1</v>
      </c>
    </row>
    <row r="3" spans="1:26" x14ac:dyDescent="0.35">
      <c r="A3">
        <v>1</v>
      </c>
      <c r="B3" t="s">
        <v>8</v>
      </c>
      <c r="C3" t="s">
        <v>5</v>
      </c>
      <c r="D3" t="s">
        <v>86</v>
      </c>
      <c r="E3">
        <v>67</v>
      </c>
      <c r="F3">
        <v>1</v>
      </c>
      <c r="G3">
        <v>2</v>
      </c>
      <c r="H3">
        <v>1</v>
      </c>
      <c r="I3">
        <v>5</v>
      </c>
      <c r="J3">
        <v>1</v>
      </c>
      <c r="K3">
        <v>5</v>
      </c>
      <c r="L3">
        <v>5</v>
      </c>
      <c r="M3">
        <v>1</v>
      </c>
      <c r="N3">
        <v>2</v>
      </c>
      <c r="O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35">
      <c r="A4">
        <v>2</v>
      </c>
      <c r="B4" t="s">
        <v>9</v>
      </c>
      <c r="C4" t="s">
        <v>5</v>
      </c>
      <c r="D4" t="s">
        <v>86</v>
      </c>
      <c r="E4">
        <v>67</v>
      </c>
      <c r="F4">
        <v>1</v>
      </c>
      <c r="G4">
        <v>1</v>
      </c>
      <c r="H4">
        <v>2</v>
      </c>
      <c r="I4">
        <v>2</v>
      </c>
      <c r="K4">
        <v>1</v>
      </c>
      <c r="L4">
        <v>1</v>
      </c>
      <c r="M4">
        <v>1</v>
      </c>
      <c r="N4">
        <v>2</v>
      </c>
      <c r="O4">
        <v>1</v>
      </c>
      <c r="Q4" s="1">
        <v>1</v>
      </c>
      <c r="R4" s="1">
        <v>2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A5">
        <v>3</v>
      </c>
      <c r="B5" t="s">
        <v>10</v>
      </c>
      <c r="C5" t="s">
        <v>5</v>
      </c>
      <c r="D5" t="s">
        <v>86</v>
      </c>
      <c r="E5">
        <v>77</v>
      </c>
      <c r="F5">
        <v>1</v>
      </c>
      <c r="G5">
        <v>1</v>
      </c>
      <c r="H5">
        <v>3</v>
      </c>
      <c r="I5">
        <v>1</v>
      </c>
      <c r="L5">
        <v>1</v>
      </c>
      <c r="M5">
        <v>1</v>
      </c>
      <c r="N5">
        <v>2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35">
      <c r="A6">
        <v>4</v>
      </c>
      <c r="B6" t="s">
        <v>11</v>
      </c>
      <c r="C6" t="s">
        <v>6</v>
      </c>
      <c r="D6" t="s">
        <v>86</v>
      </c>
      <c r="E6">
        <v>23</v>
      </c>
      <c r="F6">
        <v>1</v>
      </c>
      <c r="G6">
        <v>1</v>
      </c>
      <c r="H6">
        <v>1</v>
      </c>
      <c r="I6">
        <v>1</v>
      </c>
      <c r="J6">
        <v>1</v>
      </c>
      <c r="K6">
        <v>3</v>
      </c>
      <c r="L6">
        <v>1</v>
      </c>
      <c r="M6">
        <v>1</v>
      </c>
      <c r="N6">
        <v>1</v>
      </c>
      <c r="O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35">
      <c r="A7">
        <v>5</v>
      </c>
      <c r="B7" t="s">
        <v>12</v>
      </c>
      <c r="C7" t="s">
        <v>6</v>
      </c>
      <c r="D7" t="s">
        <v>87</v>
      </c>
      <c r="E7">
        <v>24</v>
      </c>
      <c r="F7">
        <v>1</v>
      </c>
      <c r="G7">
        <v>1</v>
      </c>
      <c r="H7">
        <v>2</v>
      </c>
      <c r="I7">
        <v>1</v>
      </c>
      <c r="J7">
        <v>1</v>
      </c>
      <c r="K7">
        <v>1</v>
      </c>
      <c r="L7">
        <v>1</v>
      </c>
      <c r="M7">
        <v>1</v>
      </c>
      <c r="N7">
        <v>3</v>
      </c>
      <c r="O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35">
      <c r="A8">
        <v>6</v>
      </c>
      <c r="B8" t="s">
        <v>13</v>
      </c>
      <c r="C8" t="s">
        <v>6</v>
      </c>
      <c r="D8" t="s">
        <v>86</v>
      </c>
      <c r="E8">
        <v>23</v>
      </c>
      <c r="F8">
        <v>1</v>
      </c>
      <c r="G8">
        <v>2</v>
      </c>
      <c r="H8">
        <v>1</v>
      </c>
      <c r="I8">
        <v>1</v>
      </c>
      <c r="K8">
        <v>1</v>
      </c>
      <c r="L8">
        <v>2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35">
      <c r="A9">
        <v>7</v>
      </c>
      <c r="B9" t="s">
        <v>14</v>
      </c>
      <c r="C9" t="s">
        <v>5</v>
      </c>
      <c r="D9" s="1" t="s">
        <v>86</v>
      </c>
      <c r="E9">
        <v>72</v>
      </c>
      <c r="F9">
        <v>7</v>
      </c>
      <c r="G9">
        <v>5</v>
      </c>
      <c r="H9">
        <v>2</v>
      </c>
      <c r="I9">
        <v>4</v>
      </c>
      <c r="K9">
        <v>3</v>
      </c>
      <c r="L9">
        <v>2</v>
      </c>
      <c r="M9">
        <v>1</v>
      </c>
      <c r="N9">
        <v>2</v>
      </c>
      <c r="O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2</v>
      </c>
      <c r="Z9">
        <v>1</v>
      </c>
    </row>
    <row r="10" spans="1:26" x14ac:dyDescent="0.35">
      <c r="A10">
        <v>8</v>
      </c>
      <c r="B10" t="s">
        <v>15</v>
      </c>
      <c r="C10" t="s">
        <v>6</v>
      </c>
      <c r="D10" t="s">
        <v>86</v>
      </c>
      <c r="E10">
        <v>24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2</v>
      </c>
      <c r="N10">
        <v>1</v>
      </c>
      <c r="O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2</v>
      </c>
      <c r="W10">
        <v>1</v>
      </c>
      <c r="X10">
        <v>1</v>
      </c>
      <c r="Y10">
        <v>1</v>
      </c>
      <c r="Z10">
        <v>1</v>
      </c>
    </row>
    <row r="11" spans="1:26" x14ac:dyDescent="0.35">
      <c r="A11">
        <v>9</v>
      </c>
      <c r="B11" t="s">
        <v>16</v>
      </c>
      <c r="C11" t="s">
        <v>6</v>
      </c>
      <c r="D11" t="s">
        <v>87</v>
      </c>
      <c r="E11">
        <v>23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3</v>
      </c>
      <c r="O1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 x14ac:dyDescent="0.35">
      <c r="A12">
        <v>10</v>
      </c>
      <c r="B12" t="s">
        <v>17</v>
      </c>
      <c r="C12" t="s">
        <v>6</v>
      </c>
      <c r="D12" t="s">
        <v>87</v>
      </c>
      <c r="E12">
        <v>24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3</v>
      </c>
      <c r="O12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 x14ac:dyDescent="0.35">
      <c r="A13">
        <v>11</v>
      </c>
      <c r="B13" t="s">
        <v>18</v>
      </c>
      <c r="C13" t="s">
        <v>6</v>
      </c>
      <c r="D13" t="s">
        <v>87</v>
      </c>
      <c r="E13">
        <v>24</v>
      </c>
      <c r="F13">
        <v>1</v>
      </c>
      <c r="G13">
        <v>1</v>
      </c>
      <c r="H13">
        <v>1</v>
      </c>
      <c r="I13">
        <v>1</v>
      </c>
      <c r="K13">
        <v>1</v>
      </c>
      <c r="L13">
        <v>1</v>
      </c>
      <c r="M13">
        <v>1</v>
      </c>
      <c r="N13">
        <v>2</v>
      </c>
      <c r="O13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 x14ac:dyDescent="0.35">
      <c r="A14">
        <v>12</v>
      </c>
      <c r="B14" t="s">
        <v>19</v>
      </c>
      <c r="C14" t="s">
        <v>6</v>
      </c>
      <c r="D14" t="s">
        <v>87</v>
      </c>
      <c r="E14">
        <v>26</v>
      </c>
      <c r="F14">
        <v>1</v>
      </c>
      <c r="G14">
        <v>1</v>
      </c>
      <c r="H14">
        <v>1</v>
      </c>
      <c r="I14">
        <v>1</v>
      </c>
      <c r="J14">
        <v>2</v>
      </c>
      <c r="K14">
        <v>2</v>
      </c>
      <c r="L14">
        <v>3</v>
      </c>
      <c r="M14">
        <v>1</v>
      </c>
      <c r="N14">
        <v>1</v>
      </c>
      <c r="O14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 x14ac:dyDescent="0.35">
      <c r="A15">
        <v>13</v>
      </c>
      <c r="B15" t="s">
        <v>20</v>
      </c>
      <c r="C15" t="s">
        <v>6</v>
      </c>
      <c r="D15" t="s">
        <v>87</v>
      </c>
      <c r="E15">
        <v>26</v>
      </c>
      <c r="F15">
        <v>1</v>
      </c>
      <c r="G15">
        <v>3</v>
      </c>
      <c r="H15">
        <v>1</v>
      </c>
      <c r="I15">
        <v>1</v>
      </c>
      <c r="J15">
        <v>3</v>
      </c>
      <c r="K15">
        <v>1</v>
      </c>
      <c r="L15">
        <v>1</v>
      </c>
      <c r="M15">
        <v>1</v>
      </c>
      <c r="N15">
        <v>2</v>
      </c>
      <c r="O15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 x14ac:dyDescent="0.35">
      <c r="A16">
        <v>14</v>
      </c>
      <c r="B16" t="s">
        <v>21</v>
      </c>
      <c r="C16" t="s">
        <v>6</v>
      </c>
      <c r="D16" t="s">
        <v>86</v>
      </c>
      <c r="E16">
        <v>22</v>
      </c>
      <c r="F16">
        <v>1</v>
      </c>
      <c r="G16">
        <v>4</v>
      </c>
      <c r="H16">
        <v>1</v>
      </c>
      <c r="I16">
        <v>1</v>
      </c>
      <c r="L16">
        <v>1</v>
      </c>
      <c r="M16">
        <v>1</v>
      </c>
      <c r="N16">
        <v>2</v>
      </c>
      <c r="O16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1:26" x14ac:dyDescent="0.35">
      <c r="A17">
        <v>15</v>
      </c>
      <c r="B17" t="s">
        <v>22</v>
      </c>
      <c r="C17" t="s">
        <v>6</v>
      </c>
      <c r="D17" t="s">
        <v>87</v>
      </c>
      <c r="E17">
        <v>26</v>
      </c>
      <c r="F17">
        <v>1</v>
      </c>
      <c r="G17">
        <v>1</v>
      </c>
      <c r="H17">
        <v>1</v>
      </c>
      <c r="I17">
        <v>1</v>
      </c>
      <c r="J17">
        <v>1</v>
      </c>
      <c r="K17">
        <v>4</v>
      </c>
      <c r="L17">
        <v>1</v>
      </c>
      <c r="M17">
        <v>1</v>
      </c>
      <c r="N17">
        <v>1</v>
      </c>
      <c r="O17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1:26" x14ac:dyDescent="0.35">
      <c r="A18">
        <v>16</v>
      </c>
      <c r="B18" t="s">
        <v>23</v>
      </c>
      <c r="C18" t="s">
        <v>6</v>
      </c>
      <c r="D18" t="s">
        <v>86</v>
      </c>
      <c r="E18">
        <v>23</v>
      </c>
      <c r="F18">
        <v>1</v>
      </c>
      <c r="G18">
        <v>5</v>
      </c>
      <c r="H18">
        <v>1</v>
      </c>
      <c r="I18">
        <v>1</v>
      </c>
      <c r="L18">
        <v>2</v>
      </c>
      <c r="M18">
        <v>1</v>
      </c>
      <c r="N18">
        <v>1</v>
      </c>
      <c r="O18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1:26" x14ac:dyDescent="0.35">
      <c r="A19">
        <v>17</v>
      </c>
      <c r="B19" t="s">
        <v>24</v>
      </c>
      <c r="C19" t="s">
        <v>6</v>
      </c>
      <c r="D19" t="s">
        <v>87</v>
      </c>
      <c r="E19">
        <v>24</v>
      </c>
      <c r="F19">
        <v>1</v>
      </c>
      <c r="G19">
        <v>1</v>
      </c>
      <c r="H19">
        <v>1</v>
      </c>
      <c r="I19">
        <v>1</v>
      </c>
      <c r="J19">
        <v>2</v>
      </c>
      <c r="K19">
        <v>2</v>
      </c>
      <c r="L19">
        <v>1</v>
      </c>
      <c r="M19">
        <v>1</v>
      </c>
      <c r="N19">
        <v>6</v>
      </c>
      <c r="O19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1:26" x14ac:dyDescent="0.35">
      <c r="A20">
        <v>18</v>
      </c>
      <c r="B20" t="s">
        <v>25</v>
      </c>
      <c r="C20" t="s">
        <v>6</v>
      </c>
      <c r="D20" t="s">
        <v>86</v>
      </c>
      <c r="E20">
        <v>26</v>
      </c>
      <c r="F20">
        <v>1</v>
      </c>
      <c r="G20">
        <v>6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1:26" x14ac:dyDescent="0.35">
      <c r="A21">
        <v>19</v>
      </c>
      <c r="B21" t="s">
        <v>26</v>
      </c>
      <c r="C21" t="s">
        <v>6</v>
      </c>
      <c r="D21" t="s">
        <v>87</v>
      </c>
      <c r="E21">
        <v>25</v>
      </c>
      <c r="F21">
        <v>1</v>
      </c>
      <c r="G21">
        <v>1</v>
      </c>
      <c r="H21">
        <v>1</v>
      </c>
      <c r="I21">
        <v>1</v>
      </c>
      <c r="K21">
        <v>1</v>
      </c>
      <c r="L21">
        <v>1</v>
      </c>
      <c r="M21">
        <v>1</v>
      </c>
      <c r="N21">
        <v>2</v>
      </c>
      <c r="O2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1:26" x14ac:dyDescent="0.35">
      <c r="A22">
        <v>20</v>
      </c>
      <c r="B22" t="s">
        <v>27</v>
      </c>
      <c r="C22" t="s">
        <v>6</v>
      </c>
      <c r="D22" t="s">
        <v>87</v>
      </c>
      <c r="E22">
        <v>25</v>
      </c>
      <c r="F22">
        <v>2</v>
      </c>
      <c r="G22">
        <v>2</v>
      </c>
      <c r="H22">
        <v>1</v>
      </c>
      <c r="I22">
        <v>3</v>
      </c>
      <c r="J22">
        <v>1</v>
      </c>
      <c r="K22">
        <v>1</v>
      </c>
      <c r="L22">
        <v>4</v>
      </c>
      <c r="M22">
        <v>1</v>
      </c>
      <c r="N22">
        <v>2</v>
      </c>
      <c r="O22">
        <v>2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1:26" x14ac:dyDescent="0.35">
      <c r="A23">
        <v>21</v>
      </c>
      <c r="B23" t="s">
        <v>28</v>
      </c>
      <c r="C23" t="s">
        <v>5</v>
      </c>
      <c r="D23" t="s">
        <v>87</v>
      </c>
      <c r="E23">
        <v>73</v>
      </c>
      <c r="F23">
        <v>4</v>
      </c>
      <c r="G23">
        <v>4</v>
      </c>
      <c r="H23">
        <v>1</v>
      </c>
      <c r="I23">
        <v>1</v>
      </c>
      <c r="K23">
        <v>3</v>
      </c>
      <c r="L23">
        <v>1</v>
      </c>
      <c r="M23">
        <v>1</v>
      </c>
      <c r="N23">
        <v>6</v>
      </c>
      <c r="O23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</row>
    <row r="24" spans="1:26" x14ac:dyDescent="0.35">
      <c r="A24">
        <v>22</v>
      </c>
      <c r="B24" t="s">
        <v>29</v>
      </c>
      <c r="C24" t="s">
        <v>5</v>
      </c>
      <c r="D24" t="s">
        <v>86</v>
      </c>
      <c r="E24">
        <v>70</v>
      </c>
      <c r="F24">
        <v>1</v>
      </c>
      <c r="G24">
        <v>2</v>
      </c>
      <c r="H24">
        <v>3</v>
      </c>
      <c r="I24">
        <v>2</v>
      </c>
      <c r="L24">
        <v>1</v>
      </c>
      <c r="M24">
        <v>1</v>
      </c>
      <c r="N24">
        <v>1</v>
      </c>
      <c r="O24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1:26" x14ac:dyDescent="0.35">
      <c r="A25">
        <v>23</v>
      </c>
      <c r="B25" t="s">
        <v>30</v>
      </c>
      <c r="C25" t="s">
        <v>5</v>
      </c>
      <c r="D25" t="s">
        <v>86</v>
      </c>
      <c r="E25">
        <v>70</v>
      </c>
      <c r="F25">
        <v>1</v>
      </c>
      <c r="H25">
        <v>2</v>
      </c>
      <c r="I25">
        <v>1</v>
      </c>
      <c r="J25">
        <v>4</v>
      </c>
      <c r="K25">
        <v>2</v>
      </c>
      <c r="L25">
        <v>1</v>
      </c>
      <c r="M25">
        <v>1</v>
      </c>
      <c r="N25">
        <v>1</v>
      </c>
      <c r="O25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1:26" x14ac:dyDescent="0.35">
      <c r="A26">
        <v>24</v>
      </c>
      <c r="B26" t="s">
        <v>31</v>
      </c>
      <c r="C26" t="s">
        <v>5</v>
      </c>
      <c r="D26" t="s">
        <v>87</v>
      </c>
      <c r="E26">
        <v>67</v>
      </c>
      <c r="F26">
        <v>8</v>
      </c>
      <c r="G26">
        <v>5</v>
      </c>
      <c r="H26">
        <v>2</v>
      </c>
      <c r="I26">
        <v>3</v>
      </c>
      <c r="J26">
        <v>1</v>
      </c>
      <c r="K26">
        <v>1</v>
      </c>
      <c r="L26">
        <v>1</v>
      </c>
      <c r="M26">
        <v>1</v>
      </c>
      <c r="N26">
        <v>4</v>
      </c>
      <c r="O26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1:26" x14ac:dyDescent="0.35">
      <c r="A27">
        <v>25</v>
      </c>
      <c r="B27" t="s">
        <v>32</v>
      </c>
      <c r="C27" t="s">
        <v>6</v>
      </c>
      <c r="D27" t="s">
        <v>86</v>
      </c>
      <c r="E27">
        <v>25</v>
      </c>
      <c r="F27">
        <v>1</v>
      </c>
      <c r="G27">
        <v>4</v>
      </c>
      <c r="H27">
        <v>1</v>
      </c>
      <c r="I27">
        <v>1</v>
      </c>
      <c r="K27">
        <v>1</v>
      </c>
      <c r="L27">
        <v>1</v>
      </c>
      <c r="M27">
        <v>1</v>
      </c>
      <c r="N27">
        <v>1</v>
      </c>
      <c r="O27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 x14ac:dyDescent="0.35">
      <c r="A28">
        <v>26</v>
      </c>
      <c r="B28" t="s">
        <v>33</v>
      </c>
      <c r="C28" t="s">
        <v>6</v>
      </c>
      <c r="D28" t="s">
        <v>86</v>
      </c>
      <c r="E28">
        <v>24</v>
      </c>
      <c r="F28">
        <v>1</v>
      </c>
      <c r="G28">
        <v>3</v>
      </c>
      <c r="H28">
        <v>1</v>
      </c>
      <c r="I28">
        <v>2</v>
      </c>
      <c r="J28">
        <v>8</v>
      </c>
      <c r="K28">
        <v>2</v>
      </c>
      <c r="L28">
        <v>1</v>
      </c>
      <c r="M28">
        <v>1</v>
      </c>
      <c r="N28">
        <v>1</v>
      </c>
      <c r="O28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  <row r="29" spans="1:26" x14ac:dyDescent="0.35">
      <c r="A29">
        <v>27</v>
      </c>
      <c r="B29" t="s">
        <v>34</v>
      </c>
      <c r="C29" t="s">
        <v>6</v>
      </c>
      <c r="D29" t="s">
        <v>87</v>
      </c>
      <c r="E29">
        <v>26</v>
      </c>
      <c r="F29">
        <v>1</v>
      </c>
      <c r="G29">
        <v>3</v>
      </c>
      <c r="H29">
        <v>1</v>
      </c>
      <c r="I29">
        <v>1</v>
      </c>
      <c r="J29">
        <v>3</v>
      </c>
      <c r="K29">
        <v>2</v>
      </c>
      <c r="L29">
        <v>2</v>
      </c>
      <c r="M29">
        <v>1</v>
      </c>
      <c r="N29">
        <v>1</v>
      </c>
      <c r="O29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</row>
    <row r="30" spans="1:26" x14ac:dyDescent="0.35">
      <c r="A30">
        <v>28</v>
      </c>
      <c r="B30" t="s">
        <v>35</v>
      </c>
      <c r="C30" t="s">
        <v>6</v>
      </c>
      <c r="D30" t="s">
        <v>86</v>
      </c>
      <c r="E30">
        <v>23</v>
      </c>
      <c r="F30">
        <v>1</v>
      </c>
      <c r="G30">
        <v>3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</row>
    <row r="31" spans="1:26" x14ac:dyDescent="0.35">
      <c r="A31">
        <v>29</v>
      </c>
      <c r="B31" t="s">
        <v>36</v>
      </c>
      <c r="C31" t="s">
        <v>6</v>
      </c>
      <c r="D31" t="s">
        <v>87</v>
      </c>
      <c r="E31">
        <v>22</v>
      </c>
      <c r="F31">
        <v>1</v>
      </c>
      <c r="G31">
        <v>3</v>
      </c>
      <c r="H31">
        <v>1</v>
      </c>
      <c r="I31">
        <v>1</v>
      </c>
      <c r="J31">
        <v>8</v>
      </c>
      <c r="K31">
        <v>1</v>
      </c>
      <c r="L31">
        <v>1</v>
      </c>
      <c r="M31">
        <v>1</v>
      </c>
      <c r="N31">
        <v>1</v>
      </c>
      <c r="O3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</row>
    <row r="32" spans="1:26" x14ac:dyDescent="0.35">
      <c r="A32">
        <v>30</v>
      </c>
      <c r="B32" t="s">
        <v>37</v>
      </c>
      <c r="C32" t="s">
        <v>6</v>
      </c>
      <c r="D32" t="s">
        <v>87</v>
      </c>
      <c r="E32">
        <v>23</v>
      </c>
      <c r="F32">
        <v>1</v>
      </c>
      <c r="G32">
        <v>3</v>
      </c>
      <c r="H32">
        <v>1</v>
      </c>
      <c r="I32">
        <v>1</v>
      </c>
      <c r="J32">
        <v>6</v>
      </c>
      <c r="K32">
        <v>1</v>
      </c>
      <c r="L32">
        <v>1</v>
      </c>
      <c r="M32">
        <v>1</v>
      </c>
      <c r="N32">
        <v>2</v>
      </c>
      <c r="O32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</row>
    <row r="33" spans="1:26" x14ac:dyDescent="0.35">
      <c r="A33">
        <v>31</v>
      </c>
      <c r="B33" t="s">
        <v>38</v>
      </c>
      <c r="C33" t="s">
        <v>6</v>
      </c>
      <c r="D33" t="s">
        <v>87</v>
      </c>
      <c r="E33">
        <v>19</v>
      </c>
      <c r="F33">
        <v>1</v>
      </c>
      <c r="G33">
        <v>2</v>
      </c>
      <c r="H33">
        <v>1</v>
      </c>
      <c r="I33">
        <v>2</v>
      </c>
      <c r="K33">
        <v>1</v>
      </c>
      <c r="L33">
        <v>1</v>
      </c>
      <c r="M33">
        <v>1</v>
      </c>
      <c r="N33">
        <v>1</v>
      </c>
      <c r="O33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</row>
    <row r="34" spans="1:26" x14ac:dyDescent="0.35">
      <c r="A34">
        <v>32</v>
      </c>
      <c r="B34" t="s">
        <v>39</v>
      </c>
      <c r="C34" t="s">
        <v>6</v>
      </c>
      <c r="D34" t="s">
        <v>87</v>
      </c>
      <c r="E34">
        <v>25</v>
      </c>
      <c r="F34">
        <v>1</v>
      </c>
      <c r="G34">
        <v>4</v>
      </c>
      <c r="H34">
        <v>1</v>
      </c>
      <c r="I34">
        <v>1</v>
      </c>
      <c r="J34">
        <v>6</v>
      </c>
      <c r="K34">
        <v>2</v>
      </c>
      <c r="L34">
        <v>1</v>
      </c>
      <c r="M34">
        <v>1</v>
      </c>
      <c r="N34">
        <v>1</v>
      </c>
      <c r="O34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</row>
    <row r="35" spans="1:26" x14ac:dyDescent="0.35">
      <c r="A35">
        <v>33</v>
      </c>
      <c r="B35" t="s">
        <v>40</v>
      </c>
      <c r="C35" t="s">
        <v>6</v>
      </c>
      <c r="D35" t="s">
        <v>87</v>
      </c>
      <c r="E35">
        <v>26</v>
      </c>
      <c r="F35">
        <v>1</v>
      </c>
      <c r="G35">
        <v>2</v>
      </c>
      <c r="H35">
        <v>1</v>
      </c>
      <c r="I35">
        <v>1</v>
      </c>
      <c r="K35">
        <v>1</v>
      </c>
      <c r="L35">
        <v>1</v>
      </c>
      <c r="M35">
        <v>1</v>
      </c>
      <c r="N35">
        <v>1</v>
      </c>
      <c r="O35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</row>
    <row r="36" spans="1:26" x14ac:dyDescent="0.35">
      <c r="A36">
        <v>34</v>
      </c>
      <c r="B36" t="s">
        <v>41</v>
      </c>
      <c r="C36" t="s">
        <v>6</v>
      </c>
      <c r="D36" t="s">
        <v>87</v>
      </c>
      <c r="E36">
        <v>23</v>
      </c>
      <c r="F36">
        <v>2</v>
      </c>
      <c r="G36">
        <v>2</v>
      </c>
      <c r="H36">
        <v>1</v>
      </c>
      <c r="I36">
        <v>5</v>
      </c>
      <c r="J36">
        <v>4</v>
      </c>
      <c r="K36">
        <v>1</v>
      </c>
      <c r="L36">
        <v>1</v>
      </c>
      <c r="M36">
        <v>1</v>
      </c>
      <c r="N36">
        <v>2</v>
      </c>
      <c r="O36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</row>
    <row r="37" spans="1:26" x14ac:dyDescent="0.35">
      <c r="A37">
        <v>35</v>
      </c>
      <c r="B37" t="s">
        <v>42</v>
      </c>
      <c r="C37" t="s">
        <v>6</v>
      </c>
      <c r="D37" t="s">
        <v>87</v>
      </c>
      <c r="E37">
        <v>24</v>
      </c>
      <c r="F37">
        <v>1</v>
      </c>
      <c r="G37">
        <v>2</v>
      </c>
      <c r="H37">
        <v>1</v>
      </c>
      <c r="I37">
        <v>1</v>
      </c>
      <c r="K37">
        <v>1</v>
      </c>
      <c r="L37">
        <v>3</v>
      </c>
      <c r="M37">
        <v>1</v>
      </c>
      <c r="N37">
        <v>2</v>
      </c>
      <c r="O37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</row>
    <row r="38" spans="1:26" x14ac:dyDescent="0.35">
      <c r="A38">
        <v>36</v>
      </c>
      <c r="B38" t="s">
        <v>43</v>
      </c>
      <c r="C38" t="s">
        <v>6</v>
      </c>
      <c r="D38" t="s">
        <v>86</v>
      </c>
      <c r="E38">
        <v>27</v>
      </c>
      <c r="F38">
        <v>1</v>
      </c>
      <c r="G38">
        <v>1</v>
      </c>
      <c r="H38">
        <v>1</v>
      </c>
      <c r="I38">
        <v>3</v>
      </c>
      <c r="J38">
        <v>8</v>
      </c>
      <c r="K38">
        <v>3</v>
      </c>
      <c r="L38">
        <v>1</v>
      </c>
      <c r="M38">
        <v>1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2</v>
      </c>
      <c r="W38">
        <v>1</v>
      </c>
      <c r="X38">
        <v>1</v>
      </c>
      <c r="Y38">
        <v>1</v>
      </c>
      <c r="Z38">
        <v>1</v>
      </c>
    </row>
    <row r="39" spans="1:26" x14ac:dyDescent="0.35">
      <c r="A39">
        <v>37</v>
      </c>
      <c r="B39" t="s">
        <v>44</v>
      </c>
      <c r="C39" t="s">
        <v>6</v>
      </c>
      <c r="D39" t="s">
        <v>86</v>
      </c>
      <c r="E39">
        <v>19</v>
      </c>
      <c r="F39">
        <v>1</v>
      </c>
      <c r="G39">
        <v>2</v>
      </c>
      <c r="H39">
        <v>1</v>
      </c>
      <c r="I39">
        <v>1</v>
      </c>
      <c r="K39">
        <v>1</v>
      </c>
      <c r="L39">
        <v>1</v>
      </c>
      <c r="M39">
        <v>1</v>
      </c>
      <c r="N39">
        <v>1</v>
      </c>
      <c r="O39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</row>
    <row r="40" spans="1:26" x14ac:dyDescent="0.35">
      <c r="A40">
        <v>38</v>
      </c>
      <c r="B40" t="s">
        <v>45</v>
      </c>
      <c r="C40" t="s">
        <v>6</v>
      </c>
      <c r="D40" t="s">
        <v>87</v>
      </c>
      <c r="E40">
        <v>25</v>
      </c>
      <c r="F40">
        <v>1</v>
      </c>
      <c r="G40">
        <v>1</v>
      </c>
      <c r="H40">
        <v>1</v>
      </c>
      <c r="I40">
        <v>1</v>
      </c>
      <c r="K40">
        <v>1</v>
      </c>
      <c r="L40">
        <v>1</v>
      </c>
      <c r="M40">
        <v>1</v>
      </c>
      <c r="N40">
        <v>1</v>
      </c>
      <c r="O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F6E6-7CFF-D74E-BDF1-5260C5C6E1B2}">
  <dimension ref="A1:Z40"/>
  <sheetViews>
    <sheetView zoomScale="97" workbookViewId="0">
      <selection activeCell="F3" sqref="F3"/>
    </sheetView>
  </sheetViews>
  <sheetFormatPr defaultColWidth="11.07421875" defaultRowHeight="15.5" x14ac:dyDescent="0.35"/>
  <cols>
    <col min="2" max="2" width="17.3046875" bestFit="1" customWidth="1"/>
    <col min="6" max="6" width="11" customWidth="1"/>
    <col min="7" max="7" width="13.3046875" customWidth="1"/>
    <col min="8" max="8" width="9" customWidth="1"/>
  </cols>
  <sheetData>
    <row r="1" spans="1:26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</row>
    <row r="2" spans="1:26" x14ac:dyDescent="0.35">
      <c r="A2">
        <v>0</v>
      </c>
      <c r="B2" t="s">
        <v>7</v>
      </c>
      <c r="C2" t="s">
        <v>5</v>
      </c>
      <c r="D2" t="s">
        <v>86</v>
      </c>
      <c r="E2">
        <v>76</v>
      </c>
      <c r="F2">
        <f>SUM(19.18,38.02,24.05)</f>
        <v>81.25</v>
      </c>
      <c r="G2">
        <v>21.92</v>
      </c>
      <c r="H2">
        <v>43.84</v>
      </c>
      <c r="I2">
        <v>11.61</v>
      </c>
      <c r="J2">
        <f>SUM(26.55, 12.35)</f>
        <v>38.9</v>
      </c>
      <c r="K2">
        <f>SUM(138.16, 49.29, 25.92)</f>
        <v>213.37</v>
      </c>
      <c r="L2">
        <f>SUM(14.88, 15.21)</f>
        <v>30.090000000000003</v>
      </c>
      <c r="M2">
        <v>13.43</v>
      </c>
      <c r="N2">
        <v>26.93</v>
      </c>
      <c r="O2">
        <v>6.06</v>
      </c>
      <c r="Q2">
        <v>32.549999999999997</v>
      </c>
      <c r="R2">
        <f>SUM(60, 55.14)</f>
        <v>115.14</v>
      </c>
      <c r="S2">
        <f>SUM(60, 54.12)</f>
        <v>114.12</v>
      </c>
      <c r="T2">
        <v>57.22</v>
      </c>
      <c r="U2">
        <v>70.180000000000007</v>
      </c>
      <c r="W2">
        <v>3.6</v>
      </c>
      <c r="X2">
        <f>SUM(127, 88, 11.2)</f>
        <v>226.2</v>
      </c>
      <c r="Y2">
        <v>49.59</v>
      </c>
    </row>
    <row r="3" spans="1:26" x14ac:dyDescent="0.35">
      <c r="A3">
        <v>1</v>
      </c>
      <c r="B3" t="s">
        <v>8</v>
      </c>
      <c r="C3" t="s">
        <v>5</v>
      </c>
      <c r="D3" t="s">
        <v>86</v>
      </c>
      <c r="E3">
        <v>67</v>
      </c>
      <c r="F3">
        <v>10.26</v>
      </c>
      <c r="G3">
        <f>SUM(12, 17.93)</f>
        <v>29.93</v>
      </c>
      <c r="H3">
        <v>19.690000000000001</v>
      </c>
      <c r="J3">
        <v>9.81</v>
      </c>
      <c r="K3">
        <f>SUM(20.91, 10.23, 19.1, 31.43, 22.96)</f>
        <v>104.63</v>
      </c>
      <c r="L3">
        <f>SUM(8.93, 10.02, 10.06, 12.46, 7.16)</f>
        <v>48.629999999999995</v>
      </c>
      <c r="M3">
        <v>12.71</v>
      </c>
      <c r="N3">
        <f>SUM(8.06, 12.7)</f>
        <v>20.759999999999998</v>
      </c>
      <c r="O3">
        <v>4.88</v>
      </c>
      <c r="Q3">
        <v>58.15</v>
      </c>
      <c r="R3">
        <v>107.67</v>
      </c>
      <c r="S3">
        <v>120.95</v>
      </c>
      <c r="T3">
        <v>88.92</v>
      </c>
      <c r="U3">
        <f>SUM(120, 37.53)</f>
        <v>157.53</v>
      </c>
      <c r="V3">
        <v>182.42</v>
      </c>
      <c r="W3">
        <v>18.760000000000002</v>
      </c>
      <c r="X3">
        <v>34.93</v>
      </c>
      <c r="Y3">
        <f>SUM(120, 51.1)</f>
        <v>171.1</v>
      </c>
      <c r="Z3">
        <v>51.71</v>
      </c>
    </row>
    <row r="4" spans="1:26" x14ac:dyDescent="0.35">
      <c r="A4">
        <v>2</v>
      </c>
      <c r="B4" t="s">
        <v>9</v>
      </c>
      <c r="C4" t="s">
        <v>5</v>
      </c>
      <c r="D4" t="s">
        <v>86</v>
      </c>
      <c r="E4">
        <v>67</v>
      </c>
      <c r="F4">
        <v>7.98</v>
      </c>
      <c r="G4">
        <v>13.1</v>
      </c>
      <c r="H4">
        <v>24.53</v>
      </c>
      <c r="I4">
        <f>SUM(8.93, 6.91)</f>
        <v>15.84</v>
      </c>
      <c r="K4">
        <v>16.850000000000001</v>
      </c>
      <c r="L4">
        <v>9.8000000000000007</v>
      </c>
      <c r="M4">
        <v>8.58</v>
      </c>
      <c r="N4">
        <f>SUM(25.5, 11.1)</f>
        <v>36.6</v>
      </c>
      <c r="O4">
        <v>6.93</v>
      </c>
      <c r="Q4">
        <v>12.05</v>
      </c>
      <c r="R4">
        <f>SUM(18.03, 39.05)</f>
        <v>57.08</v>
      </c>
      <c r="S4">
        <v>67.19</v>
      </c>
      <c r="T4">
        <v>77.12</v>
      </c>
      <c r="U4">
        <v>43.44</v>
      </c>
      <c r="V4">
        <v>70.09</v>
      </c>
      <c r="W4">
        <v>29.58</v>
      </c>
      <c r="X4">
        <v>44.85</v>
      </c>
      <c r="Y4">
        <v>25.08</v>
      </c>
      <c r="Z4">
        <v>47.76</v>
      </c>
    </row>
    <row r="5" spans="1:26" x14ac:dyDescent="0.35">
      <c r="A5">
        <v>3</v>
      </c>
      <c r="B5" t="s">
        <v>10</v>
      </c>
      <c r="C5" t="s">
        <v>5</v>
      </c>
      <c r="D5" t="s">
        <v>86</v>
      </c>
      <c r="E5">
        <v>77</v>
      </c>
      <c r="F5">
        <v>13.04</v>
      </c>
      <c r="G5">
        <v>22.12</v>
      </c>
      <c r="H5">
        <f>SUM(10.58, 16.33)</f>
        <v>26.909999999999997</v>
      </c>
      <c r="I5">
        <v>9.5500000000000007</v>
      </c>
      <c r="L5">
        <v>11.84</v>
      </c>
      <c r="M5">
        <v>8.82</v>
      </c>
      <c r="N5">
        <f>SUM(15.97, 14.56)</f>
        <v>30.53</v>
      </c>
      <c r="O5">
        <v>6.3</v>
      </c>
      <c r="Q5">
        <v>39.67</v>
      </c>
      <c r="R5">
        <v>81.34</v>
      </c>
      <c r="S5">
        <f>SUM(60, 58.65)</f>
        <v>118.65</v>
      </c>
      <c r="T5">
        <v>68.349999999999994</v>
      </c>
      <c r="U5">
        <v>76.67</v>
      </c>
      <c r="V5">
        <f>SUM(180,  44.05)</f>
        <v>224.05</v>
      </c>
      <c r="W5">
        <v>3.6</v>
      </c>
      <c r="X5">
        <v>59.46</v>
      </c>
      <c r="Y5">
        <v>63.15</v>
      </c>
      <c r="Z5">
        <v>20.58</v>
      </c>
    </row>
    <row r="6" spans="1:26" x14ac:dyDescent="0.35">
      <c r="A6">
        <v>4</v>
      </c>
      <c r="B6" t="s">
        <v>11</v>
      </c>
      <c r="C6" t="s">
        <v>6</v>
      </c>
      <c r="D6" t="s">
        <v>86</v>
      </c>
      <c r="E6">
        <v>23</v>
      </c>
      <c r="F6">
        <v>6.61</v>
      </c>
      <c r="G6">
        <v>6.76</v>
      </c>
      <c r="H6">
        <v>11.53</v>
      </c>
      <c r="I6">
        <v>8.2100000000000009</v>
      </c>
      <c r="J6">
        <v>11.76</v>
      </c>
      <c r="K6">
        <f>SUM(29.05, 23.45, 19.55)</f>
        <v>72.05</v>
      </c>
      <c r="L6">
        <v>9.58</v>
      </c>
      <c r="M6">
        <v>7.43</v>
      </c>
      <c r="N6">
        <v>16.96</v>
      </c>
      <c r="O6">
        <v>6.4</v>
      </c>
      <c r="Q6">
        <v>6.76</v>
      </c>
      <c r="R6">
        <v>9.4499999999999993</v>
      </c>
      <c r="S6">
        <v>18.63</v>
      </c>
      <c r="T6">
        <v>11.95</v>
      </c>
      <c r="U6">
        <v>20.03</v>
      </c>
      <c r="V6">
        <v>24.71</v>
      </c>
      <c r="W6">
        <v>0.01</v>
      </c>
      <c r="X6">
        <v>11.21</v>
      </c>
      <c r="Y6">
        <v>15.6</v>
      </c>
      <c r="Z6">
        <v>1.59</v>
      </c>
    </row>
    <row r="7" spans="1:26" x14ac:dyDescent="0.35">
      <c r="A7">
        <v>5</v>
      </c>
      <c r="B7" t="s">
        <v>12</v>
      </c>
      <c r="C7" t="s">
        <v>6</v>
      </c>
      <c r="D7" t="s">
        <v>87</v>
      </c>
      <c r="E7">
        <v>24</v>
      </c>
      <c r="F7">
        <v>5.56</v>
      </c>
      <c r="G7">
        <v>9.01</v>
      </c>
      <c r="H7">
        <f>SUM(9.08, 21.21)</f>
        <v>30.29</v>
      </c>
      <c r="I7">
        <v>7.48</v>
      </c>
      <c r="J7">
        <v>7.24</v>
      </c>
      <c r="K7">
        <f>SUM(16.23, 23.08)</f>
        <v>39.31</v>
      </c>
      <c r="L7">
        <v>5.08</v>
      </c>
      <c r="M7">
        <v>10.26</v>
      </c>
      <c r="N7">
        <f>SUM(9.01, 9.56, 9.68)</f>
        <v>28.25</v>
      </c>
      <c r="O7">
        <v>4.05</v>
      </c>
      <c r="Q7">
        <v>7.06</v>
      </c>
      <c r="R7">
        <v>13.35</v>
      </c>
      <c r="S7">
        <v>16.73</v>
      </c>
      <c r="T7">
        <v>12.33</v>
      </c>
      <c r="U7">
        <v>15.66</v>
      </c>
      <c r="V7">
        <v>24.45</v>
      </c>
      <c r="W7">
        <v>3.48</v>
      </c>
      <c r="X7">
        <v>9.81</v>
      </c>
      <c r="Y7">
        <v>20.329999999999998</v>
      </c>
      <c r="Z7">
        <v>3.17</v>
      </c>
    </row>
    <row r="8" spans="1:26" x14ac:dyDescent="0.35">
      <c r="A8">
        <v>6</v>
      </c>
      <c r="B8" t="s">
        <v>13</v>
      </c>
      <c r="C8" t="s">
        <v>6</v>
      </c>
      <c r="D8" t="s">
        <v>86</v>
      </c>
      <c r="E8">
        <v>23</v>
      </c>
      <c r="F8">
        <v>8.1</v>
      </c>
      <c r="G8">
        <f>SUM(13.06, 7.03)</f>
        <v>20.09</v>
      </c>
      <c r="H8">
        <v>13.08</v>
      </c>
      <c r="I8">
        <v>8.0500000000000007</v>
      </c>
      <c r="K8">
        <v>16.2</v>
      </c>
      <c r="L8">
        <f>SUM(7.13, 5.66)</f>
        <v>12.79</v>
      </c>
      <c r="M8">
        <v>7.58</v>
      </c>
      <c r="N8">
        <v>10.76</v>
      </c>
      <c r="O8">
        <v>5.41</v>
      </c>
      <c r="Q8">
        <v>8.48</v>
      </c>
      <c r="R8">
        <v>13.26</v>
      </c>
      <c r="S8">
        <v>40.21</v>
      </c>
      <c r="T8">
        <v>20.399999999999999</v>
      </c>
      <c r="U8">
        <v>12.04</v>
      </c>
      <c r="V8">
        <v>33.950000000000003</v>
      </c>
      <c r="W8">
        <v>3.12</v>
      </c>
      <c r="X8">
        <v>12</v>
      </c>
      <c r="Y8">
        <v>23.99</v>
      </c>
      <c r="Z8">
        <v>3.13</v>
      </c>
    </row>
    <row r="9" spans="1:26" x14ac:dyDescent="0.35">
      <c r="A9">
        <v>7</v>
      </c>
      <c r="B9" t="s">
        <v>14</v>
      </c>
      <c r="C9" t="s">
        <v>5</v>
      </c>
      <c r="D9" s="1" t="s">
        <v>86</v>
      </c>
      <c r="E9">
        <v>72</v>
      </c>
      <c r="F9">
        <f>SUM(7.03,  6.46, 7.45, 7.51, 5.6, 8.06, 10.46)</f>
        <v>52.570000000000007</v>
      </c>
      <c r="G9">
        <f>SUM(8.11, 10.95, 13.63, 9.73, 10.35)</f>
        <v>52.77</v>
      </c>
      <c r="H9">
        <f>SUM(12.43, 18.5)</f>
        <v>30.93</v>
      </c>
      <c r="I9">
        <f>SUM(15.97, 13.66, 11.36, 9.11)</f>
        <v>50.1</v>
      </c>
      <c r="K9">
        <f>SUM(23.39, 10.7, 17.95)</f>
        <v>52.040000000000006</v>
      </c>
      <c r="L9">
        <f>SUM(8.76, 10.38)</f>
        <v>19.14</v>
      </c>
      <c r="M9">
        <v>7.73</v>
      </c>
      <c r="N9">
        <v>9.6999999999999993</v>
      </c>
      <c r="O9">
        <v>9.2799999999999994</v>
      </c>
      <c r="Q9">
        <v>13.18</v>
      </c>
      <c r="R9">
        <v>16.71</v>
      </c>
      <c r="S9">
        <v>31.85</v>
      </c>
      <c r="T9">
        <v>38.58</v>
      </c>
      <c r="U9">
        <v>43.05</v>
      </c>
      <c r="V9">
        <v>45</v>
      </c>
      <c r="W9">
        <v>1.88</v>
      </c>
      <c r="X9">
        <v>48.07</v>
      </c>
      <c r="Y9">
        <f>SUM(21.13, 33.17)</f>
        <v>54.3</v>
      </c>
      <c r="Z9">
        <v>6.71</v>
      </c>
    </row>
    <row r="10" spans="1:26" x14ac:dyDescent="0.35">
      <c r="A10">
        <v>8</v>
      </c>
      <c r="B10" t="s">
        <v>15</v>
      </c>
      <c r="C10" t="s">
        <v>6</v>
      </c>
      <c r="D10" t="s">
        <v>86</v>
      </c>
      <c r="E10">
        <v>24</v>
      </c>
      <c r="F10">
        <v>17.690000000000001</v>
      </c>
      <c r="G10">
        <f>SUM(17, 14.63)</f>
        <v>31.630000000000003</v>
      </c>
      <c r="H10">
        <v>17.260000000000002</v>
      </c>
      <c r="I10">
        <v>7.1</v>
      </c>
      <c r="J10">
        <v>12.08</v>
      </c>
      <c r="K10">
        <f>SUM(29.7, 12.11)</f>
        <v>41.81</v>
      </c>
      <c r="L10">
        <v>10.53</v>
      </c>
      <c r="M10">
        <f>SUM(9.85, 6.83)</f>
        <v>16.68</v>
      </c>
      <c r="N10">
        <v>14.81</v>
      </c>
      <c r="O10">
        <v>7.94</v>
      </c>
      <c r="Q10">
        <v>5.7</v>
      </c>
      <c r="R10">
        <v>8.61</v>
      </c>
      <c r="S10">
        <v>17.86</v>
      </c>
      <c r="T10">
        <v>17.100000000000001</v>
      </c>
      <c r="U10">
        <v>13.56</v>
      </c>
      <c r="V10">
        <f>SUM(35.93, 36)</f>
        <v>71.930000000000007</v>
      </c>
      <c r="W10">
        <v>2.59</v>
      </c>
      <c r="X10">
        <v>9.19</v>
      </c>
      <c r="Y10">
        <v>26.43</v>
      </c>
      <c r="Z10">
        <v>3.58</v>
      </c>
    </row>
    <row r="11" spans="1:26" x14ac:dyDescent="0.35">
      <c r="A11">
        <v>9</v>
      </c>
      <c r="B11" t="s">
        <v>16</v>
      </c>
      <c r="C11" t="s">
        <v>6</v>
      </c>
      <c r="D11" t="s">
        <v>87</v>
      </c>
      <c r="E11">
        <v>23</v>
      </c>
      <c r="F11">
        <v>3.71</v>
      </c>
      <c r="G11">
        <f>SUM(3.64, 7.61)</f>
        <v>11.25</v>
      </c>
      <c r="H11">
        <f>SUM(26.01, 13.23, 12.16)</f>
        <v>51.400000000000006</v>
      </c>
      <c r="I11">
        <v>8.11</v>
      </c>
      <c r="J11">
        <v>12.81</v>
      </c>
      <c r="K11">
        <v>14.18</v>
      </c>
      <c r="L11">
        <v>5.28</v>
      </c>
      <c r="M11">
        <v>5.88</v>
      </c>
      <c r="N11">
        <f>SUM(12.38, 11.9, 10.39)</f>
        <v>34.67</v>
      </c>
      <c r="O11">
        <v>5.0599999999999996</v>
      </c>
      <c r="Q11">
        <v>7.49</v>
      </c>
      <c r="R11">
        <v>7.53</v>
      </c>
      <c r="S11">
        <v>26.6</v>
      </c>
      <c r="T11">
        <v>16.93</v>
      </c>
      <c r="U11">
        <v>11.5</v>
      </c>
      <c r="V11">
        <v>34.86</v>
      </c>
      <c r="W11">
        <v>1.75</v>
      </c>
      <c r="X11">
        <v>8.36</v>
      </c>
      <c r="Y11">
        <v>15.41</v>
      </c>
      <c r="Z11">
        <v>2.76</v>
      </c>
    </row>
    <row r="12" spans="1:26" x14ac:dyDescent="0.35">
      <c r="A12">
        <v>10</v>
      </c>
      <c r="B12" t="s">
        <v>17</v>
      </c>
      <c r="C12" t="s">
        <v>6</v>
      </c>
      <c r="D12" t="s">
        <v>87</v>
      </c>
      <c r="E12">
        <v>24</v>
      </c>
      <c r="F12">
        <v>4.1399999999999997</v>
      </c>
      <c r="G12">
        <f>SUM(5.59, 9.33)</f>
        <v>14.92</v>
      </c>
      <c r="H12">
        <v>13.04</v>
      </c>
      <c r="I12">
        <v>6.6</v>
      </c>
      <c r="K12">
        <v>19.059999999999999</v>
      </c>
      <c r="L12">
        <v>4.49</v>
      </c>
      <c r="M12">
        <v>5.31</v>
      </c>
      <c r="N12">
        <f>SUM(9.95, 8.64)</f>
        <v>18.59</v>
      </c>
      <c r="O12">
        <v>3.78</v>
      </c>
      <c r="Q12">
        <v>11.33</v>
      </c>
      <c r="R12">
        <v>12.95</v>
      </c>
      <c r="S12">
        <v>24.53</v>
      </c>
      <c r="T12">
        <v>15.98</v>
      </c>
      <c r="U12">
        <v>14.22</v>
      </c>
      <c r="V12">
        <v>29.71</v>
      </c>
      <c r="W12">
        <v>1.21</v>
      </c>
      <c r="X12">
        <v>15.05</v>
      </c>
      <c r="Y12">
        <v>17.55</v>
      </c>
      <c r="Z12">
        <v>5.33</v>
      </c>
    </row>
    <row r="13" spans="1:26" x14ac:dyDescent="0.35">
      <c r="A13">
        <v>11</v>
      </c>
      <c r="B13" t="s">
        <v>18</v>
      </c>
      <c r="C13" t="s">
        <v>6</v>
      </c>
      <c r="D13" t="s">
        <v>87</v>
      </c>
      <c r="E13">
        <v>24</v>
      </c>
      <c r="F13">
        <v>7.5</v>
      </c>
      <c r="G13">
        <v>11.61</v>
      </c>
      <c r="H13">
        <v>20.78</v>
      </c>
      <c r="I13">
        <v>11.9</v>
      </c>
      <c r="K13">
        <v>17.14</v>
      </c>
      <c r="L13">
        <v>6.61</v>
      </c>
      <c r="M13">
        <v>8.81</v>
      </c>
      <c r="N13">
        <f>SUM(10.69, 11.78)</f>
        <v>22.47</v>
      </c>
      <c r="O13">
        <v>6.66</v>
      </c>
      <c r="Q13">
        <v>7.02</v>
      </c>
      <c r="R13">
        <v>12.4</v>
      </c>
      <c r="S13">
        <v>19.05</v>
      </c>
      <c r="T13">
        <v>6.86</v>
      </c>
      <c r="U13">
        <v>10.85</v>
      </c>
      <c r="V13">
        <v>32.01</v>
      </c>
      <c r="W13">
        <v>1.34</v>
      </c>
      <c r="X13">
        <v>8.5</v>
      </c>
      <c r="Y13">
        <v>24.91</v>
      </c>
      <c r="Z13">
        <v>2.59</v>
      </c>
    </row>
    <row r="14" spans="1:26" x14ac:dyDescent="0.35">
      <c r="A14">
        <v>12</v>
      </c>
      <c r="B14" t="s">
        <v>19</v>
      </c>
      <c r="C14" t="s">
        <v>6</v>
      </c>
      <c r="D14" t="s">
        <v>87</v>
      </c>
      <c r="E14">
        <v>26</v>
      </c>
      <c r="F14">
        <v>8.4600000000000009</v>
      </c>
      <c r="G14">
        <v>7.86</v>
      </c>
      <c r="H14">
        <v>26.5</v>
      </c>
      <c r="I14">
        <v>7.21</v>
      </c>
      <c r="J14">
        <f>SUM(8.93, 10.21)</f>
        <v>19.14</v>
      </c>
      <c r="K14">
        <f>SUM(17.66, 16.78)</f>
        <v>34.44</v>
      </c>
      <c r="L14">
        <f>SUM(7.66, 3.75, 6.75)</f>
        <v>18.16</v>
      </c>
      <c r="M14">
        <v>8.3800000000000008</v>
      </c>
      <c r="N14">
        <v>11.36</v>
      </c>
      <c r="O14">
        <v>6.58</v>
      </c>
      <c r="Q14">
        <v>6.73</v>
      </c>
      <c r="R14">
        <v>10.53</v>
      </c>
      <c r="S14">
        <v>28.66</v>
      </c>
      <c r="T14">
        <v>12.26</v>
      </c>
      <c r="U14">
        <v>16.760000000000002</v>
      </c>
      <c r="V14">
        <v>47.02</v>
      </c>
      <c r="W14">
        <v>1.61</v>
      </c>
      <c r="X14">
        <v>10.31</v>
      </c>
      <c r="Y14">
        <v>14.7</v>
      </c>
      <c r="Z14">
        <v>2.6</v>
      </c>
    </row>
    <row r="15" spans="1:26" x14ac:dyDescent="0.35">
      <c r="A15">
        <v>13</v>
      </c>
      <c r="B15" t="s">
        <v>20</v>
      </c>
      <c r="C15" t="s">
        <v>6</v>
      </c>
      <c r="D15" t="s">
        <v>87</v>
      </c>
      <c r="E15">
        <v>26</v>
      </c>
      <c r="F15">
        <v>4.93</v>
      </c>
      <c r="G15">
        <f>SUM(7.07, 7.88, 8.43)</f>
        <v>23.38</v>
      </c>
      <c r="H15">
        <v>17.16</v>
      </c>
      <c r="I15">
        <v>7.66</v>
      </c>
      <c r="J15">
        <f>SUM(8.05, 10.16, 9.7)</f>
        <v>27.91</v>
      </c>
      <c r="K15">
        <v>13.31</v>
      </c>
      <c r="L15">
        <v>6.24</v>
      </c>
      <c r="M15">
        <v>7.46</v>
      </c>
      <c r="N15">
        <f>SUM(12.36, 8.81)</f>
        <v>21.17</v>
      </c>
      <c r="O15">
        <v>9.91</v>
      </c>
      <c r="Q15">
        <v>7.73</v>
      </c>
      <c r="R15">
        <v>9.4499999999999993</v>
      </c>
      <c r="S15">
        <v>18.010000000000002</v>
      </c>
      <c r="T15">
        <v>7.08</v>
      </c>
      <c r="U15">
        <v>11.41</v>
      </c>
      <c r="V15">
        <v>37.93</v>
      </c>
      <c r="W15">
        <v>0.76</v>
      </c>
      <c r="X15">
        <v>8.1300000000000008</v>
      </c>
      <c r="Y15">
        <v>11.48</v>
      </c>
      <c r="Z15">
        <v>1.88</v>
      </c>
    </row>
    <row r="16" spans="1:26" x14ac:dyDescent="0.35">
      <c r="A16">
        <v>14</v>
      </c>
      <c r="B16" t="s">
        <v>21</v>
      </c>
      <c r="C16" t="s">
        <v>6</v>
      </c>
      <c r="D16" t="s">
        <v>86</v>
      </c>
      <c r="E16">
        <v>22</v>
      </c>
      <c r="F16">
        <v>5.48</v>
      </c>
      <c r="G16">
        <f>SUM(7.39, 6.3, 6.96, 6.55)</f>
        <v>27.2</v>
      </c>
      <c r="H16">
        <v>10.81</v>
      </c>
      <c r="I16">
        <v>8.9600000000000009</v>
      </c>
      <c r="K16">
        <v>15.31</v>
      </c>
      <c r="L16">
        <v>7.31</v>
      </c>
      <c r="M16">
        <v>7.53</v>
      </c>
      <c r="N16">
        <f>SUM(8.96, 9.76)</f>
        <v>18.72</v>
      </c>
      <c r="O16">
        <v>4.71</v>
      </c>
      <c r="Q16">
        <v>6.16</v>
      </c>
      <c r="R16">
        <v>8.58</v>
      </c>
      <c r="S16">
        <v>25</v>
      </c>
      <c r="T16">
        <v>11.13</v>
      </c>
      <c r="U16">
        <v>11.51</v>
      </c>
      <c r="V16">
        <v>26.9</v>
      </c>
      <c r="W16">
        <v>1.76</v>
      </c>
      <c r="X16">
        <v>11.05</v>
      </c>
      <c r="Y16">
        <v>23.41</v>
      </c>
      <c r="Z16">
        <v>4.24</v>
      </c>
    </row>
    <row r="17" spans="1:26" x14ac:dyDescent="0.35">
      <c r="A17">
        <v>15</v>
      </c>
      <c r="B17" t="s">
        <v>22</v>
      </c>
      <c r="C17" t="s">
        <v>6</v>
      </c>
      <c r="D17" t="s">
        <v>87</v>
      </c>
      <c r="E17">
        <v>26</v>
      </c>
      <c r="F17">
        <v>7.69</v>
      </c>
      <c r="G17">
        <v>7.41</v>
      </c>
      <c r="H17">
        <v>11.65</v>
      </c>
      <c r="I17">
        <v>8.19</v>
      </c>
      <c r="J17">
        <v>8.19</v>
      </c>
      <c r="K17">
        <f>SUM(20.8, 16.45, 18.75, 17.49)</f>
        <v>73.489999999999995</v>
      </c>
      <c r="L17">
        <v>4.1900000000000004</v>
      </c>
      <c r="M17">
        <v>5.03</v>
      </c>
      <c r="N17">
        <v>13.85</v>
      </c>
      <c r="O17">
        <v>6.53</v>
      </c>
      <c r="Q17">
        <v>8.0299999999999994</v>
      </c>
      <c r="R17">
        <v>24.36</v>
      </c>
      <c r="S17">
        <v>20.3</v>
      </c>
      <c r="T17">
        <v>14.35</v>
      </c>
      <c r="U17">
        <v>24.36</v>
      </c>
      <c r="V17">
        <v>39.380000000000003</v>
      </c>
      <c r="W17">
        <v>0.05</v>
      </c>
      <c r="X17">
        <v>14.58</v>
      </c>
      <c r="Y17">
        <v>19.559999999999999</v>
      </c>
      <c r="Z17">
        <v>1.71</v>
      </c>
    </row>
    <row r="18" spans="1:26" x14ac:dyDescent="0.35">
      <c r="A18">
        <v>16</v>
      </c>
      <c r="B18" t="s">
        <v>23</v>
      </c>
      <c r="C18" t="s">
        <v>6</v>
      </c>
      <c r="D18" t="s">
        <v>86</v>
      </c>
      <c r="E18">
        <v>23</v>
      </c>
      <c r="F18">
        <v>5.21</v>
      </c>
      <c r="G18">
        <f>SUM(6.43, 6.9, 7.04, 6.18, 9.45)</f>
        <v>36</v>
      </c>
      <c r="H18">
        <v>11.48</v>
      </c>
      <c r="I18">
        <v>6.04</v>
      </c>
      <c r="L18">
        <f>SUM(12.46, 3.84)</f>
        <v>16.3</v>
      </c>
      <c r="M18">
        <v>9.99</v>
      </c>
      <c r="N18">
        <v>10.63</v>
      </c>
      <c r="O18">
        <v>8.0500000000000007</v>
      </c>
      <c r="Q18">
        <v>7.83</v>
      </c>
      <c r="R18">
        <v>14.43</v>
      </c>
      <c r="S18">
        <v>36.15</v>
      </c>
      <c r="T18">
        <v>12.32</v>
      </c>
      <c r="U18">
        <v>27.98</v>
      </c>
      <c r="V18">
        <v>46.1</v>
      </c>
      <c r="W18">
        <v>1.64</v>
      </c>
      <c r="X18">
        <v>15.55</v>
      </c>
      <c r="Y18">
        <v>19</v>
      </c>
      <c r="Z18">
        <v>9.16</v>
      </c>
    </row>
    <row r="19" spans="1:26" x14ac:dyDescent="0.35">
      <c r="A19">
        <v>17</v>
      </c>
      <c r="B19" t="s">
        <v>24</v>
      </c>
      <c r="C19" t="s">
        <v>6</v>
      </c>
      <c r="D19" t="s">
        <v>87</v>
      </c>
      <c r="E19">
        <v>24</v>
      </c>
      <c r="F19">
        <v>5.55</v>
      </c>
      <c r="G19">
        <v>10.66</v>
      </c>
      <c r="H19">
        <v>17.71</v>
      </c>
      <c r="I19">
        <v>6.14</v>
      </c>
      <c r="J19">
        <f>SUM(11.73, 8.36)</f>
        <v>20.09</v>
      </c>
      <c r="K19">
        <f>SUM(12.31, 15.14)</f>
        <v>27.450000000000003</v>
      </c>
      <c r="L19">
        <v>5.52</v>
      </c>
      <c r="M19">
        <v>7.1</v>
      </c>
      <c r="N19">
        <f>SUM(9.71, 10.76, 12.58, 14.23, 13.91, 12.41)</f>
        <v>73.599999999999994</v>
      </c>
      <c r="O19">
        <v>6.68</v>
      </c>
      <c r="Q19">
        <v>22.66</v>
      </c>
      <c r="R19">
        <v>11.09</v>
      </c>
      <c r="S19">
        <v>16.760000000000002</v>
      </c>
      <c r="T19">
        <v>13.19</v>
      </c>
      <c r="U19">
        <v>18.3</v>
      </c>
      <c r="V19">
        <v>50.38</v>
      </c>
      <c r="W19">
        <v>1.64</v>
      </c>
      <c r="X19">
        <v>12.87</v>
      </c>
      <c r="Y19">
        <v>25.91</v>
      </c>
      <c r="Z19">
        <v>6.78</v>
      </c>
    </row>
    <row r="20" spans="1:26" x14ac:dyDescent="0.35">
      <c r="A20">
        <v>18</v>
      </c>
      <c r="B20" t="s">
        <v>25</v>
      </c>
      <c r="C20" t="s">
        <v>6</v>
      </c>
      <c r="D20" t="s">
        <v>86</v>
      </c>
      <c r="E20">
        <v>26</v>
      </c>
      <c r="F20">
        <v>2.74</v>
      </c>
      <c r="G20">
        <f>SUM(8.16, 7.65, 6.96, 8.65, 19.91,9.9)</f>
        <v>61.23</v>
      </c>
      <c r="H20">
        <v>16.79</v>
      </c>
      <c r="I20">
        <v>5.64</v>
      </c>
      <c r="J20">
        <v>7.01</v>
      </c>
      <c r="K20">
        <v>17.21</v>
      </c>
      <c r="L20">
        <v>5.56</v>
      </c>
      <c r="M20">
        <v>9.43</v>
      </c>
      <c r="N20">
        <v>9.19</v>
      </c>
      <c r="O20">
        <v>5.43</v>
      </c>
      <c r="Q20">
        <v>9.15</v>
      </c>
      <c r="R20">
        <v>9.93</v>
      </c>
      <c r="S20">
        <v>15.15</v>
      </c>
      <c r="T20">
        <v>14.05</v>
      </c>
      <c r="U20">
        <v>12.81</v>
      </c>
      <c r="V20">
        <v>29.31</v>
      </c>
      <c r="W20">
        <v>1.28</v>
      </c>
      <c r="X20">
        <v>11.9</v>
      </c>
      <c r="Y20">
        <v>19.41</v>
      </c>
      <c r="Z20">
        <v>2.35</v>
      </c>
    </row>
    <row r="21" spans="1:26" x14ac:dyDescent="0.35">
      <c r="A21">
        <v>19</v>
      </c>
      <c r="B21" t="s">
        <v>26</v>
      </c>
      <c r="C21" t="s">
        <v>6</v>
      </c>
      <c r="D21" t="s">
        <v>87</v>
      </c>
      <c r="E21">
        <v>25</v>
      </c>
      <c r="F21">
        <v>4.26</v>
      </c>
      <c r="G21">
        <v>6.56</v>
      </c>
      <c r="H21">
        <v>15.23</v>
      </c>
      <c r="I21">
        <v>6.64</v>
      </c>
      <c r="K21">
        <v>14.33</v>
      </c>
      <c r="L21">
        <v>4.92</v>
      </c>
      <c r="M21">
        <v>4.66</v>
      </c>
      <c r="N21">
        <f>SUM(8.35, 8.04)</f>
        <v>16.39</v>
      </c>
      <c r="O21">
        <v>4.7300000000000004</v>
      </c>
      <c r="Q21">
        <v>16.010000000000002</v>
      </c>
      <c r="R21">
        <v>19.850000000000001</v>
      </c>
      <c r="S21">
        <v>30.93</v>
      </c>
      <c r="T21">
        <v>12.9</v>
      </c>
      <c r="U21">
        <v>18.98</v>
      </c>
      <c r="V21">
        <v>31.36</v>
      </c>
      <c r="W21">
        <v>2.5299999999999998</v>
      </c>
      <c r="X21">
        <v>10.14</v>
      </c>
      <c r="Y21">
        <v>19.010000000000002</v>
      </c>
      <c r="Z21">
        <v>4.6500000000000004</v>
      </c>
    </row>
    <row r="22" spans="1:26" x14ac:dyDescent="0.35">
      <c r="A22">
        <v>20</v>
      </c>
      <c r="B22" t="s">
        <v>27</v>
      </c>
      <c r="C22" t="s">
        <v>6</v>
      </c>
      <c r="D22" t="s">
        <v>87</v>
      </c>
      <c r="E22">
        <v>25</v>
      </c>
      <c r="F22">
        <f>SUM(14.28, 6.38)</f>
        <v>20.66</v>
      </c>
      <c r="G22">
        <f>SUM(11.3, 11.6)</f>
        <v>22.9</v>
      </c>
      <c r="H22">
        <v>24.91</v>
      </c>
      <c r="I22">
        <f>SUM(7.45, 7.54, 9.1)</f>
        <v>24.09</v>
      </c>
      <c r="J22">
        <v>10.81</v>
      </c>
      <c r="K22">
        <v>16.25</v>
      </c>
      <c r="L22">
        <f>SUM(6.35, 6.91, 6.08, 9.08)</f>
        <v>28.42</v>
      </c>
      <c r="M22">
        <v>7.35</v>
      </c>
      <c r="N22">
        <f>SUM(15.86, 15.3)</f>
        <v>31.16</v>
      </c>
      <c r="O22">
        <f>SUM(12.01, 9.21)</f>
        <v>21.22</v>
      </c>
      <c r="Q22">
        <v>5.87</v>
      </c>
      <c r="R22">
        <v>12.33</v>
      </c>
      <c r="S22">
        <v>41.33</v>
      </c>
      <c r="T22">
        <v>15.78</v>
      </c>
      <c r="U22">
        <v>15.96</v>
      </c>
      <c r="V22">
        <v>54.28</v>
      </c>
      <c r="W22">
        <v>1.43</v>
      </c>
      <c r="X22">
        <v>13.13</v>
      </c>
      <c r="Y22">
        <v>19.48</v>
      </c>
      <c r="Z22">
        <v>3.16</v>
      </c>
    </row>
    <row r="23" spans="1:26" x14ac:dyDescent="0.35">
      <c r="A23">
        <v>21</v>
      </c>
      <c r="B23" t="s">
        <v>28</v>
      </c>
      <c r="C23" t="s">
        <v>5</v>
      </c>
      <c r="D23" t="s">
        <v>87</v>
      </c>
      <c r="E23">
        <v>73</v>
      </c>
      <c r="F23">
        <f>SUM(7.83, 10.19, 6.33, 5.36)</f>
        <v>29.71</v>
      </c>
      <c r="G23">
        <f>SUM(9.36, 8.9, 8.31, 8.16)</f>
        <v>34.730000000000004</v>
      </c>
      <c r="H23">
        <v>15.37</v>
      </c>
      <c r="I23">
        <v>7.63</v>
      </c>
      <c r="K23">
        <f>SUM(18.33, 17.09, 27.22)</f>
        <v>62.64</v>
      </c>
      <c r="L23">
        <v>4.38</v>
      </c>
      <c r="M23">
        <v>7.32</v>
      </c>
      <c r="N23">
        <f>SUM(9.01, 10.07, 9.79, 8.99, 8.62, 11.75)</f>
        <v>58.23</v>
      </c>
      <c r="O23">
        <v>6.03</v>
      </c>
      <c r="Q23">
        <v>20.14</v>
      </c>
      <c r="R23">
        <v>27.98</v>
      </c>
      <c r="S23">
        <v>64.94</v>
      </c>
      <c r="T23">
        <v>61.59</v>
      </c>
      <c r="U23">
        <v>90.53</v>
      </c>
      <c r="V23">
        <v>82.13</v>
      </c>
      <c r="W23">
        <v>2.2999999999999998</v>
      </c>
      <c r="X23">
        <v>26.85</v>
      </c>
      <c r="Y23">
        <v>37.97</v>
      </c>
      <c r="Z23">
        <v>27.07</v>
      </c>
    </row>
    <row r="24" spans="1:26" x14ac:dyDescent="0.35">
      <c r="A24">
        <v>22</v>
      </c>
      <c r="B24" t="s">
        <v>29</v>
      </c>
      <c r="C24" t="s">
        <v>5</v>
      </c>
      <c r="D24" t="s">
        <v>86</v>
      </c>
      <c r="E24">
        <v>70</v>
      </c>
      <c r="F24">
        <v>9.2899999999999991</v>
      </c>
      <c r="G24">
        <f>SUM(10.66, 11.62)</f>
        <v>22.28</v>
      </c>
      <c r="H24">
        <f>SUM(22.6, 17.83, 20.36)</f>
        <v>60.79</v>
      </c>
      <c r="I24">
        <f>SUM(9.59, 9.53)</f>
        <v>19.119999999999997</v>
      </c>
      <c r="L24">
        <v>6.07</v>
      </c>
      <c r="M24">
        <v>8.08</v>
      </c>
      <c r="N24">
        <v>19.36</v>
      </c>
      <c r="O24">
        <v>7.15</v>
      </c>
      <c r="Q24">
        <v>74.53</v>
      </c>
      <c r="R24">
        <v>33.270000000000003</v>
      </c>
      <c r="S24">
        <v>75.87</v>
      </c>
      <c r="T24">
        <v>86.9</v>
      </c>
      <c r="U24">
        <v>59.24</v>
      </c>
      <c r="V24">
        <v>79.02</v>
      </c>
      <c r="W24">
        <v>1.7</v>
      </c>
      <c r="X24">
        <v>39.229999999999997</v>
      </c>
      <c r="Y24">
        <v>51.67</v>
      </c>
      <c r="Z24">
        <v>11.59</v>
      </c>
    </row>
    <row r="25" spans="1:26" x14ac:dyDescent="0.35">
      <c r="A25">
        <v>23</v>
      </c>
      <c r="B25" t="s">
        <v>30</v>
      </c>
      <c r="C25" t="s">
        <v>5</v>
      </c>
      <c r="D25" t="s">
        <v>86</v>
      </c>
      <c r="E25">
        <v>70</v>
      </c>
      <c r="F25">
        <v>7.06</v>
      </c>
      <c r="H25">
        <f>SUM(20.76, 16.96)</f>
        <v>37.72</v>
      </c>
      <c r="I25">
        <v>10.89</v>
      </c>
      <c r="J25">
        <f>SUM(8.09, 7.88, 6.7, 8.15, 11.51)</f>
        <v>42.33</v>
      </c>
      <c r="K25">
        <f>SUM(20.59, 15.28)</f>
        <v>35.869999999999997</v>
      </c>
      <c r="L25">
        <v>7.68</v>
      </c>
      <c r="M25">
        <v>7.6</v>
      </c>
      <c r="N25">
        <v>13.9</v>
      </c>
      <c r="O25">
        <v>6.23</v>
      </c>
      <c r="Q25">
        <v>35.4</v>
      </c>
      <c r="R25">
        <v>32.15</v>
      </c>
      <c r="S25">
        <v>50.48</v>
      </c>
      <c r="T25">
        <v>60.27</v>
      </c>
      <c r="U25">
        <v>50.87</v>
      </c>
      <c r="V25">
        <f>SUM(60, 53.02)</f>
        <v>113.02000000000001</v>
      </c>
      <c r="W25">
        <v>1.51</v>
      </c>
      <c r="X25">
        <v>48.74</v>
      </c>
      <c r="Y25">
        <v>43.5</v>
      </c>
      <c r="Z25">
        <v>1.9</v>
      </c>
    </row>
    <row r="26" spans="1:26" x14ac:dyDescent="0.35">
      <c r="A26">
        <v>24</v>
      </c>
      <c r="B26" t="s">
        <v>31</v>
      </c>
      <c r="C26" t="s">
        <v>5</v>
      </c>
      <c r="D26" t="s">
        <v>87</v>
      </c>
      <c r="E26">
        <v>67</v>
      </c>
      <c r="F26">
        <f>SUM(5.56, 5.18, 7.46, 4.97, 7.15, 35.32, 6.58, 8.25)</f>
        <v>80.47</v>
      </c>
      <c r="G26">
        <f>SUM(11.16, 10.96, 8.15, 6.16, 8.41)</f>
        <v>44.84</v>
      </c>
      <c r="H26">
        <f>SUM(23.63, 18.37)</f>
        <v>42</v>
      </c>
      <c r="I26">
        <f>SUM(15.83, 8.45, 7.77)</f>
        <v>32.049999999999997</v>
      </c>
      <c r="J26">
        <v>10.87</v>
      </c>
      <c r="K26">
        <v>29.22</v>
      </c>
      <c r="L26">
        <v>7.25</v>
      </c>
      <c r="M26">
        <v>7</v>
      </c>
      <c r="N26">
        <f>SUM(13.41, 11.13, 17.25, 9.46)</f>
        <v>51.25</v>
      </c>
      <c r="O26">
        <v>5.07</v>
      </c>
      <c r="Q26">
        <v>23.66</v>
      </c>
      <c r="R26">
        <f>SUM(60, 55.83)</f>
        <v>115.83</v>
      </c>
      <c r="S26">
        <v>49.69</v>
      </c>
      <c r="T26">
        <v>28.1</v>
      </c>
      <c r="U26">
        <v>88.71</v>
      </c>
      <c r="V26">
        <v>103.76</v>
      </c>
      <c r="W26">
        <v>7.3</v>
      </c>
      <c r="X26">
        <v>58.54</v>
      </c>
      <c r="Y26">
        <v>50.57</v>
      </c>
      <c r="Z26">
        <v>24.87</v>
      </c>
    </row>
    <row r="27" spans="1:26" x14ac:dyDescent="0.35">
      <c r="A27">
        <v>25</v>
      </c>
      <c r="B27" t="s">
        <v>32</v>
      </c>
      <c r="C27" t="s">
        <v>6</v>
      </c>
      <c r="D27" t="s">
        <v>86</v>
      </c>
      <c r="E27">
        <v>25</v>
      </c>
      <c r="F27">
        <v>6.93</v>
      </c>
      <c r="G27">
        <f>SUM(8.56, 7.26, 7.7, 8.6)</f>
        <v>32.119999999999997</v>
      </c>
      <c r="H27">
        <v>17.82</v>
      </c>
      <c r="I27">
        <v>8.43</v>
      </c>
      <c r="K27">
        <v>14.53</v>
      </c>
      <c r="L27">
        <v>6.75</v>
      </c>
      <c r="M27">
        <v>7.75</v>
      </c>
      <c r="N27">
        <v>10.199999999999999</v>
      </c>
      <c r="O27">
        <v>6.03</v>
      </c>
      <c r="Q27">
        <v>6.73</v>
      </c>
      <c r="R27">
        <v>10.06</v>
      </c>
      <c r="S27">
        <v>34.71</v>
      </c>
      <c r="T27">
        <v>11.06</v>
      </c>
      <c r="U27">
        <v>13.18</v>
      </c>
      <c r="V27">
        <v>39.479999999999997</v>
      </c>
      <c r="W27">
        <v>4.78</v>
      </c>
      <c r="X27">
        <v>11.57</v>
      </c>
      <c r="Y27">
        <v>20.440000000000001</v>
      </c>
      <c r="Z27">
        <v>2.78</v>
      </c>
    </row>
    <row r="28" spans="1:26" x14ac:dyDescent="0.35">
      <c r="A28">
        <v>26</v>
      </c>
      <c r="B28" t="s">
        <v>33</v>
      </c>
      <c r="C28" t="s">
        <v>6</v>
      </c>
      <c r="D28" t="s">
        <v>86</v>
      </c>
      <c r="E28">
        <v>24</v>
      </c>
      <c r="F28">
        <v>6.33</v>
      </c>
      <c r="G28">
        <f>SUM(11.55, 9.38, 10.58)</f>
        <v>31.509999999999998</v>
      </c>
      <c r="H28">
        <v>17.41</v>
      </c>
      <c r="I28">
        <f>SUM(8.03, 8.43)</f>
        <v>16.46</v>
      </c>
      <c r="J28">
        <f>SUM(10.76, 10.8, 9.45, 10.4, 9.81, 9.76, 11.18, 10.11)</f>
        <v>82.27</v>
      </c>
      <c r="K28">
        <f>SUM(21.1, 20.12)</f>
        <v>41.22</v>
      </c>
      <c r="L28">
        <v>6.53</v>
      </c>
      <c r="M28">
        <v>6.94</v>
      </c>
      <c r="N28">
        <v>12.38</v>
      </c>
      <c r="O28">
        <v>5.21</v>
      </c>
      <c r="Q28">
        <v>9.11</v>
      </c>
      <c r="R28">
        <v>12.33</v>
      </c>
      <c r="S28">
        <v>32.130000000000003</v>
      </c>
      <c r="T28">
        <v>11.08</v>
      </c>
      <c r="U28">
        <v>16.28</v>
      </c>
      <c r="V28">
        <v>27.95</v>
      </c>
      <c r="W28">
        <v>1.0900000000000001</v>
      </c>
      <c r="X28">
        <v>16.63</v>
      </c>
      <c r="Y28">
        <v>18.8</v>
      </c>
      <c r="Z28">
        <v>2.96</v>
      </c>
    </row>
    <row r="29" spans="1:26" x14ac:dyDescent="0.35">
      <c r="A29">
        <v>27</v>
      </c>
      <c r="B29" t="s">
        <v>34</v>
      </c>
      <c r="C29" t="s">
        <v>6</v>
      </c>
      <c r="D29" t="s">
        <v>87</v>
      </c>
      <c r="E29">
        <v>26</v>
      </c>
      <c r="F29">
        <v>7.09</v>
      </c>
      <c r="G29">
        <f>SUM(9.54, 6.9, 10.11)</f>
        <v>26.549999999999997</v>
      </c>
      <c r="H29">
        <v>19.43</v>
      </c>
      <c r="I29">
        <v>8.06</v>
      </c>
      <c r="J29">
        <f>SUM(12.01, 19.45, 13.25)</f>
        <v>44.71</v>
      </c>
      <c r="K29">
        <f>SUM(28.16, 17.97)</f>
        <v>46.129999999999995</v>
      </c>
      <c r="L29">
        <f>SUM(14.23, 7.31)</f>
        <v>21.54</v>
      </c>
      <c r="M29">
        <v>9.11</v>
      </c>
      <c r="N29">
        <v>15.74</v>
      </c>
      <c r="O29">
        <v>7.63</v>
      </c>
      <c r="Q29">
        <v>6.46</v>
      </c>
      <c r="R29">
        <v>9.31</v>
      </c>
      <c r="S29">
        <v>17.559999999999999</v>
      </c>
      <c r="T29">
        <v>12.89</v>
      </c>
      <c r="U29">
        <v>15.71</v>
      </c>
      <c r="V29">
        <v>32.159999999999997</v>
      </c>
      <c r="W29">
        <v>1.33</v>
      </c>
      <c r="X29">
        <v>11.1</v>
      </c>
      <c r="Y29">
        <v>17.46</v>
      </c>
      <c r="Z29">
        <v>2.35</v>
      </c>
    </row>
    <row r="30" spans="1:26" x14ac:dyDescent="0.35">
      <c r="A30">
        <v>28</v>
      </c>
      <c r="B30" t="s">
        <v>35</v>
      </c>
      <c r="C30" t="s">
        <v>6</v>
      </c>
      <c r="D30" t="s">
        <v>86</v>
      </c>
      <c r="E30">
        <v>23</v>
      </c>
      <c r="F30">
        <v>8.51</v>
      </c>
      <c r="G30">
        <f>SUM(9.01, 7.05, 10.75)</f>
        <v>26.81</v>
      </c>
      <c r="H30">
        <v>19.05</v>
      </c>
      <c r="I30">
        <v>6.13</v>
      </c>
      <c r="J30">
        <f>SUM(16.45, 14.13)</f>
        <v>30.58</v>
      </c>
      <c r="K30">
        <v>24.17</v>
      </c>
      <c r="L30">
        <v>7.96</v>
      </c>
      <c r="M30">
        <v>11</v>
      </c>
      <c r="N30">
        <v>13.93</v>
      </c>
      <c r="O30">
        <v>6.96</v>
      </c>
      <c r="Q30">
        <v>11.91</v>
      </c>
      <c r="R30">
        <v>4.96</v>
      </c>
      <c r="S30">
        <v>22.88</v>
      </c>
      <c r="T30">
        <v>22.27</v>
      </c>
      <c r="U30">
        <v>26.35</v>
      </c>
      <c r="V30">
        <v>33.32</v>
      </c>
      <c r="W30">
        <v>2.6</v>
      </c>
      <c r="X30">
        <v>23.72</v>
      </c>
      <c r="Y30">
        <v>14.85</v>
      </c>
      <c r="Z30">
        <v>1.63</v>
      </c>
    </row>
    <row r="31" spans="1:26" x14ac:dyDescent="0.35">
      <c r="A31">
        <v>29</v>
      </c>
      <c r="B31" t="s">
        <v>36</v>
      </c>
      <c r="C31" t="s">
        <v>6</v>
      </c>
      <c r="D31" t="s">
        <v>87</v>
      </c>
      <c r="E31">
        <v>22</v>
      </c>
      <c r="F31">
        <v>7.41</v>
      </c>
      <c r="G31">
        <f>SUM(9.31, 11.36, 10.41)</f>
        <v>31.080000000000002</v>
      </c>
      <c r="H31">
        <v>18.399999999999999</v>
      </c>
      <c r="I31">
        <v>9.2799999999999994</v>
      </c>
      <c r="J31">
        <f>SUM(11.48, 14.98, 12.33, 12.71, 9.95, 11.05, 12.35, 11.01)</f>
        <v>95.86</v>
      </c>
      <c r="K31">
        <v>14.58</v>
      </c>
      <c r="L31">
        <v>6.33</v>
      </c>
      <c r="M31">
        <v>8.4600000000000009</v>
      </c>
      <c r="N31">
        <v>11.78</v>
      </c>
      <c r="O31">
        <v>5.8</v>
      </c>
      <c r="Q31">
        <v>8.9</v>
      </c>
      <c r="R31">
        <v>15.66</v>
      </c>
      <c r="S31">
        <v>21.88</v>
      </c>
      <c r="T31">
        <v>12.26</v>
      </c>
      <c r="U31">
        <v>20.67</v>
      </c>
      <c r="V31">
        <v>36.68</v>
      </c>
      <c r="W31">
        <v>2.0099999999999998</v>
      </c>
      <c r="X31">
        <v>11.41</v>
      </c>
      <c r="Y31">
        <v>18.75</v>
      </c>
      <c r="Z31">
        <v>3.9</v>
      </c>
    </row>
    <row r="32" spans="1:26" x14ac:dyDescent="0.35">
      <c r="A32">
        <v>30</v>
      </c>
      <c r="B32" t="s">
        <v>37</v>
      </c>
      <c r="C32" t="s">
        <v>6</v>
      </c>
      <c r="D32" t="s">
        <v>87</v>
      </c>
      <c r="E32">
        <v>23</v>
      </c>
      <c r="F32">
        <v>5.6</v>
      </c>
      <c r="G32">
        <f>SUM(8.11, 10.93, 8.71)</f>
        <v>27.75</v>
      </c>
      <c r="H32">
        <v>10.48</v>
      </c>
      <c r="I32">
        <v>7.04</v>
      </c>
      <c r="J32">
        <f>SUM(11.44, 8.46, 9.11, 11.31, 9.53, 7.46)</f>
        <v>57.31</v>
      </c>
      <c r="K32">
        <v>13</v>
      </c>
      <c r="L32">
        <v>4.6500000000000004</v>
      </c>
      <c r="M32">
        <v>7.33</v>
      </c>
      <c r="N32">
        <f>SUM(9.13, 8.73)</f>
        <v>17.86</v>
      </c>
      <c r="O32">
        <v>2.71</v>
      </c>
      <c r="Q32">
        <v>8.51</v>
      </c>
      <c r="R32">
        <v>9.9600000000000009</v>
      </c>
      <c r="S32">
        <v>31.68</v>
      </c>
      <c r="T32">
        <v>10</v>
      </c>
      <c r="U32">
        <v>11.78</v>
      </c>
      <c r="V32">
        <v>29.82</v>
      </c>
      <c r="W32">
        <v>1.36</v>
      </c>
      <c r="X32">
        <v>10.45</v>
      </c>
      <c r="Y32">
        <v>27.37</v>
      </c>
      <c r="Z32">
        <v>2.2000000000000002</v>
      </c>
    </row>
    <row r="33" spans="1:26" x14ac:dyDescent="0.35">
      <c r="A33">
        <v>31</v>
      </c>
      <c r="B33" t="s">
        <v>38</v>
      </c>
      <c r="C33" t="s">
        <v>6</v>
      </c>
      <c r="D33" t="s">
        <v>87</v>
      </c>
      <c r="E33">
        <v>19</v>
      </c>
      <c r="F33">
        <v>6.55</v>
      </c>
      <c r="G33">
        <f>SUM(12.35, 12.31)</f>
        <v>24.66</v>
      </c>
      <c r="H33">
        <v>14.68</v>
      </c>
      <c r="I33">
        <f>SUM(5.55, 8.05)</f>
        <v>13.600000000000001</v>
      </c>
      <c r="K33">
        <v>22.82</v>
      </c>
      <c r="L33">
        <v>5.42</v>
      </c>
      <c r="M33">
        <v>7.76</v>
      </c>
      <c r="N33">
        <v>11.95</v>
      </c>
      <c r="O33">
        <v>5.05</v>
      </c>
      <c r="Q33">
        <v>5.95</v>
      </c>
      <c r="R33">
        <v>6.58</v>
      </c>
      <c r="S33">
        <v>13.11</v>
      </c>
      <c r="T33">
        <v>7.2</v>
      </c>
      <c r="U33">
        <v>7.9</v>
      </c>
      <c r="V33">
        <v>36.25</v>
      </c>
      <c r="W33">
        <v>1.08</v>
      </c>
      <c r="X33">
        <v>23.98</v>
      </c>
      <c r="Y33">
        <v>22</v>
      </c>
      <c r="Z33">
        <v>1</v>
      </c>
    </row>
    <row r="34" spans="1:26" x14ac:dyDescent="0.35">
      <c r="A34">
        <v>32</v>
      </c>
      <c r="B34" t="s">
        <v>39</v>
      </c>
      <c r="C34" t="s">
        <v>6</v>
      </c>
      <c r="D34" t="s">
        <v>87</v>
      </c>
      <c r="E34">
        <v>25</v>
      </c>
      <c r="F34">
        <v>5.56</v>
      </c>
      <c r="G34">
        <f>SUM(8.7, 10.15, 9.96, 7.08)</f>
        <v>35.89</v>
      </c>
      <c r="H34">
        <v>15.88</v>
      </c>
      <c r="I34">
        <v>9.9600000000000009</v>
      </c>
      <c r="J34">
        <f>SUM(25.17, 13.3, 17.62, 14.83, 21.28, 12.45)</f>
        <v>104.65</v>
      </c>
      <c r="K34">
        <f>SUM(19.65, 24.6)</f>
        <v>44.25</v>
      </c>
      <c r="L34">
        <v>6.93</v>
      </c>
      <c r="M34">
        <v>11.46</v>
      </c>
      <c r="N34">
        <v>12.98</v>
      </c>
      <c r="O34">
        <v>4.96</v>
      </c>
      <c r="Q34">
        <v>8.5500000000000007</v>
      </c>
      <c r="R34">
        <v>11.53</v>
      </c>
      <c r="S34">
        <v>34.770000000000003</v>
      </c>
      <c r="T34">
        <v>15.97</v>
      </c>
      <c r="U34">
        <v>25.68</v>
      </c>
      <c r="V34">
        <v>43.39</v>
      </c>
      <c r="W34">
        <v>1.18</v>
      </c>
      <c r="X34">
        <v>12.91</v>
      </c>
      <c r="Y34">
        <v>24.74</v>
      </c>
      <c r="Z34">
        <v>5.13</v>
      </c>
    </row>
    <row r="35" spans="1:26" x14ac:dyDescent="0.35">
      <c r="A35">
        <v>33</v>
      </c>
      <c r="B35" t="s">
        <v>40</v>
      </c>
      <c r="C35" t="s">
        <v>6</v>
      </c>
      <c r="D35" t="s">
        <v>87</v>
      </c>
      <c r="E35">
        <v>26</v>
      </c>
      <c r="F35">
        <v>5.94</v>
      </c>
      <c r="G35">
        <f>SUM(11.86, 5.65)</f>
        <v>17.509999999999998</v>
      </c>
      <c r="H35">
        <v>9.5500000000000007</v>
      </c>
      <c r="I35">
        <v>7.43</v>
      </c>
      <c r="K35">
        <v>9.9</v>
      </c>
      <c r="L35">
        <v>5.26</v>
      </c>
      <c r="M35">
        <v>7.36</v>
      </c>
      <c r="N35">
        <v>10.15</v>
      </c>
      <c r="O35">
        <v>3.9</v>
      </c>
      <c r="Q35">
        <v>12.48</v>
      </c>
      <c r="R35">
        <v>8.75</v>
      </c>
      <c r="S35">
        <v>22.47</v>
      </c>
      <c r="T35">
        <v>14.06</v>
      </c>
      <c r="U35">
        <v>23.42</v>
      </c>
      <c r="V35">
        <v>29.37</v>
      </c>
      <c r="W35">
        <v>0.88</v>
      </c>
      <c r="X35">
        <v>10.8</v>
      </c>
      <c r="Y35">
        <v>17.98</v>
      </c>
      <c r="Z35">
        <v>16.309999999999999</v>
      </c>
    </row>
    <row r="36" spans="1:26" x14ac:dyDescent="0.35">
      <c r="A36">
        <v>34</v>
      </c>
      <c r="B36" t="s">
        <v>41</v>
      </c>
      <c r="C36" t="s">
        <v>6</v>
      </c>
      <c r="D36" t="s">
        <v>87</v>
      </c>
      <c r="E36">
        <v>23</v>
      </c>
      <c r="F36">
        <f>SUM(17.18, 6.45)</f>
        <v>23.63</v>
      </c>
      <c r="G36">
        <f>SUM(8.46, 7.98)</f>
        <v>16.440000000000001</v>
      </c>
      <c r="H36">
        <v>22.21</v>
      </c>
      <c r="I36">
        <f>SUM(6.07, 5.6, 8.63, 12.48, 7.55)</f>
        <v>40.33</v>
      </c>
      <c r="J36">
        <f>SUM(11.06, 9.04, 9.76, 10.41)</f>
        <v>40.269999999999996</v>
      </c>
      <c r="K36">
        <v>13.63</v>
      </c>
      <c r="L36">
        <v>4.91</v>
      </c>
      <c r="M36">
        <v>6.66</v>
      </c>
      <c r="N36">
        <f>SUM(12.08, 9.4)</f>
        <v>21.48</v>
      </c>
      <c r="O36">
        <v>3.96</v>
      </c>
      <c r="Q36">
        <v>8.31</v>
      </c>
      <c r="R36">
        <v>15.31</v>
      </c>
      <c r="S36">
        <v>19.68</v>
      </c>
      <c r="T36">
        <v>18.28</v>
      </c>
      <c r="U36">
        <v>29.01</v>
      </c>
      <c r="V36">
        <f>SUM(14.48, 25.43)</f>
        <v>39.909999999999997</v>
      </c>
      <c r="W36">
        <v>0.85</v>
      </c>
      <c r="X36">
        <v>10.51</v>
      </c>
      <c r="Y36">
        <v>14.68</v>
      </c>
      <c r="Z36">
        <v>4.3</v>
      </c>
    </row>
    <row r="37" spans="1:26" x14ac:dyDescent="0.35">
      <c r="A37">
        <v>35</v>
      </c>
      <c r="B37" t="s">
        <v>42</v>
      </c>
      <c r="C37" t="s">
        <v>6</v>
      </c>
      <c r="D37" t="s">
        <v>87</v>
      </c>
      <c r="E37">
        <v>24</v>
      </c>
      <c r="F37">
        <v>6.31</v>
      </c>
      <c r="G37">
        <f>SUM(9.58, 7.01)</f>
        <v>16.59</v>
      </c>
      <c r="H37">
        <v>21.59</v>
      </c>
      <c r="I37">
        <v>7.46</v>
      </c>
      <c r="K37">
        <v>21.09</v>
      </c>
      <c r="L37">
        <f>SUM(11.13, 13.56, 7.41)</f>
        <v>32.1</v>
      </c>
      <c r="M37">
        <v>7.28</v>
      </c>
      <c r="N37">
        <f>SUM(10.09, 9.01)</f>
        <v>19.100000000000001</v>
      </c>
      <c r="O37">
        <v>5.22</v>
      </c>
      <c r="Q37">
        <v>6.53</v>
      </c>
      <c r="R37">
        <v>39.01</v>
      </c>
      <c r="S37">
        <v>43.39</v>
      </c>
      <c r="T37">
        <v>11</v>
      </c>
      <c r="U37">
        <v>48.95</v>
      </c>
      <c r="V37">
        <v>67.97</v>
      </c>
      <c r="W37">
        <v>0.66</v>
      </c>
      <c r="X37">
        <v>23.91</v>
      </c>
      <c r="Y37">
        <v>38.53</v>
      </c>
      <c r="Z37">
        <v>10.75</v>
      </c>
    </row>
    <row r="38" spans="1:26" x14ac:dyDescent="0.35">
      <c r="A38">
        <v>36</v>
      </c>
      <c r="B38" t="s">
        <v>43</v>
      </c>
      <c r="C38" t="s">
        <v>6</v>
      </c>
      <c r="D38" t="s">
        <v>86</v>
      </c>
      <c r="E38">
        <v>27</v>
      </c>
      <c r="F38">
        <v>4.99</v>
      </c>
      <c r="G38">
        <v>6.91</v>
      </c>
      <c r="H38">
        <v>16.13</v>
      </c>
      <c r="I38">
        <f>SUM(5.4, 6.6, 7.88)</f>
        <v>19.88</v>
      </c>
      <c r="J38">
        <f>SUM(9.45, 6.53, 7.31, 7.61, 7.55, 6.91, 6.48, 7.86)</f>
        <v>59.7</v>
      </c>
      <c r="K38">
        <f>SUM(18.53, 13.98, 18.33)</f>
        <v>50.84</v>
      </c>
      <c r="L38">
        <v>5.71</v>
      </c>
      <c r="M38">
        <v>5.64</v>
      </c>
      <c r="N38">
        <v>8.57</v>
      </c>
      <c r="O38">
        <v>6.33</v>
      </c>
      <c r="Q38">
        <v>11.64</v>
      </c>
      <c r="R38">
        <v>11.73</v>
      </c>
      <c r="S38">
        <v>18.05</v>
      </c>
      <c r="T38">
        <v>14.13</v>
      </c>
      <c r="U38">
        <v>19.690000000000001</v>
      </c>
      <c r="V38">
        <v>29.1</v>
      </c>
      <c r="W38">
        <v>1.58</v>
      </c>
      <c r="X38">
        <v>14.21</v>
      </c>
      <c r="Y38">
        <v>17.809999999999999</v>
      </c>
      <c r="Z38">
        <v>3.49</v>
      </c>
    </row>
    <row r="39" spans="1:26" x14ac:dyDescent="0.35">
      <c r="A39">
        <v>37</v>
      </c>
      <c r="B39" t="s">
        <v>44</v>
      </c>
      <c r="C39" t="s">
        <v>6</v>
      </c>
      <c r="D39" t="s">
        <v>86</v>
      </c>
      <c r="E39">
        <v>19</v>
      </c>
      <c r="F39">
        <v>7.13</v>
      </c>
      <c r="G39">
        <f>SUM(7.78, 7.9)</f>
        <v>15.68</v>
      </c>
      <c r="H39">
        <v>19.489999999999998</v>
      </c>
      <c r="I39">
        <v>7.14</v>
      </c>
      <c r="K39">
        <v>10.78</v>
      </c>
      <c r="L39">
        <v>6.28</v>
      </c>
      <c r="M39">
        <v>6.59</v>
      </c>
      <c r="N39">
        <v>12.45</v>
      </c>
      <c r="O39">
        <v>5.71</v>
      </c>
      <c r="Q39">
        <v>8.56</v>
      </c>
      <c r="R39">
        <v>13.86</v>
      </c>
      <c r="S39">
        <v>22.25</v>
      </c>
      <c r="T39">
        <v>14.53</v>
      </c>
      <c r="U39">
        <v>33.96</v>
      </c>
      <c r="V39">
        <v>27.48</v>
      </c>
      <c r="W39">
        <v>1.26</v>
      </c>
      <c r="X39">
        <v>11.65</v>
      </c>
      <c r="Y39">
        <v>20.7</v>
      </c>
      <c r="Z39">
        <v>7.2</v>
      </c>
    </row>
    <row r="40" spans="1:26" x14ac:dyDescent="0.35">
      <c r="A40">
        <v>38</v>
      </c>
      <c r="B40" t="s">
        <v>45</v>
      </c>
      <c r="C40" t="s">
        <v>6</v>
      </c>
      <c r="D40" t="s">
        <v>87</v>
      </c>
      <c r="E40">
        <v>25</v>
      </c>
      <c r="F40">
        <v>6.67</v>
      </c>
      <c r="G40">
        <v>7.89</v>
      </c>
      <c r="H40">
        <v>22.15</v>
      </c>
      <c r="I40">
        <v>8.2100000000000009</v>
      </c>
      <c r="K40">
        <v>13.58</v>
      </c>
      <c r="L40">
        <v>4.55</v>
      </c>
      <c r="M40">
        <v>10.66</v>
      </c>
      <c r="N40">
        <v>15.28</v>
      </c>
      <c r="O40">
        <v>7.76</v>
      </c>
      <c r="Q40">
        <v>8.33</v>
      </c>
      <c r="R40">
        <v>22.91</v>
      </c>
      <c r="S40">
        <v>26.97</v>
      </c>
      <c r="T40">
        <f>SUM(12.5, 11.7)</f>
        <v>24.2</v>
      </c>
      <c r="U40">
        <v>13.93</v>
      </c>
      <c r="V40">
        <v>29.08</v>
      </c>
      <c r="W40">
        <v>0.93</v>
      </c>
      <c r="X40">
        <v>18.88</v>
      </c>
      <c r="Y40">
        <v>25.17</v>
      </c>
      <c r="Z40">
        <v>4.5999999999999996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E231-7019-634D-8308-61D221DE0E71}">
  <dimension ref="A1:Z40"/>
  <sheetViews>
    <sheetView workbookViewId="0">
      <selection activeCell="F3" sqref="F3"/>
    </sheetView>
  </sheetViews>
  <sheetFormatPr defaultColWidth="11.07421875" defaultRowHeight="15.5" x14ac:dyDescent="0.35"/>
  <cols>
    <col min="2" max="2" width="17.3046875" bestFit="1" customWidth="1"/>
    <col min="6" max="6" width="11" customWidth="1"/>
    <col min="7" max="7" width="13.3046875" customWidth="1"/>
    <col min="8" max="8" width="9" customWidth="1"/>
  </cols>
  <sheetData>
    <row r="1" spans="1:26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</row>
    <row r="2" spans="1:26" x14ac:dyDescent="0.35">
      <c r="A2">
        <v>0</v>
      </c>
      <c r="B2" t="s">
        <v>7</v>
      </c>
      <c r="C2" t="s">
        <v>5</v>
      </c>
      <c r="D2" t="s">
        <v>86</v>
      </c>
      <c r="E2">
        <v>76</v>
      </c>
      <c r="F2">
        <v>24.05</v>
      </c>
      <c r="G2">
        <v>21.92</v>
      </c>
      <c r="H2">
        <v>43.84</v>
      </c>
      <c r="I2">
        <v>11.61</v>
      </c>
      <c r="J2">
        <v>12.35</v>
      </c>
      <c r="K2">
        <v>25.92</v>
      </c>
      <c r="L2">
        <v>15.21</v>
      </c>
      <c r="M2">
        <v>13.43</v>
      </c>
      <c r="N2">
        <v>26.93</v>
      </c>
      <c r="O2">
        <v>6.06</v>
      </c>
      <c r="Q2">
        <v>32.549999999999997</v>
      </c>
      <c r="R2">
        <v>55.14</v>
      </c>
      <c r="S2">
        <v>54.12</v>
      </c>
      <c r="T2">
        <v>57.22</v>
      </c>
      <c r="U2">
        <v>70.180000000000007</v>
      </c>
      <c r="W2">
        <v>3.6</v>
      </c>
      <c r="X2">
        <v>11.2</v>
      </c>
      <c r="Y2">
        <v>49.59</v>
      </c>
    </row>
    <row r="3" spans="1:26" x14ac:dyDescent="0.35">
      <c r="A3">
        <v>1</v>
      </c>
      <c r="B3" t="s">
        <v>8</v>
      </c>
      <c r="C3" t="s">
        <v>5</v>
      </c>
      <c r="D3" t="s">
        <v>86</v>
      </c>
      <c r="E3">
        <v>67</v>
      </c>
      <c r="F3">
        <v>10.26</v>
      </c>
      <c r="G3">
        <v>17.93</v>
      </c>
      <c r="H3">
        <v>19.690000000000001</v>
      </c>
      <c r="J3">
        <v>9.81</v>
      </c>
      <c r="K3">
        <v>22.96</v>
      </c>
      <c r="L3">
        <v>7.16</v>
      </c>
      <c r="M3">
        <v>12.71</v>
      </c>
      <c r="N3">
        <v>12.7</v>
      </c>
      <c r="O3">
        <v>4.88</v>
      </c>
      <c r="Q3">
        <v>58.15</v>
      </c>
      <c r="R3">
        <v>107.67</v>
      </c>
      <c r="S3">
        <v>120.95</v>
      </c>
      <c r="T3">
        <v>88.92</v>
      </c>
      <c r="U3">
        <v>37.53</v>
      </c>
      <c r="V3">
        <v>182.42</v>
      </c>
      <c r="W3">
        <v>18.760000000000002</v>
      </c>
      <c r="X3">
        <v>34.93</v>
      </c>
      <c r="Y3">
        <v>51.1</v>
      </c>
      <c r="Z3">
        <v>51.71</v>
      </c>
    </row>
    <row r="4" spans="1:26" x14ac:dyDescent="0.35">
      <c r="A4">
        <v>2</v>
      </c>
      <c r="B4" t="s">
        <v>9</v>
      </c>
      <c r="C4" t="s">
        <v>5</v>
      </c>
      <c r="D4" t="s">
        <v>86</v>
      </c>
      <c r="E4">
        <v>67</v>
      </c>
      <c r="F4">
        <v>7.98</v>
      </c>
      <c r="G4">
        <v>13.1</v>
      </c>
      <c r="H4">
        <v>24.53</v>
      </c>
      <c r="I4">
        <v>6.91</v>
      </c>
      <c r="K4">
        <v>16.850000000000001</v>
      </c>
      <c r="L4">
        <v>9.8000000000000007</v>
      </c>
      <c r="M4">
        <v>8.58</v>
      </c>
      <c r="N4">
        <v>11.1</v>
      </c>
      <c r="O4">
        <v>6.93</v>
      </c>
      <c r="Q4">
        <v>12.05</v>
      </c>
      <c r="R4">
        <v>39.049999999999997</v>
      </c>
      <c r="S4">
        <v>67.19</v>
      </c>
      <c r="T4">
        <v>77.12</v>
      </c>
      <c r="U4">
        <v>43.44</v>
      </c>
      <c r="V4">
        <v>70.09</v>
      </c>
      <c r="W4">
        <v>29.58</v>
      </c>
      <c r="X4">
        <v>44.85</v>
      </c>
      <c r="Y4">
        <v>25.08</v>
      </c>
      <c r="Z4">
        <v>47.76</v>
      </c>
    </row>
    <row r="5" spans="1:26" x14ac:dyDescent="0.35">
      <c r="A5">
        <v>3</v>
      </c>
      <c r="B5" t="s">
        <v>10</v>
      </c>
      <c r="C5" t="s">
        <v>5</v>
      </c>
      <c r="D5" t="s">
        <v>86</v>
      </c>
      <c r="E5">
        <v>77</v>
      </c>
      <c r="F5">
        <v>13.04</v>
      </c>
      <c r="G5">
        <v>22.12</v>
      </c>
      <c r="H5">
        <v>16.329999999999998</v>
      </c>
      <c r="I5">
        <v>9.5500000000000007</v>
      </c>
      <c r="L5">
        <v>11.84</v>
      </c>
      <c r="M5">
        <v>8.82</v>
      </c>
      <c r="N5">
        <v>14.56</v>
      </c>
      <c r="O5">
        <v>6.3</v>
      </c>
      <c r="Q5">
        <v>39.67</v>
      </c>
      <c r="R5">
        <v>81.34</v>
      </c>
      <c r="S5">
        <v>58.65</v>
      </c>
      <c r="T5">
        <v>68.349999999999994</v>
      </c>
      <c r="U5">
        <v>76.67</v>
      </c>
      <c r="V5">
        <v>44.05</v>
      </c>
      <c r="W5">
        <v>3.6</v>
      </c>
      <c r="X5">
        <v>59.46</v>
      </c>
      <c r="Y5">
        <v>63.15</v>
      </c>
      <c r="Z5">
        <v>20.58</v>
      </c>
    </row>
    <row r="6" spans="1:26" x14ac:dyDescent="0.35">
      <c r="A6">
        <v>4</v>
      </c>
      <c r="B6" t="s">
        <v>11</v>
      </c>
      <c r="C6" t="s">
        <v>6</v>
      </c>
      <c r="D6" t="s">
        <v>86</v>
      </c>
      <c r="E6">
        <v>23</v>
      </c>
      <c r="F6">
        <v>6.61</v>
      </c>
      <c r="G6">
        <v>6.76</v>
      </c>
      <c r="H6">
        <v>11.53</v>
      </c>
      <c r="I6">
        <v>8.2100000000000009</v>
      </c>
      <c r="J6">
        <v>11.76</v>
      </c>
      <c r="K6">
        <v>19.55</v>
      </c>
      <c r="L6">
        <v>9.58</v>
      </c>
      <c r="M6">
        <v>7.43</v>
      </c>
      <c r="N6">
        <v>16.96</v>
      </c>
      <c r="O6">
        <v>6.4</v>
      </c>
      <c r="Q6">
        <v>6.76</v>
      </c>
      <c r="R6">
        <v>9.4499999999999993</v>
      </c>
      <c r="S6">
        <v>18.63</v>
      </c>
      <c r="T6">
        <v>11.95</v>
      </c>
      <c r="U6">
        <v>20.03</v>
      </c>
      <c r="V6">
        <v>24.71</v>
      </c>
      <c r="W6">
        <v>0.01</v>
      </c>
      <c r="X6">
        <v>11.21</v>
      </c>
      <c r="Y6">
        <v>15.6</v>
      </c>
      <c r="Z6">
        <v>1.59</v>
      </c>
    </row>
    <row r="7" spans="1:26" x14ac:dyDescent="0.35">
      <c r="A7">
        <v>5</v>
      </c>
      <c r="B7" t="s">
        <v>12</v>
      </c>
      <c r="C7" t="s">
        <v>6</v>
      </c>
      <c r="D7" t="s">
        <v>87</v>
      </c>
      <c r="E7">
        <v>24</v>
      </c>
      <c r="F7">
        <v>5.56</v>
      </c>
      <c r="G7">
        <v>9.01</v>
      </c>
      <c r="H7">
        <v>21.21</v>
      </c>
      <c r="I7">
        <v>7.48</v>
      </c>
      <c r="J7">
        <v>7.24</v>
      </c>
      <c r="K7">
        <v>23.08</v>
      </c>
      <c r="L7">
        <v>5.08</v>
      </c>
      <c r="M7">
        <v>10.26</v>
      </c>
      <c r="N7">
        <v>9.68</v>
      </c>
      <c r="O7">
        <v>4.05</v>
      </c>
      <c r="Q7">
        <v>7.06</v>
      </c>
      <c r="R7">
        <v>13.35</v>
      </c>
      <c r="S7">
        <v>16.73</v>
      </c>
      <c r="T7">
        <v>12.33</v>
      </c>
      <c r="U7">
        <v>15.66</v>
      </c>
      <c r="V7">
        <v>24.45</v>
      </c>
      <c r="W7">
        <v>3.48</v>
      </c>
      <c r="X7">
        <v>9.81</v>
      </c>
      <c r="Y7">
        <v>20.329999999999998</v>
      </c>
      <c r="Z7">
        <v>3.17</v>
      </c>
    </row>
    <row r="8" spans="1:26" x14ac:dyDescent="0.35">
      <c r="A8">
        <v>6</v>
      </c>
      <c r="B8" t="s">
        <v>13</v>
      </c>
      <c r="C8" t="s">
        <v>6</v>
      </c>
      <c r="D8" t="s">
        <v>86</v>
      </c>
      <c r="E8">
        <v>23</v>
      </c>
      <c r="F8">
        <v>8.1</v>
      </c>
      <c r="G8">
        <v>7.03</v>
      </c>
      <c r="H8">
        <v>13.08</v>
      </c>
      <c r="I8">
        <v>8.0500000000000007</v>
      </c>
      <c r="K8">
        <v>16.2</v>
      </c>
      <c r="L8">
        <v>5.66</v>
      </c>
      <c r="M8">
        <v>7.58</v>
      </c>
      <c r="N8">
        <v>10.76</v>
      </c>
      <c r="O8">
        <v>5.41</v>
      </c>
      <c r="Q8">
        <v>8.48</v>
      </c>
      <c r="R8">
        <v>13.26</v>
      </c>
      <c r="S8">
        <v>40.21</v>
      </c>
      <c r="T8">
        <v>20.399999999999999</v>
      </c>
      <c r="U8">
        <v>12.04</v>
      </c>
      <c r="V8">
        <v>33.950000000000003</v>
      </c>
      <c r="W8">
        <v>3.12</v>
      </c>
      <c r="X8">
        <v>12</v>
      </c>
      <c r="Y8">
        <v>23.99</v>
      </c>
      <c r="Z8">
        <v>3.13</v>
      </c>
    </row>
    <row r="9" spans="1:26" x14ac:dyDescent="0.35">
      <c r="A9">
        <v>7</v>
      </c>
      <c r="B9" t="s">
        <v>14</v>
      </c>
      <c r="C9" t="s">
        <v>5</v>
      </c>
      <c r="D9" s="1" t="s">
        <v>86</v>
      </c>
      <c r="E9">
        <v>72</v>
      </c>
      <c r="F9">
        <v>10.46</v>
      </c>
      <c r="G9">
        <v>10.35</v>
      </c>
      <c r="H9">
        <v>18.5</v>
      </c>
      <c r="I9">
        <v>9.11</v>
      </c>
      <c r="K9">
        <v>17.95</v>
      </c>
      <c r="L9">
        <v>10.38</v>
      </c>
      <c r="M9">
        <v>7.73</v>
      </c>
      <c r="N9">
        <v>9.6999999999999993</v>
      </c>
      <c r="O9">
        <v>9.2799999999999994</v>
      </c>
      <c r="Q9">
        <v>13.18</v>
      </c>
      <c r="R9">
        <v>16.71</v>
      </c>
      <c r="S9">
        <v>31.85</v>
      </c>
      <c r="T9">
        <v>38.58</v>
      </c>
      <c r="U9">
        <v>43.05</v>
      </c>
      <c r="V9">
        <v>45</v>
      </c>
      <c r="W9">
        <v>1.88</v>
      </c>
      <c r="X9">
        <v>48.07</v>
      </c>
      <c r="Y9">
        <v>33.17</v>
      </c>
      <c r="Z9">
        <v>6.71</v>
      </c>
    </row>
    <row r="10" spans="1:26" x14ac:dyDescent="0.35">
      <c r="A10">
        <v>8</v>
      </c>
      <c r="B10" t="s">
        <v>15</v>
      </c>
      <c r="C10" t="s">
        <v>6</v>
      </c>
      <c r="D10" t="s">
        <v>86</v>
      </c>
      <c r="E10">
        <v>24</v>
      </c>
      <c r="F10">
        <v>17.690000000000001</v>
      </c>
      <c r="G10">
        <v>14.63</v>
      </c>
      <c r="H10">
        <v>17.260000000000002</v>
      </c>
      <c r="I10">
        <v>7.1</v>
      </c>
      <c r="J10">
        <v>12.08</v>
      </c>
      <c r="K10">
        <v>12.11</v>
      </c>
      <c r="L10">
        <v>10.53</v>
      </c>
      <c r="M10">
        <v>6.83</v>
      </c>
      <c r="N10">
        <v>14.81</v>
      </c>
      <c r="O10">
        <v>7.94</v>
      </c>
      <c r="Q10">
        <v>5.7</v>
      </c>
      <c r="R10">
        <v>8.61</v>
      </c>
      <c r="S10">
        <v>17.86</v>
      </c>
      <c r="T10">
        <v>17.100000000000001</v>
      </c>
      <c r="U10">
        <v>13.56</v>
      </c>
      <c r="V10">
        <v>36</v>
      </c>
      <c r="W10">
        <v>2.59</v>
      </c>
      <c r="X10">
        <v>9.19</v>
      </c>
      <c r="Y10">
        <v>26.43</v>
      </c>
      <c r="Z10">
        <v>3.58</v>
      </c>
    </row>
    <row r="11" spans="1:26" x14ac:dyDescent="0.35">
      <c r="A11">
        <v>9</v>
      </c>
      <c r="B11" t="s">
        <v>16</v>
      </c>
      <c r="C11" t="s">
        <v>6</v>
      </c>
      <c r="D11" t="s">
        <v>87</v>
      </c>
      <c r="E11">
        <v>23</v>
      </c>
      <c r="F11">
        <v>3.71</v>
      </c>
      <c r="G11">
        <v>7.61</v>
      </c>
      <c r="H11">
        <v>12.16</v>
      </c>
      <c r="I11">
        <v>8.11</v>
      </c>
      <c r="J11">
        <v>12.81</v>
      </c>
      <c r="K11">
        <v>14.18</v>
      </c>
      <c r="L11">
        <v>5.28</v>
      </c>
      <c r="M11">
        <v>5.88</v>
      </c>
      <c r="N11">
        <v>10.39</v>
      </c>
      <c r="O11">
        <v>5.0599999999999996</v>
      </c>
      <c r="Q11">
        <v>7.49</v>
      </c>
      <c r="R11">
        <v>7.53</v>
      </c>
      <c r="S11">
        <v>26.6</v>
      </c>
      <c r="T11">
        <v>16.93</v>
      </c>
      <c r="U11">
        <v>11.5</v>
      </c>
      <c r="V11">
        <v>34.86</v>
      </c>
      <c r="W11">
        <v>1.75</v>
      </c>
      <c r="X11">
        <v>8.36</v>
      </c>
      <c r="Y11">
        <v>15.41</v>
      </c>
      <c r="Z11">
        <v>2.76</v>
      </c>
    </row>
    <row r="12" spans="1:26" x14ac:dyDescent="0.35">
      <c r="A12">
        <v>10</v>
      </c>
      <c r="B12" t="s">
        <v>17</v>
      </c>
      <c r="C12" t="s">
        <v>6</v>
      </c>
      <c r="D12" t="s">
        <v>87</v>
      </c>
      <c r="E12">
        <v>24</v>
      </c>
      <c r="F12">
        <v>4.1399999999999997</v>
      </c>
      <c r="G12">
        <v>9.33</v>
      </c>
      <c r="H12">
        <v>13.04</v>
      </c>
      <c r="I12">
        <v>6.6</v>
      </c>
      <c r="K12">
        <v>19.059999999999999</v>
      </c>
      <c r="L12">
        <v>4.49</v>
      </c>
      <c r="M12">
        <v>5.31</v>
      </c>
      <c r="N12">
        <v>8.64</v>
      </c>
      <c r="O12">
        <v>3.78</v>
      </c>
      <c r="Q12">
        <v>11.33</v>
      </c>
      <c r="R12">
        <v>12.95</v>
      </c>
      <c r="S12">
        <v>24.53</v>
      </c>
      <c r="T12">
        <v>15.98</v>
      </c>
      <c r="U12">
        <v>14.22</v>
      </c>
      <c r="V12">
        <v>29.71</v>
      </c>
      <c r="W12">
        <v>1.21</v>
      </c>
      <c r="X12">
        <v>15.05</v>
      </c>
      <c r="Y12">
        <v>17.55</v>
      </c>
      <c r="Z12">
        <v>5.33</v>
      </c>
    </row>
    <row r="13" spans="1:26" x14ac:dyDescent="0.35">
      <c r="A13">
        <v>11</v>
      </c>
      <c r="B13" t="s">
        <v>18</v>
      </c>
      <c r="C13" t="s">
        <v>6</v>
      </c>
      <c r="D13" t="s">
        <v>87</v>
      </c>
      <c r="E13">
        <v>24</v>
      </c>
      <c r="F13">
        <v>7.5</v>
      </c>
      <c r="G13">
        <v>11.61</v>
      </c>
      <c r="H13">
        <v>20.78</v>
      </c>
      <c r="I13">
        <v>11.9</v>
      </c>
      <c r="K13">
        <v>17.14</v>
      </c>
      <c r="L13">
        <v>6.61</v>
      </c>
      <c r="M13">
        <v>8.81</v>
      </c>
      <c r="N13">
        <v>11.78</v>
      </c>
      <c r="O13">
        <v>6.66</v>
      </c>
      <c r="Q13">
        <v>7.02</v>
      </c>
      <c r="R13">
        <v>12.4</v>
      </c>
      <c r="S13">
        <v>19.05</v>
      </c>
      <c r="T13">
        <v>6.86</v>
      </c>
      <c r="U13">
        <v>10.85</v>
      </c>
      <c r="V13">
        <v>32.01</v>
      </c>
      <c r="W13">
        <v>1.34</v>
      </c>
      <c r="X13">
        <v>8.5</v>
      </c>
      <c r="Y13">
        <v>24.91</v>
      </c>
      <c r="Z13">
        <v>2.59</v>
      </c>
    </row>
    <row r="14" spans="1:26" x14ac:dyDescent="0.35">
      <c r="A14">
        <v>12</v>
      </c>
      <c r="B14" t="s">
        <v>19</v>
      </c>
      <c r="C14" t="s">
        <v>6</v>
      </c>
      <c r="D14" t="s">
        <v>87</v>
      </c>
      <c r="E14">
        <v>26</v>
      </c>
      <c r="F14">
        <v>8.4600000000000009</v>
      </c>
      <c r="G14">
        <v>7.86</v>
      </c>
      <c r="H14">
        <v>26.5</v>
      </c>
      <c r="I14">
        <v>7.21</v>
      </c>
      <c r="J14">
        <v>10.210000000000001</v>
      </c>
      <c r="K14">
        <v>16.78</v>
      </c>
      <c r="L14">
        <v>6.75</v>
      </c>
      <c r="M14">
        <v>8.3800000000000008</v>
      </c>
      <c r="N14">
        <v>11.36</v>
      </c>
      <c r="O14">
        <v>6.58</v>
      </c>
      <c r="Q14">
        <v>6.73</v>
      </c>
      <c r="R14">
        <v>10.53</v>
      </c>
      <c r="S14">
        <v>28.66</v>
      </c>
      <c r="T14">
        <v>12.26</v>
      </c>
      <c r="U14">
        <v>16.760000000000002</v>
      </c>
      <c r="V14">
        <v>47.02</v>
      </c>
      <c r="W14">
        <v>1.61</v>
      </c>
      <c r="X14">
        <v>10.31</v>
      </c>
      <c r="Y14">
        <v>14.7</v>
      </c>
      <c r="Z14">
        <v>2.6</v>
      </c>
    </row>
    <row r="15" spans="1:26" x14ac:dyDescent="0.35">
      <c r="A15">
        <v>13</v>
      </c>
      <c r="B15" t="s">
        <v>20</v>
      </c>
      <c r="C15" t="s">
        <v>6</v>
      </c>
      <c r="D15" t="s">
        <v>87</v>
      </c>
      <c r="E15">
        <v>26</v>
      </c>
      <c r="F15">
        <v>4.93</v>
      </c>
      <c r="G15">
        <v>8.43</v>
      </c>
      <c r="H15">
        <v>17.16</v>
      </c>
      <c r="I15">
        <v>7.66</v>
      </c>
      <c r="J15">
        <v>9.6999999999999993</v>
      </c>
      <c r="K15">
        <v>13.31</v>
      </c>
      <c r="L15">
        <v>6.24</v>
      </c>
      <c r="M15">
        <v>7.46</v>
      </c>
      <c r="N15">
        <v>8.81</v>
      </c>
      <c r="O15">
        <v>9.91</v>
      </c>
      <c r="Q15">
        <v>7.73</v>
      </c>
      <c r="R15">
        <v>9.4499999999999993</v>
      </c>
      <c r="S15">
        <v>18.010000000000002</v>
      </c>
      <c r="T15">
        <v>7.08</v>
      </c>
      <c r="U15">
        <v>11.41</v>
      </c>
      <c r="V15">
        <v>37.93</v>
      </c>
      <c r="W15">
        <v>0.76</v>
      </c>
      <c r="X15">
        <v>8.1300000000000008</v>
      </c>
      <c r="Y15">
        <v>11.48</v>
      </c>
      <c r="Z15">
        <v>1.88</v>
      </c>
    </row>
    <row r="16" spans="1:26" x14ac:dyDescent="0.35">
      <c r="A16">
        <v>14</v>
      </c>
      <c r="B16" t="s">
        <v>21</v>
      </c>
      <c r="C16" t="s">
        <v>6</v>
      </c>
      <c r="D16" t="s">
        <v>86</v>
      </c>
      <c r="E16">
        <v>22</v>
      </c>
      <c r="F16">
        <v>5.48</v>
      </c>
      <c r="G16">
        <v>6.55</v>
      </c>
      <c r="H16">
        <v>10.81</v>
      </c>
      <c r="I16">
        <v>8.9600000000000009</v>
      </c>
      <c r="K16">
        <v>15.31</v>
      </c>
      <c r="L16">
        <v>7.31</v>
      </c>
      <c r="M16">
        <v>7.53</v>
      </c>
      <c r="N16">
        <v>9.76</v>
      </c>
      <c r="O16">
        <v>4.71</v>
      </c>
      <c r="Q16">
        <v>6.16</v>
      </c>
      <c r="R16">
        <v>8.58</v>
      </c>
      <c r="S16">
        <v>25</v>
      </c>
      <c r="T16">
        <v>11.13</v>
      </c>
      <c r="U16">
        <v>11.51</v>
      </c>
      <c r="V16">
        <v>26.9</v>
      </c>
      <c r="W16">
        <v>1.76</v>
      </c>
      <c r="X16">
        <v>11.05</v>
      </c>
      <c r="Y16">
        <v>23.41</v>
      </c>
      <c r="Z16">
        <v>4.24</v>
      </c>
    </row>
    <row r="17" spans="1:26" x14ac:dyDescent="0.35">
      <c r="A17">
        <v>15</v>
      </c>
      <c r="B17" t="s">
        <v>22</v>
      </c>
      <c r="C17" t="s">
        <v>6</v>
      </c>
      <c r="D17" t="s">
        <v>87</v>
      </c>
      <c r="E17">
        <v>26</v>
      </c>
      <c r="F17">
        <v>7.69</v>
      </c>
      <c r="G17">
        <v>7.41</v>
      </c>
      <c r="H17">
        <v>11.65</v>
      </c>
      <c r="I17">
        <v>8.19</v>
      </c>
      <c r="J17">
        <v>8.19</v>
      </c>
      <c r="K17">
        <v>17.489999999999998</v>
      </c>
      <c r="L17">
        <v>4.1900000000000004</v>
      </c>
      <c r="M17">
        <v>5.03</v>
      </c>
      <c r="N17">
        <v>13.85</v>
      </c>
      <c r="O17">
        <v>6.53</v>
      </c>
      <c r="Q17">
        <v>8.0299999999999994</v>
      </c>
      <c r="R17">
        <v>24.36</v>
      </c>
      <c r="S17">
        <v>20.3</v>
      </c>
      <c r="T17">
        <v>14.35</v>
      </c>
      <c r="U17">
        <v>24.36</v>
      </c>
      <c r="V17">
        <v>39.380000000000003</v>
      </c>
      <c r="W17">
        <v>0.05</v>
      </c>
      <c r="X17">
        <v>14.58</v>
      </c>
      <c r="Y17">
        <v>19.559999999999999</v>
      </c>
      <c r="Z17">
        <v>1.71</v>
      </c>
    </row>
    <row r="18" spans="1:26" x14ac:dyDescent="0.35">
      <c r="A18">
        <v>16</v>
      </c>
      <c r="B18" t="s">
        <v>23</v>
      </c>
      <c r="C18" t="s">
        <v>6</v>
      </c>
      <c r="D18" t="s">
        <v>86</v>
      </c>
      <c r="E18">
        <v>23</v>
      </c>
      <c r="F18">
        <v>5.21</v>
      </c>
      <c r="G18">
        <v>9.4499999999999993</v>
      </c>
      <c r="H18">
        <v>11.48</v>
      </c>
      <c r="I18">
        <v>6.04</v>
      </c>
      <c r="L18">
        <v>3.84</v>
      </c>
      <c r="M18">
        <v>9.99</v>
      </c>
      <c r="N18">
        <v>10.63</v>
      </c>
      <c r="O18">
        <v>8.0500000000000007</v>
      </c>
      <c r="Q18">
        <v>7.83</v>
      </c>
      <c r="R18">
        <v>14.43</v>
      </c>
      <c r="S18">
        <v>36.15</v>
      </c>
      <c r="T18">
        <v>12.32</v>
      </c>
      <c r="U18">
        <v>27.98</v>
      </c>
      <c r="V18">
        <v>46.1</v>
      </c>
      <c r="W18">
        <v>1.64</v>
      </c>
      <c r="X18">
        <v>15.55</v>
      </c>
      <c r="Y18">
        <v>19</v>
      </c>
      <c r="Z18">
        <v>9.16</v>
      </c>
    </row>
    <row r="19" spans="1:26" x14ac:dyDescent="0.35">
      <c r="A19">
        <v>17</v>
      </c>
      <c r="B19" t="s">
        <v>24</v>
      </c>
      <c r="C19" t="s">
        <v>6</v>
      </c>
      <c r="D19" t="s">
        <v>87</v>
      </c>
      <c r="E19">
        <v>24</v>
      </c>
      <c r="F19">
        <v>5.55</v>
      </c>
      <c r="G19">
        <v>10.66</v>
      </c>
      <c r="H19">
        <v>17.71</v>
      </c>
      <c r="I19">
        <v>6.14</v>
      </c>
      <c r="J19">
        <v>8.36</v>
      </c>
      <c r="K19">
        <v>15.14</v>
      </c>
      <c r="L19">
        <v>5.52</v>
      </c>
      <c r="M19">
        <v>7.1</v>
      </c>
      <c r="N19">
        <v>12.41</v>
      </c>
      <c r="O19">
        <v>6.68</v>
      </c>
      <c r="Q19">
        <v>22.66</v>
      </c>
      <c r="R19">
        <v>11.09</v>
      </c>
      <c r="S19">
        <v>16.760000000000002</v>
      </c>
      <c r="T19">
        <v>13.19</v>
      </c>
      <c r="U19">
        <v>18.3</v>
      </c>
      <c r="V19">
        <v>50.38</v>
      </c>
      <c r="W19">
        <v>1.64</v>
      </c>
      <c r="X19">
        <v>12.87</v>
      </c>
      <c r="Y19">
        <v>25.91</v>
      </c>
      <c r="Z19">
        <v>6.78</v>
      </c>
    </row>
    <row r="20" spans="1:26" x14ac:dyDescent="0.35">
      <c r="A20">
        <v>18</v>
      </c>
      <c r="B20" t="s">
        <v>25</v>
      </c>
      <c r="C20" t="s">
        <v>6</v>
      </c>
      <c r="D20" t="s">
        <v>86</v>
      </c>
      <c r="E20">
        <v>26</v>
      </c>
      <c r="F20">
        <v>2.74</v>
      </c>
      <c r="G20">
        <v>9.9</v>
      </c>
      <c r="H20">
        <v>16.79</v>
      </c>
      <c r="I20">
        <v>5.64</v>
      </c>
      <c r="J20">
        <v>7.01</v>
      </c>
      <c r="K20">
        <v>17.21</v>
      </c>
      <c r="L20">
        <v>5.56</v>
      </c>
      <c r="M20">
        <v>9.43</v>
      </c>
      <c r="N20">
        <v>9.19</v>
      </c>
      <c r="O20">
        <v>5.43</v>
      </c>
      <c r="Q20">
        <v>9.15</v>
      </c>
      <c r="R20">
        <v>9.93</v>
      </c>
      <c r="S20">
        <v>15.15</v>
      </c>
      <c r="T20">
        <v>14.05</v>
      </c>
      <c r="U20">
        <v>12.81</v>
      </c>
      <c r="V20">
        <v>29.31</v>
      </c>
      <c r="W20">
        <v>1.28</v>
      </c>
      <c r="X20">
        <v>11.9</v>
      </c>
      <c r="Y20">
        <v>19.41</v>
      </c>
      <c r="Z20">
        <v>2.35</v>
      </c>
    </row>
    <row r="21" spans="1:26" x14ac:dyDescent="0.35">
      <c r="A21">
        <v>19</v>
      </c>
      <c r="B21" t="s">
        <v>26</v>
      </c>
      <c r="C21" t="s">
        <v>6</v>
      </c>
      <c r="D21" t="s">
        <v>87</v>
      </c>
      <c r="E21">
        <v>25</v>
      </c>
      <c r="F21">
        <v>4.26</v>
      </c>
      <c r="G21">
        <v>6.56</v>
      </c>
      <c r="H21">
        <v>15.23</v>
      </c>
      <c r="I21">
        <v>6.64</v>
      </c>
      <c r="K21">
        <v>14.33</v>
      </c>
      <c r="L21">
        <v>4.92</v>
      </c>
      <c r="M21">
        <v>4.66</v>
      </c>
      <c r="N21">
        <v>8.0399999999999991</v>
      </c>
      <c r="O21">
        <v>4.7300000000000004</v>
      </c>
      <c r="Q21">
        <v>16.010000000000002</v>
      </c>
      <c r="R21">
        <v>19.850000000000001</v>
      </c>
      <c r="S21">
        <v>30.93</v>
      </c>
      <c r="T21">
        <v>12.9</v>
      </c>
      <c r="U21">
        <v>18.98</v>
      </c>
      <c r="V21">
        <v>31.36</v>
      </c>
      <c r="W21">
        <v>2.5299999999999998</v>
      </c>
      <c r="X21">
        <v>10.14</v>
      </c>
      <c r="Y21">
        <v>19.010000000000002</v>
      </c>
      <c r="Z21">
        <v>4.6500000000000004</v>
      </c>
    </row>
    <row r="22" spans="1:26" x14ac:dyDescent="0.35">
      <c r="A22">
        <v>20</v>
      </c>
      <c r="B22" t="s">
        <v>27</v>
      </c>
      <c r="C22" t="s">
        <v>6</v>
      </c>
      <c r="D22" t="s">
        <v>87</v>
      </c>
      <c r="E22">
        <v>25</v>
      </c>
      <c r="F22">
        <v>6.38</v>
      </c>
      <c r="G22">
        <v>11.6</v>
      </c>
      <c r="H22">
        <v>24.91</v>
      </c>
      <c r="I22">
        <v>9.1</v>
      </c>
      <c r="J22">
        <v>10.81</v>
      </c>
      <c r="K22">
        <v>16.25</v>
      </c>
      <c r="L22">
        <v>9.08</v>
      </c>
      <c r="M22">
        <v>7.35</v>
      </c>
      <c r="N22">
        <v>15.3</v>
      </c>
      <c r="O22">
        <v>9.2100000000000009</v>
      </c>
      <c r="Q22">
        <v>5.87</v>
      </c>
      <c r="R22">
        <v>12.33</v>
      </c>
      <c r="S22">
        <v>41.33</v>
      </c>
      <c r="T22">
        <v>15.78</v>
      </c>
      <c r="U22">
        <v>15.96</v>
      </c>
      <c r="V22">
        <v>54.28</v>
      </c>
      <c r="W22">
        <v>1.43</v>
      </c>
      <c r="X22">
        <v>13.13</v>
      </c>
      <c r="Y22">
        <v>19.48</v>
      </c>
      <c r="Z22">
        <v>3.16</v>
      </c>
    </row>
    <row r="23" spans="1:26" x14ac:dyDescent="0.35">
      <c r="A23">
        <v>21</v>
      </c>
      <c r="B23" t="s">
        <v>28</v>
      </c>
      <c r="C23" t="s">
        <v>5</v>
      </c>
      <c r="D23" t="s">
        <v>87</v>
      </c>
      <c r="E23">
        <v>73</v>
      </c>
      <c r="F23">
        <v>5.36</v>
      </c>
      <c r="G23">
        <v>8.16</v>
      </c>
      <c r="H23">
        <v>15.37</v>
      </c>
      <c r="I23">
        <v>7.63</v>
      </c>
      <c r="K23">
        <v>27.22</v>
      </c>
      <c r="L23">
        <v>4.38</v>
      </c>
      <c r="M23">
        <v>7.32</v>
      </c>
      <c r="N23">
        <v>11.75</v>
      </c>
      <c r="O23">
        <v>6.03</v>
      </c>
      <c r="Q23">
        <v>20.14</v>
      </c>
      <c r="R23">
        <v>27.98</v>
      </c>
      <c r="S23">
        <v>64.94</v>
      </c>
      <c r="T23">
        <v>61.59</v>
      </c>
      <c r="U23">
        <v>90.53</v>
      </c>
      <c r="V23">
        <v>82.13</v>
      </c>
      <c r="W23">
        <v>2.2999999999999998</v>
      </c>
      <c r="X23">
        <v>26.85</v>
      </c>
      <c r="Y23">
        <v>37.97</v>
      </c>
      <c r="Z23">
        <v>27.07</v>
      </c>
    </row>
    <row r="24" spans="1:26" x14ac:dyDescent="0.35">
      <c r="A24">
        <v>22</v>
      </c>
      <c r="B24" t="s">
        <v>29</v>
      </c>
      <c r="C24" t="s">
        <v>5</v>
      </c>
      <c r="D24" t="s">
        <v>86</v>
      </c>
      <c r="E24">
        <v>70</v>
      </c>
      <c r="F24">
        <v>9.2899999999999991</v>
      </c>
      <c r="G24">
        <v>11.62</v>
      </c>
      <c r="H24">
        <v>20.36</v>
      </c>
      <c r="I24">
        <v>9.5299999999999994</v>
      </c>
      <c r="L24">
        <v>6.07</v>
      </c>
      <c r="M24">
        <v>8.08</v>
      </c>
      <c r="N24">
        <v>19.36</v>
      </c>
      <c r="O24">
        <v>7.15</v>
      </c>
      <c r="Q24">
        <v>74.53</v>
      </c>
      <c r="R24">
        <v>33.270000000000003</v>
      </c>
      <c r="S24">
        <v>75.87</v>
      </c>
      <c r="T24">
        <v>86.9</v>
      </c>
      <c r="U24">
        <v>59.24</v>
      </c>
      <c r="V24">
        <v>79.02</v>
      </c>
      <c r="W24">
        <v>1.7</v>
      </c>
      <c r="X24">
        <v>39.229999999999997</v>
      </c>
      <c r="Y24">
        <v>51.67</v>
      </c>
      <c r="Z24">
        <v>11.59</v>
      </c>
    </row>
    <row r="25" spans="1:26" x14ac:dyDescent="0.35">
      <c r="A25">
        <v>23</v>
      </c>
      <c r="B25" t="s">
        <v>30</v>
      </c>
      <c r="C25" t="s">
        <v>5</v>
      </c>
      <c r="D25" t="s">
        <v>86</v>
      </c>
      <c r="E25">
        <v>70</v>
      </c>
      <c r="F25">
        <v>7.06</v>
      </c>
      <c r="H25">
        <v>16.96</v>
      </c>
      <c r="I25">
        <v>10.89</v>
      </c>
      <c r="J25">
        <v>11.51</v>
      </c>
      <c r="K25">
        <v>15.28</v>
      </c>
      <c r="L25">
        <v>7.68</v>
      </c>
      <c r="M25">
        <v>7.6</v>
      </c>
      <c r="N25">
        <v>13.9</v>
      </c>
      <c r="O25">
        <v>6.23</v>
      </c>
      <c r="Q25">
        <v>35.4</v>
      </c>
      <c r="R25">
        <v>32.15</v>
      </c>
      <c r="S25">
        <v>50.48</v>
      </c>
      <c r="T25">
        <v>60.27</v>
      </c>
      <c r="U25">
        <v>50.87</v>
      </c>
      <c r="V25">
        <v>53.02</v>
      </c>
      <c r="W25">
        <v>1.51</v>
      </c>
      <c r="X25">
        <v>48.74</v>
      </c>
      <c r="Y25">
        <v>43.5</v>
      </c>
      <c r="Z25">
        <v>1.9</v>
      </c>
    </row>
    <row r="26" spans="1:26" x14ac:dyDescent="0.35">
      <c r="A26">
        <v>24</v>
      </c>
      <c r="B26" t="s">
        <v>31</v>
      </c>
      <c r="C26" t="s">
        <v>5</v>
      </c>
      <c r="D26" t="s">
        <v>87</v>
      </c>
      <c r="E26">
        <v>67</v>
      </c>
      <c r="F26">
        <v>8.25</v>
      </c>
      <c r="G26">
        <v>8.41</v>
      </c>
      <c r="H26">
        <v>18.37</v>
      </c>
      <c r="I26">
        <v>7.77</v>
      </c>
      <c r="J26">
        <v>10.87</v>
      </c>
      <c r="K26">
        <v>29.22</v>
      </c>
      <c r="L26">
        <v>7.25</v>
      </c>
      <c r="M26">
        <v>7</v>
      </c>
      <c r="N26">
        <v>9.4600000000000009</v>
      </c>
      <c r="O26">
        <v>5.07</v>
      </c>
      <c r="Q26">
        <v>23.66</v>
      </c>
      <c r="R26">
        <v>55.83</v>
      </c>
      <c r="S26">
        <v>49.69</v>
      </c>
      <c r="T26">
        <v>28.1</v>
      </c>
      <c r="U26">
        <v>88.71</v>
      </c>
      <c r="V26">
        <v>103.76</v>
      </c>
      <c r="W26">
        <v>7.3</v>
      </c>
      <c r="X26">
        <v>58.54</v>
      </c>
      <c r="Y26">
        <v>50.57</v>
      </c>
      <c r="Z26">
        <v>24.87</v>
      </c>
    </row>
    <row r="27" spans="1:26" x14ac:dyDescent="0.35">
      <c r="A27">
        <v>25</v>
      </c>
      <c r="B27" t="s">
        <v>32</v>
      </c>
      <c r="C27" t="s">
        <v>6</v>
      </c>
      <c r="D27" t="s">
        <v>86</v>
      </c>
      <c r="E27">
        <v>25</v>
      </c>
      <c r="F27">
        <v>6.93</v>
      </c>
      <c r="G27">
        <v>8.6</v>
      </c>
      <c r="H27">
        <v>17.82</v>
      </c>
      <c r="I27">
        <v>8.43</v>
      </c>
      <c r="K27">
        <v>14.53</v>
      </c>
      <c r="L27">
        <v>6.75</v>
      </c>
      <c r="M27">
        <v>7.75</v>
      </c>
      <c r="N27">
        <v>10.199999999999999</v>
      </c>
      <c r="O27">
        <v>6.03</v>
      </c>
      <c r="Q27">
        <v>6.73</v>
      </c>
      <c r="R27">
        <v>10.06</v>
      </c>
      <c r="S27">
        <v>34.71</v>
      </c>
      <c r="T27">
        <v>11.06</v>
      </c>
      <c r="U27">
        <v>13.18</v>
      </c>
      <c r="V27">
        <v>39.479999999999997</v>
      </c>
      <c r="W27">
        <v>4.78</v>
      </c>
      <c r="X27">
        <v>11.57</v>
      </c>
      <c r="Y27">
        <v>20.440000000000001</v>
      </c>
      <c r="Z27">
        <v>2.78</v>
      </c>
    </row>
    <row r="28" spans="1:26" x14ac:dyDescent="0.35">
      <c r="A28">
        <v>26</v>
      </c>
      <c r="B28" t="s">
        <v>33</v>
      </c>
      <c r="C28" t="s">
        <v>6</v>
      </c>
      <c r="D28" t="s">
        <v>86</v>
      </c>
      <c r="E28">
        <v>24</v>
      </c>
      <c r="F28">
        <v>6.33</v>
      </c>
      <c r="G28">
        <v>10.58</v>
      </c>
      <c r="H28">
        <v>17.41</v>
      </c>
      <c r="I28">
        <v>8.43</v>
      </c>
      <c r="J28">
        <v>10.11</v>
      </c>
      <c r="K28">
        <v>20.12</v>
      </c>
      <c r="L28">
        <v>6.53</v>
      </c>
      <c r="M28">
        <v>6.94</v>
      </c>
      <c r="N28">
        <v>12.38</v>
      </c>
      <c r="O28">
        <v>5.21</v>
      </c>
      <c r="Q28">
        <v>9.11</v>
      </c>
      <c r="R28">
        <v>12.33</v>
      </c>
      <c r="S28">
        <v>32.130000000000003</v>
      </c>
      <c r="T28">
        <v>11.08</v>
      </c>
      <c r="U28">
        <v>16.28</v>
      </c>
      <c r="V28">
        <v>27.95</v>
      </c>
      <c r="W28">
        <v>1.0900000000000001</v>
      </c>
      <c r="X28">
        <v>16.63</v>
      </c>
      <c r="Y28">
        <v>18.8</v>
      </c>
      <c r="Z28">
        <v>2.96</v>
      </c>
    </row>
    <row r="29" spans="1:26" x14ac:dyDescent="0.35">
      <c r="A29">
        <v>27</v>
      </c>
      <c r="B29" t="s">
        <v>34</v>
      </c>
      <c r="C29" t="s">
        <v>6</v>
      </c>
      <c r="D29" t="s">
        <v>87</v>
      </c>
      <c r="E29">
        <v>26</v>
      </c>
      <c r="F29">
        <v>7.09</v>
      </c>
      <c r="G29">
        <v>10.11</v>
      </c>
      <c r="H29">
        <v>19.43</v>
      </c>
      <c r="I29">
        <v>8.06</v>
      </c>
      <c r="J29">
        <v>13.25</v>
      </c>
      <c r="K29">
        <v>17.97</v>
      </c>
      <c r="L29">
        <v>7.31</v>
      </c>
      <c r="M29">
        <v>9.11</v>
      </c>
      <c r="N29">
        <v>15.74</v>
      </c>
      <c r="O29">
        <v>7.63</v>
      </c>
      <c r="Q29">
        <v>6.46</v>
      </c>
      <c r="R29">
        <v>9.31</v>
      </c>
      <c r="S29">
        <v>17.559999999999999</v>
      </c>
      <c r="T29">
        <v>12.89</v>
      </c>
      <c r="U29">
        <v>15.71</v>
      </c>
      <c r="V29">
        <v>32.159999999999997</v>
      </c>
      <c r="W29">
        <v>1.33</v>
      </c>
      <c r="X29">
        <v>11.1</v>
      </c>
      <c r="Y29">
        <v>17.46</v>
      </c>
      <c r="Z29">
        <v>2.35</v>
      </c>
    </row>
    <row r="30" spans="1:26" x14ac:dyDescent="0.35">
      <c r="A30">
        <v>28</v>
      </c>
      <c r="B30" t="s">
        <v>35</v>
      </c>
      <c r="C30" t="s">
        <v>6</v>
      </c>
      <c r="D30" t="s">
        <v>86</v>
      </c>
      <c r="E30">
        <v>23</v>
      </c>
      <c r="F30">
        <v>8.51</v>
      </c>
      <c r="G30">
        <v>10.75</v>
      </c>
      <c r="H30">
        <v>19.05</v>
      </c>
      <c r="I30">
        <v>6.13</v>
      </c>
      <c r="J30">
        <v>14.13</v>
      </c>
      <c r="K30">
        <v>24.17</v>
      </c>
      <c r="L30">
        <v>7.96</v>
      </c>
      <c r="M30">
        <v>11</v>
      </c>
      <c r="N30">
        <v>13.93</v>
      </c>
      <c r="O30">
        <v>6.96</v>
      </c>
      <c r="Q30">
        <v>11.91</v>
      </c>
      <c r="R30">
        <v>4.96</v>
      </c>
      <c r="S30">
        <v>22.88</v>
      </c>
      <c r="T30">
        <v>22.27</v>
      </c>
      <c r="U30">
        <v>26.35</v>
      </c>
      <c r="V30">
        <v>33.32</v>
      </c>
      <c r="W30">
        <v>2.6</v>
      </c>
      <c r="X30">
        <v>23.72</v>
      </c>
      <c r="Y30">
        <v>14.85</v>
      </c>
      <c r="Z30">
        <v>1.63</v>
      </c>
    </row>
    <row r="31" spans="1:26" x14ac:dyDescent="0.35">
      <c r="A31">
        <v>29</v>
      </c>
      <c r="B31" t="s">
        <v>36</v>
      </c>
      <c r="C31" t="s">
        <v>6</v>
      </c>
      <c r="D31" t="s">
        <v>87</v>
      </c>
      <c r="E31">
        <v>22</v>
      </c>
      <c r="F31">
        <v>7.41</v>
      </c>
      <c r="G31">
        <v>10.41</v>
      </c>
      <c r="H31">
        <v>18.399999999999999</v>
      </c>
      <c r="I31">
        <v>9.2799999999999994</v>
      </c>
      <c r="J31">
        <v>11.01</v>
      </c>
      <c r="K31">
        <v>14.58</v>
      </c>
      <c r="L31">
        <v>6.33</v>
      </c>
      <c r="M31">
        <v>8.4600000000000009</v>
      </c>
      <c r="N31">
        <v>11.78</v>
      </c>
      <c r="O31">
        <v>5.8</v>
      </c>
      <c r="Q31">
        <v>8.9</v>
      </c>
      <c r="R31">
        <v>15.66</v>
      </c>
      <c r="S31">
        <v>21.88</v>
      </c>
      <c r="T31">
        <v>12.26</v>
      </c>
      <c r="U31">
        <v>20.67</v>
      </c>
      <c r="V31">
        <v>36.68</v>
      </c>
      <c r="W31">
        <v>2.0099999999999998</v>
      </c>
      <c r="X31">
        <v>11.41</v>
      </c>
      <c r="Y31">
        <v>18.75</v>
      </c>
      <c r="Z31">
        <v>3.9</v>
      </c>
    </row>
    <row r="32" spans="1:26" x14ac:dyDescent="0.35">
      <c r="A32">
        <v>30</v>
      </c>
      <c r="B32" t="s">
        <v>37</v>
      </c>
      <c r="C32" t="s">
        <v>6</v>
      </c>
      <c r="D32" t="s">
        <v>87</v>
      </c>
      <c r="E32">
        <v>23</v>
      </c>
      <c r="F32">
        <v>5.6</v>
      </c>
      <c r="G32">
        <v>8.7100000000000009</v>
      </c>
      <c r="H32">
        <v>10.48</v>
      </c>
      <c r="I32">
        <v>7.04</v>
      </c>
      <c r="J32">
        <v>7.46</v>
      </c>
      <c r="K32">
        <v>13</v>
      </c>
      <c r="L32">
        <v>4.6500000000000004</v>
      </c>
      <c r="M32">
        <v>7.33</v>
      </c>
      <c r="N32">
        <v>8.73</v>
      </c>
      <c r="O32">
        <v>2.71</v>
      </c>
      <c r="Q32">
        <v>8.51</v>
      </c>
      <c r="R32">
        <v>9.9600000000000009</v>
      </c>
      <c r="S32">
        <v>31.68</v>
      </c>
      <c r="T32">
        <v>10</v>
      </c>
      <c r="U32">
        <v>11.78</v>
      </c>
      <c r="V32">
        <v>29.82</v>
      </c>
      <c r="W32">
        <v>1.36</v>
      </c>
      <c r="X32">
        <v>10.45</v>
      </c>
      <c r="Y32">
        <v>27.37</v>
      </c>
      <c r="Z32">
        <v>2.2000000000000002</v>
      </c>
    </row>
    <row r="33" spans="1:26" x14ac:dyDescent="0.35">
      <c r="A33">
        <v>31</v>
      </c>
      <c r="B33" t="s">
        <v>38</v>
      </c>
      <c r="C33" t="s">
        <v>6</v>
      </c>
      <c r="D33" t="s">
        <v>87</v>
      </c>
      <c r="E33">
        <v>19</v>
      </c>
      <c r="F33">
        <v>6.55</v>
      </c>
      <c r="G33">
        <v>12.31</v>
      </c>
      <c r="H33">
        <v>14.68</v>
      </c>
      <c r="I33">
        <v>8.0500000000000007</v>
      </c>
      <c r="K33">
        <v>22.82</v>
      </c>
      <c r="L33">
        <v>5.42</v>
      </c>
      <c r="M33">
        <v>7.76</v>
      </c>
      <c r="N33">
        <v>11.95</v>
      </c>
      <c r="O33">
        <v>5.05</v>
      </c>
      <c r="Q33">
        <v>5.95</v>
      </c>
      <c r="R33">
        <v>6.58</v>
      </c>
      <c r="S33">
        <v>13.11</v>
      </c>
      <c r="T33">
        <v>7.2</v>
      </c>
      <c r="U33">
        <v>7.9</v>
      </c>
      <c r="V33">
        <v>36.25</v>
      </c>
      <c r="W33">
        <v>1.08</v>
      </c>
      <c r="X33">
        <v>23.98</v>
      </c>
      <c r="Y33">
        <v>22</v>
      </c>
      <c r="Z33">
        <v>1</v>
      </c>
    </row>
    <row r="34" spans="1:26" x14ac:dyDescent="0.35">
      <c r="A34">
        <v>32</v>
      </c>
      <c r="B34" t="s">
        <v>39</v>
      </c>
      <c r="C34" t="s">
        <v>6</v>
      </c>
      <c r="D34" t="s">
        <v>87</v>
      </c>
      <c r="E34">
        <v>25</v>
      </c>
      <c r="F34">
        <v>5.56</v>
      </c>
      <c r="G34">
        <v>7.08</v>
      </c>
      <c r="H34">
        <v>15.88</v>
      </c>
      <c r="I34">
        <v>9.9600000000000009</v>
      </c>
      <c r="J34">
        <v>12.45</v>
      </c>
      <c r="K34">
        <v>24.6</v>
      </c>
      <c r="L34">
        <v>6.93</v>
      </c>
      <c r="M34">
        <v>11.46</v>
      </c>
      <c r="N34">
        <v>12.98</v>
      </c>
      <c r="O34">
        <v>4.96</v>
      </c>
      <c r="Q34">
        <v>8.5500000000000007</v>
      </c>
      <c r="R34">
        <v>11.53</v>
      </c>
      <c r="S34">
        <v>34.770000000000003</v>
      </c>
      <c r="T34">
        <v>15.97</v>
      </c>
      <c r="U34">
        <v>25.68</v>
      </c>
      <c r="V34">
        <v>43.39</v>
      </c>
      <c r="W34">
        <v>1.18</v>
      </c>
      <c r="X34">
        <v>12.91</v>
      </c>
      <c r="Y34">
        <v>24.74</v>
      </c>
      <c r="Z34">
        <v>5.13</v>
      </c>
    </row>
    <row r="35" spans="1:26" x14ac:dyDescent="0.35">
      <c r="A35">
        <v>33</v>
      </c>
      <c r="B35" t="s">
        <v>40</v>
      </c>
      <c r="C35" t="s">
        <v>6</v>
      </c>
      <c r="D35" t="s">
        <v>87</v>
      </c>
      <c r="E35">
        <v>26</v>
      </c>
      <c r="F35">
        <v>5.94</v>
      </c>
      <c r="G35">
        <v>5.65</v>
      </c>
      <c r="H35">
        <v>9.5500000000000007</v>
      </c>
      <c r="I35">
        <v>7.43</v>
      </c>
      <c r="K35">
        <v>9.9</v>
      </c>
      <c r="L35">
        <v>5.26</v>
      </c>
      <c r="M35">
        <v>7.36</v>
      </c>
      <c r="N35">
        <v>10.15</v>
      </c>
      <c r="O35">
        <v>3.9</v>
      </c>
      <c r="Q35">
        <v>12.48</v>
      </c>
      <c r="R35">
        <v>8.75</v>
      </c>
      <c r="S35">
        <v>22.47</v>
      </c>
      <c r="T35">
        <v>14.06</v>
      </c>
      <c r="U35">
        <v>23.42</v>
      </c>
      <c r="V35">
        <v>29.37</v>
      </c>
      <c r="W35">
        <v>0.88</v>
      </c>
      <c r="X35">
        <v>10.8</v>
      </c>
      <c r="Y35">
        <v>17.98</v>
      </c>
      <c r="Z35">
        <v>16.309999999999999</v>
      </c>
    </row>
    <row r="36" spans="1:26" x14ac:dyDescent="0.35">
      <c r="A36">
        <v>34</v>
      </c>
      <c r="B36" t="s">
        <v>41</v>
      </c>
      <c r="C36" t="s">
        <v>6</v>
      </c>
      <c r="D36" t="s">
        <v>87</v>
      </c>
      <c r="E36">
        <v>23</v>
      </c>
      <c r="F36">
        <v>6.45</v>
      </c>
      <c r="G36">
        <v>7.98</v>
      </c>
      <c r="H36">
        <v>22.21</v>
      </c>
      <c r="I36">
        <v>7.55</v>
      </c>
      <c r="J36">
        <v>10.41</v>
      </c>
      <c r="K36">
        <v>13.63</v>
      </c>
      <c r="L36">
        <v>4.91</v>
      </c>
      <c r="M36">
        <v>6.66</v>
      </c>
      <c r="N36">
        <v>9.4</v>
      </c>
      <c r="O36">
        <v>3.96</v>
      </c>
      <c r="Q36">
        <v>8.31</v>
      </c>
      <c r="R36">
        <v>15.31</v>
      </c>
      <c r="S36">
        <v>19.68</v>
      </c>
      <c r="T36">
        <v>18.28</v>
      </c>
      <c r="U36">
        <v>29.01</v>
      </c>
      <c r="V36">
        <v>25.43</v>
      </c>
      <c r="W36">
        <v>0.85</v>
      </c>
      <c r="X36">
        <v>10.51</v>
      </c>
      <c r="Y36">
        <v>14.68</v>
      </c>
      <c r="Z36">
        <v>4.3</v>
      </c>
    </row>
    <row r="37" spans="1:26" x14ac:dyDescent="0.35">
      <c r="A37">
        <v>35</v>
      </c>
      <c r="B37" t="s">
        <v>42</v>
      </c>
      <c r="C37" t="s">
        <v>6</v>
      </c>
      <c r="D37" t="s">
        <v>87</v>
      </c>
      <c r="E37">
        <v>24</v>
      </c>
      <c r="F37">
        <v>6.31</v>
      </c>
      <c r="G37">
        <v>7.01</v>
      </c>
      <c r="H37">
        <v>21.59</v>
      </c>
      <c r="I37">
        <v>7.46</v>
      </c>
      <c r="K37">
        <v>21.09</v>
      </c>
      <c r="L37">
        <v>7.41</v>
      </c>
      <c r="M37">
        <v>7.28</v>
      </c>
      <c r="N37">
        <v>9.01</v>
      </c>
      <c r="O37">
        <v>5.22</v>
      </c>
      <c r="Q37">
        <v>6.53</v>
      </c>
      <c r="R37">
        <v>39.01</v>
      </c>
      <c r="S37">
        <v>43.39</v>
      </c>
      <c r="T37">
        <v>11</v>
      </c>
      <c r="U37">
        <v>48.95</v>
      </c>
      <c r="V37">
        <v>67.97</v>
      </c>
      <c r="W37">
        <v>0.66</v>
      </c>
      <c r="X37">
        <v>23.91</v>
      </c>
      <c r="Y37">
        <v>38.53</v>
      </c>
      <c r="Z37">
        <v>10.75</v>
      </c>
    </row>
    <row r="38" spans="1:26" x14ac:dyDescent="0.35">
      <c r="A38">
        <v>36</v>
      </c>
      <c r="B38" t="s">
        <v>43</v>
      </c>
      <c r="C38" t="s">
        <v>6</v>
      </c>
      <c r="D38" t="s">
        <v>86</v>
      </c>
      <c r="E38">
        <v>27</v>
      </c>
      <c r="F38">
        <v>4.99</v>
      </c>
      <c r="G38">
        <v>6.91</v>
      </c>
      <c r="H38">
        <v>16.13</v>
      </c>
      <c r="I38">
        <v>7.88</v>
      </c>
      <c r="J38">
        <v>7.86</v>
      </c>
      <c r="K38">
        <v>18.329999999999998</v>
      </c>
      <c r="L38">
        <v>5.71</v>
      </c>
      <c r="M38">
        <v>5.64</v>
      </c>
      <c r="N38">
        <v>8.57</v>
      </c>
      <c r="O38">
        <v>6.33</v>
      </c>
      <c r="Q38">
        <v>11.64</v>
      </c>
      <c r="R38">
        <v>11.73</v>
      </c>
      <c r="S38">
        <v>18.05</v>
      </c>
      <c r="T38">
        <v>14.13</v>
      </c>
      <c r="U38">
        <v>19.690000000000001</v>
      </c>
      <c r="V38">
        <v>29.1</v>
      </c>
      <c r="W38">
        <v>1.58</v>
      </c>
      <c r="X38">
        <v>14.21</v>
      </c>
      <c r="Y38">
        <v>17.809999999999999</v>
      </c>
      <c r="Z38">
        <v>3.49</v>
      </c>
    </row>
    <row r="39" spans="1:26" x14ac:dyDescent="0.35">
      <c r="A39">
        <v>37</v>
      </c>
      <c r="B39" t="s">
        <v>44</v>
      </c>
      <c r="C39" t="s">
        <v>6</v>
      </c>
      <c r="D39" t="s">
        <v>86</v>
      </c>
      <c r="E39">
        <v>19</v>
      </c>
      <c r="F39">
        <v>7.13</v>
      </c>
      <c r="G39">
        <v>7.9</v>
      </c>
      <c r="H39">
        <v>19.489999999999998</v>
      </c>
      <c r="I39">
        <v>7.14</v>
      </c>
      <c r="K39">
        <v>10.78</v>
      </c>
      <c r="L39">
        <v>6.28</v>
      </c>
      <c r="M39">
        <v>6.59</v>
      </c>
      <c r="N39">
        <v>12.45</v>
      </c>
      <c r="O39">
        <v>5.71</v>
      </c>
      <c r="Q39">
        <v>8.56</v>
      </c>
      <c r="R39">
        <v>13.86</v>
      </c>
      <c r="S39">
        <v>22.25</v>
      </c>
      <c r="T39">
        <v>14.53</v>
      </c>
      <c r="U39">
        <v>33.96</v>
      </c>
      <c r="V39">
        <v>27.48</v>
      </c>
      <c r="W39">
        <v>1.26</v>
      </c>
      <c r="X39">
        <v>11.65</v>
      </c>
      <c r="Y39">
        <v>20.7</v>
      </c>
      <c r="Z39">
        <v>7.2</v>
      </c>
    </row>
    <row r="40" spans="1:26" x14ac:dyDescent="0.35">
      <c r="A40">
        <v>38</v>
      </c>
      <c r="B40" t="s">
        <v>45</v>
      </c>
      <c r="C40" t="s">
        <v>6</v>
      </c>
      <c r="D40" t="s">
        <v>87</v>
      </c>
      <c r="E40">
        <v>25</v>
      </c>
      <c r="F40">
        <v>6.67</v>
      </c>
      <c r="G40">
        <v>7.89</v>
      </c>
      <c r="H40">
        <v>22.15</v>
      </c>
      <c r="I40">
        <v>8.2100000000000009</v>
      </c>
      <c r="K40">
        <v>13.58</v>
      </c>
      <c r="L40">
        <v>4.55</v>
      </c>
      <c r="M40">
        <v>10.66</v>
      </c>
      <c r="N40">
        <v>15.28</v>
      </c>
      <c r="O40">
        <v>7.76</v>
      </c>
      <c r="Q40">
        <v>8.33</v>
      </c>
      <c r="R40">
        <v>22.91</v>
      </c>
      <c r="S40">
        <v>26.97</v>
      </c>
      <c r="T40">
        <v>11.7</v>
      </c>
      <c r="U40">
        <v>13.93</v>
      </c>
      <c r="V40">
        <v>29.08</v>
      </c>
      <c r="W40">
        <v>0.93</v>
      </c>
      <c r="X40">
        <v>18.88</v>
      </c>
      <c r="Y40">
        <v>25.17</v>
      </c>
      <c r="Z40">
        <v>4.5999999999999996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F8F2-A1E9-E844-B2E0-AC836E6341ED}">
  <dimension ref="A1:Z40"/>
  <sheetViews>
    <sheetView workbookViewId="0">
      <selection activeCell="F3" sqref="F3"/>
    </sheetView>
  </sheetViews>
  <sheetFormatPr defaultColWidth="11.07421875" defaultRowHeight="15.5" x14ac:dyDescent="0.35"/>
  <cols>
    <col min="2" max="2" width="17.3046875" bestFit="1" customWidth="1"/>
    <col min="6" max="6" width="11" customWidth="1"/>
    <col min="7" max="7" width="13.3046875" customWidth="1"/>
    <col min="8" max="8" width="9" customWidth="1"/>
  </cols>
  <sheetData>
    <row r="1" spans="1:26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</row>
    <row r="2" spans="1:26" x14ac:dyDescent="0.35">
      <c r="A2">
        <v>0</v>
      </c>
      <c r="B2" t="s">
        <v>7</v>
      </c>
      <c r="C2" t="s">
        <v>5</v>
      </c>
      <c r="D2" t="s">
        <v>86</v>
      </c>
      <c r="E2">
        <v>76</v>
      </c>
      <c r="F2">
        <f>SUM(19.18,38.02,24.05)/3</f>
        <v>27.083333333333332</v>
      </c>
      <c r="G2">
        <v>21.92</v>
      </c>
      <c r="H2">
        <v>43.84</v>
      </c>
      <c r="I2">
        <v>11.61</v>
      </c>
      <c r="J2">
        <f>SUM(26.55, 12.35)/2</f>
        <v>19.45</v>
      </c>
      <c r="K2">
        <f>SUM(138.16, 49.29, 25.92)/3</f>
        <v>71.123333333333335</v>
      </c>
      <c r="L2">
        <f>SUM(14.88, 15.21)/2</f>
        <v>15.045000000000002</v>
      </c>
      <c r="M2">
        <v>13.43</v>
      </c>
      <c r="N2">
        <v>26.93</v>
      </c>
      <c r="O2">
        <v>6.06</v>
      </c>
      <c r="Q2">
        <v>32.549999999999997</v>
      </c>
      <c r="R2">
        <f>SUM(60, 55.14)</f>
        <v>115.14</v>
      </c>
      <c r="S2">
        <f>SUM(60, 54.12)</f>
        <v>114.12</v>
      </c>
      <c r="T2">
        <v>57.22</v>
      </c>
      <c r="U2">
        <v>70.180000000000007</v>
      </c>
      <c r="V2">
        <v>96.41</v>
      </c>
      <c r="W2">
        <v>3.6</v>
      </c>
      <c r="X2">
        <f>SUM(127, 88, 11.2)/3</f>
        <v>75.399999999999991</v>
      </c>
      <c r="Y2">
        <v>49.59</v>
      </c>
      <c r="Z2">
        <v>180</v>
      </c>
    </row>
    <row r="3" spans="1:26" x14ac:dyDescent="0.35">
      <c r="A3">
        <v>1</v>
      </c>
      <c r="B3" t="s">
        <v>8</v>
      </c>
      <c r="C3" t="s">
        <v>5</v>
      </c>
      <c r="D3" t="s">
        <v>86</v>
      </c>
      <c r="E3">
        <v>67</v>
      </c>
      <c r="F3">
        <v>10.26</v>
      </c>
      <c r="G3">
        <f>SUM(12, 17.93)/2</f>
        <v>14.965</v>
      </c>
      <c r="H3">
        <v>19.690000000000001</v>
      </c>
      <c r="I3">
        <f>SUM(9, 10.26, 7.31, 11.61)/4</f>
        <v>9.5449999999999982</v>
      </c>
      <c r="J3">
        <v>9.81</v>
      </c>
      <c r="K3">
        <f>SUM(20.91, 10.23, 19.1, 31.43, 22.96)/5</f>
        <v>20.925999999999998</v>
      </c>
      <c r="L3">
        <f>SUM(8.93, 10.02, 10.06, 12.46, 7.16)/5</f>
        <v>9.7259999999999991</v>
      </c>
      <c r="M3">
        <v>12.71</v>
      </c>
      <c r="N3">
        <f>SUM(8.06, 12.7)/2</f>
        <v>10.379999999999999</v>
      </c>
      <c r="O3">
        <v>4.88</v>
      </c>
      <c r="Q3">
        <v>58.15</v>
      </c>
      <c r="R3">
        <v>107.67</v>
      </c>
      <c r="S3">
        <v>120.95</v>
      </c>
      <c r="T3">
        <v>88.92</v>
      </c>
      <c r="U3">
        <f>SUM(120, 37.53)</f>
        <v>157.53</v>
      </c>
      <c r="V3">
        <v>182.42</v>
      </c>
      <c r="W3">
        <v>18.760000000000002</v>
      </c>
      <c r="X3">
        <v>34.93</v>
      </c>
      <c r="Y3">
        <f>SUM(120, 51.1)</f>
        <v>171.1</v>
      </c>
      <c r="Z3">
        <v>51.71</v>
      </c>
    </row>
    <row r="4" spans="1:26" x14ac:dyDescent="0.35">
      <c r="A4">
        <v>2</v>
      </c>
      <c r="B4" t="s">
        <v>9</v>
      </c>
      <c r="C4" t="s">
        <v>5</v>
      </c>
      <c r="D4" t="s">
        <v>86</v>
      </c>
      <c r="E4">
        <v>67</v>
      </c>
      <c r="F4">
        <v>7.98</v>
      </c>
      <c r="G4">
        <v>13.1</v>
      </c>
      <c r="H4">
        <v>24.53</v>
      </c>
      <c r="I4">
        <f>SUM(8.93, 6.91)/2</f>
        <v>7.92</v>
      </c>
      <c r="J4">
        <f>SUM(15.36, 22.73, 13.9, 11.01, 15.98, 11.26, 10.05, 13.65, 8.75, 10.2, 10.3, 8.88, 11.48, 11.6, 13.53, 9.36)/16</f>
        <v>12.377500000000001</v>
      </c>
      <c r="K4">
        <v>16.850000000000001</v>
      </c>
      <c r="L4">
        <v>9.8000000000000007</v>
      </c>
      <c r="M4">
        <v>8.58</v>
      </c>
      <c r="N4">
        <f>SUM(25.5, 11.1)/2</f>
        <v>18.3</v>
      </c>
      <c r="O4">
        <v>6.93</v>
      </c>
      <c r="Q4">
        <v>12.05</v>
      </c>
      <c r="R4">
        <f>SUM(18.03, 39.05)/2</f>
        <v>28.54</v>
      </c>
      <c r="S4">
        <v>67.19</v>
      </c>
      <c r="T4">
        <v>77.12</v>
      </c>
      <c r="U4">
        <v>43.44</v>
      </c>
      <c r="V4">
        <v>70.09</v>
      </c>
      <c r="W4">
        <v>29.58</v>
      </c>
      <c r="X4">
        <v>44.85</v>
      </c>
      <c r="Y4">
        <v>25.08</v>
      </c>
      <c r="Z4">
        <v>47.76</v>
      </c>
    </row>
    <row r="5" spans="1:26" x14ac:dyDescent="0.35">
      <c r="A5">
        <v>3</v>
      </c>
      <c r="B5" t="s">
        <v>10</v>
      </c>
      <c r="C5" t="s">
        <v>5</v>
      </c>
      <c r="D5" t="s">
        <v>86</v>
      </c>
      <c r="E5">
        <v>77</v>
      </c>
      <c r="F5">
        <v>13.04</v>
      </c>
      <c r="G5">
        <v>22.12</v>
      </c>
      <c r="H5">
        <f>SUM(10.58, 16.33)/2</f>
        <v>13.454999999999998</v>
      </c>
      <c r="I5">
        <v>9.5500000000000007</v>
      </c>
      <c r="J5">
        <f>SUM(13.56, 15.02, 10.25, 14.52, 9, 11.42)/6</f>
        <v>12.295</v>
      </c>
      <c r="K5">
        <f>SUM(25, 12.04, 12.01, 29.48, 32.48)/5</f>
        <v>22.201999999999998</v>
      </c>
      <c r="L5">
        <v>11.84</v>
      </c>
      <c r="M5">
        <v>8.82</v>
      </c>
      <c r="N5">
        <f>SUM(15.97, 14.56)/2</f>
        <v>15.265000000000001</v>
      </c>
      <c r="O5">
        <v>6.3</v>
      </c>
      <c r="Q5">
        <v>39.67</v>
      </c>
      <c r="R5">
        <v>81.34</v>
      </c>
      <c r="S5">
        <f>SUM(60, 58.65)</f>
        <v>118.65</v>
      </c>
      <c r="T5">
        <v>68.349999999999994</v>
      </c>
      <c r="U5">
        <v>76.67</v>
      </c>
      <c r="V5">
        <f>SUM(180,  44.05)</f>
        <v>224.05</v>
      </c>
      <c r="W5">
        <v>3.6</v>
      </c>
      <c r="X5">
        <v>59.46</v>
      </c>
      <c r="Y5">
        <v>63.15</v>
      </c>
      <c r="Z5">
        <v>20.58</v>
      </c>
    </row>
    <row r="6" spans="1:26" x14ac:dyDescent="0.35">
      <c r="A6">
        <v>4</v>
      </c>
      <c r="B6" t="s">
        <v>11</v>
      </c>
      <c r="C6" t="s">
        <v>6</v>
      </c>
      <c r="D6" t="s">
        <v>86</v>
      </c>
      <c r="E6">
        <v>23</v>
      </c>
      <c r="F6">
        <v>6.61</v>
      </c>
      <c r="G6">
        <v>6.76</v>
      </c>
      <c r="H6">
        <v>11.53</v>
      </c>
      <c r="I6">
        <v>8.2100000000000009</v>
      </c>
      <c r="J6">
        <v>11.76</v>
      </c>
      <c r="K6">
        <f>SUM(29.05, 23.45, 19.55)/3</f>
        <v>24.016666666666666</v>
      </c>
      <c r="L6">
        <v>9.58</v>
      </c>
      <c r="M6">
        <v>7.43</v>
      </c>
      <c r="N6">
        <v>16.96</v>
      </c>
      <c r="O6">
        <v>6.4</v>
      </c>
      <c r="Q6">
        <v>6.76</v>
      </c>
      <c r="R6">
        <v>9.4499999999999993</v>
      </c>
      <c r="S6">
        <v>18.63</v>
      </c>
      <c r="T6">
        <v>11.95</v>
      </c>
      <c r="U6">
        <v>20.03</v>
      </c>
      <c r="V6">
        <v>24.71</v>
      </c>
      <c r="W6">
        <v>0.01</v>
      </c>
      <c r="X6">
        <v>11.21</v>
      </c>
      <c r="Y6">
        <v>15.6</v>
      </c>
      <c r="Z6">
        <v>1.59</v>
      </c>
    </row>
    <row r="7" spans="1:26" x14ac:dyDescent="0.35">
      <c r="A7">
        <v>5</v>
      </c>
      <c r="B7" t="s">
        <v>12</v>
      </c>
      <c r="C7" t="s">
        <v>6</v>
      </c>
      <c r="D7" t="s">
        <v>87</v>
      </c>
      <c r="E7">
        <v>24</v>
      </c>
      <c r="F7">
        <v>5.56</v>
      </c>
      <c r="G7">
        <v>9.01</v>
      </c>
      <c r="H7">
        <f>SUM(9.08, 21.21)/2</f>
        <v>15.145</v>
      </c>
      <c r="I7">
        <v>7.48</v>
      </c>
      <c r="J7">
        <v>7.24</v>
      </c>
      <c r="K7">
        <f>SUM(16.23, 23.08)/2</f>
        <v>19.655000000000001</v>
      </c>
      <c r="L7">
        <v>5.08</v>
      </c>
      <c r="M7">
        <v>10.26</v>
      </c>
      <c r="N7">
        <f>SUM(9.01, 9.56, 9.68)/3</f>
        <v>9.4166666666666661</v>
      </c>
      <c r="O7">
        <v>4.05</v>
      </c>
      <c r="Q7">
        <v>7.06</v>
      </c>
      <c r="R7">
        <v>13.35</v>
      </c>
      <c r="S7">
        <v>16.73</v>
      </c>
      <c r="T7">
        <v>12.33</v>
      </c>
      <c r="U7">
        <v>15.66</v>
      </c>
      <c r="V7">
        <v>24.45</v>
      </c>
      <c r="W7">
        <v>3.48</v>
      </c>
      <c r="X7">
        <v>9.81</v>
      </c>
      <c r="Y7">
        <v>20.329999999999998</v>
      </c>
      <c r="Z7">
        <v>3.17</v>
      </c>
    </row>
    <row r="8" spans="1:26" x14ac:dyDescent="0.35">
      <c r="A8">
        <v>6</v>
      </c>
      <c r="B8" t="s">
        <v>13</v>
      </c>
      <c r="C8" t="s">
        <v>6</v>
      </c>
      <c r="D8" t="s">
        <v>86</v>
      </c>
      <c r="E8">
        <v>23</v>
      </c>
      <c r="F8">
        <v>8.1</v>
      </c>
      <c r="G8">
        <f>SUM(13.06, 7.03)/2</f>
        <v>10.045</v>
      </c>
      <c r="H8">
        <v>13.08</v>
      </c>
      <c r="I8">
        <v>8.0500000000000007</v>
      </c>
      <c r="J8">
        <f>SUM(14.68, 12.51, 9.56, 15.55, 18.56, 14.65)/6</f>
        <v>14.251666666666667</v>
      </c>
      <c r="K8">
        <v>16.2</v>
      </c>
      <c r="L8">
        <f>SUM(7.13, 5.66)/2</f>
        <v>6.3949999999999996</v>
      </c>
      <c r="M8">
        <v>7.58</v>
      </c>
      <c r="N8">
        <v>10.76</v>
      </c>
      <c r="O8">
        <v>5.41</v>
      </c>
      <c r="Q8">
        <v>8.48</v>
      </c>
      <c r="R8">
        <v>13.26</v>
      </c>
      <c r="S8">
        <v>40.21</v>
      </c>
      <c r="T8">
        <v>20.399999999999999</v>
      </c>
      <c r="U8">
        <v>12.04</v>
      </c>
      <c r="V8">
        <v>33.950000000000003</v>
      </c>
      <c r="W8">
        <v>3.12</v>
      </c>
      <c r="X8">
        <v>12</v>
      </c>
      <c r="Y8">
        <v>23.99</v>
      </c>
      <c r="Z8">
        <v>3.13</v>
      </c>
    </row>
    <row r="9" spans="1:26" x14ac:dyDescent="0.35">
      <c r="A9">
        <v>7</v>
      </c>
      <c r="B9" t="s">
        <v>14</v>
      </c>
      <c r="C9" t="s">
        <v>5</v>
      </c>
      <c r="D9" s="1" t="s">
        <v>86</v>
      </c>
      <c r="E9">
        <v>72</v>
      </c>
      <c r="F9">
        <f>SUM(7.03,  6.46, 7.45, 7.51, 5.6, 8.06, 10.46)/7</f>
        <v>7.5100000000000007</v>
      </c>
      <c r="G9">
        <f>SUM(8.11, 10.95, 13.63, 9.73, 10.35)/5</f>
        <v>10.554</v>
      </c>
      <c r="H9">
        <f>SUM(12.43, 18.5)/2</f>
        <v>15.465</v>
      </c>
      <c r="I9">
        <f>SUM(15.97, 13.66, 11.36, 9.11)/4</f>
        <v>12.525</v>
      </c>
      <c r="J9">
        <f>SUM(8.06, 14, 11.81, 9.73, 8.2, 14.49, 10.88, 6.78, 8.28)/9</f>
        <v>10.247777777777777</v>
      </c>
      <c r="K9">
        <f>SUM(23.39, 10.7, 17.95)/3</f>
        <v>17.346666666666668</v>
      </c>
      <c r="L9">
        <f>SUM(8.76, 10.38)/2</f>
        <v>9.57</v>
      </c>
      <c r="M9">
        <v>7.73</v>
      </c>
      <c r="N9">
        <v>9.6999999999999993</v>
      </c>
      <c r="O9">
        <v>9.2799999999999994</v>
      </c>
      <c r="Q9">
        <v>13.18</v>
      </c>
      <c r="R9">
        <v>16.71</v>
      </c>
      <c r="S9">
        <v>31.85</v>
      </c>
      <c r="T9">
        <v>38.58</v>
      </c>
      <c r="U9">
        <v>43.05</v>
      </c>
      <c r="V9">
        <v>45</v>
      </c>
      <c r="W9">
        <v>1.88</v>
      </c>
      <c r="X9">
        <v>48.07</v>
      </c>
      <c r="Y9">
        <f>SUM(21.13, 33.17)/2</f>
        <v>27.15</v>
      </c>
      <c r="Z9">
        <v>6.71</v>
      </c>
    </row>
    <row r="10" spans="1:26" x14ac:dyDescent="0.35">
      <c r="A10">
        <v>8</v>
      </c>
      <c r="B10" t="s">
        <v>15</v>
      </c>
      <c r="C10" t="s">
        <v>6</v>
      </c>
      <c r="D10" t="s">
        <v>86</v>
      </c>
      <c r="E10">
        <v>24</v>
      </c>
      <c r="F10">
        <v>17.690000000000001</v>
      </c>
      <c r="G10">
        <f>SUM(17, 14.63)/2</f>
        <v>15.815000000000001</v>
      </c>
      <c r="H10">
        <v>17.260000000000002</v>
      </c>
      <c r="I10">
        <v>7.1</v>
      </c>
      <c r="J10">
        <v>12.08</v>
      </c>
      <c r="K10">
        <f>SUM(29.7, 12.11)/2</f>
        <v>20.905000000000001</v>
      </c>
      <c r="L10">
        <v>10.53</v>
      </c>
      <c r="M10">
        <f>SUM(9.85, 6.83)/2</f>
        <v>8.34</v>
      </c>
      <c r="N10">
        <v>14.81</v>
      </c>
      <c r="O10">
        <v>7.94</v>
      </c>
      <c r="Q10">
        <v>5.7</v>
      </c>
      <c r="R10">
        <v>8.61</v>
      </c>
      <c r="S10">
        <v>17.86</v>
      </c>
      <c r="T10">
        <v>17.100000000000001</v>
      </c>
      <c r="U10">
        <v>13.56</v>
      </c>
      <c r="V10">
        <f>SUM(35.93, 36)/2</f>
        <v>35.965000000000003</v>
      </c>
      <c r="W10">
        <v>2.59</v>
      </c>
      <c r="X10">
        <v>9.19</v>
      </c>
      <c r="Y10">
        <v>26.43</v>
      </c>
      <c r="Z10">
        <v>3.58</v>
      </c>
    </row>
    <row r="11" spans="1:26" x14ac:dyDescent="0.35">
      <c r="A11">
        <v>9</v>
      </c>
      <c r="B11" t="s">
        <v>16</v>
      </c>
      <c r="C11" t="s">
        <v>6</v>
      </c>
      <c r="D11" t="s">
        <v>87</v>
      </c>
      <c r="E11">
        <v>23</v>
      </c>
      <c r="F11">
        <v>3.71</v>
      </c>
      <c r="G11">
        <f>SUM(3.64, 7.61)/2</f>
        <v>5.625</v>
      </c>
      <c r="H11">
        <f>SUM(26.01, 13.23, 12.16)/3</f>
        <v>17.133333333333336</v>
      </c>
      <c r="I11">
        <v>8.11</v>
      </c>
      <c r="J11">
        <v>12.81</v>
      </c>
      <c r="K11">
        <v>14.18</v>
      </c>
      <c r="L11">
        <v>5.28</v>
      </c>
      <c r="M11">
        <v>5.88</v>
      </c>
      <c r="N11">
        <f>SUM(12.38, 11.9, 10.39)/3</f>
        <v>11.556666666666667</v>
      </c>
      <c r="O11">
        <v>5.0599999999999996</v>
      </c>
      <c r="Q11">
        <v>7.49</v>
      </c>
      <c r="R11">
        <v>7.53</v>
      </c>
      <c r="S11">
        <v>26.6</v>
      </c>
      <c r="T11">
        <v>16.93</v>
      </c>
      <c r="U11">
        <v>11.5</v>
      </c>
      <c r="V11">
        <v>34.86</v>
      </c>
      <c r="W11">
        <v>1.75</v>
      </c>
      <c r="X11">
        <v>8.36</v>
      </c>
      <c r="Y11">
        <v>15.41</v>
      </c>
      <c r="Z11">
        <v>2.76</v>
      </c>
    </row>
    <row r="12" spans="1:26" x14ac:dyDescent="0.35">
      <c r="A12">
        <v>10</v>
      </c>
      <c r="B12" t="s">
        <v>17</v>
      </c>
      <c r="C12" t="s">
        <v>6</v>
      </c>
      <c r="D12" t="s">
        <v>87</v>
      </c>
      <c r="E12">
        <v>24</v>
      </c>
      <c r="F12">
        <v>4.1399999999999997</v>
      </c>
      <c r="G12">
        <f>SUM(5.59, 9.33)/2</f>
        <v>7.46</v>
      </c>
      <c r="H12">
        <v>13.04</v>
      </c>
      <c r="I12">
        <v>6.6</v>
      </c>
      <c r="J12">
        <f>SUM(8, 9.78, 10.12, 10.38, 7.54, 19.06)/6</f>
        <v>10.813333333333333</v>
      </c>
      <c r="K12">
        <v>19.059999999999999</v>
      </c>
      <c r="L12">
        <v>4.49</v>
      </c>
      <c r="M12">
        <v>5.31</v>
      </c>
      <c r="N12">
        <f>SUM(9.95, 8.64)/2</f>
        <v>9.2949999999999999</v>
      </c>
      <c r="O12">
        <v>3.78</v>
      </c>
      <c r="Q12">
        <v>11.33</v>
      </c>
      <c r="R12">
        <v>12.95</v>
      </c>
      <c r="S12">
        <v>24.53</v>
      </c>
      <c r="T12">
        <v>15.98</v>
      </c>
      <c r="U12">
        <v>14.22</v>
      </c>
      <c r="V12">
        <v>29.71</v>
      </c>
      <c r="W12">
        <v>1.21</v>
      </c>
      <c r="X12">
        <v>15.05</v>
      </c>
      <c r="Y12">
        <v>17.55</v>
      </c>
      <c r="Z12">
        <v>5.33</v>
      </c>
    </row>
    <row r="13" spans="1:26" x14ac:dyDescent="0.35">
      <c r="A13">
        <v>11</v>
      </c>
      <c r="B13" t="s">
        <v>18</v>
      </c>
      <c r="C13" t="s">
        <v>6</v>
      </c>
      <c r="D13" t="s">
        <v>87</v>
      </c>
      <c r="E13">
        <v>24</v>
      </c>
      <c r="F13">
        <v>7.5</v>
      </c>
      <c r="G13">
        <v>11.61</v>
      </c>
      <c r="H13">
        <v>20.78</v>
      </c>
      <c r="I13">
        <v>11.9</v>
      </c>
      <c r="J13">
        <f>SUM(11.83, 16, 9.2, 12.7, 13.9, 15.43, 14.15, 10.9, 11.76)/9</f>
        <v>12.874444444444446</v>
      </c>
      <c r="K13">
        <v>17.14</v>
      </c>
      <c r="L13">
        <v>6.61</v>
      </c>
      <c r="M13">
        <v>8.81</v>
      </c>
      <c r="N13">
        <f>SUM(10.69, 11.78)/2</f>
        <v>11.234999999999999</v>
      </c>
      <c r="O13">
        <v>6.66</v>
      </c>
      <c r="Q13">
        <v>7.02</v>
      </c>
      <c r="R13">
        <v>12.4</v>
      </c>
      <c r="S13">
        <v>19.05</v>
      </c>
      <c r="T13">
        <v>6.86</v>
      </c>
      <c r="U13">
        <v>10.85</v>
      </c>
      <c r="V13">
        <v>32.01</v>
      </c>
      <c r="W13">
        <v>1.34</v>
      </c>
      <c r="X13">
        <v>8.5</v>
      </c>
      <c r="Y13">
        <v>24.91</v>
      </c>
      <c r="Z13">
        <v>2.59</v>
      </c>
    </row>
    <row r="14" spans="1:26" x14ac:dyDescent="0.35">
      <c r="A14">
        <v>12</v>
      </c>
      <c r="B14" t="s">
        <v>19</v>
      </c>
      <c r="C14" t="s">
        <v>6</v>
      </c>
      <c r="D14" t="s">
        <v>87</v>
      </c>
      <c r="E14">
        <v>26</v>
      </c>
      <c r="F14">
        <v>8.4600000000000009</v>
      </c>
      <c r="G14">
        <v>7.86</v>
      </c>
      <c r="H14">
        <v>26.5</v>
      </c>
      <c r="I14">
        <v>7.21</v>
      </c>
      <c r="J14">
        <f>SUM(8.93, 10.21)/2</f>
        <v>9.57</v>
      </c>
      <c r="K14">
        <f>SUM(17.66, 16.78)/2</f>
        <v>17.22</v>
      </c>
      <c r="L14">
        <f>SUM(7.66, 3.75, 6.75)/3</f>
        <v>6.0533333333333337</v>
      </c>
      <c r="M14">
        <v>8.3800000000000008</v>
      </c>
      <c r="N14">
        <v>11.36</v>
      </c>
      <c r="O14">
        <v>6.58</v>
      </c>
      <c r="Q14">
        <v>6.73</v>
      </c>
      <c r="R14">
        <v>10.53</v>
      </c>
      <c r="S14">
        <v>28.66</v>
      </c>
      <c r="T14">
        <v>12.26</v>
      </c>
      <c r="U14">
        <v>16.760000000000002</v>
      </c>
      <c r="V14">
        <v>47.02</v>
      </c>
      <c r="W14">
        <v>1.61</v>
      </c>
      <c r="X14">
        <v>10.31</v>
      </c>
      <c r="Y14">
        <v>14.7</v>
      </c>
      <c r="Z14">
        <v>2.6</v>
      </c>
    </row>
    <row r="15" spans="1:26" x14ac:dyDescent="0.35">
      <c r="A15">
        <v>13</v>
      </c>
      <c r="B15" t="s">
        <v>20</v>
      </c>
      <c r="C15" t="s">
        <v>6</v>
      </c>
      <c r="D15" t="s">
        <v>87</v>
      </c>
      <c r="E15">
        <v>26</v>
      </c>
      <c r="F15">
        <v>4.93</v>
      </c>
      <c r="G15">
        <f>SUM(7.07, 7.88, 8.43)/3</f>
        <v>7.793333333333333</v>
      </c>
      <c r="H15">
        <v>17.16</v>
      </c>
      <c r="I15">
        <v>7.66</v>
      </c>
      <c r="J15">
        <f>SUM(8.05, 10.16, 9.7)/3</f>
        <v>9.3033333333333328</v>
      </c>
      <c r="K15">
        <v>13.31</v>
      </c>
      <c r="L15">
        <v>6.24</v>
      </c>
      <c r="M15">
        <v>7.46</v>
      </c>
      <c r="N15">
        <f>SUM(12.36, 8.81)/2</f>
        <v>10.585000000000001</v>
      </c>
      <c r="O15">
        <v>9.91</v>
      </c>
      <c r="Q15">
        <v>7.73</v>
      </c>
      <c r="R15">
        <v>9.4499999999999993</v>
      </c>
      <c r="S15">
        <v>18.010000000000002</v>
      </c>
      <c r="T15">
        <v>7.08</v>
      </c>
      <c r="U15">
        <v>11.41</v>
      </c>
      <c r="V15">
        <v>37.93</v>
      </c>
      <c r="W15">
        <v>0.76</v>
      </c>
      <c r="X15">
        <v>8.1300000000000008</v>
      </c>
      <c r="Y15">
        <v>11.48</v>
      </c>
      <c r="Z15">
        <v>1.88</v>
      </c>
    </row>
    <row r="16" spans="1:26" x14ac:dyDescent="0.35">
      <c r="A16">
        <v>14</v>
      </c>
      <c r="B16" t="s">
        <v>21</v>
      </c>
      <c r="C16" t="s">
        <v>6</v>
      </c>
      <c r="D16" t="s">
        <v>86</v>
      </c>
      <c r="E16">
        <v>22</v>
      </c>
      <c r="F16">
        <v>5.48</v>
      </c>
      <c r="G16">
        <f>SUM(7.39, 6.3, 6.96, 6.55)/4</f>
        <v>6.8</v>
      </c>
      <c r="H16">
        <v>10.81</v>
      </c>
      <c r="I16">
        <v>8.9600000000000009</v>
      </c>
      <c r="J16">
        <f>SUM(8.51, 10.55, 17.36, 8.88, 9.15, 9.74)/6</f>
        <v>10.698333333333332</v>
      </c>
      <c r="K16">
        <v>15.31</v>
      </c>
      <c r="L16">
        <v>7.31</v>
      </c>
      <c r="M16">
        <v>7.53</v>
      </c>
      <c r="N16">
        <f>SUM(8.96, 9.76)/2</f>
        <v>9.36</v>
      </c>
      <c r="O16">
        <v>4.71</v>
      </c>
      <c r="Q16">
        <v>6.16</v>
      </c>
      <c r="R16">
        <v>8.58</v>
      </c>
      <c r="S16">
        <v>25</v>
      </c>
      <c r="T16">
        <v>11.13</v>
      </c>
      <c r="U16">
        <v>11.51</v>
      </c>
      <c r="V16">
        <v>26.9</v>
      </c>
      <c r="W16">
        <v>1.76</v>
      </c>
      <c r="X16">
        <v>11.05</v>
      </c>
      <c r="Y16">
        <v>23.41</v>
      </c>
      <c r="Z16">
        <v>4.24</v>
      </c>
    </row>
    <row r="17" spans="1:26" x14ac:dyDescent="0.35">
      <c r="A17">
        <v>15</v>
      </c>
      <c r="B17" t="s">
        <v>22</v>
      </c>
      <c r="C17" t="s">
        <v>6</v>
      </c>
      <c r="D17" t="s">
        <v>87</v>
      </c>
      <c r="E17">
        <v>26</v>
      </c>
      <c r="F17">
        <v>7.69</v>
      </c>
      <c r="G17">
        <v>7.41</v>
      </c>
      <c r="H17">
        <v>11.65</v>
      </c>
      <c r="I17">
        <v>8.19</v>
      </c>
      <c r="J17">
        <v>8.19</v>
      </c>
      <c r="K17">
        <f>SUM(20.8, 16.45, 18.75, 17.49)/4</f>
        <v>18.372499999999999</v>
      </c>
      <c r="L17">
        <v>4.1900000000000004</v>
      </c>
      <c r="M17">
        <v>5.03</v>
      </c>
      <c r="N17">
        <v>13.85</v>
      </c>
      <c r="O17">
        <v>6.53</v>
      </c>
      <c r="Q17">
        <v>8.0299999999999994</v>
      </c>
      <c r="R17">
        <v>24.36</v>
      </c>
      <c r="S17">
        <v>20.3</v>
      </c>
      <c r="T17">
        <v>14.35</v>
      </c>
      <c r="U17">
        <v>24.36</v>
      </c>
      <c r="V17">
        <v>39.380000000000003</v>
      </c>
      <c r="W17">
        <v>0.05</v>
      </c>
      <c r="X17">
        <v>14.58</v>
      </c>
      <c r="Y17">
        <v>19.559999999999999</v>
      </c>
      <c r="Z17">
        <v>1.71</v>
      </c>
    </row>
    <row r="18" spans="1:26" x14ac:dyDescent="0.35">
      <c r="A18">
        <v>16</v>
      </c>
      <c r="B18" t="s">
        <v>23</v>
      </c>
      <c r="C18" t="s">
        <v>6</v>
      </c>
      <c r="D18" t="s">
        <v>86</v>
      </c>
      <c r="E18">
        <v>23</v>
      </c>
      <c r="F18">
        <v>5.21</v>
      </c>
      <c r="G18">
        <f>SUM(6.43, 6.9, 7.04, 6.18, 9.45)/5</f>
        <v>7.2</v>
      </c>
      <c r="H18">
        <v>11.48</v>
      </c>
      <c r="I18">
        <v>6.04</v>
      </c>
      <c r="J18">
        <f>SUM(9.33, 8.41, 9.9, 9.23, 8.43, 11.54, 10.01, 8.43, 11.51)/9</f>
        <v>9.6433333333333344</v>
      </c>
      <c r="K18">
        <f>SUM(13.45, 14.53, 22.26, 18.2)/4</f>
        <v>17.11</v>
      </c>
      <c r="L18">
        <f>SUM(12.46, 3.84)/2</f>
        <v>8.15</v>
      </c>
      <c r="M18">
        <v>9.99</v>
      </c>
      <c r="N18">
        <v>10.63</v>
      </c>
      <c r="O18">
        <v>8.0500000000000007</v>
      </c>
      <c r="Q18">
        <v>7.83</v>
      </c>
      <c r="R18">
        <v>14.43</v>
      </c>
      <c r="S18">
        <v>36.15</v>
      </c>
      <c r="T18">
        <v>12.32</v>
      </c>
      <c r="U18">
        <v>27.98</v>
      </c>
      <c r="V18">
        <v>46.1</v>
      </c>
      <c r="W18">
        <v>1.64</v>
      </c>
      <c r="X18">
        <v>15.55</v>
      </c>
      <c r="Y18">
        <v>19</v>
      </c>
      <c r="Z18">
        <v>9.16</v>
      </c>
    </row>
    <row r="19" spans="1:26" x14ac:dyDescent="0.35">
      <c r="A19">
        <v>17</v>
      </c>
      <c r="B19" t="s">
        <v>24</v>
      </c>
      <c r="C19" t="s">
        <v>6</v>
      </c>
      <c r="D19" t="s">
        <v>87</v>
      </c>
      <c r="E19">
        <v>24</v>
      </c>
      <c r="F19">
        <v>5.55</v>
      </c>
      <c r="G19">
        <v>10.66</v>
      </c>
      <c r="H19">
        <v>17.71</v>
      </c>
      <c r="I19">
        <v>6.14</v>
      </c>
      <c r="J19">
        <f>SUM(11.73, 8.36)/2</f>
        <v>10.045</v>
      </c>
      <c r="K19">
        <f>SUM(12.31, 15.14)/2</f>
        <v>13.725000000000001</v>
      </c>
      <c r="L19">
        <v>5.52</v>
      </c>
      <c r="M19">
        <v>7.1</v>
      </c>
      <c r="N19">
        <f>SUM(9.71, 10.76, 12.58, 14.23, 13.91, 12.41)/6</f>
        <v>12.266666666666666</v>
      </c>
      <c r="O19">
        <v>6.68</v>
      </c>
      <c r="Q19">
        <v>22.66</v>
      </c>
      <c r="R19">
        <v>11.09</v>
      </c>
      <c r="S19">
        <v>16.760000000000002</v>
      </c>
      <c r="T19">
        <v>13.19</v>
      </c>
      <c r="U19">
        <v>18.3</v>
      </c>
      <c r="V19">
        <v>50.38</v>
      </c>
      <c r="W19">
        <v>1.64</v>
      </c>
      <c r="X19">
        <v>12.87</v>
      </c>
      <c r="Y19">
        <v>25.91</v>
      </c>
      <c r="Z19">
        <v>6.78</v>
      </c>
    </row>
    <row r="20" spans="1:26" x14ac:dyDescent="0.35">
      <c r="A20">
        <v>18</v>
      </c>
      <c r="B20" t="s">
        <v>25</v>
      </c>
      <c r="C20" t="s">
        <v>6</v>
      </c>
      <c r="D20" t="s">
        <v>86</v>
      </c>
      <c r="E20">
        <v>26</v>
      </c>
      <c r="F20">
        <v>2.74</v>
      </c>
      <c r="G20">
        <f>SUM(8.16, 7.65, 6.96, 8.65, 19.91,9.9)/6</f>
        <v>10.205</v>
      </c>
      <c r="H20">
        <v>16.79</v>
      </c>
      <c r="I20">
        <v>5.64</v>
      </c>
      <c r="J20">
        <v>7.01</v>
      </c>
      <c r="K20">
        <v>17.21</v>
      </c>
      <c r="L20">
        <v>5.56</v>
      </c>
      <c r="M20">
        <v>9.43</v>
      </c>
      <c r="N20">
        <v>9.19</v>
      </c>
      <c r="O20">
        <v>5.43</v>
      </c>
      <c r="Q20">
        <v>9.15</v>
      </c>
      <c r="R20">
        <v>9.93</v>
      </c>
      <c r="S20">
        <v>15.15</v>
      </c>
      <c r="T20">
        <v>14.05</v>
      </c>
      <c r="U20">
        <v>12.81</v>
      </c>
      <c r="V20">
        <v>29.31</v>
      </c>
      <c r="W20">
        <v>1.28</v>
      </c>
      <c r="X20">
        <v>11.9</v>
      </c>
      <c r="Y20">
        <v>19.41</v>
      </c>
      <c r="Z20">
        <v>2.35</v>
      </c>
    </row>
    <row r="21" spans="1:26" x14ac:dyDescent="0.35">
      <c r="A21">
        <v>19</v>
      </c>
      <c r="B21" t="s">
        <v>26</v>
      </c>
      <c r="C21" t="s">
        <v>6</v>
      </c>
      <c r="D21" t="s">
        <v>87</v>
      </c>
      <c r="E21">
        <v>25</v>
      </c>
      <c r="F21">
        <v>4.26</v>
      </c>
      <c r="G21">
        <v>6.56</v>
      </c>
      <c r="H21">
        <v>15.23</v>
      </c>
      <c r="I21">
        <v>6.64</v>
      </c>
      <c r="J21">
        <f>SUM(10.83, 8.05, 10.2, 9.76, 6.61, 8.45, 12.56)/7</f>
        <v>9.4942857142857147</v>
      </c>
      <c r="K21">
        <v>14.33</v>
      </c>
      <c r="L21">
        <v>4.92</v>
      </c>
      <c r="M21">
        <v>4.66</v>
      </c>
      <c r="N21">
        <f>SUM(8.35, 8.04)/2</f>
        <v>8.1950000000000003</v>
      </c>
      <c r="O21">
        <v>4.7300000000000004</v>
      </c>
      <c r="Q21">
        <v>16.010000000000002</v>
      </c>
      <c r="R21">
        <v>19.850000000000001</v>
      </c>
      <c r="S21">
        <v>30.93</v>
      </c>
      <c r="T21">
        <v>12.9</v>
      </c>
      <c r="U21">
        <v>18.98</v>
      </c>
      <c r="V21">
        <v>31.36</v>
      </c>
      <c r="W21">
        <v>2.5299999999999998</v>
      </c>
      <c r="X21">
        <v>10.14</v>
      </c>
      <c r="Y21">
        <v>19.010000000000002</v>
      </c>
      <c r="Z21">
        <v>4.6500000000000004</v>
      </c>
    </row>
    <row r="22" spans="1:26" x14ac:dyDescent="0.35">
      <c r="A22">
        <v>20</v>
      </c>
      <c r="B22" t="s">
        <v>27</v>
      </c>
      <c r="C22" t="s">
        <v>6</v>
      </c>
      <c r="D22" t="s">
        <v>87</v>
      </c>
      <c r="E22">
        <v>25</v>
      </c>
      <c r="F22">
        <f>SUM(14.28, 6.38)/2</f>
        <v>10.33</v>
      </c>
      <c r="G22">
        <f>SUM(11.3, 11.6)/2</f>
        <v>11.45</v>
      </c>
      <c r="H22">
        <v>24.91</v>
      </c>
      <c r="I22">
        <f>SUM(7.45, 7.54, 9.1)/3</f>
        <v>8.0299999999999994</v>
      </c>
      <c r="J22">
        <v>10.81</v>
      </c>
      <c r="K22">
        <v>16.25</v>
      </c>
      <c r="L22">
        <f>SUM(6.35, 6.91, 6.08, 9.08)/4</f>
        <v>7.1050000000000004</v>
      </c>
      <c r="M22">
        <v>7.35</v>
      </c>
      <c r="N22">
        <f>SUM(15.86, 15.3)/2</f>
        <v>15.58</v>
      </c>
      <c r="O22">
        <f>SUM(12.01, 9.21)/2</f>
        <v>10.61</v>
      </c>
      <c r="Q22">
        <v>5.87</v>
      </c>
      <c r="R22">
        <v>12.33</v>
      </c>
      <c r="S22">
        <v>41.33</v>
      </c>
      <c r="T22">
        <v>15.78</v>
      </c>
      <c r="U22">
        <v>15.96</v>
      </c>
      <c r="V22">
        <v>54.28</v>
      </c>
      <c r="W22">
        <v>1.43</v>
      </c>
      <c r="X22">
        <v>13.13</v>
      </c>
      <c r="Y22">
        <v>19.48</v>
      </c>
      <c r="Z22">
        <v>3.16</v>
      </c>
    </row>
    <row r="23" spans="1:26" x14ac:dyDescent="0.35">
      <c r="A23">
        <v>21</v>
      </c>
      <c r="B23" t="s">
        <v>28</v>
      </c>
      <c r="C23" t="s">
        <v>5</v>
      </c>
      <c r="D23" t="s">
        <v>87</v>
      </c>
      <c r="E23">
        <v>73</v>
      </c>
      <c r="F23">
        <f>SUM(7.83, 10.19, 6.33, 5.36)/4</f>
        <v>7.4275000000000002</v>
      </c>
      <c r="G23">
        <f>SUM(9.36, 8.9, 8.31, 8.16)/4</f>
        <v>8.682500000000001</v>
      </c>
      <c r="H23">
        <v>15.37</v>
      </c>
      <c r="I23">
        <v>7.63</v>
      </c>
      <c r="J23">
        <f>SUM(16.25, 10.05, 9.98, 7.45, 9.29, 8.93, 7.33, 9, 16.08, 9.59, 8.38, 12.09, 8.47, 7.61)/14</f>
        <v>10.035714285714288</v>
      </c>
      <c r="K23">
        <f>SUM(18.33, 17.09, 27.22)/3</f>
        <v>20.88</v>
      </c>
      <c r="L23">
        <v>4.38</v>
      </c>
      <c r="M23">
        <v>7.32</v>
      </c>
      <c r="N23">
        <f>SUM(9.01, 10.07, 9.79, 8.99, 8.62, 11.75)/6</f>
        <v>9.7050000000000001</v>
      </c>
      <c r="O23">
        <v>6.03</v>
      </c>
      <c r="Q23">
        <v>20.14</v>
      </c>
      <c r="R23">
        <v>27.98</v>
      </c>
      <c r="S23">
        <v>64.94</v>
      </c>
      <c r="T23">
        <v>61.59</v>
      </c>
      <c r="U23">
        <v>90.53</v>
      </c>
      <c r="V23">
        <v>82.13</v>
      </c>
      <c r="W23">
        <v>2.2999999999999998</v>
      </c>
      <c r="X23">
        <v>26.85</v>
      </c>
      <c r="Y23">
        <v>37.97</v>
      </c>
      <c r="Z23">
        <v>27.07</v>
      </c>
    </row>
    <row r="24" spans="1:26" x14ac:dyDescent="0.35">
      <c r="A24">
        <v>22</v>
      </c>
      <c r="B24" t="s">
        <v>29</v>
      </c>
      <c r="C24" t="s">
        <v>5</v>
      </c>
      <c r="D24" t="s">
        <v>86</v>
      </c>
      <c r="E24">
        <v>70</v>
      </c>
      <c r="F24">
        <v>9.2899999999999991</v>
      </c>
      <c r="G24">
        <f>SUM(10.66, 11.62)/2</f>
        <v>11.14</v>
      </c>
      <c r="H24">
        <f>SUM(22.6, 17.83, 20.36)/3</f>
        <v>20.263333333333332</v>
      </c>
      <c r="I24">
        <f>SUM(9.59, 9.53)/2</f>
        <v>9.5599999999999987</v>
      </c>
      <c r="J24">
        <f>SUM(8.85, 11.18, 10.73, 7.46, 9.26)/5</f>
        <v>9.4959999999999987</v>
      </c>
      <c r="K24">
        <f>SUM(20.12, 21.75)/2</f>
        <v>20.935000000000002</v>
      </c>
      <c r="L24">
        <v>6.07</v>
      </c>
      <c r="M24">
        <v>8.08</v>
      </c>
      <c r="N24">
        <v>19.36</v>
      </c>
      <c r="O24">
        <v>7.15</v>
      </c>
      <c r="Q24">
        <v>74.53</v>
      </c>
      <c r="R24">
        <v>33.270000000000003</v>
      </c>
      <c r="S24">
        <v>75.87</v>
      </c>
      <c r="T24">
        <v>86.9</v>
      </c>
      <c r="U24">
        <v>59.24</v>
      </c>
      <c r="V24">
        <v>79.02</v>
      </c>
      <c r="W24">
        <v>1.7</v>
      </c>
      <c r="X24">
        <v>39.229999999999997</v>
      </c>
      <c r="Y24">
        <v>51.67</v>
      </c>
      <c r="Z24">
        <v>11.59</v>
      </c>
    </row>
    <row r="25" spans="1:26" x14ac:dyDescent="0.35">
      <c r="A25">
        <v>23</v>
      </c>
      <c r="B25" t="s">
        <v>30</v>
      </c>
      <c r="C25" t="s">
        <v>5</v>
      </c>
      <c r="D25" t="s">
        <v>86</v>
      </c>
      <c r="E25">
        <v>70</v>
      </c>
      <c r="F25">
        <v>7.06</v>
      </c>
      <c r="G25">
        <f>SUM(9.38, 7.81, 8.13, 7.83, 9.2, 6.5)/5</f>
        <v>9.77</v>
      </c>
      <c r="H25">
        <f>SUM(20.76, 16.96)/2</f>
        <v>18.86</v>
      </c>
      <c r="I25">
        <v>10.89</v>
      </c>
      <c r="J25">
        <f>SUM(8.09, 7.88, 6.7, 8.15, 11.51)/5</f>
        <v>8.4659999999999993</v>
      </c>
      <c r="K25">
        <f>SUM(20.59, 15.28)/2</f>
        <v>17.934999999999999</v>
      </c>
      <c r="L25">
        <v>7.68</v>
      </c>
      <c r="M25">
        <v>7.6</v>
      </c>
      <c r="N25">
        <v>13.9</v>
      </c>
      <c r="O25">
        <v>6.23</v>
      </c>
      <c r="Q25">
        <v>35.4</v>
      </c>
      <c r="R25">
        <v>32.15</v>
      </c>
      <c r="S25">
        <v>50.48</v>
      </c>
      <c r="T25">
        <v>60.27</v>
      </c>
      <c r="U25">
        <v>50.87</v>
      </c>
      <c r="V25">
        <f>SUM(60, 53.02)</f>
        <v>113.02000000000001</v>
      </c>
      <c r="W25">
        <v>1.51</v>
      </c>
      <c r="X25">
        <v>48.74</v>
      </c>
      <c r="Y25">
        <v>43.5</v>
      </c>
      <c r="Z25">
        <v>1.9</v>
      </c>
    </row>
    <row r="26" spans="1:26" x14ac:dyDescent="0.35">
      <c r="A26">
        <v>24</v>
      </c>
      <c r="B26" t="s">
        <v>31</v>
      </c>
      <c r="C26" t="s">
        <v>5</v>
      </c>
      <c r="D26" t="s">
        <v>87</v>
      </c>
      <c r="E26">
        <v>67</v>
      </c>
      <c r="F26">
        <f>SUM(5.56, 5.18, 7.46, 4.97, 7.15, 35.32, 6.58, 8.25)/8</f>
        <v>10.05875</v>
      </c>
      <c r="G26">
        <f>SUM(11.16, 10.96, 8.15, 6.16, 8.41)/5</f>
        <v>8.968</v>
      </c>
      <c r="H26">
        <f>SUM(23.63, 18.37)/2</f>
        <v>21</v>
      </c>
      <c r="I26">
        <f>SUM(15.83, 8.45, 7.77)</f>
        <v>32.049999999999997</v>
      </c>
      <c r="J26">
        <v>10.87</v>
      </c>
      <c r="K26">
        <v>29.22</v>
      </c>
      <c r="L26">
        <v>7.25</v>
      </c>
      <c r="M26">
        <v>7</v>
      </c>
      <c r="N26">
        <f>SUM(13.41, 11.13, 17.25, 9.46)</f>
        <v>51.25</v>
      </c>
      <c r="O26">
        <v>5.07</v>
      </c>
      <c r="Q26">
        <v>23.66</v>
      </c>
      <c r="R26">
        <f>SUM(60, 55.83)</f>
        <v>115.83</v>
      </c>
      <c r="S26">
        <v>49.69</v>
      </c>
      <c r="T26">
        <v>28.1</v>
      </c>
      <c r="U26">
        <v>88.71</v>
      </c>
      <c r="V26">
        <v>103.76</v>
      </c>
      <c r="W26">
        <v>7.3</v>
      </c>
      <c r="X26">
        <v>58.54</v>
      </c>
      <c r="Y26">
        <v>50.57</v>
      </c>
      <c r="Z26">
        <v>24.87</v>
      </c>
    </row>
    <row r="27" spans="1:26" x14ac:dyDescent="0.35">
      <c r="A27">
        <v>25</v>
      </c>
      <c r="B27" t="s">
        <v>32</v>
      </c>
      <c r="C27" t="s">
        <v>6</v>
      </c>
      <c r="D27" t="s">
        <v>86</v>
      </c>
      <c r="E27">
        <v>25</v>
      </c>
      <c r="F27">
        <v>6.93</v>
      </c>
      <c r="G27">
        <f>SUM(8.56, 7.26, 7.7, 8.6)/4</f>
        <v>8.0299999999999994</v>
      </c>
      <c r="H27">
        <v>17.82</v>
      </c>
      <c r="I27">
        <v>8.43</v>
      </c>
      <c r="J27">
        <f>SUM(9.2, 10.09, 11.78, 10.58, 10.38, 12.33, 8.75, 14.55, 14.58, 14.28, 13.05)/11</f>
        <v>11.779090909090909</v>
      </c>
      <c r="K27">
        <v>14.53</v>
      </c>
      <c r="L27">
        <v>6.75</v>
      </c>
      <c r="M27">
        <v>7.75</v>
      </c>
      <c r="N27">
        <v>10.199999999999999</v>
      </c>
      <c r="O27">
        <v>6.03</v>
      </c>
      <c r="Q27">
        <v>6.73</v>
      </c>
      <c r="R27">
        <v>10.06</v>
      </c>
      <c r="S27">
        <v>34.71</v>
      </c>
      <c r="T27">
        <v>11.06</v>
      </c>
      <c r="U27">
        <v>13.18</v>
      </c>
      <c r="V27">
        <v>39.479999999999997</v>
      </c>
      <c r="W27">
        <v>4.78</v>
      </c>
      <c r="X27">
        <v>11.57</v>
      </c>
      <c r="Y27">
        <v>20.440000000000001</v>
      </c>
      <c r="Z27">
        <v>2.78</v>
      </c>
    </row>
    <row r="28" spans="1:26" x14ac:dyDescent="0.35">
      <c r="A28">
        <v>26</v>
      </c>
      <c r="B28" t="s">
        <v>33</v>
      </c>
      <c r="C28" t="s">
        <v>6</v>
      </c>
      <c r="D28" t="s">
        <v>86</v>
      </c>
      <c r="E28">
        <v>24</v>
      </c>
      <c r="F28">
        <v>6.33</v>
      </c>
      <c r="G28">
        <f>SUM(11.55, 9.38, 10.58)/3</f>
        <v>10.503333333333332</v>
      </c>
      <c r="H28">
        <v>17.41</v>
      </c>
      <c r="I28">
        <f>SUM(8.03, 8.43)/2</f>
        <v>8.23</v>
      </c>
      <c r="J28">
        <f>SUM(10.76, 10.8, 9.45, 10.4, 9.81, 9.76, 11.18, 10.11)/8</f>
        <v>10.28375</v>
      </c>
      <c r="K28">
        <f>SUM(21.1, 20.12)/2</f>
        <v>20.61</v>
      </c>
      <c r="L28">
        <v>6.53</v>
      </c>
      <c r="M28">
        <v>6.94</v>
      </c>
      <c r="N28">
        <v>12.38</v>
      </c>
      <c r="O28">
        <v>5.21</v>
      </c>
      <c r="Q28">
        <v>9.11</v>
      </c>
      <c r="R28">
        <v>12.33</v>
      </c>
      <c r="S28">
        <v>32.130000000000003</v>
      </c>
      <c r="T28">
        <v>11.08</v>
      </c>
      <c r="U28">
        <v>16.28</v>
      </c>
      <c r="V28">
        <v>27.95</v>
      </c>
      <c r="W28">
        <v>1.0900000000000001</v>
      </c>
      <c r="X28">
        <v>16.63</v>
      </c>
      <c r="Y28">
        <v>18.8</v>
      </c>
      <c r="Z28">
        <v>2.96</v>
      </c>
    </row>
    <row r="29" spans="1:26" x14ac:dyDescent="0.35">
      <c r="A29">
        <v>27</v>
      </c>
      <c r="B29" t="s">
        <v>34</v>
      </c>
      <c r="C29" t="s">
        <v>6</v>
      </c>
      <c r="D29" t="s">
        <v>87</v>
      </c>
      <c r="E29">
        <v>26</v>
      </c>
      <c r="F29">
        <v>7.09</v>
      </c>
      <c r="G29">
        <f>SUM(9.54, 6.9, 10.11)/3</f>
        <v>8.85</v>
      </c>
      <c r="H29">
        <v>19.43</v>
      </c>
      <c r="I29">
        <v>8.06</v>
      </c>
      <c r="J29">
        <f>SUM(12.01, 19.45, 13.25)/3</f>
        <v>14.903333333333334</v>
      </c>
      <c r="K29">
        <f>SUM(28.16, 17.97)/2</f>
        <v>23.064999999999998</v>
      </c>
      <c r="L29">
        <f>SUM(14.23, 7.31)/2</f>
        <v>10.77</v>
      </c>
      <c r="M29">
        <v>9.11</v>
      </c>
      <c r="N29">
        <v>15.74</v>
      </c>
      <c r="O29">
        <v>7.63</v>
      </c>
      <c r="Q29">
        <v>6.46</v>
      </c>
      <c r="R29">
        <v>9.31</v>
      </c>
      <c r="S29">
        <v>17.559999999999999</v>
      </c>
      <c r="T29">
        <v>12.89</v>
      </c>
      <c r="U29">
        <v>15.71</v>
      </c>
      <c r="V29">
        <v>32.159999999999997</v>
      </c>
      <c r="W29">
        <v>1.33</v>
      </c>
      <c r="X29">
        <v>11.1</v>
      </c>
      <c r="Y29">
        <v>17.46</v>
      </c>
      <c r="Z29">
        <v>2.35</v>
      </c>
    </row>
    <row r="30" spans="1:26" x14ac:dyDescent="0.35">
      <c r="A30">
        <v>28</v>
      </c>
      <c r="B30" t="s">
        <v>35</v>
      </c>
      <c r="C30" t="s">
        <v>6</v>
      </c>
      <c r="D30" t="s">
        <v>86</v>
      </c>
      <c r="E30">
        <v>23</v>
      </c>
      <c r="F30">
        <v>8.51</v>
      </c>
      <c r="G30">
        <f>SUM(9.01, 7.05, 10.75)/3</f>
        <v>8.9366666666666656</v>
      </c>
      <c r="H30">
        <v>19.05</v>
      </c>
      <c r="I30">
        <v>6.13</v>
      </c>
      <c r="J30">
        <f>SUM(16.45, 14.13)/2</f>
        <v>15.29</v>
      </c>
      <c r="K30">
        <v>24.17</v>
      </c>
      <c r="L30">
        <v>7.96</v>
      </c>
      <c r="M30">
        <v>11</v>
      </c>
      <c r="N30">
        <v>13.93</v>
      </c>
      <c r="O30">
        <v>6.96</v>
      </c>
      <c r="Q30">
        <v>11.91</v>
      </c>
      <c r="R30">
        <v>4.96</v>
      </c>
      <c r="S30">
        <v>22.88</v>
      </c>
      <c r="T30">
        <v>22.27</v>
      </c>
      <c r="U30">
        <v>26.35</v>
      </c>
      <c r="V30">
        <v>33.32</v>
      </c>
      <c r="W30">
        <v>2.6</v>
      </c>
      <c r="X30">
        <v>23.72</v>
      </c>
      <c r="Y30">
        <v>14.85</v>
      </c>
      <c r="Z30">
        <v>1.63</v>
      </c>
    </row>
    <row r="31" spans="1:26" x14ac:dyDescent="0.35">
      <c r="A31">
        <v>29</v>
      </c>
      <c r="B31" t="s">
        <v>36</v>
      </c>
      <c r="C31" t="s">
        <v>6</v>
      </c>
      <c r="D31" t="s">
        <v>87</v>
      </c>
      <c r="E31">
        <v>22</v>
      </c>
      <c r="F31">
        <v>7.41</v>
      </c>
      <c r="G31">
        <f>SUM(9.31, 11.36, 10.41)/3</f>
        <v>10.360000000000001</v>
      </c>
      <c r="H31">
        <v>18.399999999999999</v>
      </c>
      <c r="I31">
        <v>9.2799999999999994</v>
      </c>
      <c r="J31">
        <f>SUM(11.48, 14.98, 12.33, 12.71, 9.95, 11.05, 12.35, 11.01)/8</f>
        <v>11.9825</v>
      </c>
      <c r="K31">
        <v>14.58</v>
      </c>
      <c r="L31">
        <v>6.33</v>
      </c>
      <c r="M31">
        <v>8.4600000000000009</v>
      </c>
      <c r="N31">
        <v>11.78</v>
      </c>
      <c r="O31">
        <v>5.8</v>
      </c>
      <c r="Q31">
        <v>8.9</v>
      </c>
      <c r="R31">
        <v>15.66</v>
      </c>
      <c r="S31">
        <v>21.88</v>
      </c>
      <c r="T31">
        <v>12.26</v>
      </c>
      <c r="U31">
        <v>20.67</v>
      </c>
      <c r="V31">
        <v>36.68</v>
      </c>
      <c r="W31">
        <v>2.0099999999999998</v>
      </c>
      <c r="X31">
        <v>11.41</v>
      </c>
      <c r="Y31">
        <v>18.75</v>
      </c>
      <c r="Z31">
        <v>3.9</v>
      </c>
    </row>
    <row r="32" spans="1:26" x14ac:dyDescent="0.35">
      <c r="A32">
        <v>30</v>
      </c>
      <c r="B32" t="s">
        <v>37</v>
      </c>
      <c r="C32" t="s">
        <v>6</v>
      </c>
      <c r="D32" t="s">
        <v>87</v>
      </c>
      <c r="E32">
        <v>23</v>
      </c>
      <c r="F32">
        <v>5.6</v>
      </c>
      <c r="G32">
        <f>SUM(8.11, 10.93, 8.71)/3</f>
        <v>9.25</v>
      </c>
      <c r="H32">
        <v>10.48</v>
      </c>
      <c r="I32">
        <v>7.04</v>
      </c>
      <c r="J32">
        <f>SUM(11.44, 8.46, 9.11, 11.31, 9.53, 7.46)/6</f>
        <v>9.5516666666666676</v>
      </c>
      <c r="K32">
        <v>13</v>
      </c>
      <c r="L32">
        <v>4.6500000000000004</v>
      </c>
      <c r="M32">
        <v>7.33</v>
      </c>
      <c r="N32">
        <f>SUM(9.13, 8.73)/2</f>
        <v>8.93</v>
      </c>
      <c r="O32">
        <v>2.71</v>
      </c>
      <c r="Q32">
        <v>8.51</v>
      </c>
      <c r="R32">
        <v>9.9600000000000009</v>
      </c>
      <c r="S32">
        <v>31.68</v>
      </c>
      <c r="T32">
        <v>10</v>
      </c>
      <c r="U32">
        <v>11.78</v>
      </c>
      <c r="V32">
        <v>29.82</v>
      </c>
      <c r="W32">
        <v>1.36</v>
      </c>
      <c r="X32">
        <v>10.45</v>
      </c>
      <c r="Y32">
        <v>27.37</v>
      </c>
      <c r="Z32">
        <v>2.2000000000000002</v>
      </c>
    </row>
    <row r="33" spans="1:26" x14ac:dyDescent="0.35">
      <c r="A33">
        <v>31</v>
      </c>
      <c r="B33" t="s">
        <v>38</v>
      </c>
      <c r="C33" t="s">
        <v>6</v>
      </c>
      <c r="D33" t="s">
        <v>87</v>
      </c>
      <c r="E33">
        <v>19</v>
      </c>
      <c r="F33">
        <v>6.55</v>
      </c>
      <c r="G33">
        <f>SUM(12.35, 12.31)/2</f>
        <v>12.33</v>
      </c>
      <c r="H33">
        <v>14.68</v>
      </c>
      <c r="I33">
        <f>SUM(5.55, 8.05)/2</f>
        <v>6.8000000000000007</v>
      </c>
      <c r="J33">
        <f>SUM(10.11, 9.26, 9.21, 9.41, 12.4, 7.73, 8.76)/7</f>
        <v>9.5542857142857134</v>
      </c>
      <c r="K33">
        <v>22.82</v>
      </c>
      <c r="L33">
        <v>5.42</v>
      </c>
      <c r="M33">
        <v>7.76</v>
      </c>
      <c r="N33">
        <v>11.95</v>
      </c>
      <c r="O33">
        <v>5.05</v>
      </c>
      <c r="Q33">
        <v>5.95</v>
      </c>
      <c r="R33">
        <v>6.58</v>
      </c>
      <c r="S33">
        <v>13.11</v>
      </c>
      <c r="T33">
        <v>7.2</v>
      </c>
      <c r="U33">
        <v>7.9</v>
      </c>
      <c r="V33">
        <v>36.25</v>
      </c>
      <c r="W33">
        <v>1.08</v>
      </c>
      <c r="X33">
        <v>23.98</v>
      </c>
      <c r="Y33">
        <v>22</v>
      </c>
      <c r="Z33">
        <v>1</v>
      </c>
    </row>
    <row r="34" spans="1:26" x14ac:dyDescent="0.35">
      <c r="A34">
        <v>32</v>
      </c>
      <c r="B34" t="s">
        <v>39</v>
      </c>
      <c r="C34" t="s">
        <v>6</v>
      </c>
      <c r="D34" t="s">
        <v>87</v>
      </c>
      <c r="E34">
        <v>25</v>
      </c>
      <c r="F34">
        <v>5.56</v>
      </c>
      <c r="G34">
        <f>SUM(8.7, 10.15, 9.96, 7.08)/4</f>
        <v>8.9725000000000001</v>
      </c>
      <c r="H34">
        <v>15.88</v>
      </c>
      <c r="I34">
        <v>9.9600000000000009</v>
      </c>
      <c r="J34">
        <f>SUM(25.17, 13.3, 17.62, 14.83, 21.28, 12.45)/6</f>
        <v>17.441666666666666</v>
      </c>
      <c r="K34">
        <f>SUM(19.65, 24.6)/2</f>
        <v>22.125</v>
      </c>
      <c r="L34">
        <v>6.93</v>
      </c>
      <c r="M34">
        <v>11.46</v>
      </c>
      <c r="N34">
        <v>12.98</v>
      </c>
      <c r="O34">
        <v>4.96</v>
      </c>
      <c r="Q34">
        <v>8.5500000000000007</v>
      </c>
      <c r="R34">
        <v>11.53</v>
      </c>
      <c r="S34">
        <v>34.770000000000003</v>
      </c>
      <c r="T34">
        <v>15.97</v>
      </c>
      <c r="U34">
        <v>25.68</v>
      </c>
      <c r="V34">
        <v>43.39</v>
      </c>
      <c r="W34">
        <v>1.18</v>
      </c>
      <c r="X34">
        <v>12.91</v>
      </c>
      <c r="Y34">
        <v>24.74</v>
      </c>
      <c r="Z34">
        <v>5.13</v>
      </c>
    </row>
    <row r="35" spans="1:26" x14ac:dyDescent="0.35">
      <c r="A35">
        <v>33</v>
      </c>
      <c r="B35" t="s">
        <v>40</v>
      </c>
      <c r="C35" t="s">
        <v>6</v>
      </c>
      <c r="D35" t="s">
        <v>87</v>
      </c>
      <c r="E35">
        <v>26</v>
      </c>
      <c r="F35">
        <v>5.94</v>
      </c>
      <c r="G35">
        <f>SUM(11.86, 5.65)/2</f>
        <v>8.754999999999999</v>
      </c>
      <c r="H35">
        <v>9.5500000000000007</v>
      </c>
      <c r="I35">
        <v>7.43</v>
      </c>
      <c r="J35">
        <f>SUM(11.13, 9.85, 4.81, 7.23, 8.23, 6.3)/6</f>
        <v>7.9249999999999998</v>
      </c>
      <c r="K35">
        <v>9.9</v>
      </c>
      <c r="L35">
        <v>5.26</v>
      </c>
      <c r="M35">
        <v>7.36</v>
      </c>
      <c r="N35">
        <v>10.15</v>
      </c>
      <c r="O35">
        <v>3.9</v>
      </c>
      <c r="Q35">
        <v>12.48</v>
      </c>
      <c r="R35">
        <v>8.75</v>
      </c>
      <c r="S35">
        <v>22.47</v>
      </c>
      <c r="T35">
        <v>14.06</v>
      </c>
      <c r="U35">
        <v>23.42</v>
      </c>
      <c r="V35">
        <v>29.37</v>
      </c>
      <c r="W35">
        <v>0.88</v>
      </c>
      <c r="X35">
        <v>10.8</v>
      </c>
      <c r="Y35">
        <v>17.98</v>
      </c>
      <c r="Z35">
        <v>16.309999999999999</v>
      </c>
    </row>
    <row r="36" spans="1:26" x14ac:dyDescent="0.35">
      <c r="A36">
        <v>34</v>
      </c>
      <c r="B36" t="s">
        <v>41</v>
      </c>
      <c r="C36" t="s">
        <v>6</v>
      </c>
      <c r="D36" t="s">
        <v>87</v>
      </c>
      <c r="E36">
        <v>23</v>
      </c>
      <c r="F36">
        <f>SUM(17.18, 6.45)/2</f>
        <v>11.815</v>
      </c>
      <c r="G36">
        <f>SUM(8.46, 7.98)/2</f>
        <v>8.2200000000000006</v>
      </c>
      <c r="H36">
        <v>22.21</v>
      </c>
      <c r="I36">
        <f>SUM(6.07, 5.6, 8.63, 12.48, 7.55)/5</f>
        <v>8.0659999999999989</v>
      </c>
      <c r="J36">
        <f>SUM(11.06, 9.04, 9.76, 10.41)/4</f>
        <v>10.067499999999999</v>
      </c>
      <c r="K36">
        <v>13.63</v>
      </c>
      <c r="L36">
        <v>4.91</v>
      </c>
      <c r="M36">
        <v>6.66</v>
      </c>
      <c r="N36">
        <f>SUM(12.08, 9.4)/2</f>
        <v>10.74</v>
      </c>
      <c r="O36">
        <v>3.96</v>
      </c>
      <c r="Q36">
        <v>8.31</v>
      </c>
      <c r="R36">
        <v>15.31</v>
      </c>
      <c r="S36">
        <v>19.68</v>
      </c>
      <c r="T36">
        <v>18.28</v>
      </c>
      <c r="U36">
        <v>29.01</v>
      </c>
      <c r="V36">
        <f>SUM(14.48, 25.43)/2</f>
        <v>19.954999999999998</v>
      </c>
      <c r="W36">
        <v>0.85</v>
      </c>
      <c r="X36">
        <v>10.51</v>
      </c>
      <c r="Y36">
        <v>14.68</v>
      </c>
      <c r="Z36">
        <v>4.3</v>
      </c>
    </row>
    <row r="37" spans="1:26" x14ac:dyDescent="0.35">
      <c r="A37">
        <v>35</v>
      </c>
      <c r="B37" t="s">
        <v>42</v>
      </c>
      <c r="C37" t="s">
        <v>6</v>
      </c>
      <c r="D37" t="s">
        <v>87</v>
      </c>
      <c r="E37">
        <v>24</v>
      </c>
      <c r="F37">
        <v>6.31</v>
      </c>
      <c r="G37">
        <f>SUM(9.58, 7.01)/2</f>
        <v>8.2949999999999999</v>
      </c>
      <c r="H37">
        <v>21.59</v>
      </c>
      <c r="I37">
        <v>7.46</v>
      </c>
      <c r="J37">
        <f>SUM(9.23, 7.43, 9.05, 12.99, 7.04, 9.27, 11.03)/7</f>
        <v>9.4342857142857159</v>
      </c>
      <c r="K37">
        <v>21.09</v>
      </c>
      <c r="L37">
        <f>SUM(11.13, 13.56, 7.41)/3</f>
        <v>10.700000000000001</v>
      </c>
      <c r="M37">
        <v>7.28</v>
      </c>
      <c r="N37">
        <f>SUM(10.09, 9.01)/2</f>
        <v>9.5500000000000007</v>
      </c>
      <c r="O37">
        <v>5.22</v>
      </c>
      <c r="Q37">
        <v>6.53</v>
      </c>
      <c r="R37">
        <v>39.01</v>
      </c>
      <c r="S37">
        <v>43.39</v>
      </c>
      <c r="T37">
        <v>11</v>
      </c>
      <c r="U37">
        <v>48.95</v>
      </c>
      <c r="V37">
        <v>67.97</v>
      </c>
      <c r="W37">
        <v>0.66</v>
      </c>
      <c r="X37">
        <v>23.91</v>
      </c>
      <c r="Y37">
        <v>38.53</v>
      </c>
      <c r="Z37">
        <v>10.75</v>
      </c>
    </row>
    <row r="38" spans="1:26" x14ac:dyDescent="0.35">
      <c r="A38">
        <v>36</v>
      </c>
      <c r="B38" t="s">
        <v>43</v>
      </c>
      <c r="C38" t="s">
        <v>6</v>
      </c>
      <c r="D38" t="s">
        <v>86</v>
      </c>
      <c r="E38">
        <v>27</v>
      </c>
      <c r="F38">
        <v>4.99</v>
      </c>
      <c r="G38">
        <v>6.91</v>
      </c>
      <c r="H38">
        <v>16.13</v>
      </c>
      <c r="I38">
        <f>SUM(5.4, 6.6, 7.88)/3</f>
        <v>6.626666666666666</v>
      </c>
      <c r="J38">
        <f>SUM(9.45, 6.53, 7.31, 7.61, 7.55, 6.91, 6.48, 7.86)/8</f>
        <v>7.4625000000000004</v>
      </c>
      <c r="K38">
        <f>SUM(18.53, 13.98, 18.33)/3</f>
        <v>16.946666666666669</v>
      </c>
      <c r="L38">
        <v>5.71</v>
      </c>
      <c r="M38">
        <v>5.64</v>
      </c>
      <c r="N38">
        <v>8.57</v>
      </c>
      <c r="O38">
        <v>6.33</v>
      </c>
      <c r="Q38">
        <v>11.64</v>
      </c>
      <c r="R38">
        <v>11.73</v>
      </c>
      <c r="S38">
        <v>18.05</v>
      </c>
      <c r="T38">
        <v>14.13</v>
      </c>
      <c r="U38">
        <v>19.690000000000001</v>
      </c>
      <c r="V38">
        <v>29.1</v>
      </c>
      <c r="W38">
        <v>1.58</v>
      </c>
      <c r="X38">
        <v>14.21</v>
      </c>
      <c r="Y38">
        <v>17.809999999999999</v>
      </c>
      <c r="Z38">
        <v>3.49</v>
      </c>
    </row>
    <row r="39" spans="1:26" x14ac:dyDescent="0.35">
      <c r="A39">
        <v>37</v>
      </c>
      <c r="B39" t="s">
        <v>44</v>
      </c>
      <c r="C39" t="s">
        <v>6</v>
      </c>
      <c r="D39" t="s">
        <v>86</v>
      </c>
      <c r="E39">
        <v>19</v>
      </c>
      <c r="F39">
        <v>7.13</v>
      </c>
      <c r="G39">
        <f>SUM(7.78, 7.9)/2</f>
        <v>7.84</v>
      </c>
      <c r="H39">
        <v>19.489999999999998</v>
      </c>
      <c r="I39">
        <v>7.14</v>
      </c>
      <c r="J39">
        <f>SUM(11.96, 10.07, 9.6, 9.79, 10.88, 5.13, 8.05, 5.96)/8</f>
        <v>8.93</v>
      </c>
      <c r="K39">
        <v>10.78</v>
      </c>
      <c r="L39">
        <v>6.28</v>
      </c>
      <c r="M39">
        <v>6.59</v>
      </c>
      <c r="N39">
        <v>12.45</v>
      </c>
      <c r="O39">
        <v>5.71</v>
      </c>
      <c r="Q39">
        <v>8.56</v>
      </c>
      <c r="R39">
        <v>13.86</v>
      </c>
      <c r="S39">
        <v>22.25</v>
      </c>
      <c r="T39">
        <v>14.53</v>
      </c>
      <c r="U39">
        <v>33.96</v>
      </c>
      <c r="V39">
        <v>27.48</v>
      </c>
      <c r="W39">
        <v>1.26</v>
      </c>
      <c r="X39">
        <v>11.65</v>
      </c>
      <c r="Y39">
        <v>20.7</v>
      </c>
      <c r="Z39">
        <v>7.2</v>
      </c>
    </row>
    <row r="40" spans="1:26" x14ac:dyDescent="0.35">
      <c r="A40">
        <v>38</v>
      </c>
      <c r="B40" t="s">
        <v>45</v>
      </c>
      <c r="C40" t="s">
        <v>6</v>
      </c>
      <c r="D40" t="s">
        <v>87</v>
      </c>
      <c r="E40">
        <v>25</v>
      </c>
      <c r="F40">
        <v>6.67</v>
      </c>
      <c r="G40">
        <v>7.89</v>
      </c>
      <c r="H40">
        <v>22.15</v>
      </c>
      <c r="I40">
        <v>8.2100000000000009</v>
      </c>
      <c r="J40">
        <f>SUM(12.5, 10.97, 15.65, 7.86, 8.23, 9.91, 12.76, 7.06, 8.29)/9</f>
        <v>10.358888888888888</v>
      </c>
      <c r="K40">
        <v>13.58</v>
      </c>
      <c r="L40">
        <v>4.55</v>
      </c>
      <c r="M40">
        <v>10.66</v>
      </c>
      <c r="N40">
        <v>15.28</v>
      </c>
      <c r="O40">
        <v>7.76</v>
      </c>
      <c r="Q40">
        <v>8.33</v>
      </c>
      <c r="R40">
        <v>22.91</v>
      </c>
      <c r="S40">
        <v>26.97</v>
      </c>
      <c r="T40">
        <f>SUM(12.5, 11.7)/2</f>
        <v>12.1</v>
      </c>
      <c r="U40">
        <v>13.93</v>
      </c>
      <c r="V40">
        <v>29.08</v>
      </c>
      <c r="W40">
        <v>0.93</v>
      </c>
      <c r="X40">
        <v>18.88</v>
      </c>
      <c r="Y40">
        <v>25.17</v>
      </c>
      <c r="Z40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summary</vt:lpstr>
      <vt:lpstr>success first trial</vt:lpstr>
      <vt:lpstr>success or not</vt:lpstr>
      <vt:lpstr>number of attempts until succes</vt:lpstr>
      <vt:lpstr>total time to success</vt:lpstr>
      <vt:lpstr>time per successful trial</vt:lpstr>
      <vt:lpstr>average time per 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סתיו ברק</dc:creator>
  <cp:lastModifiedBy>דורית יגוד</cp:lastModifiedBy>
  <dcterms:created xsi:type="dcterms:W3CDTF">2025-05-16T10:56:04Z</dcterms:created>
  <dcterms:modified xsi:type="dcterms:W3CDTF">2025-05-22T11:32:33Z</dcterms:modified>
</cp:coreProperties>
</file>