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ui1\マイドライブ\授業\M1\1_情報システム\"/>
    </mc:Choice>
  </mc:AlternateContent>
  <xr:revisionPtr revIDLastSave="0" documentId="13_ncr:1_{140735D0-D953-4279-BAFE-FF27CC1ED0C3}" xr6:coauthVersionLast="47" xr6:coauthVersionMax="47" xr10:uidLastSave="{00000000-0000-0000-0000-000000000000}"/>
  <bookViews>
    <workbookView xWindow="-98" yWindow="-98" windowWidth="22695" windowHeight="15196" activeTab="1" xr2:uid="{8CF6B614-D7DE-4AD4-994F-07B0E2061E79}"/>
  </bookViews>
  <sheets>
    <sheet name="入力" sheetId="8" r:id="rId1"/>
    <sheet name="function" sheetId="2" r:id="rId2"/>
    <sheet name="メモ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2" l="1"/>
  <c r="C16" i="2"/>
  <c r="D16" i="2"/>
  <c r="B16" i="2"/>
  <c r="E15" i="2"/>
  <c r="C15" i="2"/>
  <c r="D15" i="2"/>
  <c r="B15" i="2"/>
  <c r="E13" i="2"/>
  <c r="D13" i="2"/>
  <c r="C13" i="2"/>
  <c r="B13" i="2"/>
  <c r="E12" i="2"/>
  <c r="C12" i="2"/>
  <c r="D12" i="2"/>
  <c r="B12" i="2"/>
  <c r="E11" i="2"/>
  <c r="C11" i="2"/>
  <c r="D11" i="2"/>
  <c r="B11" i="2"/>
  <c r="E28" i="2" l="1"/>
  <c r="C28" i="2"/>
  <c r="D28" i="2"/>
  <c r="B28" i="2"/>
  <c r="E27" i="2"/>
  <c r="C27" i="2"/>
  <c r="D27" i="2"/>
  <c r="B27" i="2"/>
  <c r="E25" i="2"/>
  <c r="C25" i="2"/>
  <c r="D25" i="2"/>
  <c r="B25" i="2"/>
  <c r="E24" i="2"/>
  <c r="C24" i="2"/>
  <c r="D24" i="2"/>
  <c r="B24" i="2"/>
  <c r="E23" i="2"/>
  <c r="D23" i="2"/>
  <c r="C23" i="2"/>
  <c r="B23" i="2"/>
  <c r="C9" i="2"/>
  <c r="F2" i="8" l="1" a="1"/>
  <c r="F2" i="8" s="1"/>
  <c r="E21" i="2"/>
  <c r="E20" i="2"/>
  <c r="C21" i="2"/>
  <c r="C20" i="2"/>
  <c r="D20" i="2"/>
  <c r="D21" i="2"/>
  <c r="B20" i="2"/>
  <c r="B21" i="2"/>
  <c r="E19" i="2"/>
  <c r="C19" i="2"/>
  <c r="D19" i="2"/>
  <c r="B19" i="2"/>
  <c r="E18" i="2"/>
  <c r="C18" i="2"/>
  <c r="D18" i="2"/>
  <c r="B18" i="2"/>
  <c r="E9" i="2"/>
  <c r="D9" i="2"/>
  <c r="B9" i="2"/>
  <c r="B8" i="2"/>
  <c r="C5" i="2" l="1"/>
  <c r="B5" i="2"/>
  <c r="E5" i="2"/>
  <c r="D5" i="2"/>
  <c r="E7" i="2"/>
  <c r="B7" i="2"/>
  <c r="E6" i="2"/>
  <c r="D6" i="2"/>
  <c r="C6" i="2"/>
  <c r="B6" i="2"/>
  <c r="B3" i="2"/>
  <c r="B4" i="2"/>
  <c r="D4" i="2"/>
  <c r="D3" i="2" l="1"/>
  <c r="E8" i="2" l="1"/>
  <c r="I3" i="8"/>
  <c r="D8" i="2"/>
  <c r="I4" i="8" s="1"/>
  <c r="D7" i="2"/>
  <c r="C8" i="2"/>
  <c r="C7" i="2"/>
  <c r="H4" i="8"/>
  <c r="J6" i="8" l="1"/>
  <c r="H3" i="8"/>
  <c r="J7" i="8"/>
  <c r="M8" i="8"/>
  <c r="J4" i="8" l="1"/>
  <c r="J5" i="8"/>
  <c r="M7" i="8" a="1"/>
  <c r="M7" i="8" s="1"/>
  <c r="J3" i="8" l="1"/>
  <c r="K4" i="8" s="1" a="1"/>
  <c r="K4" i="8" s="1"/>
  <c r="K3" i="8" l="1" a="1"/>
  <c r="K3" i="8" s="1"/>
  <c r="M6" i="8" s="1" a="1"/>
  <c r="M6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<sst xmlns="http://schemas.openxmlformats.org/spreadsheetml/2006/main" count="176" uniqueCount="85">
  <si>
    <t>キーワード1</t>
    <phoneticPr fontId="1"/>
  </si>
  <si>
    <t>キーワード2</t>
    <phoneticPr fontId="1"/>
  </si>
  <si>
    <t>グループ名</t>
    <rPh sb="4" eb="5">
      <t>メイ</t>
    </rPh>
    <phoneticPr fontId="1"/>
  </si>
  <si>
    <t>C</t>
    <phoneticPr fontId="1"/>
  </si>
  <si>
    <t>AP1</t>
    <phoneticPr fontId="1"/>
  </si>
  <si>
    <t>AP2</t>
    <phoneticPr fontId="1"/>
  </si>
  <si>
    <t>棟</t>
    <rPh sb="0" eb="1">
      <t>トウ</t>
    </rPh>
    <phoneticPr fontId="1"/>
  </si>
  <si>
    <t>C-3F-02</t>
  </si>
  <si>
    <t>C-3F-02</t>
    <phoneticPr fontId="1"/>
  </si>
  <si>
    <t>C1-3F-01</t>
  </si>
  <si>
    <t>C-3F-03</t>
    <phoneticPr fontId="1"/>
  </si>
  <si>
    <t>C-3F-04</t>
    <phoneticPr fontId="1"/>
  </si>
  <si>
    <t>C</t>
    <phoneticPr fontId="1"/>
  </si>
  <si>
    <t>C-3F-01</t>
    <phoneticPr fontId="1"/>
  </si>
  <si>
    <t>C2-3F-01</t>
    <phoneticPr fontId="1"/>
  </si>
  <si>
    <t>C2</t>
  </si>
  <si>
    <t>C2</t>
    <phoneticPr fontId="1"/>
  </si>
  <si>
    <t>C2-3F-02</t>
    <phoneticPr fontId="1"/>
  </si>
  <si>
    <t>C2-3F-03</t>
    <phoneticPr fontId="1"/>
  </si>
  <si>
    <t>C3-3F-03</t>
    <phoneticPr fontId="1"/>
  </si>
  <si>
    <t>C3-3F-02</t>
    <phoneticPr fontId="1"/>
  </si>
  <si>
    <t>C3</t>
  </si>
  <si>
    <t>C3</t>
    <phoneticPr fontId="1"/>
  </si>
  <si>
    <t>C3-3F-01</t>
    <phoneticPr fontId="1"/>
  </si>
  <si>
    <t>C- or C1</t>
    <phoneticPr fontId="1"/>
  </si>
  <si>
    <t>AP1</t>
    <phoneticPr fontId="1"/>
  </si>
  <si>
    <t>AP2</t>
    <phoneticPr fontId="1"/>
  </si>
  <si>
    <t>棟</t>
    <rPh sb="0" eb="1">
      <t>トウ</t>
    </rPh>
    <phoneticPr fontId="1"/>
  </si>
  <si>
    <t>棟判別の条件　メモ</t>
    <rPh sb="0" eb="1">
      <t>トウ</t>
    </rPh>
    <rPh sb="1" eb="3">
      <t>ハンベツ</t>
    </rPh>
    <rPh sb="4" eb="6">
      <t>ジョウケン</t>
    </rPh>
    <phoneticPr fontId="1"/>
  </si>
  <si>
    <t>強い方</t>
    <rPh sb="0" eb="1">
      <t>ツヨ</t>
    </rPh>
    <rPh sb="2" eb="3">
      <t>ホウ</t>
    </rPh>
    <phoneticPr fontId="1"/>
  </si>
  <si>
    <t>組み合わせ 3F</t>
    <rPh sb="0" eb="1">
      <t>ク</t>
    </rPh>
    <rPh sb="2" eb="3">
      <t>ア</t>
    </rPh>
    <phoneticPr fontId="1"/>
  </si>
  <si>
    <t>組み合わせ 4F</t>
    <rPh sb="0" eb="1">
      <t>ク</t>
    </rPh>
    <rPh sb="2" eb="3">
      <t>ア</t>
    </rPh>
    <phoneticPr fontId="1"/>
  </si>
  <si>
    <t>C-4F-02</t>
  </si>
  <si>
    <t>C-4F-03</t>
  </si>
  <si>
    <t>C-4F-03</t>
    <phoneticPr fontId="1"/>
  </si>
  <si>
    <t>C-4F-04</t>
    <phoneticPr fontId="1"/>
  </si>
  <si>
    <t>C-4F-01</t>
    <phoneticPr fontId="1"/>
  </si>
  <si>
    <t>C2-4F-01</t>
  </si>
  <si>
    <t>C2-4F-01</t>
    <phoneticPr fontId="1"/>
  </si>
  <si>
    <t>C2-4F-02</t>
  </si>
  <si>
    <t>C2-4F-03</t>
  </si>
  <si>
    <t>C3-4F-03</t>
  </si>
  <si>
    <t>C3-4F-02</t>
  </si>
  <si>
    <t>AP1強度</t>
    <rPh sb="3" eb="5">
      <t>キョウド</t>
    </rPh>
    <phoneticPr fontId="1"/>
  </si>
  <si>
    <t>AP2強度</t>
    <rPh sb="3" eb="5">
      <t>キョウド</t>
    </rPh>
    <phoneticPr fontId="1"/>
  </si>
  <si>
    <t>階</t>
    <rPh sb="0" eb="1">
      <t>カイ</t>
    </rPh>
    <phoneticPr fontId="1"/>
  </si>
  <si>
    <t>座標x</t>
    <rPh sb="0" eb="2">
      <t>ザヒョウ</t>
    </rPh>
    <phoneticPr fontId="1"/>
  </si>
  <si>
    <t>座標y</t>
    <rPh sb="0" eb="2">
      <t>ザヒョウ</t>
    </rPh>
    <phoneticPr fontId="1"/>
  </si>
  <si>
    <t>座標z</t>
    <rPh sb="0" eb="2">
      <t>ザヒョウ</t>
    </rPh>
    <phoneticPr fontId="1"/>
  </si>
  <si>
    <t>Xのみ</t>
    <phoneticPr fontId="1"/>
  </si>
  <si>
    <t>+方向</t>
    <phoneticPr fontId="1"/>
  </si>
  <si>
    <t>-方向</t>
    <phoneticPr fontId="1"/>
  </si>
  <si>
    <t>B</t>
    <phoneticPr fontId="1"/>
  </si>
  <si>
    <t>D</t>
    <phoneticPr fontId="1"/>
  </si>
  <si>
    <t>+</t>
    <phoneticPr fontId="1"/>
  </si>
  <si>
    <t>-</t>
    <phoneticPr fontId="1"/>
  </si>
  <si>
    <t>AP-C-3F-01</t>
  </si>
  <si>
    <t>AP-C-3F-02</t>
  </si>
  <si>
    <t>AP-C-3F-03</t>
  </si>
  <si>
    <t>AP-C-3F-04</t>
  </si>
  <si>
    <t>予想距離</t>
    <rPh sb="0" eb="2">
      <t>ヨソウ</t>
    </rPh>
    <rPh sb="2" eb="4">
      <t>キョリ</t>
    </rPh>
    <phoneticPr fontId="1"/>
  </si>
  <si>
    <t>採用</t>
    <rPh sb="0" eb="2">
      <t>サイヨウ</t>
    </rPh>
    <phoneticPr fontId="1"/>
  </si>
  <si>
    <t>距離の差</t>
    <rPh sb="0" eb="2">
      <t>キョリ</t>
    </rPh>
    <rPh sb="3" eb="4">
      <t>サ</t>
    </rPh>
    <phoneticPr fontId="1"/>
  </si>
  <si>
    <t>AP-C1-3F-01</t>
    <phoneticPr fontId="1"/>
  </si>
  <si>
    <t>AP-C2-3F-01</t>
    <phoneticPr fontId="1"/>
  </si>
  <si>
    <t>AP-C3-3F-01</t>
    <phoneticPr fontId="1"/>
  </si>
  <si>
    <t>AP-C-4F-01</t>
  </si>
  <si>
    <t>AP-C-4F-02</t>
  </si>
  <si>
    <t>AP-C-4F-03</t>
  </si>
  <si>
    <t>AP-C-4F-04</t>
  </si>
  <si>
    <t>AP-C-4F-04</t>
    <phoneticPr fontId="1"/>
  </si>
  <si>
    <t>AP-C-4F-01</t>
    <phoneticPr fontId="1"/>
  </si>
  <si>
    <t>AP-C2-4F-01</t>
    <phoneticPr fontId="1"/>
  </si>
  <si>
    <t>AP-C2-4F-02</t>
    <phoneticPr fontId="1"/>
  </si>
  <si>
    <t>AP-C2-4F-03</t>
    <phoneticPr fontId="1"/>
  </si>
  <si>
    <t>AP-C3-4F-01</t>
    <phoneticPr fontId="1"/>
  </si>
  <si>
    <t>AP-C3-4F-02</t>
    <phoneticPr fontId="1"/>
  </si>
  <si>
    <t>AP-C2-3F-02</t>
    <phoneticPr fontId="1"/>
  </si>
  <si>
    <t>AP-C2-3F-03</t>
  </si>
  <si>
    <t>AP-C3-3F-02</t>
    <phoneticPr fontId="1"/>
  </si>
  <si>
    <t>AP-C3-3F-03</t>
    <phoneticPr fontId="1"/>
  </si>
  <si>
    <t>使用するデータの条件</t>
    <rPh sb="0" eb="2">
      <t>シヨウ</t>
    </rPh>
    <rPh sb="8" eb="10">
      <t>ジョウケン</t>
    </rPh>
    <phoneticPr fontId="1"/>
  </si>
  <si>
    <t>・その測定点の上位2AP</t>
    <rPh sb="3" eb="5">
      <t>ソクテイ</t>
    </rPh>
    <rPh sb="5" eb="6">
      <t>テン</t>
    </rPh>
    <rPh sb="7" eb="9">
      <t>ジョウイ</t>
    </rPh>
    <phoneticPr fontId="1"/>
  </si>
  <si>
    <t>・2.4 GHz帯</t>
    <rPh sb="8" eb="9">
      <t>タイ</t>
    </rPh>
    <phoneticPr fontId="1"/>
  </si>
  <si>
    <t>・3FC棟で，C-01があったらそれだけを参照</t>
    <rPh sb="4" eb="5">
      <t>トウ</t>
    </rPh>
    <rPh sb="21" eb="23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</si>
</sst>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2453-8152-4184-8E8B-B3FD4C2285C4}">
  <dimension ref="A1:M8"/>
  <sheetViews>
    <sheetView zoomScale="79" workbookViewId="0">
      <selection activeCell="I14" sqref="I14"/>
    </sheetView>
  </sheetViews>
  <sheetFormatPr defaultRowHeight="17.649999999999999" x14ac:dyDescent="0.7"/>
  <cols>
    <col min="1" max="1" width="12.25" bestFit="1" customWidth="1"/>
    <col min="3" max="3" width="12.25" bestFit="1" customWidth="1"/>
    <col min="5" max="6" width="3.3125" bestFit="1" customWidth="1"/>
    <col min="7" max="7" width="2.8125" bestFit="1" customWidth="1"/>
    <col min="8" max="8" width="6.8125" bestFit="1" customWidth="1"/>
    <col min="9" max="9" width="5.8125" bestFit="1" customWidth="1"/>
    <col min="10" max="10" width="11.5625" bestFit="1" customWidth="1"/>
    <col min="11" max="11" width="5.25" bestFit="1" customWidth="1"/>
  </cols>
  <sheetData>
    <row r="1" spans="1:13" ht="18" thickBot="1" x14ac:dyDescent="0.75">
      <c r="A1" t="s">
        <v>4</v>
      </c>
      <c r="B1" t="s">
        <v>43</v>
      </c>
      <c r="C1" t="s">
        <v>5</v>
      </c>
      <c r="D1" t="s">
        <v>44</v>
      </c>
      <c r="E1" t="s">
        <v>45</v>
      </c>
      <c r="F1" t="s">
        <v>6</v>
      </c>
      <c r="H1" s="13" t="s">
        <v>60</v>
      </c>
      <c r="I1" s="13"/>
      <c r="J1" t="s">
        <v>62</v>
      </c>
      <c r="K1" t="s">
        <v>61</v>
      </c>
    </row>
    <row r="2" spans="1:13" x14ac:dyDescent="0.7">
      <c r="A2" t="s">
        <v>70</v>
      </c>
      <c r="B2">
        <v>-57</v>
      </c>
      <c r="C2" t="s">
        <v>71</v>
      </c>
      <c r="D2">
        <v>-68</v>
      </c>
      <c r="E2">
        <v>4</v>
      </c>
      <c r="F2" t="str" cm="1">
        <f t="array" ref="F2">_xlfn.IFS(
    AND(
        OR(ISNUMBER(SEARCH("C-",A2)),ISNUMBER(SEARCH("C-",C2))),
        OR(ISNUMBER(SEARCH("C2-",A2)),ISNUMBER(SEARCH("C2-",C2)))
    ), IF(B2&gt;D2, IF(ISNUMBER(SEARCH("C-", A2)), "C",
            IF(ISNUMBER(SEARCH("C2-", A2)), "C2", "不明")
        ), IF(ISNUMBER(SEARCH("C-", C2)), "C",
            IF(ISNUMBER(SEARCH("C2-", C2)), "C2", "不明")
        )),
    AND(ISNUMBER(SEARCH("C2-",A2)), ISNUMBER(SEARCH("C2-",C2))), "C2",
    OR(ISNUMBER(SEARCH("C3-",A2)), ISNUMBER(SEARCH("C3-",C2))), "C3",
    OR(ISNUMBER(SEARCH("C-",A2)), ISNUMBER(SEARCH("C1-",A2)), ISNUMBER(SEARCH("C-",C2)), ISNUMBER(SEARCH("C1-",C2))), "C",
    TRUE, "該当なし"
)</f>
        <v>C</v>
      </c>
      <c r="G2" s="5"/>
      <c r="H2" s="6" t="s">
        <v>4</v>
      </c>
      <c r="I2" s="7" t="s">
        <v>5</v>
      </c>
    </row>
    <row r="3" spans="1:13" x14ac:dyDescent="0.7">
      <c r="G3" s="8" t="s">
        <v>54</v>
      </c>
      <c r="H3" s="4">
        <f>VLOOKUP(入力!A2,function!A:E,2,FALSE)</f>
        <v>14.346699999999998</v>
      </c>
      <c r="I3" s="9">
        <f>VLOOKUP(入力!C2,function!A:E,5,FALSE)</f>
        <v>-61.351199999999999</v>
      </c>
      <c r="J3">
        <f>MIN(J4:J7)</f>
        <v>43.204500000000003</v>
      </c>
      <c r="K3" cm="1">
        <f t="array" ref="K3">INDEX({3,3,4,4}, MATCH(J3, J4:J7, 0))</f>
        <v>3</v>
      </c>
    </row>
    <row r="4" spans="1:13" ht="18" thickBot="1" x14ac:dyDescent="0.75">
      <c r="G4" s="10" t="s">
        <v>55</v>
      </c>
      <c r="H4" s="11">
        <f>VLOOKUP(入力!A2,function!A:E,3,FALSE)</f>
        <v>4.0532999999999992</v>
      </c>
      <c r="I4" s="12">
        <f>VLOOKUP(入力!C2,function!A:E,4,FALSE)</f>
        <v>57.551200000000001</v>
      </c>
      <c r="J4">
        <f>ABS(H3 - I3)</f>
        <v>75.697900000000004</v>
      </c>
      <c r="K4" cm="1">
        <f t="array" ref="K4">INDEX({3,4,3,4}, MATCH(J3, J4:J7, 0))</f>
        <v>4</v>
      </c>
    </row>
    <row r="5" spans="1:13" x14ac:dyDescent="0.7">
      <c r="J5">
        <f>ABS(H3 -I4)</f>
        <v>43.204500000000003</v>
      </c>
    </row>
    <row r="6" spans="1:13" x14ac:dyDescent="0.7">
      <c r="J6">
        <f>ABS(H4 - I3)</f>
        <v>65.404499999999999</v>
      </c>
      <c r="L6" s="2" t="s">
        <v>46</v>
      </c>
      <c r="M6" s="3" cm="1">
        <f t="array" ref="M6">_xlfn.SWITCH(F2,"C",(10^(B2/10) * INDEX(H:H, K3) + 10^(D2/10) * INDEX(I:I, K4)) / (10^(B2/10) + 10^(D2/10)),"C2","0","工事中")</f>
        <v>17.526013568281709</v>
      </c>
    </row>
    <row r="7" spans="1:13" x14ac:dyDescent="0.7">
      <c r="J7">
        <f>ABS(H4 - I4)</f>
        <v>53.497900000000001</v>
      </c>
      <c r="L7" s="2" t="s">
        <v>47</v>
      </c>
      <c r="M7" s="2" t="str" cm="1">
        <f t="array" ref="M7">_xlfn.SWITCH(F2,"C","0","C2","工事中","C3","56")</f>
        <v>0</v>
      </c>
    </row>
    <row r="8" spans="1:13" x14ac:dyDescent="0.7">
      <c r="L8" s="2" t="s">
        <v>48</v>
      </c>
      <c r="M8" s="2">
        <f>IF(E2=3,3.6,IF(E2=4,7.2,"範囲外"))</f>
        <v>7.2</v>
      </c>
    </row>
  </sheetData>
  <mergeCells count="1">
    <mergeCell ref="H1:I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5DC7-4664-4323-9F95-4AECA57868D7}">
  <dimension ref="A1:H28"/>
  <sheetViews>
    <sheetView tabSelected="1" topLeftCell="A4" workbookViewId="0">
      <selection activeCell="L21" sqref="L21"/>
    </sheetView>
  </sheetViews>
  <sheetFormatPr defaultRowHeight="17.649999999999999" x14ac:dyDescent="0.7"/>
  <cols>
    <col min="1" max="1" width="12.25" bestFit="1" customWidth="1"/>
  </cols>
  <sheetData>
    <row r="1" spans="1:8" x14ac:dyDescent="0.7">
      <c r="A1" t="s">
        <v>49</v>
      </c>
      <c r="B1" s="13" t="s">
        <v>52</v>
      </c>
      <c r="C1" s="13"/>
      <c r="D1" s="13" t="s">
        <v>53</v>
      </c>
      <c r="E1" s="13"/>
    </row>
    <row r="2" spans="1:8" x14ac:dyDescent="0.7">
      <c r="B2" s="1" t="s">
        <v>50</v>
      </c>
      <c r="C2" s="1" t="s">
        <v>51</v>
      </c>
      <c r="D2" s="1" t="s">
        <v>50</v>
      </c>
      <c r="E2" s="1" t="s">
        <v>51</v>
      </c>
      <c r="G2" s="1"/>
      <c r="H2" s="1"/>
    </row>
    <row r="3" spans="1:8" x14ac:dyDescent="0.7">
      <c r="A3" t="s">
        <v>63</v>
      </c>
      <c r="B3">
        <f>32-(15.8-0.0154*10^(-入力!B2/20))</f>
        <v>27.102365079515735</v>
      </c>
      <c r="C3" s="1"/>
      <c r="D3">
        <f>15.8-0.0154*10^(-入力!D2/20)</f>
        <v>-22.883051045247552</v>
      </c>
      <c r="E3" s="1"/>
      <c r="G3" s="1"/>
      <c r="H3" s="1"/>
    </row>
    <row r="4" spans="1:8" x14ac:dyDescent="0.7">
      <c r="A4" t="s">
        <v>64</v>
      </c>
      <c r="B4">
        <f>0.0319*10^(-入力!B2/20)</f>
        <v>22.583470521854025</v>
      </c>
      <c r="C4" s="1"/>
      <c r="D4">
        <f>0.0319*10^(-入力!D2/20)</f>
        <v>80.129177165155639</v>
      </c>
      <c r="E4" s="1"/>
      <c r="G4" s="1"/>
      <c r="H4" s="1"/>
    </row>
    <row r="5" spans="1:8" x14ac:dyDescent="0.7">
      <c r="A5" t="s">
        <v>56</v>
      </c>
      <c r="B5">
        <f>SQRT((-0.1522*入力!B2+3.3935)^2-11.2^2)-1.9</f>
        <v>2.5964816479109536</v>
      </c>
      <c r="C5">
        <f>SQRT((-0.1522*入力!B2+3.3935)^2-11.2^2)-1.9</f>
        <v>2.5964816479109536</v>
      </c>
      <c r="D5">
        <f>-1.9+SQRT((-0.1522*入力!D2+3.3935)^2-11.2^2)</f>
        <v>6.0644709560648167</v>
      </c>
      <c r="E5">
        <f>-1.9+SQRT((-0.1522*入力!D2+3.3935)^2-11.2^2)</f>
        <v>6.0644709560648167</v>
      </c>
    </row>
    <row r="6" spans="1:8" x14ac:dyDescent="0.7">
      <c r="A6" t="s">
        <v>57</v>
      </c>
      <c r="B6">
        <f>30.1+(-0.2478*入力!B2 - 8.527)</f>
        <v>35.697600000000001</v>
      </c>
      <c r="C6">
        <f>30.1-(-0.2478*入力!B2 - 8.527)</f>
        <v>24.502400000000002</v>
      </c>
      <c r="D6">
        <f>30.1+(-0.2478*入力!D2 - 8.527)</f>
        <v>38.423400000000001</v>
      </c>
      <c r="E6">
        <f>30.1-(-0.2478*入力!D2 - 8.527)</f>
        <v>21.776600000000002</v>
      </c>
    </row>
    <row r="7" spans="1:8" x14ac:dyDescent="0.7">
      <c r="A7" t="s">
        <v>58</v>
      </c>
      <c r="B7">
        <f>20.8+(0.00002514*入力!B2^5+0.0064156*入力!B2^4+0.64772057*入力!B2^3+32.32475471*入力!B2^2+796.81838527*入力!B2+7758.3716808)</f>
        <v>26.877955809979358</v>
      </c>
      <c r="C7">
        <f>20.8-(0.00002514*入力!B2^5+0.0064156*入力!B2^4+0.64772057*入力!B2^3+32.32475471*入力!B2^2+796.81838527*入力!B2+7758.3716808)</f>
        <v>14.722044190020643</v>
      </c>
      <c r="D7">
        <f>20.8+(0.00002514*入力!D2^5+0.0064156*入力!D2^4+0.64772057*入力!D2^3+32.32475471*入力!D2^2+796.81838527*入力!D2+7758.3716808)</f>
        <v>23.578961319953851</v>
      </c>
      <c r="E7">
        <f>20.8-(0.00002514*入力!D2^5+0.0064156*入力!D2^4+0.64772057*入力!D2^3+32.32475471*入力!D2^2+796.81838527*入力!D2+7758.3716808)</f>
        <v>18.02103868004615</v>
      </c>
    </row>
    <row r="8" spans="1:8" x14ac:dyDescent="0.7">
      <c r="A8" t="s">
        <v>59</v>
      </c>
      <c r="B8">
        <f>9.1+(0.00006771*入力!B2^5 + 0.0169408*入力!B2^4 + 1.68581189*入力!B2^3 + 83.40255464*入力!B2^2 + 2050.66985639*入力!B2 + 20040.00579671)</f>
        <v>21.795224399954897</v>
      </c>
      <c r="C8">
        <f>9.1-(0.00006771*入力!B2^5 + 0.0169408*入力!B2^4 + 1.68581189*入力!B2^3 + 83.40255464*入力!B2^2 + 2050.66985639*入力!B2 + 20040.00579671)</f>
        <v>-3.5952243999548958</v>
      </c>
      <c r="D8">
        <f>9.1+( 0.00006771*入力!D2^5 + 0.0169408*入力!D2^4 + 1.68581189*入力!D2^3 + 83.40255464*入力!D2^2 + 2050.66985639*入力!D2 + 20040.00579671)</f>
        <v>-44.463327409996417</v>
      </c>
      <c r="E8">
        <f>9.1-( 0.00006771*入力!D2^5 + 0.0169408*入力!D2^4 + 1.68581189*入力!D2^3 + 83.40255464*入力!D2^2 + 2050.66985639*入力!D2 + 20040.00579671)</f>
        <v>62.66332740999642</v>
      </c>
    </row>
    <row r="9" spans="1:8" x14ac:dyDescent="0.7">
      <c r="A9" t="s">
        <v>65</v>
      </c>
      <c r="B9">
        <f>25.7+(-0.543*入力!B2-19.626)</f>
        <v>37.024999999999999</v>
      </c>
      <c r="C9">
        <f>25.7-(-0.543*入力!B2-19.626)</f>
        <v>14.375</v>
      </c>
      <c r="D9">
        <f>25.7+(-0.543*入力!B2-19.626)</f>
        <v>37.024999999999999</v>
      </c>
      <c r="E9">
        <f>25.7-(-0.543*入力!D2-19.626)</f>
        <v>8.402000000000001</v>
      </c>
    </row>
    <row r="11" spans="1:8" x14ac:dyDescent="0.7">
      <c r="A11" t="s">
        <v>64</v>
      </c>
      <c r="B11">
        <f>(15.6+ABS((-0.0000204616*入力!B2^6-0.0060908336*入力!B2^5-0.7508705481*入力!B2^4-49.0687300529*入力!B2^3-1792.7570329909*入力!B2^2-34722.5135370779*入力!B2-278547.229882225)))</f>
        <v>25.122214920667467</v>
      </c>
      <c r="C11">
        <f>(15.6-ABS((-0.0000204616*入力!B2^6-0.0060908336*入力!B2^5-0.7508705481*入力!B2^4-49.0687300529*入力!B2^3-1792.7570329909*入力!B2^2-34722.5135370779*入力!B2-278547.229882225)))</f>
        <v>6.0777850793325339</v>
      </c>
      <c r="D11">
        <f>(15.6+ABS((-0.0000204616*入力!D2^6-0.0060908336*入力!D2^5-0.7508705481*入力!D2^4-49.0687300529*入力!D2^3-1792.7570329909*入力!D2^2-34722.5135370779*入力!D2-278547.229882225)))</f>
        <v>326.47248653225836</v>
      </c>
      <c r="E11">
        <f>(15.6-ABS((-0.0000204616*入力!D2^6-0.0060908336*入力!D2^5-0.7508705481*入力!D2^4-49.0687300529*入力!D2^3-1792.7570329909*入力!D2^2-34722.5135370779*入力!D2-278547.229882225)))</f>
        <v>-295.27248653225831</v>
      </c>
    </row>
    <row r="12" spans="1:8" x14ac:dyDescent="0.7">
      <c r="A12" t="s">
        <v>77</v>
      </c>
      <c r="B12">
        <f>30.7+ABS((-0.000000623491329*入力!B2^6-0.000224036655069*入力!B2^5-0.033069011527151*入力!B2^4-2.56584351373535*入力!B2^3-110.360956314535*入力!B2^2-2495.51371550706*入力!B2-23186.0860343553))</f>
        <v>43.426129804774249</v>
      </c>
      <c r="C12">
        <f>30.7-ABS((-0.000000623491329*入力!B2^6-0.000224036655069*入力!B2^5-0.033069011527151*入力!B2^4-2.56584351373535*入力!B2^3-110.360956314535*入力!B2^2-2495.51371550706*入力!B2-23186.0860343553))</f>
        <v>17.973870195225754</v>
      </c>
      <c r="D12">
        <f>30.7+ABS((-0.000000623491329*入力!D2^6-0.000224036655069*入力!D2^5-0.033069011527151*入力!D2^4-2.56584351373535*入力!D2^3-110.360956314535*入力!D2^2-2495.51371550706*入力!D2-23186.0860343553))</f>
        <v>44.218053333020364</v>
      </c>
      <c r="E12">
        <f>30.7-ABS((-0.000000623491329*入力!D2^6-0.000224036655069*入力!D2^5-0.033069011527151*入力!D2^4-2.56584351373535*入力!D2^3-110.360956314535*入力!D2^2-2495.51371550706*入力!D2-23186.0860343553))</f>
        <v>17.181946666979638</v>
      </c>
    </row>
    <row r="13" spans="1:8" x14ac:dyDescent="0.7">
      <c r="A13" t="s">
        <v>78</v>
      </c>
      <c r="B13">
        <f>44.2+ABS((0.000021889863144*入力!B2^6+0.006591987693789*入力!B2^5+0.821702593992364*入力!B2^4+54.2707571974688*入力!B2^3+2003.22303769953*入力!B2^2+39185.3934502491*入力!B2+317387.987232011))</f>
        <v>63.377680172200783</v>
      </c>
      <c r="C13">
        <f>44.2+ABS((0.000021889863144*入力!B2^6+0.006591987693789*入力!B2^5+0.821702593992364*入力!B2^4+54.2707571974688*入力!B2^3+2003.22303769953*入力!B2^2+39185.3934502491*入力!B2+317387.987232011))</f>
        <v>63.377680172200783</v>
      </c>
      <c r="D13">
        <f>44.2+ABS((0.000021889863144*入力!D2^6+0.006591987693789*入力!D2^5+0.821702593992364*入力!D2^4+54.2707571974688*入力!D2^3+2003.22303769953*入力!D2^2+39185.3934502491*入力!D2+317387.987232011))</f>
        <v>281.6303376895259</v>
      </c>
      <c r="E13">
        <f>44.2+ABS((0.000021889863144*入力!D2^6+0.006591987693789*入力!D2^5+0.821702593992364*入力!D2^4+54.2707571974688*入力!D2^3+2003.22303769953*入力!D2^2+39185.3934502491*入力!D2+317387.987232011))</f>
        <v>281.6303376895259</v>
      </c>
    </row>
    <row r="15" spans="1:8" x14ac:dyDescent="0.7">
      <c r="A15" t="s">
        <v>79</v>
      </c>
      <c r="B15">
        <f>13.6+ABS((0.000007545601704*入力!B2^6+0.002439503018763*入力!B2^5+0.326250365082653*入力!B2^4+23.096668894556*入力!B2^3+912.706520302518*入力!B2^2+19085.0002362076*入力!B2+164953.126742013))</f>
        <v>20.716600382811158</v>
      </c>
      <c r="C15">
        <f>13.6-ABS((0.000007545601704*入力!B2^6+0.002439503018763*入力!B2^5+0.326250365082653*入力!B2^4+23.096668894556*入力!B2^3+912.706520302518*入力!B2^2+19085.0002362076*入力!B2+164953.126742013))</f>
        <v>6.4833996171888426</v>
      </c>
      <c r="D15">
        <f>13.6+ABS((0.000007545601704*入力!D2^6+0.002439503018763*入力!D2^5+0.326250365082653*入力!D2^4+23.096668894556*入力!D2^3+912.706520302518*入力!D2^2+19085.0002362076*入力!D2+164953.126742013))</f>
        <v>30.909816167660757</v>
      </c>
      <c r="E15">
        <f>13.6-ABS((0.000007545601704*入力!D2^6+0.002439503018763*入力!D2^5+0.326250365082653*入力!D2^4+23.096668894556*入力!D2^3+912.706520302518*入力!D2^2+19085.0002362076*入力!D2+164953.126742013))</f>
        <v>-3.7098161676607564</v>
      </c>
    </row>
    <row r="16" spans="1:8" x14ac:dyDescent="0.7">
      <c r="A16" t="s">
        <v>80</v>
      </c>
      <c r="B16">
        <f>ABS(-0.000350955862531*入力!B2^4-0.074596322039989*入力!B2^3-5.87986582134675*入力!B2^2-203.92810108975*入力!B2-2624.39084704116)</f>
        <v>5.8530932375801967</v>
      </c>
      <c r="C16">
        <f>-ABS(-0.000350955862531*入力!B2^4-0.074596322039989*入力!B2^3-5.87986582134675*入力!B2^2-203.92810108975*入力!B2-2624.39084704116)</f>
        <v>-5.8530932375801967</v>
      </c>
      <c r="D16">
        <f>ABS(-0.000350955862531*入力!D2^4-0.074596322039989*入力!D2^3-5.87986582134675*入力!D2^2-203.92810108975*入力!D2-2624.39084704116)</f>
        <v>5.7719446526648426</v>
      </c>
      <c r="E16">
        <f>-ABS(-0.000350955862531*入力!D2^4-0.074596322039989*入力!D2^3-5.87986582134675*入力!D2^2-203.92810108975*入力!D2-2624.39084704116)</f>
        <v>-5.7719446526648426</v>
      </c>
    </row>
    <row r="18" spans="1:5" x14ac:dyDescent="0.7">
      <c r="A18" t="s">
        <v>66</v>
      </c>
      <c r="B18">
        <f>-1.9+(-0.3539*入力!B2+35.386)</f>
        <v>53.658300000000004</v>
      </c>
      <c r="C18">
        <f>-1.9-(-0.3539*入力!B2+35.386)</f>
        <v>-57.458300000000001</v>
      </c>
      <c r="D18">
        <f>-1.9+(-0.3539*入力!D2+35.386)</f>
        <v>57.551200000000001</v>
      </c>
      <c r="E18">
        <f>-1.9-(-0.3539*入力!D2+35.386)</f>
        <v>-61.351199999999999</v>
      </c>
    </row>
    <row r="19" spans="1:5" x14ac:dyDescent="0.7">
      <c r="A19" t="s">
        <v>67</v>
      </c>
      <c r="B19">
        <f>30.1+(-0.2303*入力!B2-7.6605)</f>
        <v>35.566600000000001</v>
      </c>
      <c r="C19">
        <f>30.1-(-0.2303*入力!B2-7.6605)</f>
        <v>24.633400000000002</v>
      </c>
      <c r="D19">
        <f>30.1+(-0.2303*入力!D2-7.6605)</f>
        <v>38.099900000000005</v>
      </c>
      <c r="E19">
        <f>30.1-(-0.2303*入力!D2-7.6605)</f>
        <v>22.100100000000001</v>
      </c>
    </row>
    <row r="20" spans="1:5" x14ac:dyDescent="0.7">
      <c r="A20" t="s">
        <v>68</v>
      </c>
      <c r="B20">
        <f>20.8+(-0.2425*入力!B2-8.0975)</f>
        <v>26.524999999999999</v>
      </c>
      <c r="C20">
        <f>20.8-(-0.2425*入力!B2-8.0975)</f>
        <v>15.075000000000001</v>
      </c>
      <c r="D20">
        <f>20.8+(-0.2425*入力!D2-8.0975)</f>
        <v>29.192499999999999</v>
      </c>
      <c r="E20">
        <f>20.8-(-0.2425*入力!D2-8.0975)</f>
        <v>12.407500000000002</v>
      </c>
    </row>
    <row r="21" spans="1:5" x14ac:dyDescent="0.7">
      <c r="A21" t="s">
        <v>69</v>
      </c>
      <c r="B21">
        <f>9.2+(-0.2094*入力!B2-6.7891)</f>
        <v>14.346699999999998</v>
      </c>
      <c r="C21">
        <f>9.2-(-0.2094*入力!B2-6.7891)</f>
        <v>4.0532999999999992</v>
      </c>
      <c r="D21">
        <f>9.2+(-0.2094*入力!D2-6.7891)</f>
        <v>16.650099999999998</v>
      </c>
      <c r="E21">
        <f>9.2-(-0.2094*入力!D2-6.7891)</f>
        <v>1.7498999999999993</v>
      </c>
    </row>
    <row r="23" spans="1:5" x14ac:dyDescent="0.7">
      <c r="A23" t="s">
        <v>72</v>
      </c>
      <c r="B23">
        <f>23+(-0.00133039*入力!B2^3 - 0.20949746*入力!B2^2 - 11.27882133*入力!B2 - 202.08623992)</f>
        <v>29.52824362000004</v>
      </c>
      <c r="C23">
        <f>23-(-0.00133039*入力!B2^3 - 0.20949746*入力!B2^2 - 11.27882133*入力!B2 - 202.08623992)</f>
        <v>16.47175637999996</v>
      </c>
      <c r="D23">
        <f>23+(-0.00133039*入力!D2^3 - 0.20949746*入力!D2^2 - 11.27882133*入力!D2 - 202.08623992)</f>
        <v>37.474543960000034</v>
      </c>
      <c r="E23">
        <f>23-(-0.00133039*入力!D2^3 - 0.20949746*入力!D2^2 - 11.27882133*入力!D2 - 202.08623992)</f>
        <v>8.5254560399999662</v>
      </c>
    </row>
    <row r="24" spans="1:5" x14ac:dyDescent="0.7">
      <c r="A24" t="s">
        <v>73</v>
      </c>
      <c r="B24">
        <f>30+(0.00411961*入力!B2^2 - 0.08868641*入力!B2 - 8.87376569)</f>
        <v>39.56597257</v>
      </c>
      <c r="C24">
        <f>30-(0.00411961*入力!B2^2 - 0.08868641*入力!B2 - 8.87376569)</f>
        <v>20.43402743</v>
      </c>
      <c r="D24">
        <f>30+(0.00411961*入力!D2^2 - 0.08868641*入力!D2 - 8.87376569)</f>
        <v>46.205986830000001</v>
      </c>
      <c r="E24">
        <f>30-(0.00411961*入力!D2^2 - 0.08868641*入力!D2 - 8.87376569)</f>
        <v>13.794013169999999</v>
      </c>
    </row>
    <row r="25" spans="1:5" x14ac:dyDescent="0.7">
      <c r="A25" t="s">
        <v>74</v>
      </c>
      <c r="B25">
        <f>42+(-0.00000342*入力!B2^5 - 0.00126123*入力!B2^4 - 0.17015383*入力!B2^3 - 10.80390298*入力!B2^2 - 328.01822991*入力!B2 - 3844.95684529)</f>
        <v>47.741410459997951</v>
      </c>
      <c r="C25">
        <f>42-(-0.00000342*入力!B2^5 - 0.00126123*入力!B2^4 - 0.17015383*入力!B2^3 - 10.80390298*入力!B2^2 - 328.01822991*入力!B2 - 3844.95684529)</f>
        <v>36.258589540002049</v>
      </c>
      <c r="D25">
        <f>42+(-0.00000342*入力!D2^5 - 0.00126123*入力!D2^4 - 0.17015383*入力!D2^3 - 10.80390298*入力!D2^2 - 328.01822991*入力!D2 - 3844.95684529)</f>
        <v>52.46443371000214</v>
      </c>
      <c r="E25">
        <f>42-(-0.00000342*入力!D2^5 - 0.00126123*入力!D2^4 - 0.17015383*入力!D2^3 - 10.80390298*入力!D2^2 - 328.01822991*入力!D2 - 3844.95684529)</f>
        <v>31.53556628999786</v>
      </c>
    </row>
    <row r="27" spans="1:5" x14ac:dyDescent="0.7">
      <c r="A27" t="s">
        <v>75</v>
      </c>
      <c r="B27">
        <f>25+(0.00011655*入力!B2^4 + 0.02402005*入力!B2^3 + 1.85616004*入力!B2^2 + 63.10472662*入力!B2 + 795.0739677)</f>
        <v>35.725317220000193</v>
      </c>
      <c r="C27">
        <f>25-(0.00011655*入力!B2^4 + 0.02402005*入力!B2^3 + 1.85616004*入力!B2^2 + 63.10472662*入力!B2 + 795.0739677)</f>
        <v>14.274682779999807</v>
      </c>
      <c r="D27">
        <f>25+(0.00011655*入力!D2^4 + 0.02402005*入力!D2^3 + 1.85616004*入力!D2^2 + 63.10472662*入力!D2 + 795.0739677)</f>
        <v>51.163593699999979</v>
      </c>
      <c r="E27">
        <f>25-(0.00011655*入力!D2^4 + 0.02402005*入力!D2^3 + 1.85616004*入力!D2^2 + 63.10472662*入力!D2 + 795.0739677)</f>
        <v>-1.1635936999999785</v>
      </c>
    </row>
    <row r="28" spans="1:5" x14ac:dyDescent="0.7">
      <c r="A28" t="s">
        <v>76</v>
      </c>
      <c r="B28">
        <f>10+( -0.0047*入力!B2^2 - 0.829*入力!B2 - 23.861)</f>
        <v>18.121700000000001</v>
      </c>
      <c r="C28">
        <f>10-( -0.0047*入力!B2^2 - 0.829*入力!B2 - 23.861)</f>
        <v>1.8782999999999994</v>
      </c>
      <c r="D28">
        <f>10+( -0.0047*入力!D2^2 - 0.829*入力!D2 - 23.861)</f>
        <v>20.778200000000002</v>
      </c>
      <c r="E28">
        <f>10-( -0.0047*入力!D2^2 - 0.829*入力!D2 - 23.861)</f>
        <v>-0.77820000000000178</v>
      </c>
    </row>
  </sheetData>
  <mergeCells count="2">
    <mergeCell ref="B1:C1"/>
    <mergeCell ref="D1:E1"/>
  </mergeCells>
  <phoneticPr fontId="1"/>
  <pageMargins left="0.7" right="0.7" top="0.75" bottom="0.75" header="0.3" footer="0.3"/>
  <ignoredErrors>
    <ignoredError sqref="C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6733-2941-474A-B161-0CA9FB269DCD}">
  <dimension ref="A1:K27"/>
  <sheetViews>
    <sheetView workbookViewId="0">
      <selection activeCell="B20" sqref="B20"/>
    </sheetView>
  </sheetViews>
  <sheetFormatPr defaultRowHeight="17.649999999999999" x14ac:dyDescent="0.7"/>
  <cols>
    <col min="1" max="1" width="9.5625" bestFit="1" customWidth="1"/>
    <col min="2" max="2" width="9.5625" customWidth="1"/>
    <col min="3" max="3" width="9.5625" bestFit="1" customWidth="1"/>
    <col min="4" max="4" width="9" bestFit="1" customWidth="1"/>
    <col min="5" max="6" width="12.0625" bestFit="1" customWidth="1"/>
    <col min="7" max="7" width="10.8125" bestFit="1" customWidth="1"/>
  </cols>
  <sheetData>
    <row r="1" spans="1:11" x14ac:dyDescent="0.7">
      <c r="E1" s="13" t="s">
        <v>30</v>
      </c>
      <c r="F1" s="13"/>
      <c r="G1" s="13"/>
      <c r="I1" s="13" t="s">
        <v>31</v>
      </c>
      <c r="J1" s="13"/>
      <c r="K1" s="13"/>
    </row>
    <row r="2" spans="1:11" x14ac:dyDescent="0.7">
      <c r="A2" s="13" t="s">
        <v>28</v>
      </c>
      <c r="B2" s="13"/>
      <c r="C2" s="13"/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</row>
    <row r="3" spans="1:11" x14ac:dyDescent="0.7">
      <c r="A3" t="s">
        <v>25</v>
      </c>
      <c r="B3" t="s">
        <v>26</v>
      </c>
      <c r="C3" t="s">
        <v>27</v>
      </c>
      <c r="E3" t="s">
        <v>7</v>
      </c>
      <c r="F3" t="s">
        <v>9</v>
      </c>
      <c r="G3" t="s">
        <v>3</v>
      </c>
      <c r="I3" t="s">
        <v>32</v>
      </c>
      <c r="K3" t="s">
        <v>3</v>
      </c>
    </row>
    <row r="4" spans="1:11" x14ac:dyDescent="0.7">
      <c r="A4" t="s">
        <v>24</v>
      </c>
      <c r="B4" t="s">
        <v>24</v>
      </c>
      <c r="C4" t="s">
        <v>12</v>
      </c>
      <c r="E4" t="s">
        <v>8</v>
      </c>
      <c r="F4" t="s">
        <v>10</v>
      </c>
      <c r="G4" t="s">
        <v>3</v>
      </c>
      <c r="I4" t="s">
        <v>32</v>
      </c>
      <c r="J4" t="s">
        <v>33</v>
      </c>
      <c r="K4" t="s">
        <v>3</v>
      </c>
    </row>
    <row r="5" spans="1:11" x14ac:dyDescent="0.7">
      <c r="A5" t="s">
        <v>16</v>
      </c>
      <c r="B5" t="s">
        <v>16</v>
      </c>
      <c r="C5" t="s">
        <v>16</v>
      </c>
      <c r="E5" t="s">
        <v>10</v>
      </c>
      <c r="F5" t="s">
        <v>8</v>
      </c>
      <c r="G5" t="s">
        <v>12</v>
      </c>
      <c r="I5" t="s">
        <v>33</v>
      </c>
      <c r="J5" t="s">
        <v>32</v>
      </c>
      <c r="K5" t="s">
        <v>12</v>
      </c>
    </row>
    <row r="6" spans="1:11" x14ac:dyDescent="0.7">
      <c r="A6" t="s">
        <v>22</v>
      </c>
      <c r="B6" t="s">
        <v>22</v>
      </c>
      <c r="C6" t="s">
        <v>22</v>
      </c>
      <c r="E6" t="s">
        <v>10</v>
      </c>
      <c r="F6" t="s">
        <v>11</v>
      </c>
      <c r="G6" t="s">
        <v>12</v>
      </c>
      <c r="I6" t="s">
        <v>34</v>
      </c>
      <c r="J6" t="s">
        <v>35</v>
      </c>
      <c r="K6" t="s">
        <v>12</v>
      </c>
    </row>
    <row r="7" spans="1:11" x14ac:dyDescent="0.7">
      <c r="A7" t="s">
        <v>12</v>
      </c>
      <c r="B7" t="s">
        <v>16</v>
      </c>
      <c r="C7" t="s">
        <v>29</v>
      </c>
      <c r="E7" t="s">
        <v>11</v>
      </c>
      <c r="F7" t="s">
        <v>10</v>
      </c>
      <c r="G7" t="s">
        <v>12</v>
      </c>
      <c r="I7" t="s">
        <v>35</v>
      </c>
      <c r="J7" t="s">
        <v>34</v>
      </c>
      <c r="K7" t="s">
        <v>12</v>
      </c>
    </row>
    <row r="8" spans="1:11" x14ac:dyDescent="0.7">
      <c r="A8" t="s">
        <v>16</v>
      </c>
      <c r="B8" t="s">
        <v>22</v>
      </c>
      <c r="C8" t="s">
        <v>22</v>
      </c>
      <c r="E8" t="s">
        <v>11</v>
      </c>
      <c r="F8" t="s">
        <v>13</v>
      </c>
      <c r="G8" t="s">
        <v>12</v>
      </c>
      <c r="I8" t="s">
        <v>35</v>
      </c>
      <c r="J8" t="s">
        <v>36</v>
      </c>
      <c r="K8" t="s">
        <v>12</v>
      </c>
    </row>
    <row r="9" spans="1:11" x14ac:dyDescent="0.7">
      <c r="E9" t="s">
        <v>13</v>
      </c>
      <c r="F9" t="s">
        <v>11</v>
      </c>
      <c r="G9" t="s">
        <v>12</v>
      </c>
      <c r="I9" t="s">
        <v>36</v>
      </c>
      <c r="J9" t="s">
        <v>35</v>
      </c>
      <c r="K9" t="s">
        <v>12</v>
      </c>
    </row>
    <row r="10" spans="1:11" x14ac:dyDescent="0.7">
      <c r="A10" s="13" t="s">
        <v>81</v>
      </c>
      <c r="B10" s="13"/>
      <c r="C10" s="13"/>
    </row>
    <row r="11" spans="1:11" x14ac:dyDescent="0.7">
      <c r="A11" s="14" t="s">
        <v>82</v>
      </c>
      <c r="B11" s="14"/>
      <c r="C11" s="14"/>
    </row>
    <row r="12" spans="1:11" x14ac:dyDescent="0.7">
      <c r="A12" s="14" t="s">
        <v>83</v>
      </c>
      <c r="B12" s="14"/>
      <c r="C12" s="14"/>
    </row>
    <row r="13" spans="1:11" x14ac:dyDescent="0.7">
      <c r="A13" s="14" t="s">
        <v>84</v>
      </c>
      <c r="B13" s="14"/>
      <c r="C13" s="14"/>
      <c r="E13" t="s">
        <v>14</v>
      </c>
      <c r="F13" t="s">
        <v>11</v>
      </c>
      <c r="G13" t="s">
        <v>16</v>
      </c>
      <c r="I13" t="s">
        <v>38</v>
      </c>
      <c r="J13" t="s">
        <v>36</v>
      </c>
      <c r="K13" t="s">
        <v>16</v>
      </c>
    </row>
    <row r="14" spans="1:11" x14ac:dyDescent="0.7">
      <c r="A14" s="14"/>
      <c r="B14" s="14"/>
      <c r="C14" s="14"/>
      <c r="E14" t="s">
        <v>14</v>
      </c>
      <c r="F14" t="s">
        <v>13</v>
      </c>
      <c r="G14" t="s">
        <v>16</v>
      </c>
    </row>
    <row r="15" spans="1:11" x14ac:dyDescent="0.7">
      <c r="A15" s="13"/>
      <c r="B15" s="13"/>
      <c r="C15" s="13"/>
      <c r="E15" t="s">
        <v>14</v>
      </c>
      <c r="F15" t="s">
        <v>17</v>
      </c>
      <c r="G15" t="s">
        <v>15</v>
      </c>
      <c r="I15" t="s">
        <v>39</v>
      </c>
      <c r="J15" t="s">
        <v>40</v>
      </c>
      <c r="K15" t="s">
        <v>16</v>
      </c>
    </row>
    <row r="16" spans="1:11" x14ac:dyDescent="0.7">
      <c r="A16" s="13"/>
      <c r="B16" s="13"/>
      <c r="C16" s="13"/>
      <c r="E16" t="s">
        <v>17</v>
      </c>
      <c r="F16" t="s">
        <v>14</v>
      </c>
      <c r="G16" t="s">
        <v>15</v>
      </c>
      <c r="I16" t="s">
        <v>40</v>
      </c>
      <c r="J16" t="s">
        <v>39</v>
      </c>
      <c r="K16" t="s">
        <v>15</v>
      </c>
    </row>
    <row r="17" spans="5:11" x14ac:dyDescent="0.7">
      <c r="E17" t="s">
        <v>14</v>
      </c>
      <c r="F17" t="s">
        <v>18</v>
      </c>
      <c r="G17" t="s">
        <v>15</v>
      </c>
      <c r="I17" t="s">
        <v>39</v>
      </c>
      <c r="J17" t="s">
        <v>37</v>
      </c>
      <c r="K17" t="s">
        <v>15</v>
      </c>
    </row>
    <row r="18" spans="5:11" x14ac:dyDescent="0.7">
      <c r="E18" t="s">
        <v>18</v>
      </c>
      <c r="F18" t="s">
        <v>14</v>
      </c>
      <c r="G18" t="s">
        <v>15</v>
      </c>
      <c r="I18" t="s">
        <v>37</v>
      </c>
      <c r="J18" t="s">
        <v>39</v>
      </c>
      <c r="K18" t="s">
        <v>15</v>
      </c>
    </row>
    <row r="19" spans="5:11" x14ac:dyDescent="0.7">
      <c r="E19" t="s">
        <v>17</v>
      </c>
      <c r="F19" t="s">
        <v>18</v>
      </c>
      <c r="G19" t="s">
        <v>15</v>
      </c>
    </row>
    <row r="20" spans="5:11" x14ac:dyDescent="0.7">
      <c r="E20" t="s">
        <v>18</v>
      </c>
      <c r="F20" t="s">
        <v>17</v>
      </c>
      <c r="G20" t="s">
        <v>15</v>
      </c>
    </row>
    <row r="24" spans="5:11" x14ac:dyDescent="0.7">
      <c r="E24" t="s">
        <v>19</v>
      </c>
      <c r="F24" t="s">
        <v>20</v>
      </c>
      <c r="G24" t="s">
        <v>22</v>
      </c>
      <c r="I24" t="s">
        <v>41</v>
      </c>
      <c r="J24" t="s">
        <v>42</v>
      </c>
      <c r="K24" t="s">
        <v>22</v>
      </c>
    </row>
    <row r="25" spans="5:11" x14ac:dyDescent="0.7">
      <c r="E25" t="s">
        <v>20</v>
      </c>
      <c r="F25" t="s">
        <v>19</v>
      </c>
      <c r="G25" t="s">
        <v>22</v>
      </c>
      <c r="I25" t="s">
        <v>41</v>
      </c>
      <c r="J25" t="s">
        <v>42</v>
      </c>
    </row>
    <row r="26" spans="5:11" x14ac:dyDescent="0.7">
      <c r="E26" t="s">
        <v>20</v>
      </c>
      <c r="F26" t="s">
        <v>23</v>
      </c>
      <c r="G26" t="s">
        <v>21</v>
      </c>
      <c r="I26" t="s">
        <v>42</v>
      </c>
      <c r="J26" t="s">
        <v>41</v>
      </c>
    </row>
    <row r="27" spans="5:11" x14ac:dyDescent="0.7">
      <c r="E27" t="s">
        <v>23</v>
      </c>
      <c r="F27" t="s">
        <v>20</v>
      </c>
      <c r="G27" t="s">
        <v>21</v>
      </c>
    </row>
  </sheetData>
  <mergeCells count="10">
    <mergeCell ref="A12:C12"/>
    <mergeCell ref="A13:C13"/>
    <mergeCell ref="A14:C14"/>
    <mergeCell ref="A15:C15"/>
    <mergeCell ref="A16:C16"/>
    <mergeCell ref="E1:G1"/>
    <mergeCell ref="A2:C2"/>
    <mergeCell ref="I1:K1"/>
    <mergeCell ref="A10:C10"/>
    <mergeCell ref="A11:C1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入力</vt:lpstr>
      <vt:lpstr>function</vt:lpstr>
      <vt:lpstr>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瑠以 河合</dc:creator>
  <cp:lastModifiedBy>瑠以 河合</cp:lastModifiedBy>
  <dcterms:created xsi:type="dcterms:W3CDTF">2025-07-13T04:22:36Z</dcterms:created>
  <dcterms:modified xsi:type="dcterms:W3CDTF">2025-07-14T23:57:42Z</dcterms:modified>
</cp:coreProperties>
</file>