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マイドライブ\授業\M1\1_情報システム\新しいフォルダー\2025TUTlocalizeationProject_B\our_system\"/>
    </mc:Choice>
  </mc:AlternateContent>
  <xr:revisionPtr revIDLastSave="0" documentId="13_ncr:1_{F56DBF67-B9B4-4ED9-B44F-447CC3EBAC38}" xr6:coauthVersionLast="47" xr6:coauthVersionMax="47" xr10:uidLastSave="{00000000-0000-0000-0000-000000000000}"/>
  <bookViews>
    <workbookView xWindow="-105" yWindow="0" windowWidth="14610" windowHeight="16305" firstSheet="1" activeTab="2" xr2:uid="{8CF6B614-D7DE-4AD4-994F-07B0E2061E79}"/>
  </bookViews>
  <sheets>
    <sheet name="予測結果" sheetId="10" r:id="rId1"/>
    <sheet name="測定結果" sheetId="11" r:id="rId2"/>
    <sheet name="入力" sheetId="8" r:id="rId3"/>
    <sheet name="functionC2" sheetId="9" r:id="rId4"/>
    <sheet name="function" sheetId="2" r:id="rId5"/>
    <sheet name="メモ" sheetId="1" r:id="rId6"/>
  </sheets>
  <definedNames>
    <definedName name="_xlnm._FilterDatabase" localSheetId="1" hidden="1">測定結果!$A$1:$G$166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0" l="1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F1" i="10"/>
  <c r="G1" i="10" s="1"/>
  <c r="F2" i="10"/>
  <c r="G2" i="10" s="1"/>
  <c r="F3" i="10"/>
  <c r="G3" i="10" s="1"/>
  <c r="H3" i="10" l="1"/>
  <c r="C4" i="8" s="1"/>
  <c r="D4" i="8" s="1"/>
  <c r="I3" i="10"/>
  <c r="I1" i="10"/>
  <c r="H1" i="10"/>
  <c r="C2" i="8" s="1"/>
  <c r="D2" i="8" s="1"/>
  <c r="I2" i="10"/>
  <c r="H2" i="10"/>
  <c r="C3" i="8" s="1"/>
  <c r="D3" i="8" s="1"/>
  <c r="B4" i="8"/>
  <c r="B2" i="8"/>
  <c r="B3" i="8"/>
  <c r="D10" i="9" l="1"/>
  <c r="F2" i="8" a="1"/>
  <c r="F2" i="8" s="1"/>
  <c r="M8" i="8"/>
  <c r="F11" i="9" l="1"/>
  <c r="G11" i="9"/>
  <c r="E11" i="9"/>
  <c r="D11" i="9"/>
  <c r="E5" i="9"/>
  <c r="E16" i="9"/>
  <c r="D8" i="9"/>
  <c r="E8" i="9"/>
  <c r="D5" i="9"/>
  <c r="D8" i="2"/>
  <c r="D3" i="2"/>
  <c r="B11" i="9" l="1"/>
  <c r="C11" i="9"/>
  <c r="B8" i="2"/>
  <c r="C8" i="9"/>
  <c r="B8" i="9"/>
  <c r="C10" i="9"/>
  <c r="B10" i="9" s="1"/>
  <c r="G12" i="9" l="1"/>
  <c r="F12" i="9"/>
  <c r="G10" i="9"/>
  <c r="E28" i="9"/>
  <c r="D28" i="9"/>
  <c r="E27" i="9"/>
  <c r="D27" i="9"/>
  <c r="E25" i="9"/>
  <c r="D25" i="9"/>
  <c r="E24" i="9"/>
  <c r="D24" i="9"/>
  <c r="E23" i="9"/>
  <c r="D23" i="9"/>
  <c r="E21" i="9"/>
  <c r="D21" i="9"/>
  <c r="E20" i="9"/>
  <c r="D20" i="9"/>
  <c r="E19" i="9"/>
  <c r="D19" i="9"/>
  <c r="E18" i="9"/>
  <c r="D18" i="9"/>
  <c r="D16" i="9"/>
  <c r="E15" i="9"/>
  <c r="D15" i="9"/>
  <c r="E14" i="9"/>
  <c r="E12" i="9"/>
  <c r="D12" i="9"/>
  <c r="Q4" i="8" s="1"/>
  <c r="E10" i="9"/>
  <c r="E7" i="9"/>
  <c r="D7" i="9"/>
  <c r="E6" i="9"/>
  <c r="D6" i="9"/>
  <c r="D3" i="9"/>
  <c r="F10" i="9"/>
  <c r="E16" i="2"/>
  <c r="D16" i="2"/>
  <c r="C16" i="2"/>
  <c r="B16" i="2"/>
  <c r="E17" i="2"/>
  <c r="D17" i="2"/>
  <c r="C17" i="2"/>
  <c r="B17" i="2"/>
  <c r="C29" i="2"/>
  <c r="B29" i="2"/>
  <c r="C28" i="2"/>
  <c r="B28" i="2"/>
  <c r="C26" i="2"/>
  <c r="B26" i="2"/>
  <c r="C25" i="2"/>
  <c r="B25" i="2"/>
  <c r="C24" i="2"/>
  <c r="B24" i="2"/>
  <c r="C22" i="2"/>
  <c r="B22" i="2"/>
  <c r="C21" i="2"/>
  <c r="B21" i="2"/>
  <c r="C20" i="2"/>
  <c r="B20" i="2"/>
  <c r="C19" i="2"/>
  <c r="B19" i="2"/>
  <c r="D15" i="2"/>
  <c r="C15" i="2"/>
  <c r="B15" i="2"/>
  <c r="C13" i="2"/>
  <c r="B13" i="2"/>
  <c r="C12" i="2"/>
  <c r="B12" i="2"/>
  <c r="C11" i="2"/>
  <c r="B11" i="2"/>
  <c r="C8" i="2"/>
  <c r="C7" i="2"/>
  <c r="B7" i="2"/>
  <c r="C6" i="2"/>
  <c r="B6" i="2"/>
  <c r="C5" i="2"/>
  <c r="B5" i="2"/>
  <c r="G4" i="2"/>
  <c r="B3" i="2"/>
  <c r="C16" i="9"/>
  <c r="C15" i="9"/>
  <c r="B16" i="9"/>
  <c r="B15" i="9"/>
  <c r="C12" i="9"/>
  <c r="B12" i="9"/>
  <c r="C28" i="9"/>
  <c r="B28" i="9"/>
  <c r="C27" i="9"/>
  <c r="B27" i="9"/>
  <c r="C25" i="9"/>
  <c r="B25" i="9"/>
  <c r="C24" i="9"/>
  <c r="B24" i="9"/>
  <c r="C23" i="9"/>
  <c r="B23" i="9"/>
  <c r="C21" i="9"/>
  <c r="B21" i="9"/>
  <c r="C20" i="9"/>
  <c r="B20" i="9"/>
  <c r="C19" i="9"/>
  <c r="B19" i="9"/>
  <c r="C18" i="9"/>
  <c r="B18" i="9"/>
  <c r="D14" i="9"/>
  <c r="C14" i="9"/>
  <c r="B14" i="9"/>
  <c r="C7" i="9"/>
  <c r="B7" i="9"/>
  <c r="C6" i="9"/>
  <c r="B6" i="9"/>
  <c r="C5" i="9"/>
  <c r="B5" i="9"/>
  <c r="B3" i="9"/>
  <c r="Q3" i="8" l="1"/>
  <c r="O3" i="8"/>
  <c r="O4" i="8"/>
  <c r="P4" i="8"/>
  <c r="P3" i="8"/>
  <c r="R5" i="8" l="1"/>
  <c r="R7" i="8"/>
  <c r="R10" i="8"/>
  <c r="R9" i="8"/>
  <c r="R8" i="8"/>
  <c r="R4" i="8"/>
  <c r="R6" i="8"/>
  <c r="R3" i="8"/>
  <c r="E8" i="2"/>
  <c r="R2" i="8" l="1"/>
  <c r="E13" i="2"/>
  <c r="E12" i="2"/>
  <c r="E11" i="2"/>
  <c r="D13" i="2"/>
  <c r="D12" i="2"/>
  <c r="D11" i="2"/>
  <c r="S5" i="8" l="1" a="1"/>
  <c r="S5" i="8" s="1"/>
  <c r="S4" i="8" a="1"/>
  <c r="S4" i="8" s="1"/>
  <c r="S3" i="8" a="1"/>
  <c r="S3" i="8" s="1"/>
  <c r="E29" i="2"/>
  <c r="D29" i="2"/>
  <c r="E28" i="2"/>
  <c r="D28" i="2"/>
  <c r="E26" i="2"/>
  <c r="D26" i="2"/>
  <c r="E25" i="2"/>
  <c r="D25" i="2"/>
  <c r="E24" i="2"/>
  <c r="D24" i="2"/>
  <c r="M10" i="8" l="1" a="1"/>
  <c r="M10" i="8" s="1"/>
  <c r="M7" i="8" a="1"/>
  <c r="M7" i="8" s="1"/>
  <c r="D3" i="10" s="1"/>
  <c r="E22" i="2"/>
  <c r="E21" i="2"/>
  <c r="D21" i="2"/>
  <c r="D22" i="2"/>
  <c r="E20" i="2"/>
  <c r="D20" i="2"/>
  <c r="E19" i="2"/>
  <c r="D19" i="2"/>
  <c r="E15" i="2"/>
  <c r="E5" i="2" l="1"/>
  <c r="D5" i="2"/>
  <c r="E7" i="2"/>
  <c r="E6" i="2"/>
  <c r="D6" i="2"/>
  <c r="I4" i="2"/>
  <c r="I3" i="8" l="1"/>
  <c r="D7" i="2"/>
  <c r="H4" i="8"/>
  <c r="I4" i="8" l="1"/>
  <c r="J7" i="8" s="1"/>
  <c r="J6" i="8"/>
  <c r="H3" i="8"/>
  <c r="J4" i="8" l="1"/>
  <c r="J5" i="8"/>
  <c r="J3" i="8" l="1"/>
  <c r="K4" i="8" s="1" a="1"/>
  <c r="K4" i="8" s="1"/>
  <c r="K3" i="8" l="1" a="1"/>
  <c r="K3" i="8" s="1"/>
  <c r="N7" i="8" s="1" a="1"/>
  <c r="N7" i="8" s="1"/>
  <c r="M6" i="8" l="1" a="1"/>
  <c r="M6" i="8" s="1"/>
  <c r="D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<sst xmlns="http://schemas.openxmlformats.org/spreadsheetml/2006/main" count="540" uniqueCount="267">
  <si>
    <t>キーワード1</t>
    <phoneticPr fontId="1"/>
  </si>
  <si>
    <t>キーワード2</t>
    <phoneticPr fontId="1"/>
  </si>
  <si>
    <t>グループ名</t>
    <rPh sb="4" eb="5">
      <t>メイ</t>
    </rPh>
    <phoneticPr fontId="1"/>
  </si>
  <si>
    <t>C</t>
    <phoneticPr fontId="1"/>
  </si>
  <si>
    <t>AP1</t>
    <phoneticPr fontId="1"/>
  </si>
  <si>
    <t>AP2</t>
    <phoneticPr fontId="1"/>
  </si>
  <si>
    <t>棟</t>
    <rPh sb="0" eb="1">
      <t>トウ</t>
    </rPh>
    <phoneticPr fontId="1"/>
  </si>
  <si>
    <t>C-3F-02</t>
  </si>
  <si>
    <t>C-3F-02</t>
    <phoneticPr fontId="1"/>
  </si>
  <si>
    <t>C1-3F-01</t>
  </si>
  <si>
    <t>C-3F-03</t>
    <phoneticPr fontId="1"/>
  </si>
  <si>
    <t>C-3F-04</t>
    <phoneticPr fontId="1"/>
  </si>
  <si>
    <t>C</t>
    <phoneticPr fontId="1"/>
  </si>
  <si>
    <t>C-3F-01</t>
    <phoneticPr fontId="1"/>
  </si>
  <si>
    <t>C2-3F-01</t>
    <phoneticPr fontId="1"/>
  </si>
  <si>
    <t>C2</t>
  </si>
  <si>
    <t>C2</t>
    <phoneticPr fontId="1"/>
  </si>
  <si>
    <t>C2-3F-02</t>
    <phoneticPr fontId="1"/>
  </si>
  <si>
    <t>C2-3F-03</t>
    <phoneticPr fontId="1"/>
  </si>
  <si>
    <t>C3-3F-03</t>
    <phoneticPr fontId="1"/>
  </si>
  <si>
    <t>C3-3F-02</t>
    <phoneticPr fontId="1"/>
  </si>
  <si>
    <t>C3</t>
  </si>
  <si>
    <t>C3</t>
    <phoneticPr fontId="1"/>
  </si>
  <si>
    <t>C3-3F-01</t>
    <phoneticPr fontId="1"/>
  </si>
  <si>
    <t>C- or C1</t>
    <phoneticPr fontId="1"/>
  </si>
  <si>
    <t>AP1</t>
    <phoneticPr fontId="1"/>
  </si>
  <si>
    <t>棟判別の条件　メモ</t>
    <rPh sb="0" eb="1">
      <t>トウ</t>
    </rPh>
    <rPh sb="1" eb="3">
      <t>ハンベツ</t>
    </rPh>
    <rPh sb="4" eb="6">
      <t>ジョウケン</t>
    </rPh>
    <phoneticPr fontId="1"/>
  </si>
  <si>
    <t>組み合わせ 3F</t>
    <rPh sb="0" eb="1">
      <t>ク</t>
    </rPh>
    <rPh sb="2" eb="3">
      <t>ア</t>
    </rPh>
    <phoneticPr fontId="1"/>
  </si>
  <si>
    <t>組み合わせ 4F</t>
    <rPh sb="0" eb="1">
      <t>ク</t>
    </rPh>
    <rPh sb="2" eb="3">
      <t>ア</t>
    </rPh>
    <phoneticPr fontId="1"/>
  </si>
  <si>
    <t>C-4F-02</t>
  </si>
  <si>
    <t>C-4F-03</t>
  </si>
  <si>
    <t>C-4F-03</t>
    <phoneticPr fontId="1"/>
  </si>
  <si>
    <t>C-4F-04</t>
    <phoneticPr fontId="1"/>
  </si>
  <si>
    <t>C-4F-01</t>
    <phoneticPr fontId="1"/>
  </si>
  <si>
    <t>C2-4F-01</t>
  </si>
  <si>
    <t>C2-4F-01</t>
    <phoneticPr fontId="1"/>
  </si>
  <si>
    <t>C2-4F-02</t>
  </si>
  <si>
    <t>C2-4F-03</t>
  </si>
  <si>
    <t>C3-4F-03</t>
  </si>
  <si>
    <t>C3-4F-02</t>
  </si>
  <si>
    <t>階</t>
    <rPh sb="0" eb="1">
      <t>カイ</t>
    </rPh>
    <phoneticPr fontId="1"/>
  </si>
  <si>
    <t>座標x</t>
    <rPh sb="0" eb="2">
      <t>ザヒョウ</t>
    </rPh>
    <phoneticPr fontId="1"/>
  </si>
  <si>
    <t>座標y</t>
    <rPh sb="0" eb="2">
      <t>ザヒョウ</t>
    </rPh>
    <phoneticPr fontId="1"/>
  </si>
  <si>
    <t>座標z</t>
    <rPh sb="0" eb="2">
      <t>ザヒョウ</t>
    </rPh>
    <phoneticPr fontId="1"/>
  </si>
  <si>
    <t>Xのみ</t>
    <phoneticPr fontId="1"/>
  </si>
  <si>
    <t>+方向</t>
    <phoneticPr fontId="1"/>
  </si>
  <si>
    <t>-方向</t>
    <phoneticPr fontId="1"/>
  </si>
  <si>
    <t>B</t>
    <phoneticPr fontId="1"/>
  </si>
  <si>
    <t>D</t>
    <phoneticPr fontId="1"/>
  </si>
  <si>
    <t>+</t>
    <phoneticPr fontId="1"/>
  </si>
  <si>
    <t>-</t>
    <phoneticPr fontId="1"/>
  </si>
  <si>
    <t>AP-C-3F-01</t>
  </si>
  <si>
    <t>AP-C-3F-02</t>
  </si>
  <si>
    <t>AP-C-3F-03</t>
  </si>
  <si>
    <t>AP-C-3F-04</t>
  </si>
  <si>
    <t>予想距離</t>
    <rPh sb="0" eb="2">
      <t>ヨソウ</t>
    </rPh>
    <rPh sb="2" eb="4">
      <t>キョリ</t>
    </rPh>
    <phoneticPr fontId="1"/>
  </si>
  <si>
    <t>採用</t>
    <rPh sb="0" eb="2">
      <t>サイヨウ</t>
    </rPh>
    <phoneticPr fontId="1"/>
  </si>
  <si>
    <t>距離の差</t>
    <rPh sb="0" eb="2">
      <t>キョリ</t>
    </rPh>
    <rPh sb="3" eb="4">
      <t>サ</t>
    </rPh>
    <phoneticPr fontId="1"/>
  </si>
  <si>
    <t>AP-C1-3F-01</t>
    <phoneticPr fontId="1"/>
  </si>
  <si>
    <t>AP-C2-3F-01</t>
    <phoneticPr fontId="1"/>
  </si>
  <si>
    <t>AP-C3-3F-01</t>
    <phoneticPr fontId="1"/>
  </si>
  <si>
    <t>AP-C-4F-01</t>
  </si>
  <si>
    <t>AP-C-4F-02</t>
  </si>
  <si>
    <t>AP-C-4F-03</t>
  </si>
  <si>
    <t>AP-C-4F-04</t>
  </si>
  <si>
    <t>AP-C2-4F-01</t>
    <phoneticPr fontId="1"/>
  </si>
  <si>
    <t>AP-C2-4F-02</t>
    <phoneticPr fontId="1"/>
  </si>
  <si>
    <t>AP-C2-4F-03</t>
    <phoneticPr fontId="1"/>
  </si>
  <si>
    <t>AP-C3-4F-01</t>
    <phoneticPr fontId="1"/>
  </si>
  <si>
    <t>AP-C3-4F-02</t>
    <phoneticPr fontId="1"/>
  </si>
  <si>
    <t>AP-C2-3F-02</t>
    <phoneticPr fontId="1"/>
  </si>
  <si>
    <t>AP-C2-3F-03</t>
  </si>
  <si>
    <t>AP-C3-3F-02</t>
    <phoneticPr fontId="1"/>
  </si>
  <si>
    <t>AP-C3-3F-03</t>
    <phoneticPr fontId="1"/>
  </si>
  <si>
    <t>使用するデータの条件</t>
    <rPh sb="0" eb="2">
      <t>シヨウ</t>
    </rPh>
    <rPh sb="8" eb="10">
      <t>ジョウケン</t>
    </rPh>
    <phoneticPr fontId="1"/>
  </si>
  <si>
    <t>・その測定点の上位2AP</t>
    <rPh sb="3" eb="5">
      <t>ソクテイ</t>
    </rPh>
    <rPh sb="5" eb="6">
      <t>テン</t>
    </rPh>
    <rPh sb="7" eb="9">
      <t>ジョウイ</t>
    </rPh>
    <phoneticPr fontId="1"/>
  </si>
  <si>
    <t>・2.4 GHz帯</t>
    <rPh sb="8" eb="9">
      <t>タイ</t>
    </rPh>
    <phoneticPr fontId="1"/>
  </si>
  <si>
    <t>・3FC棟で，C-01があったらそれだけを参照</t>
    <rPh sb="4" eb="5">
      <t>トウ</t>
    </rPh>
    <rPh sb="21" eb="23">
      <t>サンショウ</t>
    </rPh>
    <phoneticPr fontId="1"/>
  </si>
  <si>
    <t>・C-01とC2-01の場合はC1の関数を参照</t>
    <rPh sb="12" eb="14">
      <t>バアイ</t>
    </rPh>
    <rPh sb="18" eb="20">
      <t>カンスウ</t>
    </rPh>
    <rPh sb="21" eb="23">
      <t>サンショウ</t>
    </rPh>
    <phoneticPr fontId="1"/>
  </si>
  <si>
    <t>-1000</t>
    <phoneticPr fontId="1"/>
  </si>
  <si>
    <t>・C2棟の場合で，C棟のAPを受診する場合はそっちを優先</t>
    <rPh sb="3" eb="4">
      <t>トウ</t>
    </rPh>
    <rPh sb="5" eb="7">
      <t>バアイ</t>
    </rPh>
    <rPh sb="10" eb="11">
      <t>トウ</t>
    </rPh>
    <rPh sb="15" eb="17">
      <t>ジュシン</t>
    </rPh>
    <rPh sb="19" eb="21">
      <t>バアイ</t>
    </rPh>
    <rPh sb="26" eb="28">
      <t>ユウセン</t>
    </rPh>
    <phoneticPr fontId="1"/>
  </si>
  <si>
    <t>・C2棟C3のAPがみえた場合は，もう一つ下のC2を参照</t>
    <rPh sb="3" eb="4">
      <t>トウ</t>
    </rPh>
    <rPh sb="13" eb="15">
      <t>バアイ</t>
    </rPh>
    <rPh sb="19" eb="20">
      <t>ヒト</t>
    </rPh>
    <rPh sb="21" eb="22">
      <t>シタ</t>
    </rPh>
    <rPh sb="26" eb="28">
      <t>サンショウ</t>
    </rPh>
    <phoneticPr fontId="1"/>
  </si>
  <si>
    <t>:</t>
    <phoneticPr fontId="1"/>
  </si>
  <si>
    <t>AP3</t>
  </si>
  <si>
    <t>強度</t>
    <rPh sb="0" eb="2">
      <t>キョウド</t>
    </rPh>
    <phoneticPr fontId="1"/>
  </si>
  <si>
    <t>AP3</t>
    <phoneticPr fontId="1"/>
  </si>
  <si>
    <t>AP-C3-3F-03</t>
  </si>
  <si>
    <t>AP-C2-3F-02</t>
  </si>
  <si>
    <t>AP-C1-3F-01</t>
  </si>
  <si>
    <t>AP-C2-3F-01</t>
  </si>
  <si>
    <t>AP-C3-3F-02</t>
  </si>
  <si>
    <t>AP-C3-3F-01</t>
  </si>
  <si>
    <t>59_3</t>
  </si>
  <si>
    <t>59_2</t>
  </si>
  <si>
    <t>59_1</t>
  </si>
  <si>
    <t>58_3</t>
  </si>
  <si>
    <t>58_2</t>
  </si>
  <si>
    <t>58_1</t>
  </si>
  <si>
    <t>57_3</t>
  </si>
  <si>
    <t>57_2</t>
  </si>
  <si>
    <t>57_1</t>
  </si>
  <si>
    <t>56_3</t>
  </si>
  <si>
    <t>56_2</t>
  </si>
  <si>
    <t>56_1</t>
  </si>
  <si>
    <t>55_3</t>
  </si>
  <si>
    <t>55_2</t>
  </si>
  <si>
    <t>55_1</t>
  </si>
  <si>
    <t>54_3</t>
  </si>
  <si>
    <t>54_2</t>
  </si>
  <si>
    <t>54_1</t>
  </si>
  <si>
    <t>53_3</t>
  </si>
  <si>
    <t>53_2</t>
  </si>
  <si>
    <t>53_1</t>
  </si>
  <si>
    <t>52_3</t>
  </si>
  <si>
    <t>52_2</t>
  </si>
  <si>
    <t>52_1</t>
  </si>
  <si>
    <t>51_3</t>
  </si>
  <si>
    <t>51_2</t>
  </si>
  <si>
    <t>51_1</t>
  </si>
  <si>
    <t>50_3</t>
  </si>
  <si>
    <t>50_2</t>
  </si>
  <si>
    <t>50_1</t>
  </si>
  <si>
    <t>49_3</t>
  </si>
  <si>
    <t>49_2</t>
  </si>
  <si>
    <t>49_1</t>
  </si>
  <si>
    <t>48_3</t>
  </si>
  <si>
    <t>48_2</t>
  </si>
  <si>
    <t>48_1</t>
  </si>
  <si>
    <t>47_3</t>
  </si>
  <si>
    <t>47_2</t>
  </si>
  <si>
    <t>47_1</t>
  </si>
  <si>
    <t>46_3</t>
  </si>
  <si>
    <t>46_2</t>
  </si>
  <si>
    <t>46_1</t>
  </si>
  <si>
    <t>45_3</t>
  </si>
  <si>
    <t>45_2</t>
  </si>
  <si>
    <t>45_1</t>
  </si>
  <si>
    <t>44_3</t>
  </si>
  <si>
    <t>44_2</t>
  </si>
  <si>
    <t>44_1</t>
  </si>
  <si>
    <t>43_3</t>
  </si>
  <si>
    <t>43_2</t>
  </si>
  <si>
    <t>43_1</t>
  </si>
  <si>
    <t>42_3</t>
  </si>
  <si>
    <t>42_2</t>
  </si>
  <si>
    <t>42_1</t>
  </si>
  <si>
    <t>41_3</t>
  </si>
  <si>
    <t>41_2</t>
  </si>
  <si>
    <t>41_1</t>
  </si>
  <si>
    <t>40_3</t>
  </si>
  <si>
    <t>40_2</t>
  </si>
  <si>
    <t>40_1</t>
  </si>
  <si>
    <t>39_3</t>
  </si>
  <si>
    <t>39_2</t>
  </si>
  <si>
    <t>39_1</t>
  </si>
  <si>
    <t>38_3</t>
  </si>
  <si>
    <t>38_2</t>
  </si>
  <si>
    <t>38_1</t>
  </si>
  <si>
    <t>37_3</t>
  </si>
  <si>
    <t>37_2</t>
  </si>
  <si>
    <t>37_1</t>
  </si>
  <si>
    <t>36_3</t>
  </si>
  <si>
    <t>36_2</t>
  </si>
  <si>
    <t>36_1</t>
  </si>
  <si>
    <t>35_2</t>
  </si>
  <si>
    <t>35_1</t>
  </si>
  <si>
    <t>34_2</t>
  </si>
  <si>
    <t>34_1</t>
  </si>
  <si>
    <t>33_3</t>
  </si>
  <si>
    <t>33_2</t>
  </si>
  <si>
    <t>33_1</t>
  </si>
  <si>
    <t>32_2</t>
  </si>
  <si>
    <t>32_1</t>
  </si>
  <si>
    <t>31_3</t>
  </si>
  <si>
    <t>31_2</t>
  </si>
  <si>
    <t>31_1</t>
  </si>
  <si>
    <t>30_3</t>
  </si>
  <si>
    <t>30_2</t>
  </si>
  <si>
    <t>30_1</t>
  </si>
  <si>
    <t>29_3</t>
  </si>
  <si>
    <t>29_2</t>
  </si>
  <si>
    <t>29_1</t>
  </si>
  <si>
    <t>28_2</t>
  </si>
  <si>
    <t>28_1</t>
  </si>
  <si>
    <t>27_3</t>
  </si>
  <si>
    <t>27_2</t>
  </si>
  <si>
    <t>27_1</t>
  </si>
  <si>
    <t>26_3</t>
  </si>
  <si>
    <t>26_2</t>
  </si>
  <si>
    <t>26_1</t>
  </si>
  <si>
    <t>25_3</t>
  </si>
  <si>
    <t>25_2</t>
  </si>
  <si>
    <t>25_1</t>
  </si>
  <si>
    <t>24_3</t>
  </si>
  <si>
    <t>24_2</t>
  </si>
  <si>
    <t>24_1</t>
  </si>
  <si>
    <t>23_3</t>
  </si>
  <si>
    <t>23_2</t>
  </si>
  <si>
    <t>23_1</t>
  </si>
  <si>
    <t>22_2</t>
  </si>
  <si>
    <t>22_1</t>
  </si>
  <si>
    <t>21_3</t>
  </si>
  <si>
    <t>21_2</t>
  </si>
  <si>
    <t>21_1</t>
  </si>
  <si>
    <t>20_3</t>
  </si>
  <si>
    <t>20_2</t>
  </si>
  <si>
    <t>20_1</t>
  </si>
  <si>
    <t>19_3</t>
  </si>
  <si>
    <t>19_2</t>
  </si>
  <si>
    <t>19_1</t>
  </si>
  <si>
    <t>18_3</t>
  </si>
  <si>
    <t>18_2</t>
  </si>
  <si>
    <t>18_1</t>
  </si>
  <si>
    <t>17_3</t>
  </si>
  <si>
    <t>17_2</t>
  </si>
  <si>
    <t>17_1</t>
  </si>
  <si>
    <t>16_3</t>
  </si>
  <si>
    <t>16_2</t>
  </si>
  <si>
    <t>16_1</t>
  </si>
  <si>
    <t>15_3</t>
  </si>
  <si>
    <t>15_2</t>
  </si>
  <si>
    <t>15_1</t>
  </si>
  <si>
    <t>14_2</t>
  </si>
  <si>
    <t>14_1</t>
  </si>
  <si>
    <t>13_2</t>
  </si>
  <si>
    <t>13_1</t>
  </si>
  <si>
    <t>12_2</t>
  </si>
  <si>
    <t>12_1</t>
  </si>
  <si>
    <t>11_2</t>
  </si>
  <si>
    <t>11_1</t>
  </si>
  <si>
    <t>10_2</t>
  </si>
  <si>
    <t>10_1</t>
  </si>
  <si>
    <t>9_2</t>
  </si>
  <si>
    <t>9_1</t>
  </si>
  <si>
    <t>8_2</t>
  </si>
  <si>
    <t>8_1</t>
  </si>
  <si>
    <t>7_3</t>
  </si>
  <si>
    <t>7_2</t>
  </si>
  <si>
    <t>7_1</t>
  </si>
  <si>
    <t>6_3</t>
  </si>
  <si>
    <t>6_2</t>
  </si>
  <si>
    <t>6_1</t>
  </si>
  <si>
    <t>5_3</t>
  </si>
  <si>
    <t>5_2</t>
  </si>
  <si>
    <t>5_1</t>
  </si>
  <si>
    <t>4_3</t>
  </si>
  <si>
    <t>4_2</t>
  </si>
  <si>
    <t>4_1</t>
  </si>
  <si>
    <t>3_3</t>
  </si>
  <si>
    <t>3_2</t>
  </si>
  <si>
    <t>3_1</t>
  </si>
  <si>
    <t>2_3</t>
  </si>
  <si>
    <t>2_2</t>
  </si>
  <si>
    <t>2_1</t>
  </si>
  <si>
    <t>1_3</t>
  </si>
  <si>
    <t>1_2</t>
  </si>
  <si>
    <t>AP-C-3F-02</t>
    <phoneticPr fontId="1"/>
  </si>
  <si>
    <t>1_1</t>
  </si>
  <si>
    <t>MED (dBm)</t>
    <phoneticPr fontId="1"/>
  </si>
  <si>
    <t>AVE (dBm)</t>
    <phoneticPr fontId="1"/>
  </si>
  <si>
    <t>AP_name</t>
    <phoneticPr fontId="1"/>
  </si>
  <si>
    <t>Location</t>
    <phoneticPr fontId="1"/>
  </si>
  <si>
    <t>測定点P</t>
    <rPh sb="0" eb="2">
      <t>ソクテイ</t>
    </rPh>
    <rPh sb="2" eb="3">
      <t>テン</t>
    </rPh>
    <phoneticPr fontId="1"/>
  </si>
  <si>
    <t>x</t>
    <phoneticPr fontId="1"/>
  </si>
  <si>
    <t>y</t>
    <phoneticPr fontId="1"/>
  </si>
  <si>
    <t>z</t>
    <phoneticPr fontId="1"/>
  </si>
  <si>
    <t>位置</t>
    <rPh sb="0" eb="2">
      <t>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</si>
</sst>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_ "/>
    <numFmt numFmtId="178" formatCode="0.00_ "/>
    <numFmt numFmtId="179" formatCode="0.0_);[Red]\(0.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right" vertical="center"/>
    </xf>
    <xf numFmtId="176" fontId="0" fillId="0" borderId="5" xfId="0" applyNumberFormat="1" applyBorder="1">
      <alignment vertical="center"/>
    </xf>
    <xf numFmtId="176" fontId="0" fillId="0" borderId="7" xfId="0" applyNumberFormat="1" applyBorder="1">
      <alignment vertical="center"/>
    </xf>
    <xf numFmtId="178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179" fontId="0" fillId="2" borderId="0" xfId="0" applyNumberForma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413F-0219-4A76-A082-16255B1ED605}">
  <dimension ref="A1:I4"/>
  <sheetViews>
    <sheetView workbookViewId="0">
      <selection activeCell="H22" sqref="H22"/>
    </sheetView>
  </sheetViews>
  <sheetFormatPr defaultRowHeight="18.75" x14ac:dyDescent="0.4"/>
  <cols>
    <col min="2" max="2" width="0" hidden="1" customWidth="1"/>
    <col min="3" max="3" width="2.375" bestFit="1" customWidth="1"/>
  </cols>
  <sheetData>
    <row r="1" spans="1:9" x14ac:dyDescent="0.4">
      <c r="A1" t="s">
        <v>262</v>
      </c>
      <c r="B1">
        <v>1</v>
      </c>
      <c r="C1" s="23" t="s">
        <v>266</v>
      </c>
      <c r="D1" s="23"/>
      <c r="F1" t="str">
        <f>$A$2&amp;"_"&amp;B1</f>
        <v>12_1</v>
      </c>
      <c r="G1" t="str">
        <f>VLOOKUP(F1,測定結果!D:G,2,FALSE)</f>
        <v>AP-C-3F-04</v>
      </c>
      <c r="H1">
        <f>VLOOKUP(F1,測定結果!D:G,3,FALSE)</f>
        <v>-38.79</v>
      </c>
      <c r="I1">
        <f>VLOOKUP(F1,測定結果!D:G,4,)</f>
        <v>-38</v>
      </c>
    </row>
    <row r="2" spans="1:9" x14ac:dyDescent="0.4">
      <c r="A2">
        <v>12</v>
      </c>
      <c r="B2">
        <v>2</v>
      </c>
      <c r="C2" t="s">
        <v>263</v>
      </c>
      <c r="D2" s="22">
        <f>入力!M6</f>
        <v>10.339598034597048</v>
      </c>
      <c r="F2" t="str">
        <f>$A$2&amp;"_"&amp;B2</f>
        <v>12_2</v>
      </c>
      <c r="G2" t="str">
        <f>VLOOKUP(F2,測定結果!D:G,2,FALSE)</f>
        <v>AP-C-3F-03</v>
      </c>
      <c r="H2">
        <f>VLOOKUP(F2,測定結果!D:G,3,FALSE)</f>
        <v>-61.268817204301101</v>
      </c>
      <c r="I2">
        <f>VLOOKUP(F2,測定結果!D:G,4,)</f>
        <v>-60</v>
      </c>
    </row>
    <row r="3" spans="1:9" x14ac:dyDescent="0.4">
      <c r="B3">
        <v>3</v>
      </c>
      <c r="C3" t="s">
        <v>264</v>
      </c>
      <c r="D3" s="22" t="str">
        <f>IFERROR(入力!M7,入力!N7)</f>
        <v>0</v>
      </c>
      <c r="F3" t="str">
        <f>$A$2&amp;"_"&amp;B3</f>
        <v>12_3</v>
      </c>
      <c r="G3" t="e">
        <f>VLOOKUP(F3,測定結果!D:G,2,FALSE)</f>
        <v>#N/A</v>
      </c>
      <c r="H3" t="e">
        <f>VLOOKUP(F3,測定結果!D:G,3,FALSE)</f>
        <v>#N/A</v>
      </c>
      <c r="I3" t="e">
        <f>VLOOKUP(F3,測定結果!D:G,4,)</f>
        <v>#N/A</v>
      </c>
    </row>
    <row r="4" spans="1:9" x14ac:dyDescent="0.4">
      <c r="C4" t="s">
        <v>265</v>
      </c>
      <c r="D4" s="22">
        <f>入力!M8</f>
        <v>8.1999999999999993</v>
      </c>
    </row>
  </sheetData>
  <mergeCells count="1">
    <mergeCell ref="C1:D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F115-146B-4D5E-8C88-8404DC12A468}">
  <dimension ref="A1:G166"/>
  <sheetViews>
    <sheetView topLeftCell="D17" workbookViewId="0">
      <selection activeCell="I6" sqref="I6"/>
    </sheetView>
  </sheetViews>
  <sheetFormatPr defaultRowHeight="18.75" x14ac:dyDescent="0.4"/>
  <cols>
    <col min="1" max="3" width="0" hidden="1" customWidth="1"/>
    <col min="4" max="4" width="5.5" bestFit="1" customWidth="1"/>
    <col min="5" max="5" width="13.375" bestFit="1" customWidth="1"/>
    <col min="6" max="6" width="11.25" bestFit="1" customWidth="1"/>
    <col min="7" max="7" width="13.875" bestFit="1" customWidth="1"/>
  </cols>
  <sheetData>
    <row r="1" spans="1:7" x14ac:dyDescent="0.4">
      <c r="A1" s="21" t="s">
        <v>261</v>
      </c>
      <c r="B1" s="21"/>
      <c r="C1" s="21"/>
      <c r="E1" s="14" t="s">
        <v>260</v>
      </c>
      <c r="F1" t="s">
        <v>259</v>
      </c>
      <c r="G1" t="s">
        <v>258</v>
      </c>
    </row>
    <row r="2" spans="1:7" x14ac:dyDescent="0.4">
      <c r="A2">
        <v>1</v>
      </c>
      <c r="B2">
        <v>1</v>
      </c>
      <c r="C2" t="str">
        <f t="shared" ref="C2:C33" si="0">A2&amp;"_"&amp;B2</f>
        <v>1_1</v>
      </c>
      <c r="D2" t="s">
        <v>257</v>
      </c>
      <c r="E2" s="14" t="s">
        <v>256</v>
      </c>
      <c r="F2" s="15">
        <v>-36.450000000000003</v>
      </c>
      <c r="G2">
        <v>-36</v>
      </c>
    </row>
    <row r="3" spans="1:7" x14ac:dyDescent="0.4">
      <c r="A3">
        <v>1</v>
      </c>
      <c r="B3">
        <v>2</v>
      </c>
      <c r="C3" t="str">
        <f t="shared" si="0"/>
        <v>1_2</v>
      </c>
      <c r="D3" t="s">
        <v>255</v>
      </c>
      <c r="E3" s="14" t="s">
        <v>88</v>
      </c>
      <c r="F3" s="15">
        <v>-60.21</v>
      </c>
      <c r="G3">
        <v>-60</v>
      </c>
    </row>
    <row r="4" spans="1:7" x14ac:dyDescent="0.4">
      <c r="A4">
        <v>1</v>
      </c>
      <c r="B4">
        <v>3</v>
      </c>
      <c r="C4" t="str">
        <f t="shared" si="0"/>
        <v>1_3</v>
      </c>
      <c r="D4" t="s">
        <v>254</v>
      </c>
      <c r="E4" s="14" t="s">
        <v>54</v>
      </c>
      <c r="F4" s="15">
        <v>-61.623655913978503</v>
      </c>
      <c r="G4">
        <v>-62</v>
      </c>
    </row>
    <row r="5" spans="1:7" x14ac:dyDescent="0.4">
      <c r="A5">
        <v>2</v>
      </c>
      <c r="B5">
        <v>1</v>
      </c>
      <c r="C5" t="str">
        <f t="shared" si="0"/>
        <v>2_1</v>
      </c>
      <c r="D5" t="s">
        <v>253</v>
      </c>
      <c r="E5" s="14" t="s">
        <v>52</v>
      </c>
      <c r="F5" s="15">
        <v>-41.69</v>
      </c>
      <c r="G5">
        <v>-42</v>
      </c>
    </row>
    <row r="6" spans="1:7" x14ac:dyDescent="0.4">
      <c r="A6">
        <v>2</v>
      </c>
      <c r="B6">
        <v>2</v>
      </c>
      <c r="C6" t="str">
        <f t="shared" si="0"/>
        <v>2_2</v>
      </c>
      <c r="D6" t="s">
        <v>252</v>
      </c>
      <c r="E6" s="14" t="s">
        <v>53</v>
      </c>
      <c r="F6" s="15">
        <v>-51.38</v>
      </c>
      <c r="G6">
        <v>-51</v>
      </c>
    </row>
    <row r="7" spans="1:7" x14ac:dyDescent="0.4">
      <c r="A7">
        <v>2</v>
      </c>
      <c r="B7">
        <v>3</v>
      </c>
      <c r="C7" t="str">
        <f t="shared" si="0"/>
        <v>2_3</v>
      </c>
      <c r="D7" t="s">
        <v>251</v>
      </c>
      <c r="E7" s="14" t="s">
        <v>54</v>
      </c>
      <c r="F7" s="15">
        <v>-62.076923076923102</v>
      </c>
      <c r="G7">
        <v>-61</v>
      </c>
    </row>
    <row r="8" spans="1:7" x14ac:dyDescent="0.4">
      <c r="A8">
        <v>3</v>
      </c>
      <c r="B8">
        <v>1</v>
      </c>
      <c r="C8" t="str">
        <f t="shared" si="0"/>
        <v>3_1</v>
      </c>
      <c r="D8" t="s">
        <v>250</v>
      </c>
      <c r="E8" s="14" t="s">
        <v>53</v>
      </c>
      <c r="F8" s="15">
        <v>-48.75</v>
      </c>
      <c r="G8">
        <v>-48</v>
      </c>
    </row>
    <row r="9" spans="1:7" x14ac:dyDescent="0.4">
      <c r="A9">
        <v>3</v>
      </c>
      <c r="B9">
        <v>2</v>
      </c>
      <c r="C9" t="str">
        <f t="shared" si="0"/>
        <v>3_2</v>
      </c>
      <c r="D9" t="s">
        <v>249</v>
      </c>
      <c r="E9" s="14" t="s">
        <v>52</v>
      </c>
      <c r="F9" s="15">
        <v>-49.47</v>
      </c>
      <c r="G9">
        <v>-49</v>
      </c>
    </row>
    <row r="10" spans="1:7" x14ac:dyDescent="0.4">
      <c r="A10">
        <v>3</v>
      </c>
      <c r="B10">
        <v>3</v>
      </c>
      <c r="C10" t="str">
        <f t="shared" si="0"/>
        <v>3_3</v>
      </c>
      <c r="D10" t="s">
        <v>248</v>
      </c>
      <c r="E10" s="14" t="s">
        <v>54</v>
      </c>
      <c r="F10" s="15">
        <v>-64.636363636363598</v>
      </c>
      <c r="G10">
        <v>-65</v>
      </c>
    </row>
    <row r="11" spans="1:7" x14ac:dyDescent="0.4">
      <c r="A11">
        <v>4</v>
      </c>
      <c r="B11">
        <v>1</v>
      </c>
      <c r="C11" t="str">
        <f t="shared" si="0"/>
        <v>4_1</v>
      </c>
      <c r="D11" t="s">
        <v>247</v>
      </c>
      <c r="E11" s="14" t="s">
        <v>52</v>
      </c>
      <c r="F11" s="15">
        <v>-48.4</v>
      </c>
      <c r="G11">
        <v>-48</v>
      </c>
    </row>
    <row r="12" spans="1:7" x14ac:dyDescent="0.4">
      <c r="A12">
        <v>4</v>
      </c>
      <c r="B12">
        <v>2</v>
      </c>
      <c r="C12" t="str">
        <f t="shared" si="0"/>
        <v>4_2</v>
      </c>
      <c r="D12" t="s">
        <v>246</v>
      </c>
      <c r="E12" s="14" t="s">
        <v>53</v>
      </c>
      <c r="F12" s="15">
        <v>-53.645161290322598</v>
      </c>
      <c r="G12">
        <v>-54</v>
      </c>
    </row>
    <row r="13" spans="1:7" x14ac:dyDescent="0.4">
      <c r="A13">
        <v>4</v>
      </c>
      <c r="B13">
        <v>3</v>
      </c>
      <c r="C13" t="str">
        <f t="shared" si="0"/>
        <v>4_3</v>
      </c>
      <c r="D13" t="s">
        <v>245</v>
      </c>
      <c r="E13" s="14" t="s">
        <v>54</v>
      </c>
      <c r="F13" s="15">
        <v>-66.77</v>
      </c>
      <c r="G13">
        <v>-67</v>
      </c>
    </row>
    <row r="14" spans="1:7" x14ac:dyDescent="0.4">
      <c r="A14">
        <v>5</v>
      </c>
      <c r="B14">
        <v>1</v>
      </c>
      <c r="C14" t="str">
        <f t="shared" si="0"/>
        <v>5_1</v>
      </c>
      <c r="D14" t="s">
        <v>244</v>
      </c>
      <c r="E14" s="14" t="s">
        <v>53</v>
      </c>
      <c r="F14" s="15">
        <v>-49.462365591397798</v>
      </c>
      <c r="G14">
        <v>-50</v>
      </c>
    </row>
    <row r="15" spans="1:7" x14ac:dyDescent="0.4">
      <c r="A15">
        <v>5</v>
      </c>
      <c r="B15">
        <v>2</v>
      </c>
      <c r="C15" t="str">
        <f t="shared" si="0"/>
        <v>5_2</v>
      </c>
      <c r="D15" t="s">
        <v>243</v>
      </c>
      <c r="E15" s="14" t="s">
        <v>52</v>
      </c>
      <c r="F15" s="15">
        <v>-53.79</v>
      </c>
      <c r="G15">
        <v>-54</v>
      </c>
    </row>
    <row r="16" spans="1:7" x14ac:dyDescent="0.4">
      <c r="A16">
        <v>5</v>
      </c>
      <c r="B16">
        <v>3</v>
      </c>
      <c r="C16" t="str">
        <f t="shared" si="0"/>
        <v>5_3</v>
      </c>
      <c r="D16" t="s">
        <v>242</v>
      </c>
      <c r="E16" s="14" t="s">
        <v>54</v>
      </c>
      <c r="F16" s="15">
        <v>-65.64</v>
      </c>
      <c r="G16">
        <v>-66</v>
      </c>
    </row>
    <row r="17" spans="1:7" x14ac:dyDescent="0.4">
      <c r="A17">
        <v>6</v>
      </c>
      <c r="B17">
        <v>1</v>
      </c>
      <c r="C17" t="str">
        <f t="shared" si="0"/>
        <v>6_1</v>
      </c>
      <c r="D17" t="s">
        <v>241</v>
      </c>
      <c r="E17" s="14" t="s">
        <v>53</v>
      </c>
      <c r="F17" s="15">
        <v>-40.6989247311828</v>
      </c>
      <c r="G17">
        <v>-41</v>
      </c>
    </row>
    <row r="18" spans="1:7" x14ac:dyDescent="0.4">
      <c r="A18">
        <v>6</v>
      </c>
      <c r="B18">
        <v>2</v>
      </c>
      <c r="C18" t="str">
        <f t="shared" si="0"/>
        <v>6_2</v>
      </c>
      <c r="D18" t="s">
        <v>240</v>
      </c>
      <c r="E18" s="14" t="s">
        <v>54</v>
      </c>
      <c r="F18" s="15">
        <v>-56.677419354838698</v>
      </c>
      <c r="G18">
        <v>-56</v>
      </c>
    </row>
    <row r="19" spans="1:7" x14ac:dyDescent="0.4">
      <c r="A19">
        <v>6</v>
      </c>
      <c r="B19">
        <v>3</v>
      </c>
      <c r="C19" t="str">
        <f t="shared" si="0"/>
        <v>6_3</v>
      </c>
      <c r="D19" t="s">
        <v>239</v>
      </c>
      <c r="E19" s="14" t="s">
        <v>52</v>
      </c>
      <c r="F19" s="15">
        <v>-57.511627906976699</v>
      </c>
      <c r="G19">
        <v>-57</v>
      </c>
    </row>
    <row r="20" spans="1:7" x14ac:dyDescent="0.4">
      <c r="A20">
        <v>7</v>
      </c>
      <c r="B20">
        <v>1</v>
      </c>
      <c r="C20" t="str">
        <f t="shared" si="0"/>
        <v>7_1</v>
      </c>
      <c r="D20" t="s">
        <v>238</v>
      </c>
      <c r="E20" s="14" t="s">
        <v>53</v>
      </c>
      <c r="F20" s="15">
        <v>-36.42</v>
      </c>
      <c r="G20">
        <v>-37</v>
      </c>
    </row>
    <row r="21" spans="1:7" x14ac:dyDescent="0.4">
      <c r="A21">
        <v>7</v>
      </c>
      <c r="B21">
        <v>2</v>
      </c>
      <c r="C21" t="str">
        <f t="shared" si="0"/>
        <v>7_2</v>
      </c>
      <c r="D21" t="s">
        <v>237</v>
      </c>
      <c r="E21" s="14" t="s">
        <v>54</v>
      </c>
      <c r="F21" s="15">
        <v>-56.05</v>
      </c>
      <c r="G21">
        <v>-56</v>
      </c>
    </row>
    <row r="22" spans="1:7" x14ac:dyDescent="0.4">
      <c r="A22">
        <v>7</v>
      </c>
      <c r="B22">
        <v>3</v>
      </c>
      <c r="C22" t="str">
        <f t="shared" si="0"/>
        <v>7_3</v>
      </c>
      <c r="D22" t="s">
        <v>236</v>
      </c>
      <c r="E22" s="14" t="s">
        <v>52</v>
      </c>
      <c r="F22" s="15">
        <v>-64.7848101265823</v>
      </c>
      <c r="G22">
        <v>-64</v>
      </c>
    </row>
    <row r="23" spans="1:7" x14ac:dyDescent="0.4">
      <c r="A23">
        <v>8</v>
      </c>
      <c r="B23">
        <v>1</v>
      </c>
      <c r="C23" t="str">
        <f t="shared" si="0"/>
        <v>8_1</v>
      </c>
      <c r="D23" t="s">
        <v>235</v>
      </c>
      <c r="E23" s="14" t="s">
        <v>53</v>
      </c>
      <c r="F23" s="15">
        <v>-51.05</v>
      </c>
      <c r="G23">
        <v>-51</v>
      </c>
    </row>
    <row r="24" spans="1:7" x14ac:dyDescent="0.4">
      <c r="A24">
        <v>8</v>
      </c>
      <c r="B24">
        <v>2</v>
      </c>
      <c r="C24" t="str">
        <f t="shared" si="0"/>
        <v>8_2</v>
      </c>
      <c r="D24" t="s">
        <v>234</v>
      </c>
      <c r="E24" s="14" t="s">
        <v>54</v>
      </c>
      <c r="F24" s="15">
        <v>-54.59</v>
      </c>
      <c r="G24">
        <v>-54</v>
      </c>
    </row>
    <row r="25" spans="1:7" x14ac:dyDescent="0.4">
      <c r="A25">
        <v>9</v>
      </c>
      <c r="B25">
        <v>1</v>
      </c>
      <c r="C25" t="str">
        <f t="shared" si="0"/>
        <v>9_1</v>
      </c>
      <c r="D25" t="s">
        <v>233</v>
      </c>
      <c r="E25" s="14" t="s">
        <v>54</v>
      </c>
      <c r="F25" s="15">
        <v>-47.39</v>
      </c>
      <c r="G25">
        <v>-47</v>
      </c>
    </row>
    <row r="26" spans="1:7" x14ac:dyDescent="0.4">
      <c r="A26">
        <v>9</v>
      </c>
      <c r="B26">
        <v>2</v>
      </c>
      <c r="C26" t="str">
        <f t="shared" si="0"/>
        <v>9_2</v>
      </c>
      <c r="D26" t="s">
        <v>232</v>
      </c>
      <c r="E26" s="14" t="s">
        <v>53</v>
      </c>
      <c r="F26" s="15">
        <v>-57.31</v>
      </c>
      <c r="G26">
        <v>-57</v>
      </c>
    </row>
    <row r="27" spans="1:7" x14ac:dyDescent="0.4">
      <c r="A27">
        <v>10</v>
      </c>
      <c r="B27">
        <v>1</v>
      </c>
      <c r="C27" t="str">
        <f t="shared" si="0"/>
        <v>10_1</v>
      </c>
      <c r="D27" t="s">
        <v>231</v>
      </c>
      <c r="E27" s="14" t="s">
        <v>54</v>
      </c>
      <c r="F27" s="15">
        <v>-47.35</v>
      </c>
      <c r="G27">
        <v>-47.5</v>
      </c>
    </row>
    <row r="28" spans="1:7" x14ac:dyDescent="0.4">
      <c r="A28">
        <v>10</v>
      </c>
      <c r="B28">
        <v>2</v>
      </c>
      <c r="C28" t="str">
        <f t="shared" si="0"/>
        <v>10_2</v>
      </c>
      <c r="D28" t="s">
        <v>230</v>
      </c>
      <c r="E28" s="14" t="s">
        <v>53</v>
      </c>
      <c r="F28" s="15">
        <v>-66.913978494623606</v>
      </c>
      <c r="G28">
        <v>-68</v>
      </c>
    </row>
    <row r="29" spans="1:7" x14ac:dyDescent="0.4">
      <c r="A29">
        <v>11</v>
      </c>
      <c r="B29">
        <v>1</v>
      </c>
      <c r="C29" t="str">
        <f t="shared" si="0"/>
        <v>11_1</v>
      </c>
      <c r="D29" t="s">
        <v>229</v>
      </c>
      <c r="E29" s="14" t="s">
        <v>54</v>
      </c>
      <c r="F29" s="15">
        <v>-49.49</v>
      </c>
      <c r="G29">
        <v>-51</v>
      </c>
    </row>
    <row r="30" spans="1:7" x14ac:dyDescent="0.4">
      <c r="A30">
        <v>11</v>
      </c>
      <c r="B30">
        <v>2</v>
      </c>
      <c r="C30" t="str">
        <f t="shared" si="0"/>
        <v>11_2</v>
      </c>
      <c r="D30" t="s">
        <v>228</v>
      </c>
      <c r="E30" s="14" t="s">
        <v>53</v>
      </c>
      <c r="F30" s="15">
        <v>-64.232558139534902</v>
      </c>
      <c r="G30">
        <v>-64</v>
      </c>
    </row>
    <row r="31" spans="1:7" x14ac:dyDescent="0.4">
      <c r="A31">
        <v>12</v>
      </c>
      <c r="B31">
        <v>1</v>
      </c>
      <c r="C31" t="str">
        <f t="shared" si="0"/>
        <v>12_1</v>
      </c>
      <c r="D31" t="s">
        <v>227</v>
      </c>
      <c r="E31" s="14" t="s">
        <v>54</v>
      </c>
      <c r="F31" s="15">
        <v>-38.79</v>
      </c>
      <c r="G31">
        <v>-38</v>
      </c>
    </row>
    <row r="32" spans="1:7" x14ac:dyDescent="0.4">
      <c r="A32">
        <v>12</v>
      </c>
      <c r="B32">
        <v>2</v>
      </c>
      <c r="C32" t="str">
        <f t="shared" si="0"/>
        <v>12_2</v>
      </c>
      <c r="D32" t="s">
        <v>226</v>
      </c>
      <c r="E32" s="14" t="s">
        <v>53</v>
      </c>
      <c r="F32" s="15">
        <v>-61.268817204301101</v>
      </c>
      <c r="G32">
        <v>-60</v>
      </c>
    </row>
    <row r="33" spans="1:7" x14ac:dyDescent="0.4">
      <c r="A33">
        <v>13</v>
      </c>
      <c r="B33">
        <v>1</v>
      </c>
      <c r="C33" t="str">
        <f t="shared" si="0"/>
        <v>13_1</v>
      </c>
      <c r="D33" t="s">
        <v>225</v>
      </c>
      <c r="E33" s="14" t="s">
        <v>54</v>
      </c>
      <c r="F33" s="15">
        <v>-43.38</v>
      </c>
      <c r="G33">
        <v>-42</v>
      </c>
    </row>
    <row r="34" spans="1:7" x14ac:dyDescent="0.4">
      <c r="A34">
        <v>13</v>
      </c>
      <c r="B34">
        <v>2</v>
      </c>
      <c r="C34" t="str">
        <f t="shared" ref="C34:C65" si="1">A34&amp;"_"&amp;B34</f>
        <v>13_2</v>
      </c>
      <c r="D34" t="s">
        <v>224</v>
      </c>
      <c r="E34" s="14" t="s">
        <v>51</v>
      </c>
      <c r="F34" s="15">
        <v>-66.454545454545496</v>
      </c>
      <c r="G34">
        <v>-67</v>
      </c>
    </row>
    <row r="35" spans="1:7" x14ac:dyDescent="0.4">
      <c r="A35">
        <v>14</v>
      </c>
      <c r="B35">
        <v>1</v>
      </c>
      <c r="C35" t="str">
        <f t="shared" si="1"/>
        <v>14_1</v>
      </c>
      <c r="D35" t="s">
        <v>223</v>
      </c>
      <c r="E35" s="14" t="s">
        <v>51</v>
      </c>
      <c r="F35" s="15">
        <v>-72.6458333333333</v>
      </c>
      <c r="G35">
        <v>-72</v>
      </c>
    </row>
    <row r="36" spans="1:7" x14ac:dyDescent="0.4">
      <c r="A36">
        <v>14</v>
      </c>
      <c r="B36">
        <v>2</v>
      </c>
      <c r="C36" t="str">
        <f t="shared" si="1"/>
        <v>14_2</v>
      </c>
      <c r="D36" t="s">
        <v>222</v>
      </c>
      <c r="E36" s="14" t="s">
        <v>54</v>
      </c>
      <c r="F36" s="15">
        <v>-45.26</v>
      </c>
      <c r="G36">
        <v>-45</v>
      </c>
    </row>
    <row r="37" spans="1:7" x14ac:dyDescent="0.4">
      <c r="A37">
        <v>15</v>
      </c>
      <c r="B37">
        <v>1</v>
      </c>
      <c r="C37" t="str">
        <f t="shared" si="1"/>
        <v>15_1</v>
      </c>
      <c r="D37" t="s">
        <v>221</v>
      </c>
      <c r="E37" s="14" t="s">
        <v>54</v>
      </c>
      <c r="F37" s="15">
        <v>-55.99</v>
      </c>
      <c r="G37">
        <v>-56</v>
      </c>
    </row>
    <row r="38" spans="1:7" x14ac:dyDescent="0.4">
      <c r="A38">
        <v>15</v>
      </c>
      <c r="B38">
        <v>2</v>
      </c>
      <c r="C38" t="str">
        <f t="shared" si="1"/>
        <v>15_2</v>
      </c>
      <c r="D38" t="s">
        <v>220</v>
      </c>
      <c r="E38" s="14" t="s">
        <v>51</v>
      </c>
      <c r="F38" s="15">
        <v>-61.69</v>
      </c>
      <c r="G38">
        <v>-62</v>
      </c>
    </row>
    <row r="39" spans="1:7" x14ac:dyDescent="0.4">
      <c r="A39">
        <v>15</v>
      </c>
      <c r="B39">
        <v>3</v>
      </c>
      <c r="C39" t="str">
        <f t="shared" si="1"/>
        <v>15_3</v>
      </c>
      <c r="D39" t="s">
        <v>219</v>
      </c>
      <c r="E39" s="14" t="s">
        <v>52</v>
      </c>
      <c r="F39" s="15">
        <v>-66.47</v>
      </c>
      <c r="G39">
        <v>-66</v>
      </c>
    </row>
    <row r="40" spans="1:7" x14ac:dyDescent="0.4">
      <c r="A40">
        <v>16</v>
      </c>
      <c r="B40">
        <v>1</v>
      </c>
      <c r="C40" t="str">
        <f t="shared" si="1"/>
        <v>16_1</v>
      </c>
      <c r="D40" t="s">
        <v>218</v>
      </c>
      <c r="E40" s="14" t="s">
        <v>51</v>
      </c>
      <c r="F40" s="15">
        <v>-59.31</v>
      </c>
      <c r="G40">
        <v>-59</v>
      </c>
    </row>
    <row r="41" spans="1:7" x14ac:dyDescent="0.4">
      <c r="A41">
        <v>16</v>
      </c>
      <c r="B41">
        <v>2</v>
      </c>
      <c r="C41" t="str">
        <f t="shared" si="1"/>
        <v>16_2</v>
      </c>
      <c r="D41" t="s">
        <v>217</v>
      </c>
      <c r="E41" s="14" t="s">
        <v>54</v>
      </c>
      <c r="F41" s="15">
        <v>-62.68</v>
      </c>
      <c r="G41">
        <v>-62</v>
      </c>
    </row>
    <row r="42" spans="1:7" x14ac:dyDescent="0.4">
      <c r="A42">
        <v>16</v>
      </c>
      <c r="B42">
        <v>3</v>
      </c>
      <c r="C42" t="str">
        <f t="shared" si="1"/>
        <v>16_3</v>
      </c>
      <c r="D42" t="s">
        <v>216</v>
      </c>
      <c r="E42" s="14" t="s">
        <v>52</v>
      </c>
      <c r="F42" s="15">
        <v>-70.063291139240505</v>
      </c>
      <c r="G42">
        <v>-70</v>
      </c>
    </row>
    <row r="43" spans="1:7" x14ac:dyDescent="0.4">
      <c r="A43">
        <v>17</v>
      </c>
      <c r="B43">
        <v>1</v>
      </c>
      <c r="C43" t="str">
        <f t="shared" si="1"/>
        <v>17_1</v>
      </c>
      <c r="D43" t="s">
        <v>215</v>
      </c>
      <c r="E43" s="14" t="s">
        <v>89</v>
      </c>
      <c r="F43" s="15">
        <v>-53.774193548387103</v>
      </c>
      <c r="G43">
        <v>-55</v>
      </c>
    </row>
    <row r="44" spans="1:7" x14ac:dyDescent="0.4">
      <c r="A44">
        <v>17</v>
      </c>
      <c r="B44">
        <v>2</v>
      </c>
      <c r="C44" t="str">
        <f t="shared" si="1"/>
        <v>17_2</v>
      </c>
      <c r="D44" t="s">
        <v>214</v>
      </c>
      <c r="E44" s="14" t="s">
        <v>54</v>
      </c>
      <c r="F44" s="15">
        <v>-57.935483870967701</v>
      </c>
      <c r="G44">
        <v>-59</v>
      </c>
    </row>
    <row r="45" spans="1:7" x14ac:dyDescent="0.4">
      <c r="A45">
        <v>17</v>
      </c>
      <c r="B45">
        <v>3</v>
      </c>
      <c r="C45" t="str">
        <f t="shared" si="1"/>
        <v>17_3</v>
      </c>
      <c r="D45" t="s">
        <v>213</v>
      </c>
      <c r="E45" s="14" t="s">
        <v>52</v>
      </c>
      <c r="F45" s="15">
        <v>-67.465116279069804</v>
      </c>
      <c r="G45">
        <v>-67</v>
      </c>
    </row>
    <row r="46" spans="1:7" x14ac:dyDescent="0.4">
      <c r="A46">
        <v>18</v>
      </c>
      <c r="B46">
        <v>1</v>
      </c>
      <c r="C46" t="str">
        <f t="shared" si="1"/>
        <v>18_1</v>
      </c>
      <c r="D46" t="s">
        <v>212</v>
      </c>
      <c r="E46" s="14" t="s">
        <v>89</v>
      </c>
      <c r="F46" s="15">
        <v>-54.66</v>
      </c>
      <c r="G46">
        <v>-54</v>
      </c>
    </row>
    <row r="47" spans="1:7" x14ac:dyDescent="0.4">
      <c r="A47">
        <v>18</v>
      </c>
      <c r="B47">
        <v>2</v>
      </c>
      <c r="C47" t="str">
        <f t="shared" si="1"/>
        <v>18_2</v>
      </c>
      <c r="D47" t="s">
        <v>211</v>
      </c>
      <c r="E47" s="14" t="s">
        <v>54</v>
      </c>
      <c r="F47" s="15">
        <v>-60.38</v>
      </c>
      <c r="G47">
        <v>-60</v>
      </c>
    </row>
    <row r="48" spans="1:7" x14ac:dyDescent="0.4">
      <c r="A48">
        <v>18</v>
      </c>
      <c r="B48">
        <v>3</v>
      </c>
      <c r="C48" t="str">
        <f t="shared" si="1"/>
        <v>18_3</v>
      </c>
      <c r="D48" t="s">
        <v>210</v>
      </c>
      <c r="E48" s="14" t="s">
        <v>87</v>
      </c>
      <c r="F48" s="15">
        <v>-63.268817204301101</v>
      </c>
      <c r="G48">
        <v>-63</v>
      </c>
    </row>
    <row r="49" spans="1:7" x14ac:dyDescent="0.4">
      <c r="A49">
        <v>19</v>
      </c>
      <c r="B49">
        <v>1</v>
      </c>
      <c r="C49" t="str">
        <f t="shared" si="1"/>
        <v>19_1</v>
      </c>
      <c r="D49" t="s">
        <v>209</v>
      </c>
      <c r="E49" s="14" t="s">
        <v>89</v>
      </c>
      <c r="F49" s="15">
        <v>-51.204301075268802</v>
      </c>
      <c r="G49">
        <v>-51</v>
      </c>
    </row>
    <row r="50" spans="1:7" x14ac:dyDescent="0.4">
      <c r="A50">
        <v>19</v>
      </c>
      <c r="B50">
        <v>2</v>
      </c>
      <c r="C50" t="str">
        <f t="shared" si="1"/>
        <v>19_2</v>
      </c>
      <c r="D50" t="s">
        <v>208</v>
      </c>
      <c r="E50" s="14" t="s">
        <v>51</v>
      </c>
      <c r="F50" s="15">
        <v>-60.84</v>
      </c>
      <c r="G50">
        <v>-61</v>
      </c>
    </row>
    <row r="51" spans="1:7" x14ac:dyDescent="0.4">
      <c r="A51">
        <v>19</v>
      </c>
      <c r="B51">
        <v>3</v>
      </c>
      <c r="C51" t="str">
        <f t="shared" si="1"/>
        <v>19_3</v>
      </c>
      <c r="D51" t="s">
        <v>207</v>
      </c>
      <c r="E51" s="14" t="s">
        <v>87</v>
      </c>
      <c r="F51" s="15">
        <v>-62.32</v>
      </c>
      <c r="G51">
        <v>-63</v>
      </c>
    </row>
    <row r="52" spans="1:7" x14ac:dyDescent="0.4">
      <c r="A52">
        <v>20</v>
      </c>
      <c r="B52">
        <v>1</v>
      </c>
      <c r="C52" t="str">
        <f t="shared" si="1"/>
        <v>20_1</v>
      </c>
      <c r="D52" t="s">
        <v>206</v>
      </c>
      <c r="E52" s="14" t="s">
        <v>89</v>
      </c>
      <c r="F52" s="15">
        <v>-47.22</v>
      </c>
      <c r="G52">
        <v>-47</v>
      </c>
    </row>
    <row r="53" spans="1:7" x14ac:dyDescent="0.4">
      <c r="A53">
        <v>20</v>
      </c>
      <c r="B53">
        <v>2</v>
      </c>
      <c r="C53" t="str">
        <f t="shared" si="1"/>
        <v>20_2</v>
      </c>
      <c r="D53" t="s">
        <v>205</v>
      </c>
      <c r="E53" s="14" t="s">
        <v>87</v>
      </c>
      <c r="F53" s="15">
        <v>-60.47</v>
      </c>
      <c r="G53">
        <v>-60</v>
      </c>
    </row>
    <row r="54" spans="1:7" x14ac:dyDescent="0.4">
      <c r="A54">
        <v>20</v>
      </c>
      <c r="B54">
        <v>3</v>
      </c>
      <c r="C54" t="str">
        <f t="shared" si="1"/>
        <v>20_3</v>
      </c>
      <c r="D54" t="s">
        <v>204</v>
      </c>
      <c r="E54" s="14" t="s">
        <v>71</v>
      </c>
      <c r="F54" s="15">
        <v>-63.714285714285701</v>
      </c>
      <c r="G54">
        <v>-64</v>
      </c>
    </row>
    <row r="55" spans="1:7" x14ac:dyDescent="0.4">
      <c r="A55">
        <v>21</v>
      </c>
      <c r="B55">
        <v>1</v>
      </c>
      <c r="C55" t="str">
        <f t="shared" si="1"/>
        <v>21_1</v>
      </c>
      <c r="D55" t="s">
        <v>203</v>
      </c>
      <c r="E55" s="14" t="s">
        <v>89</v>
      </c>
      <c r="F55" s="15">
        <v>-47.72</v>
      </c>
      <c r="G55">
        <v>-47</v>
      </c>
    </row>
    <row r="56" spans="1:7" x14ac:dyDescent="0.4">
      <c r="A56">
        <v>21</v>
      </c>
      <c r="B56">
        <v>2</v>
      </c>
      <c r="C56" t="str">
        <f t="shared" si="1"/>
        <v>21_2</v>
      </c>
      <c r="D56" t="s">
        <v>202</v>
      </c>
      <c r="E56" s="14" t="s">
        <v>71</v>
      </c>
      <c r="F56" s="15">
        <v>-64.918604651162795</v>
      </c>
      <c r="G56">
        <v>-65</v>
      </c>
    </row>
    <row r="57" spans="1:7" x14ac:dyDescent="0.4">
      <c r="A57">
        <v>21</v>
      </c>
      <c r="B57">
        <v>3</v>
      </c>
      <c r="C57" t="str">
        <f t="shared" si="1"/>
        <v>21_3</v>
      </c>
      <c r="D57" t="s">
        <v>201</v>
      </c>
      <c r="E57" s="14" t="s">
        <v>87</v>
      </c>
      <c r="F57" s="15">
        <v>-67.84</v>
      </c>
      <c r="G57">
        <v>-67</v>
      </c>
    </row>
    <row r="58" spans="1:7" x14ac:dyDescent="0.4">
      <c r="A58">
        <v>22</v>
      </c>
      <c r="B58">
        <v>1</v>
      </c>
      <c r="C58" t="str">
        <f t="shared" si="1"/>
        <v>22_1</v>
      </c>
      <c r="D58" t="s">
        <v>200</v>
      </c>
      <c r="E58" s="14" t="s">
        <v>89</v>
      </c>
      <c r="F58" s="15">
        <v>-51.58</v>
      </c>
      <c r="G58">
        <v>-51.5</v>
      </c>
    </row>
    <row r="59" spans="1:7" x14ac:dyDescent="0.4">
      <c r="A59">
        <v>22</v>
      </c>
      <c r="B59">
        <v>2</v>
      </c>
      <c r="C59" t="str">
        <f t="shared" si="1"/>
        <v>22_2</v>
      </c>
      <c r="D59" t="s">
        <v>199</v>
      </c>
      <c r="E59" s="14" t="s">
        <v>87</v>
      </c>
      <c r="F59" s="15">
        <v>-75.7</v>
      </c>
      <c r="G59">
        <v>-76</v>
      </c>
    </row>
    <row r="60" spans="1:7" x14ac:dyDescent="0.4">
      <c r="A60">
        <v>23</v>
      </c>
      <c r="B60">
        <v>1</v>
      </c>
      <c r="C60" t="str">
        <f t="shared" si="1"/>
        <v>23_1</v>
      </c>
      <c r="D60" t="s">
        <v>198</v>
      </c>
      <c r="E60" s="14" t="s">
        <v>89</v>
      </c>
      <c r="F60" s="15">
        <v>-40.090000000000003</v>
      </c>
      <c r="G60">
        <v>-39</v>
      </c>
    </row>
    <row r="61" spans="1:7" x14ac:dyDescent="0.4">
      <c r="A61">
        <v>23</v>
      </c>
      <c r="B61">
        <v>2</v>
      </c>
      <c r="C61" t="str">
        <f t="shared" si="1"/>
        <v>23_2</v>
      </c>
      <c r="D61" t="s">
        <v>197</v>
      </c>
      <c r="E61" s="14" t="s">
        <v>87</v>
      </c>
      <c r="F61" s="15">
        <v>-58.75</v>
      </c>
      <c r="G61">
        <v>-59</v>
      </c>
    </row>
    <row r="62" spans="1:7" x14ac:dyDescent="0.4">
      <c r="A62">
        <v>23</v>
      </c>
      <c r="B62">
        <v>3</v>
      </c>
      <c r="C62" t="str">
        <f t="shared" si="1"/>
        <v>23_3</v>
      </c>
      <c r="D62" t="s">
        <v>196</v>
      </c>
      <c r="E62" s="14" t="s">
        <v>71</v>
      </c>
      <c r="F62" s="15">
        <v>-62.827956989247298</v>
      </c>
      <c r="G62">
        <v>-63</v>
      </c>
    </row>
    <row r="63" spans="1:7" x14ac:dyDescent="0.4">
      <c r="A63">
        <v>24</v>
      </c>
      <c r="B63">
        <v>1</v>
      </c>
      <c r="C63" t="str">
        <f t="shared" si="1"/>
        <v>24_1</v>
      </c>
      <c r="D63" t="s">
        <v>195</v>
      </c>
      <c r="E63" s="14" t="s">
        <v>89</v>
      </c>
      <c r="F63" s="15">
        <v>-43.92</v>
      </c>
      <c r="G63">
        <v>-43</v>
      </c>
    </row>
    <row r="64" spans="1:7" x14ac:dyDescent="0.4">
      <c r="A64">
        <v>24</v>
      </c>
      <c r="B64">
        <v>2</v>
      </c>
      <c r="C64" t="str">
        <f t="shared" si="1"/>
        <v>24_2</v>
      </c>
      <c r="D64" t="s">
        <v>194</v>
      </c>
      <c r="E64" s="14" t="s">
        <v>87</v>
      </c>
      <c r="F64" s="15">
        <v>-59.84</v>
      </c>
      <c r="G64">
        <v>-60</v>
      </c>
    </row>
    <row r="65" spans="1:7" x14ac:dyDescent="0.4">
      <c r="A65">
        <v>24</v>
      </c>
      <c r="B65">
        <v>3</v>
      </c>
      <c r="C65" t="str">
        <f t="shared" si="1"/>
        <v>24_3</v>
      </c>
      <c r="D65" t="s">
        <v>193</v>
      </c>
      <c r="E65" s="14" t="s">
        <v>71</v>
      </c>
      <c r="F65" s="15">
        <v>-62.79</v>
      </c>
      <c r="G65">
        <v>-63</v>
      </c>
    </row>
    <row r="66" spans="1:7" x14ac:dyDescent="0.4">
      <c r="A66">
        <v>25</v>
      </c>
      <c r="B66">
        <v>1</v>
      </c>
      <c r="C66" t="str">
        <f t="shared" ref="C66:C97" si="2">A66&amp;"_"&amp;B66</f>
        <v>25_1</v>
      </c>
      <c r="D66" t="s">
        <v>192</v>
      </c>
      <c r="E66" s="14" t="s">
        <v>89</v>
      </c>
      <c r="F66" s="15">
        <v>-38.4</v>
      </c>
      <c r="G66">
        <v>-39</v>
      </c>
    </row>
    <row r="67" spans="1:7" x14ac:dyDescent="0.4">
      <c r="A67">
        <v>25</v>
      </c>
      <c r="B67">
        <v>2</v>
      </c>
      <c r="C67" t="str">
        <f t="shared" si="2"/>
        <v>25_2</v>
      </c>
      <c r="D67" t="s">
        <v>191</v>
      </c>
      <c r="E67" s="14" t="s">
        <v>87</v>
      </c>
      <c r="F67" s="15">
        <v>-59.838709677419402</v>
      </c>
      <c r="G67">
        <v>-60</v>
      </c>
    </row>
    <row r="68" spans="1:7" x14ac:dyDescent="0.4">
      <c r="A68">
        <v>25</v>
      </c>
      <c r="B68">
        <v>3</v>
      </c>
      <c r="C68" t="str">
        <f t="shared" si="2"/>
        <v>25_3</v>
      </c>
      <c r="D68" t="s">
        <v>190</v>
      </c>
      <c r="E68" s="14" t="s">
        <v>71</v>
      </c>
      <c r="F68" s="15">
        <v>-60.325581395348799</v>
      </c>
      <c r="G68">
        <v>-61</v>
      </c>
    </row>
    <row r="69" spans="1:7" x14ac:dyDescent="0.4">
      <c r="A69">
        <v>26</v>
      </c>
      <c r="B69">
        <v>1</v>
      </c>
      <c r="C69" t="str">
        <f t="shared" si="2"/>
        <v>26_1</v>
      </c>
      <c r="D69" t="s">
        <v>189</v>
      </c>
      <c r="E69" s="14" t="s">
        <v>89</v>
      </c>
      <c r="F69" s="15">
        <v>-39.200000000000003</v>
      </c>
      <c r="G69">
        <v>-38</v>
      </c>
    </row>
    <row r="70" spans="1:7" x14ac:dyDescent="0.4">
      <c r="A70">
        <v>26</v>
      </c>
      <c r="B70">
        <v>2</v>
      </c>
      <c r="C70" t="str">
        <f t="shared" si="2"/>
        <v>26_2</v>
      </c>
      <c r="D70" t="s">
        <v>188</v>
      </c>
      <c r="E70" s="14" t="s">
        <v>71</v>
      </c>
      <c r="F70" s="15">
        <v>-58.5161290322581</v>
      </c>
      <c r="G70">
        <v>-58</v>
      </c>
    </row>
    <row r="71" spans="1:7" x14ac:dyDescent="0.4">
      <c r="A71">
        <v>26</v>
      </c>
      <c r="B71">
        <v>3</v>
      </c>
      <c r="C71" t="str">
        <f t="shared" si="2"/>
        <v>26_3</v>
      </c>
      <c r="D71" t="s">
        <v>187</v>
      </c>
      <c r="E71" s="14" t="s">
        <v>87</v>
      </c>
      <c r="F71" s="15">
        <v>-61.05</v>
      </c>
      <c r="G71">
        <v>-60</v>
      </c>
    </row>
    <row r="72" spans="1:7" x14ac:dyDescent="0.4">
      <c r="A72">
        <v>27</v>
      </c>
      <c r="B72">
        <v>1</v>
      </c>
      <c r="C72" t="str">
        <f t="shared" si="2"/>
        <v>27_1</v>
      </c>
      <c r="D72" t="s">
        <v>186</v>
      </c>
      <c r="E72" s="14" t="s">
        <v>89</v>
      </c>
      <c r="F72" s="15">
        <v>-55.559139784946197</v>
      </c>
      <c r="G72">
        <v>-56</v>
      </c>
    </row>
    <row r="73" spans="1:7" x14ac:dyDescent="0.4">
      <c r="A73">
        <v>27</v>
      </c>
      <c r="B73">
        <v>2</v>
      </c>
      <c r="C73" t="str">
        <f t="shared" si="2"/>
        <v>27_2</v>
      </c>
      <c r="D73" t="s">
        <v>185</v>
      </c>
      <c r="E73" s="14" t="s">
        <v>71</v>
      </c>
      <c r="F73" s="15">
        <v>-57.581395348837198</v>
      </c>
      <c r="G73">
        <v>-57</v>
      </c>
    </row>
    <row r="74" spans="1:7" x14ac:dyDescent="0.4">
      <c r="A74">
        <v>27</v>
      </c>
      <c r="B74">
        <v>3</v>
      </c>
      <c r="C74" t="str">
        <f t="shared" si="2"/>
        <v>27_3</v>
      </c>
      <c r="D74" t="s">
        <v>184</v>
      </c>
      <c r="E74" s="14" t="s">
        <v>87</v>
      </c>
      <c r="F74" s="15">
        <v>-59.63</v>
      </c>
      <c r="G74">
        <v>-60</v>
      </c>
    </row>
    <row r="75" spans="1:7" x14ac:dyDescent="0.4">
      <c r="A75">
        <v>28</v>
      </c>
      <c r="B75">
        <v>1</v>
      </c>
      <c r="C75" t="str">
        <f t="shared" si="2"/>
        <v>28_1</v>
      </c>
      <c r="D75" t="s">
        <v>183</v>
      </c>
      <c r="E75" s="14" t="s">
        <v>87</v>
      </c>
      <c r="F75" s="15">
        <v>-51.4</v>
      </c>
      <c r="G75">
        <v>-50</v>
      </c>
    </row>
    <row r="76" spans="1:7" x14ac:dyDescent="0.4">
      <c r="A76">
        <v>28</v>
      </c>
      <c r="B76">
        <v>2</v>
      </c>
      <c r="C76" t="str">
        <f t="shared" si="2"/>
        <v>28_2</v>
      </c>
      <c r="D76" t="s">
        <v>182</v>
      </c>
      <c r="E76" s="14" t="s">
        <v>89</v>
      </c>
      <c r="F76" s="15">
        <v>-52.28</v>
      </c>
      <c r="G76">
        <v>-53</v>
      </c>
    </row>
    <row r="77" spans="1:7" x14ac:dyDescent="0.4">
      <c r="A77">
        <v>29</v>
      </c>
      <c r="B77">
        <v>1</v>
      </c>
      <c r="C77" t="str">
        <f t="shared" si="2"/>
        <v>29_1</v>
      </c>
      <c r="D77" t="s">
        <v>181</v>
      </c>
      <c r="E77" s="14" t="s">
        <v>87</v>
      </c>
      <c r="F77" s="15">
        <v>-50.37</v>
      </c>
      <c r="G77">
        <v>-50</v>
      </c>
    </row>
    <row r="78" spans="1:7" x14ac:dyDescent="0.4">
      <c r="A78">
        <v>29</v>
      </c>
      <c r="B78">
        <v>2</v>
      </c>
      <c r="C78" t="str">
        <f t="shared" si="2"/>
        <v>29_2</v>
      </c>
      <c r="D78" t="s">
        <v>180</v>
      </c>
      <c r="E78" s="14" t="s">
        <v>71</v>
      </c>
      <c r="F78" s="15">
        <v>-63.34</v>
      </c>
      <c r="G78">
        <v>-63</v>
      </c>
    </row>
    <row r="79" spans="1:7" x14ac:dyDescent="0.4">
      <c r="A79">
        <v>29</v>
      </c>
      <c r="B79">
        <v>3</v>
      </c>
      <c r="C79" t="str">
        <f t="shared" si="2"/>
        <v>29_3</v>
      </c>
      <c r="D79" t="s">
        <v>179</v>
      </c>
      <c r="E79" s="14" t="s">
        <v>89</v>
      </c>
      <c r="F79" s="15">
        <v>-63.604651162790702</v>
      </c>
      <c r="G79">
        <v>-64</v>
      </c>
    </row>
    <row r="80" spans="1:7" x14ac:dyDescent="0.4">
      <c r="A80">
        <v>30</v>
      </c>
      <c r="B80">
        <v>1</v>
      </c>
      <c r="C80" t="str">
        <f t="shared" si="2"/>
        <v>30_1</v>
      </c>
      <c r="D80" t="s">
        <v>178</v>
      </c>
      <c r="E80" s="14" t="s">
        <v>87</v>
      </c>
      <c r="F80" s="15">
        <v>-45.42</v>
      </c>
      <c r="G80">
        <v>-45</v>
      </c>
    </row>
    <row r="81" spans="1:7" x14ac:dyDescent="0.4">
      <c r="A81">
        <v>30</v>
      </c>
      <c r="B81">
        <v>2</v>
      </c>
      <c r="C81" t="str">
        <f t="shared" si="2"/>
        <v>30_2</v>
      </c>
      <c r="D81" t="s">
        <v>177</v>
      </c>
      <c r="E81" s="14" t="s">
        <v>71</v>
      </c>
      <c r="F81" s="15">
        <v>-63.06</v>
      </c>
      <c r="G81">
        <v>-63</v>
      </c>
    </row>
    <row r="82" spans="1:7" x14ac:dyDescent="0.4">
      <c r="A82">
        <v>30</v>
      </c>
      <c r="B82">
        <v>3</v>
      </c>
      <c r="C82" t="str">
        <f t="shared" si="2"/>
        <v>30_3</v>
      </c>
      <c r="D82" t="s">
        <v>176</v>
      </c>
      <c r="E82" s="14" t="s">
        <v>89</v>
      </c>
      <c r="F82" s="15">
        <v>-62.848101265822798</v>
      </c>
      <c r="G82">
        <v>-64</v>
      </c>
    </row>
    <row r="83" spans="1:7" x14ac:dyDescent="0.4">
      <c r="A83">
        <v>31</v>
      </c>
      <c r="B83">
        <v>1</v>
      </c>
      <c r="C83" t="str">
        <f t="shared" si="2"/>
        <v>31_1</v>
      </c>
      <c r="D83" t="s">
        <v>175</v>
      </c>
      <c r="E83" s="14" t="s">
        <v>87</v>
      </c>
      <c r="F83" s="15">
        <v>-41.67</v>
      </c>
      <c r="G83">
        <v>-42</v>
      </c>
    </row>
    <row r="84" spans="1:7" x14ac:dyDescent="0.4">
      <c r="A84">
        <v>31</v>
      </c>
      <c r="B84">
        <v>2</v>
      </c>
      <c r="C84" t="str">
        <f t="shared" si="2"/>
        <v>31_2</v>
      </c>
      <c r="D84" t="s">
        <v>174</v>
      </c>
      <c r="E84" s="14" t="s">
        <v>71</v>
      </c>
      <c r="F84" s="15">
        <v>-57.72</v>
      </c>
      <c r="G84">
        <v>-58</v>
      </c>
    </row>
    <row r="85" spans="1:7" x14ac:dyDescent="0.4">
      <c r="A85">
        <v>31</v>
      </c>
      <c r="B85">
        <v>3</v>
      </c>
      <c r="C85" t="str">
        <f t="shared" si="2"/>
        <v>31_3</v>
      </c>
      <c r="D85" t="s">
        <v>173</v>
      </c>
      <c r="E85" s="14" t="s">
        <v>89</v>
      </c>
      <c r="F85" s="15">
        <v>-63.279569892473098</v>
      </c>
      <c r="G85">
        <v>-63</v>
      </c>
    </row>
    <row r="86" spans="1:7" x14ac:dyDescent="0.4">
      <c r="A86">
        <v>32</v>
      </c>
      <c r="B86">
        <v>1</v>
      </c>
      <c r="C86" t="str">
        <f t="shared" si="2"/>
        <v>32_1</v>
      </c>
      <c r="D86" t="s">
        <v>172</v>
      </c>
      <c r="E86" s="14" t="s">
        <v>87</v>
      </c>
      <c r="F86" s="15">
        <v>-39.090000000000003</v>
      </c>
      <c r="G86">
        <v>-37</v>
      </c>
    </row>
    <row r="87" spans="1:7" x14ac:dyDescent="0.4">
      <c r="A87">
        <v>32</v>
      </c>
      <c r="B87">
        <v>2</v>
      </c>
      <c r="C87" t="str">
        <f t="shared" si="2"/>
        <v>32_2</v>
      </c>
      <c r="D87" t="s">
        <v>171</v>
      </c>
      <c r="E87" s="14" t="s">
        <v>71</v>
      </c>
      <c r="F87" s="15">
        <v>-59.010101010101003</v>
      </c>
      <c r="G87">
        <v>-59</v>
      </c>
    </row>
    <row r="88" spans="1:7" x14ac:dyDescent="0.4">
      <c r="A88">
        <v>33</v>
      </c>
      <c r="B88">
        <v>1</v>
      </c>
      <c r="C88" t="str">
        <f t="shared" si="2"/>
        <v>33_1</v>
      </c>
      <c r="D88" t="s">
        <v>170</v>
      </c>
      <c r="E88" s="14" t="s">
        <v>87</v>
      </c>
      <c r="F88" s="15">
        <v>-40.14</v>
      </c>
      <c r="G88">
        <v>-38</v>
      </c>
    </row>
    <row r="89" spans="1:7" x14ac:dyDescent="0.4">
      <c r="A89">
        <v>33</v>
      </c>
      <c r="B89">
        <v>2</v>
      </c>
      <c r="C89" t="str">
        <f t="shared" si="2"/>
        <v>33_2</v>
      </c>
      <c r="D89" t="s">
        <v>169</v>
      </c>
      <c r="E89" s="14" t="s">
        <v>71</v>
      </c>
      <c r="F89" s="15">
        <v>-66.16</v>
      </c>
      <c r="G89">
        <v>-65</v>
      </c>
    </row>
    <row r="90" spans="1:7" x14ac:dyDescent="0.4">
      <c r="A90">
        <v>33</v>
      </c>
      <c r="B90">
        <v>3</v>
      </c>
      <c r="C90" t="str">
        <f t="shared" si="2"/>
        <v>33_3</v>
      </c>
      <c r="D90" t="s">
        <v>168</v>
      </c>
      <c r="E90" s="14" t="s">
        <v>89</v>
      </c>
      <c r="F90" s="15">
        <v>-68.4166666666667</v>
      </c>
      <c r="G90">
        <v>-68</v>
      </c>
    </row>
    <row r="91" spans="1:7" x14ac:dyDescent="0.4">
      <c r="A91">
        <v>34</v>
      </c>
      <c r="B91">
        <v>1</v>
      </c>
      <c r="C91" t="str">
        <f t="shared" si="2"/>
        <v>34_1</v>
      </c>
      <c r="D91" t="s">
        <v>167</v>
      </c>
      <c r="E91" s="14" t="s">
        <v>87</v>
      </c>
      <c r="F91" s="15">
        <v>-42.33</v>
      </c>
      <c r="G91">
        <v>-41</v>
      </c>
    </row>
    <row r="92" spans="1:7" x14ac:dyDescent="0.4">
      <c r="A92">
        <v>34</v>
      </c>
      <c r="B92">
        <v>2</v>
      </c>
      <c r="C92" t="str">
        <f t="shared" si="2"/>
        <v>34_2</v>
      </c>
      <c r="D92" t="s">
        <v>166</v>
      </c>
      <c r="E92" s="14" t="s">
        <v>71</v>
      </c>
      <c r="F92" s="15">
        <v>-60.47</v>
      </c>
      <c r="G92">
        <v>-60</v>
      </c>
    </row>
    <row r="93" spans="1:7" x14ac:dyDescent="0.4">
      <c r="A93">
        <v>35</v>
      </c>
      <c r="B93">
        <v>1</v>
      </c>
      <c r="C93" t="str">
        <f t="shared" si="2"/>
        <v>35_1</v>
      </c>
      <c r="D93" t="s">
        <v>165</v>
      </c>
      <c r="E93" s="14" t="s">
        <v>71</v>
      </c>
      <c r="F93" s="15">
        <v>-53.1</v>
      </c>
      <c r="G93">
        <v>-54</v>
      </c>
    </row>
    <row r="94" spans="1:7" x14ac:dyDescent="0.4">
      <c r="A94">
        <v>35</v>
      </c>
      <c r="B94">
        <v>2</v>
      </c>
      <c r="C94" t="str">
        <f t="shared" si="2"/>
        <v>35_2</v>
      </c>
      <c r="D94" t="s">
        <v>164</v>
      </c>
      <c r="E94" s="14" t="s">
        <v>87</v>
      </c>
      <c r="F94" s="15">
        <v>-56.57</v>
      </c>
      <c r="G94">
        <v>-57</v>
      </c>
    </row>
    <row r="95" spans="1:7" x14ac:dyDescent="0.4">
      <c r="A95">
        <v>36</v>
      </c>
      <c r="B95">
        <v>1</v>
      </c>
      <c r="C95" t="str">
        <f t="shared" si="2"/>
        <v>36_1</v>
      </c>
      <c r="D95" t="s">
        <v>163</v>
      </c>
      <c r="E95" s="14" t="s">
        <v>71</v>
      </c>
      <c r="F95" s="15">
        <v>-48.69</v>
      </c>
      <c r="G95">
        <v>-48</v>
      </c>
    </row>
    <row r="96" spans="1:7" x14ac:dyDescent="0.4">
      <c r="A96">
        <v>36</v>
      </c>
      <c r="B96">
        <v>2</v>
      </c>
      <c r="C96" t="str">
        <f t="shared" si="2"/>
        <v>36_2</v>
      </c>
      <c r="D96" t="s">
        <v>162</v>
      </c>
      <c r="E96" s="14" t="s">
        <v>87</v>
      </c>
      <c r="F96" s="15">
        <v>-56.56</v>
      </c>
      <c r="G96">
        <v>-57</v>
      </c>
    </row>
    <row r="97" spans="1:7" x14ac:dyDescent="0.4">
      <c r="A97">
        <v>36</v>
      </c>
      <c r="B97">
        <v>3</v>
      </c>
      <c r="C97" t="str">
        <f t="shared" si="2"/>
        <v>36_3</v>
      </c>
      <c r="D97" t="s">
        <v>161</v>
      </c>
      <c r="E97" s="14" t="s">
        <v>89</v>
      </c>
      <c r="F97" s="15">
        <v>-74.6279069767442</v>
      </c>
      <c r="G97">
        <v>-75</v>
      </c>
    </row>
    <row r="98" spans="1:7" x14ac:dyDescent="0.4">
      <c r="A98">
        <v>37</v>
      </c>
      <c r="B98">
        <v>1</v>
      </c>
      <c r="C98" t="str">
        <f t="shared" ref="C98:C129" si="3">A98&amp;"_"&amp;B98</f>
        <v>37_1</v>
      </c>
      <c r="D98" t="s">
        <v>160</v>
      </c>
      <c r="E98" s="14" t="s">
        <v>71</v>
      </c>
      <c r="F98" s="15">
        <v>-46.25</v>
      </c>
      <c r="G98">
        <v>-46</v>
      </c>
    </row>
    <row r="99" spans="1:7" x14ac:dyDescent="0.4">
      <c r="A99">
        <v>37</v>
      </c>
      <c r="B99">
        <v>2</v>
      </c>
      <c r="C99" t="str">
        <f t="shared" si="3"/>
        <v>37_2</v>
      </c>
      <c r="D99" t="s">
        <v>159</v>
      </c>
      <c r="E99" s="14" t="s">
        <v>87</v>
      </c>
      <c r="F99" s="15">
        <v>-63.87</v>
      </c>
      <c r="G99">
        <v>-64</v>
      </c>
    </row>
    <row r="100" spans="1:7" x14ac:dyDescent="0.4">
      <c r="A100">
        <v>37</v>
      </c>
      <c r="B100">
        <v>3</v>
      </c>
      <c r="C100" t="str">
        <f t="shared" si="3"/>
        <v>37_3</v>
      </c>
      <c r="D100" t="s">
        <v>158</v>
      </c>
      <c r="E100" s="14" t="s">
        <v>89</v>
      </c>
      <c r="F100" s="15">
        <v>-75.365591397849499</v>
      </c>
      <c r="G100">
        <v>-76</v>
      </c>
    </row>
    <row r="101" spans="1:7" x14ac:dyDescent="0.4">
      <c r="A101">
        <v>38</v>
      </c>
      <c r="B101">
        <v>1</v>
      </c>
      <c r="C101" t="str">
        <f t="shared" si="3"/>
        <v>38_1</v>
      </c>
      <c r="D101" t="s">
        <v>157</v>
      </c>
      <c r="E101" s="14" t="s">
        <v>71</v>
      </c>
      <c r="F101" s="15">
        <v>-39.82</v>
      </c>
      <c r="G101">
        <v>-39</v>
      </c>
    </row>
    <row r="102" spans="1:7" x14ac:dyDescent="0.4">
      <c r="A102">
        <v>38</v>
      </c>
      <c r="B102">
        <v>2</v>
      </c>
      <c r="C102" t="str">
        <f t="shared" si="3"/>
        <v>38_2</v>
      </c>
      <c r="D102" t="s">
        <v>156</v>
      </c>
      <c r="E102" s="14" t="s">
        <v>87</v>
      </c>
      <c r="F102" s="15">
        <v>-62.32</v>
      </c>
      <c r="G102">
        <v>-62</v>
      </c>
    </row>
    <row r="103" spans="1:7" x14ac:dyDescent="0.4">
      <c r="A103">
        <v>38</v>
      </c>
      <c r="B103">
        <v>3</v>
      </c>
      <c r="C103" t="str">
        <f t="shared" si="3"/>
        <v>38_3</v>
      </c>
      <c r="D103" t="s">
        <v>155</v>
      </c>
      <c r="E103" s="14" t="s">
        <v>86</v>
      </c>
      <c r="F103" s="15">
        <v>-66.723076923076903</v>
      </c>
      <c r="G103">
        <v>-66</v>
      </c>
    </row>
    <row r="104" spans="1:7" x14ac:dyDescent="0.4">
      <c r="A104">
        <v>39</v>
      </c>
      <c r="B104">
        <v>1</v>
      </c>
      <c r="C104" t="str">
        <f t="shared" si="3"/>
        <v>39_1</v>
      </c>
      <c r="D104" t="s">
        <v>154</v>
      </c>
      <c r="E104" s="14" t="s">
        <v>71</v>
      </c>
      <c r="F104" s="15">
        <v>-41.12</v>
      </c>
      <c r="G104">
        <v>-41</v>
      </c>
    </row>
    <row r="105" spans="1:7" x14ac:dyDescent="0.4">
      <c r="A105">
        <v>39</v>
      </c>
      <c r="B105">
        <v>2</v>
      </c>
      <c r="C105" t="str">
        <f t="shared" si="3"/>
        <v>39_2</v>
      </c>
      <c r="D105" t="s">
        <v>153</v>
      </c>
      <c r="E105" s="14" t="s">
        <v>87</v>
      </c>
      <c r="F105" s="15">
        <v>-64.989247311827995</v>
      </c>
      <c r="G105">
        <v>-64</v>
      </c>
    </row>
    <row r="106" spans="1:7" x14ac:dyDescent="0.4">
      <c r="A106">
        <v>39</v>
      </c>
      <c r="B106">
        <v>3</v>
      </c>
      <c r="C106" t="str">
        <f t="shared" si="3"/>
        <v>39_3</v>
      </c>
      <c r="D106" t="s">
        <v>152</v>
      </c>
      <c r="E106" s="14" t="s">
        <v>89</v>
      </c>
      <c r="F106" s="15">
        <v>-74.215384615384593</v>
      </c>
      <c r="G106">
        <v>-74</v>
      </c>
    </row>
    <row r="107" spans="1:7" x14ac:dyDescent="0.4">
      <c r="A107">
        <v>40</v>
      </c>
      <c r="B107">
        <v>1</v>
      </c>
      <c r="C107" t="str">
        <f t="shared" si="3"/>
        <v>40_1</v>
      </c>
      <c r="D107" t="s">
        <v>151</v>
      </c>
      <c r="E107" s="14" t="s">
        <v>71</v>
      </c>
      <c r="F107" s="15">
        <v>-38.65</v>
      </c>
      <c r="G107">
        <v>-39</v>
      </c>
    </row>
    <row r="108" spans="1:7" x14ac:dyDescent="0.4">
      <c r="A108">
        <v>40</v>
      </c>
      <c r="B108">
        <v>2</v>
      </c>
      <c r="C108" t="str">
        <f t="shared" si="3"/>
        <v>40_2</v>
      </c>
      <c r="D108" t="s">
        <v>150</v>
      </c>
      <c r="E108" s="14" t="s">
        <v>87</v>
      </c>
      <c r="F108" s="15">
        <v>-70.034883720930196</v>
      </c>
      <c r="G108">
        <v>-70</v>
      </c>
    </row>
    <row r="109" spans="1:7" x14ac:dyDescent="0.4">
      <c r="A109">
        <v>40</v>
      </c>
      <c r="B109">
        <v>3</v>
      </c>
      <c r="C109" t="str">
        <f t="shared" si="3"/>
        <v>40_3</v>
      </c>
      <c r="D109" t="s">
        <v>149</v>
      </c>
      <c r="E109" s="14" t="s">
        <v>86</v>
      </c>
      <c r="F109" s="15">
        <v>-71.818181818181799</v>
      </c>
      <c r="G109">
        <v>-72</v>
      </c>
    </row>
    <row r="110" spans="1:7" x14ac:dyDescent="0.4">
      <c r="A110">
        <v>41</v>
      </c>
      <c r="B110">
        <v>1</v>
      </c>
      <c r="C110" t="str">
        <f t="shared" si="3"/>
        <v>41_1</v>
      </c>
      <c r="D110" t="s">
        <v>148</v>
      </c>
      <c r="E110" s="14" t="s">
        <v>71</v>
      </c>
      <c r="F110" s="15">
        <v>-48.1</v>
      </c>
      <c r="G110">
        <v>-48</v>
      </c>
    </row>
    <row r="111" spans="1:7" x14ac:dyDescent="0.4">
      <c r="A111">
        <v>41</v>
      </c>
      <c r="B111">
        <v>2</v>
      </c>
      <c r="C111" t="str">
        <f t="shared" si="3"/>
        <v>41_2</v>
      </c>
      <c r="D111" t="s">
        <v>147</v>
      </c>
      <c r="E111" s="14" t="s">
        <v>86</v>
      </c>
      <c r="F111" s="15">
        <v>-61.461538461538503</v>
      </c>
      <c r="G111">
        <v>-61</v>
      </c>
    </row>
    <row r="112" spans="1:7" x14ac:dyDescent="0.4">
      <c r="A112">
        <v>41</v>
      </c>
      <c r="B112">
        <v>3</v>
      </c>
      <c r="C112" t="str">
        <f t="shared" si="3"/>
        <v>41_3</v>
      </c>
      <c r="D112" t="s">
        <v>146</v>
      </c>
      <c r="E112" s="14" t="s">
        <v>87</v>
      </c>
      <c r="F112" s="15">
        <v>-66.650000000000006</v>
      </c>
      <c r="G112">
        <v>-67</v>
      </c>
    </row>
    <row r="113" spans="1:7" x14ac:dyDescent="0.4">
      <c r="A113">
        <v>42</v>
      </c>
      <c r="B113">
        <v>1</v>
      </c>
      <c r="C113" t="str">
        <f t="shared" si="3"/>
        <v>42_1</v>
      </c>
      <c r="D113" t="s">
        <v>145</v>
      </c>
      <c r="E113" s="14" t="s">
        <v>71</v>
      </c>
      <c r="F113" s="15">
        <v>-60.688172043010802</v>
      </c>
      <c r="G113">
        <v>-60</v>
      </c>
    </row>
    <row r="114" spans="1:7" x14ac:dyDescent="0.4">
      <c r="A114">
        <v>42</v>
      </c>
      <c r="B114">
        <v>2</v>
      </c>
      <c r="C114" t="str">
        <f t="shared" si="3"/>
        <v>42_2</v>
      </c>
      <c r="D114" t="s">
        <v>144</v>
      </c>
      <c r="E114" s="14" t="s">
        <v>86</v>
      </c>
      <c r="F114" s="15">
        <v>-59.19</v>
      </c>
      <c r="G114">
        <v>-60</v>
      </c>
    </row>
    <row r="115" spans="1:7" x14ac:dyDescent="0.4">
      <c r="A115">
        <v>42</v>
      </c>
      <c r="B115">
        <v>3</v>
      </c>
      <c r="C115" t="str">
        <f t="shared" si="3"/>
        <v>42_3</v>
      </c>
      <c r="D115" t="s">
        <v>143</v>
      </c>
      <c r="E115" s="14" t="s">
        <v>87</v>
      </c>
      <c r="F115" s="15">
        <v>-68.6666666666667</v>
      </c>
      <c r="G115">
        <v>-69</v>
      </c>
    </row>
    <row r="116" spans="1:7" x14ac:dyDescent="0.4">
      <c r="A116">
        <v>43</v>
      </c>
      <c r="B116">
        <v>1</v>
      </c>
      <c r="C116" t="str">
        <f t="shared" si="3"/>
        <v>43_1</v>
      </c>
      <c r="D116" t="s">
        <v>142</v>
      </c>
      <c r="E116" s="14" t="s">
        <v>86</v>
      </c>
      <c r="F116" s="15">
        <v>-57.42</v>
      </c>
      <c r="G116">
        <v>-57</v>
      </c>
    </row>
    <row r="117" spans="1:7" x14ac:dyDescent="0.4">
      <c r="A117">
        <v>43</v>
      </c>
      <c r="B117">
        <v>2</v>
      </c>
      <c r="C117" t="str">
        <f t="shared" si="3"/>
        <v>43_2</v>
      </c>
      <c r="D117" t="s">
        <v>141</v>
      </c>
      <c r="E117" s="14" t="s">
        <v>71</v>
      </c>
      <c r="F117" s="15">
        <v>-60.33</v>
      </c>
      <c r="G117">
        <v>-60</v>
      </c>
    </row>
    <row r="118" spans="1:7" x14ac:dyDescent="0.4">
      <c r="A118">
        <v>43</v>
      </c>
      <c r="B118">
        <v>3</v>
      </c>
      <c r="C118" t="str">
        <f t="shared" si="3"/>
        <v>43_3</v>
      </c>
      <c r="D118" t="s">
        <v>140</v>
      </c>
      <c r="E118" s="14" t="s">
        <v>91</v>
      </c>
      <c r="F118" s="15">
        <v>-71.923076923076906</v>
      </c>
      <c r="G118">
        <v>-72</v>
      </c>
    </row>
    <row r="119" spans="1:7" x14ac:dyDescent="0.4">
      <c r="A119">
        <v>44</v>
      </c>
      <c r="B119">
        <v>1</v>
      </c>
      <c r="C119" t="str">
        <f t="shared" si="3"/>
        <v>44_1</v>
      </c>
      <c r="D119" t="s">
        <v>139</v>
      </c>
      <c r="E119" s="14" t="s">
        <v>86</v>
      </c>
      <c r="F119" s="15">
        <v>-47.98</v>
      </c>
      <c r="G119">
        <v>-48</v>
      </c>
    </row>
    <row r="120" spans="1:7" x14ac:dyDescent="0.4">
      <c r="A120">
        <v>44</v>
      </c>
      <c r="B120">
        <v>2</v>
      </c>
      <c r="C120" t="str">
        <f t="shared" si="3"/>
        <v>44_2</v>
      </c>
      <c r="D120" t="s">
        <v>138</v>
      </c>
      <c r="E120" s="14" t="s">
        <v>71</v>
      </c>
      <c r="F120" s="15">
        <v>-63.02</v>
      </c>
      <c r="G120">
        <v>-63</v>
      </c>
    </row>
    <row r="121" spans="1:7" x14ac:dyDescent="0.4">
      <c r="A121">
        <v>44</v>
      </c>
      <c r="B121">
        <v>3</v>
      </c>
      <c r="C121" t="str">
        <f t="shared" si="3"/>
        <v>44_3</v>
      </c>
      <c r="D121" t="s">
        <v>137</v>
      </c>
      <c r="E121" s="14" t="s">
        <v>90</v>
      </c>
      <c r="F121" s="15">
        <v>-70.071428571428598</v>
      </c>
      <c r="G121">
        <v>-71</v>
      </c>
    </row>
    <row r="122" spans="1:7" x14ac:dyDescent="0.4">
      <c r="A122">
        <v>45</v>
      </c>
      <c r="B122">
        <v>1</v>
      </c>
      <c r="C122" t="str">
        <f t="shared" si="3"/>
        <v>45_1</v>
      </c>
      <c r="D122" t="s">
        <v>136</v>
      </c>
      <c r="E122" s="14" t="s">
        <v>86</v>
      </c>
      <c r="F122" s="15">
        <v>-44.23</v>
      </c>
      <c r="G122">
        <v>-45</v>
      </c>
    </row>
    <row r="123" spans="1:7" x14ac:dyDescent="0.4">
      <c r="A123">
        <v>45</v>
      </c>
      <c r="B123">
        <v>2</v>
      </c>
      <c r="C123" t="str">
        <f t="shared" si="3"/>
        <v>45_2</v>
      </c>
      <c r="D123" t="s">
        <v>135</v>
      </c>
      <c r="E123" s="14" t="s">
        <v>90</v>
      </c>
      <c r="F123" s="15">
        <v>-61.47</v>
      </c>
      <c r="G123">
        <v>-61</v>
      </c>
    </row>
    <row r="124" spans="1:7" x14ac:dyDescent="0.4">
      <c r="A124">
        <v>45</v>
      </c>
      <c r="B124">
        <v>3</v>
      </c>
      <c r="C124" t="str">
        <f t="shared" si="3"/>
        <v>45_3</v>
      </c>
      <c r="D124" t="s">
        <v>134</v>
      </c>
      <c r="E124" s="14" t="s">
        <v>71</v>
      </c>
      <c r="F124" s="15">
        <v>-61.580645161290299</v>
      </c>
      <c r="G124">
        <v>-62</v>
      </c>
    </row>
    <row r="125" spans="1:7" x14ac:dyDescent="0.4">
      <c r="A125">
        <v>46</v>
      </c>
      <c r="B125">
        <v>1</v>
      </c>
      <c r="C125" t="str">
        <f t="shared" si="3"/>
        <v>46_1</v>
      </c>
      <c r="D125" t="s">
        <v>133</v>
      </c>
      <c r="E125" s="14" t="s">
        <v>86</v>
      </c>
      <c r="F125" s="15">
        <v>-48.23</v>
      </c>
      <c r="G125">
        <v>-48</v>
      </c>
    </row>
    <row r="126" spans="1:7" x14ac:dyDescent="0.4">
      <c r="A126">
        <v>46</v>
      </c>
      <c r="B126">
        <v>2</v>
      </c>
      <c r="C126" t="str">
        <f t="shared" si="3"/>
        <v>46_2</v>
      </c>
      <c r="D126" t="s">
        <v>132</v>
      </c>
      <c r="E126" s="14" t="s">
        <v>90</v>
      </c>
      <c r="F126" s="15">
        <v>-58.56</v>
      </c>
      <c r="G126">
        <v>-59</v>
      </c>
    </row>
    <row r="127" spans="1:7" x14ac:dyDescent="0.4">
      <c r="A127">
        <v>46</v>
      </c>
      <c r="B127">
        <v>3</v>
      </c>
      <c r="C127" t="str">
        <f t="shared" si="3"/>
        <v>46_3</v>
      </c>
      <c r="D127" t="s">
        <v>131</v>
      </c>
      <c r="E127" s="14" t="s">
        <v>91</v>
      </c>
      <c r="F127" s="15">
        <v>-61.881720430107499</v>
      </c>
      <c r="G127">
        <v>-62</v>
      </c>
    </row>
    <row r="128" spans="1:7" x14ac:dyDescent="0.4">
      <c r="A128">
        <v>47</v>
      </c>
      <c r="B128">
        <v>1</v>
      </c>
      <c r="C128" t="str">
        <f t="shared" si="3"/>
        <v>47_1</v>
      </c>
      <c r="D128" t="s">
        <v>130</v>
      </c>
      <c r="E128" s="14" t="s">
        <v>86</v>
      </c>
      <c r="F128" s="15">
        <v>-40.090000000000003</v>
      </c>
      <c r="G128">
        <v>-39</v>
      </c>
    </row>
    <row r="129" spans="1:7" x14ac:dyDescent="0.4">
      <c r="A129">
        <v>47</v>
      </c>
      <c r="B129">
        <v>2</v>
      </c>
      <c r="C129" t="str">
        <f t="shared" si="3"/>
        <v>47_2</v>
      </c>
      <c r="D129" t="s">
        <v>129</v>
      </c>
      <c r="E129" s="14" t="s">
        <v>90</v>
      </c>
      <c r="F129" s="15">
        <v>-47.43</v>
      </c>
      <c r="G129">
        <v>-47</v>
      </c>
    </row>
    <row r="130" spans="1:7" x14ac:dyDescent="0.4">
      <c r="A130">
        <v>47</v>
      </c>
      <c r="B130">
        <v>3</v>
      </c>
      <c r="C130" t="str">
        <f t="shared" ref="C130:C161" si="4">A130&amp;"_"&amp;B130</f>
        <v>47_3</v>
      </c>
      <c r="D130" t="s">
        <v>128</v>
      </c>
      <c r="E130" s="14" t="s">
        <v>91</v>
      </c>
      <c r="F130" s="15">
        <v>-70.294871794871796</v>
      </c>
      <c r="G130">
        <v>-70</v>
      </c>
    </row>
    <row r="131" spans="1:7" x14ac:dyDescent="0.4">
      <c r="A131">
        <v>48</v>
      </c>
      <c r="B131">
        <v>1</v>
      </c>
      <c r="C131" t="str">
        <f t="shared" si="4"/>
        <v>48_1</v>
      </c>
      <c r="D131" t="s">
        <v>127</v>
      </c>
      <c r="E131" s="14" t="s">
        <v>86</v>
      </c>
      <c r="F131" s="15">
        <v>-46.41</v>
      </c>
      <c r="G131">
        <v>-47</v>
      </c>
    </row>
    <row r="132" spans="1:7" x14ac:dyDescent="0.4">
      <c r="A132">
        <v>48</v>
      </c>
      <c r="B132">
        <v>2</v>
      </c>
      <c r="C132" t="str">
        <f t="shared" si="4"/>
        <v>48_2</v>
      </c>
      <c r="D132" t="s">
        <v>126</v>
      </c>
      <c r="E132" s="14" t="s">
        <v>90</v>
      </c>
      <c r="F132" s="15">
        <v>-54.78</v>
      </c>
      <c r="G132">
        <v>-54</v>
      </c>
    </row>
    <row r="133" spans="1:7" x14ac:dyDescent="0.4">
      <c r="A133">
        <v>48</v>
      </c>
      <c r="B133">
        <v>3</v>
      </c>
      <c r="C133" t="str">
        <f t="shared" si="4"/>
        <v>48_3</v>
      </c>
      <c r="D133" t="s">
        <v>125</v>
      </c>
      <c r="E133" s="14" t="s">
        <v>91</v>
      </c>
      <c r="F133" s="15">
        <v>-62.56</v>
      </c>
      <c r="G133">
        <v>-62</v>
      </c>
    </row>
    <row r="134" spans="1:7" x14ac:dyDescent="0.4">
      <c r="A134">
        <v>49</v>
      </c>
      <c r="B134">
        <v>1</v>
      </c>
      <c r="C134" t="str">
        <f t="shared" si="4"/>
        <v>49_1</v>
      </c>
      <c r="D134" t="s">
        <v>124</v>
      </c>
      <c r="E134" s="14" t="s">
        <v>86</v>
      </c>
      <c r="F134" s="15">
        <v>-41.86</v>
      </c>
      <c r="G134">
        <v>-42</v>
      </c>
    </row>
    <row r="135" spans="1:7" x14ac:dyDescent="0.4">
      <c r="A135">
        <v>49</v>
      </c>
      <c r="B135">
        <v>2</v>
      </c>
      <c r="C135" t="str">
        <f t="shared" si="4"/>
        <v>49_2</v>
      </c>
      <c r="D135" t="s">
        <v>123</v>
      </c>
      <c r="E135" s="14" t="s">
        <v>90</v>
      </c>
      <c r="F135" s="15">
        <v>-48.96</v>
      </c>
      <c r="G135">
        <v>-49</v>
      </c>
    </row>
    <row r="136" spans="1:7" x14ac:dyDescent="0.4">
      <c r="A136">
        <v>49</v>
      </c>
      <c r="B136">
        <v>3</v>
      </c>
      <c r="C136" t="str">
        <f t="shared" si="4"/>
        <v>49_3</v>
      </c>
      <c r="D136" t="s">
        <v>122</v>
      </c>
      <c r="E136" s="14" t="s">
        <v>91</v>
      </c>
      <c r="F136" s="15">
        <v>-60.642857142857103</v>
      </c>
      <c r="G136">
        <v>-60</v>
      </c>
    </row>
    <row r="137" spans="1:7" x14ac:dyDescent="0.4">
      <c r="A137">
        <v>50</v>
      </c>
      <c r="B137">
        <v>1</v>
      </c>
      <c r="C137" t="str">
        <f t="shared" si="4"/>
        <v>50_1</v>
      </c>
      <c r="D137" t="s">
        <v>121</v>
      </c>
      <c r="E137" s="14" t="s">
        <v>90</v>
      </c>
      <c r="F137" s="15">
        <v>-38.79</v>
      </c>
      <c r="G137">
        <v>-38</v>
      </c>
    </row>
    <row r="138" spans="1:7" x14ac:dyDescent="0.4">
      <c r="A138">
        <v>50</v>
      </c>
      <c r="B138">
        <v>2</v>
      </c>
      <c r="C138" t="str">
        <f t="shared" si="4"/>
        <v>50_2</v>
      </c>
      <c r="D138" t="s">
        <v>120</v>
      </c>
      <c r="E138" s="14" t="s">
        <v>86</v>
      </c>
      <c r="F138" s="15">
        <v>-47.51</v>
      </c>
      <c r="G138">
        <v>-47</v>
      </c>
    </row>
    <row r="139" spans="1:7" x14ac:dyDescent="0.4">
      <c r="A139">
        <v>50</v>
      </c>
      <c r="B139">
        <v>3</v>
      </c>
      <c r="C139" t="str">
        <f t="shared" si="4"/>
        <v>50_3</v>
      </c>
      <c r="D139" t="s">
        <v>119</v>
      </c>
      <c r="E139" s="14" t="s">
        <v>91</v>
      </c>
      <c r="F139" s="15">
        <v>-64.88</v>
      </c>
      <c r="G139">
        <v>-65</v>
      </c>
    </row>
    <row r="140" spans="1:7" x14ac:dyDescent="0.4">
      <c r="A140">
        <v>51</v>
      </c>
      <c r="B140">
        <v>1</v>
      </c>
      <c r="C140" t="str">
        <f t="shared" si="4"/>
        <v>51_1</v>
      </c>
      <c r="D140" t="s">
        <v>118</v>
      </c>
      <c r="E140" s="14" t="s">
        <v>90</v>
      </c>
      <c r="F140" s="15">
        <v>-39.8494623655914</v>
      </c>
      <c r="G140">
        <v>-40</v>
      </c>
    </row>
    <row r="141" spans="1:7" x14ac:dyDescent="0.4">
      <c r="A141">
        <v>51</v>
      </c>
      <c r="B141">
        <v>2</v>
      </c>
      <c r="C141" t="str">
        <f t="shared" si="4"/>
        <v>51_2</v>
      </c>
      <c r="D141" t="s">
        <v>117</v>
      </c>
      <c r="E141" s="14" t="s">
        <v>91</v>
      </c>
      <c r="F141" s="15">
        <v>-59.12</v>
      </c>
      <c r="G141">
        <v>-59</v>
      </c>
    </row>
    <row r="142" spans="1:7" x14ac:dyDescent="0.4">
      <c r="A142">
        <v>51</v>
      </c>
      <c r="B142">
        <v>3</v>
      </c>
      <c r="C142" t="str">
        <f t="shared" si="4"/>
        <v>51_3</v>
      </c>
      <c r="D142" t="s">
        <v>116</v>
      </c>
      <c r="E142" s="14" t="s">
        <v>86</v>
      </c>
      <c r="F142" s="15">
        <v>-60.74</v>
      </c>
      <c r="G142">
        <v>-61</v>
      </c>
    </row>
    <row r="143" spans="1:7" x14ac:dyDescent="0.4">
      <c r="A143">
        <v>52</v>
      </c>
      <c r="B143">
        <v>1</v>
      </c>
      <c r="C143" t="str">
        <f t="shared" si="4"/>
        <v>52_1</v>
      </c>
      <c r="D143" t="s">
        <v>115</v>
      </c>
      <c r="E143" s="14" t="s">
        <v>90</v>
      </c>
      <c r="F143" s="15">
        <v>-43.408602150537597</v>
      </c>
      <c r="G143">
        <v>-43</v>
      </c>
    </row>
    <row r="144" spans="1:7" x14ac:dyDescent="0.4">
      <c r="A144">
        <v>52</v>
      </c>
      <c r="B144">
        <v>2</v>
      </c>
      <c r="C144" t="str">
        <f t="shared" si="4"/>
        <v>52_2</v>
      </c>
      <c r="D144" t="s">
        <v>114</v>
      </c>
      <c r="E144" s="14" t="s">
        <v>91</v>
      </c>
      <c r="F144" s="15">
        <v>-54.54</v>
      </c>
      <c r="G144">
        <v>-55</v>
      </c>
    </row>
    <row r="145" spans="1:7" x14ac:dyDescent="0.4">
      <c r="A145">
        <v>52</v>
      </c>
      <c r="B145">
        <v>3</v>
      </c>
      <c r="C145" t="str">
        <f t="shared" si="4"/>
        <v>52_3</v>
      </c>
      <c r="D145" t="s">
        <v>113</v>
      </c>
      <c r="E145" s="14" t="s">
        <v>86</v>
      </c>
      <c r="F145" s="15">
        <v>-58.72</v>
      </c>
      <c r="G145">
        <v>-59</v>
      </c>
    </row>
    <row r="146" spans="1:7" x14ac:dyDescent="0.4">
      <c r="A146">
        <v>53</v>
      </c>
      <c r="B146">
        <v>1</v>
      </c>
      <c r="C146" t="str">
        <f t="shared" si="4"/>
        <v>53_1</v>
      </c>
      <c r="D146" t="s">
        <v>112</v>
      </c>
      <c r="E146" s="14" t="s">
        <v>91</v>
      </c>
      <c r="F146" s="15">
        <v>-50.14</v>
      </c>
      <c r="G146">
        <v>-50</v>
      </c>
    </row>
    <row r="147" spans="1:7" x14ac:dyDescent="0.4">
      <c r="A147">
        <v>53</v>
      </c>
      <c r="B147">
        <v>2</v>
      </c>
      <c r="C147" t="str">
        <f t="shared" si="4"/>
        <v>53_2</v>
      </c>
      <c r="D147" t="s">
        <v>111</v>
      </c>
      <c r="E147" s="14" t="s">
        <v>90</v>
      </c>
      <c r="F147" s="15">
        <v>-53.24</v>
      </c>
      <c r="G147">
        <v>-52</v>
      </c>
    </row>
    <row r="148" spans="1:7" x14ac:dyDescent="0.4">
      <c r="A148">
        <v>53</v>
      </c>
      <c r="B148">
        <v>3</v>
      </c>
      <c r="C148" t="str">
        <f t="shared" si="4"/>
        <v>53_3</v>
      </c>
      <c r="D148" t="s">
        <v>110</v>
      </c>
      <c r="E148" s="14" t="s">
        <v>86</v>
      </c>
      <c r="F148" s="15">
        <v>-63.72</v>
      </c>
      <c r="G148">
        <v>-63</v>
      </c>
    </row>
    <row r="149" spans="1:7" x14ac:dyDescent="0.4">
      <c r="A149">
        <v>54</v>
      </c>
      <c r="B149">
        <v>1</v>
      </c>
      <c r="C149" t="str">
        <f t="shared" si="4"/>
        <v>54_1</v>
      </c>
      <c r="D149" t="s">
        <v>109</v>
      </c>
      <c r="E149" s="14" t="s">
        <v>91</v>
      </c>
      <c r="F149" s="15">
        <v>-46.6</v>
      </c>
      <c r="G149">
        <v>-48</v>
      </c>
    </row>
    <row r="150" spans="1:7" x14ac:dyDescent="0.4">
      <c r="A150">
        <v>54</v>
      </c>
      <c r="B150">
        <v>2</v>
      </c>
      <c r="C150" t="str">
        <f t="shared" si="4"/>
        <v>54_2</v>
      </c>
      <c r="D150" t="s">
        <v>108</v>
      </c>
      <c r="E150" s="14" t="s">
        <v>90</v>
      </c>
      <c r="F150" s="15">
        <v>-55.49</v>
      </c>
      <c r="G150">
        <v>-55</v>
      </c>
    </row>
    <row r="151" spans="1:7" x14ac:dyDescent="0.4">
      <c r="A151">
        <v>54</v>
      </c>
      <c r="B151">
        <v>3</v>
      </c>
      <c r="C151" t="str">
        <f t="shared" si="4"/>
        <v>54_3</v>
      </c>
      <c r="D151" t="s">
        <v>107</v>
      </c>
      <c r="E151" s="14" t="s">
        <v>86</v>
      </c>
      <c r="F151" s="15">
        <v>-67.989999999999995</v>
      </c>
      <c r="G151">
        <v>-67</v>
      </c>
    </row>
    <row r="152" spans="1:7" x14ac:dyDescent="0.4">
      <c r="A152">
        <v>55</v>
      </c>
      <c r="B152">
        <v>1</v>
      </c>
      <c r="C152" t="str">
        <f t="shared" si="4"/>
        <v>55_1</v>
      </c>
      <c r="D152" t="s">
        <v>106</v>
      </c>
      <c r="E152" s="14" t="s">
        <v>91</v>
      </c>
      <c r="F152" s="15">
        <v>-43.35</v>
      </c>
      <c r="G152">
        <v>-43</v>
      </c>
    </row>
    <row r="153" spans="1:7" x14ac:dyDescent="0.4">
      <c r="A153">
        <v>55</v>
      </c>
      <c r="B153">
        <v>2</v>
      </c>
      <c r="C153" t="str">
        <f t="shared" si="4"/>
        <v>55_2</v>
      </c>
      <c r="D153" t="s">
        <v>105</v>
      </c>
      <c r="E153" s="14" t="s">
        <v>90</v>
      </c>
      <c r="F153" s="15">
        <v>-59</v>
      </c>
      <c r="G153">
        <v>-59</v>
      </c>
    </row>
    <row r="154" spans="1:7" x14ac:dyDescent="0.4">
      <c r="A154">
        <v>55</v>
      </c>
      <c r="B154">
        <v>3</v>
      </c>
      <c r="C154" t="str">
        <f t="shared" si="4"/>
        <v>55_3</v>
      </c>
      <c r="D154" t="s">
        <v>104</v>
      </c>
      <c r="E154" s="14" t="s">
        <v>86</v>
      </c>
      <c r="F154" s="15">
        <v>-66.98</v>
      </c>
      <c r="G154">
        <v>-66</v>
      </c>
    </row>
    <row r="155" spans="1:7" x14ac:dyDescent="0.4">
      <c r="A155">
        <v>56</v>
      </c>
      <c r="B155">
        <v>1</v>
      </c>
      <c r="C155" t="str">
        <f t="shared" si="4"/>
        <v>56_1</v>
      </c>
      <c r="D155" t="s">
        <v>103</v>
      </c>
      <c r="E155" s="14" t="s">
        <v>91</v>
      </c>
      <c r="F155" s="15">
        <v>-42.51</v>
      </c>
      <c r="G155">
        <v>-42</v>
      </c>
    </row>
    <row r="156" spans="1:7" x14ac:dyDescent="0.4">
      <c r="A156">
        <v>56</v>
      </c>
      <c r="B156">
        <v>2</v>
      </c>
      <c r="C156" t="str">
        <f t="shared" si="4"/>
        <v>56_2</v>
      </c>
      <c r="D156" t="s">
        <v>102</v>
      </c>
      <c r="E156" s="14" t="s">
        <v>90</v>
      </c>
      <c r="F156" s="15">
        <v>-61.17</v>
      </c>
      <c r="G156">
        <v>-61</v>
      </c>
    </row>
    <row r="157" spans="1:7" x14ac:dyDescent="0.4">
      <c r="A157">
        <v>56</v>
      </c>
      <c r="B157">
        <v>3</v>
      </c>
      <c r="C157" t="str">
        <f t="shared" si="4"/>
        <v>56_3</v>
      </c>
      <c r="D157" t="s">
        <v>101</v>
      </c>
      <c r="E157" s="14" t="s">
        <v>86</v>
      </c>
      <c r="F157" s="15">
        <v>-63.9677419354839</v>
      </c>
      <c r="G157">
        <v>-64</v>
      </c>
    </row>
    <row r="158" spans="1:7" x14ac:dyDescent="0.4">
      <c r="A158">
        <v>57</v>
      </c>
      <c r="B158">
        <v>1</v>
      </c>
      <c r="C158" t="str">
        <f t="shared" si="4"/>
        <v>57_1</v>
      </c>
      <c r="D158" t="s">
        <v>100</v>
      </c>
      <c r="E158" s="14" t="s">
        <v>91</v>
      </c>
      <c r="F158" s="15">
        <v>-40.31</v>
      </c>
      <c r="G158">
        <v>-39</v>
      </c>
    </row>
    <row r="159" spans="1:7" x14ac:dyDescent="0.4">
      <c r="A159">
        <v>57</v>
      </c>
      <c r="B159">
        <v>2</v>
      </c>
      <c r="C159" t="str">
        <f t="shared" si="4"/>
        <v>57_2</v>
      </c>
      <c r="D159" t="s">
        <v>99</v>
      </c>
      <c r="E159" s="14" t="s">
        <v>90</v>
      </c>
      <c r="F159" s="15">
        <v>-62.827956989247298</v>
      </c>
      <c r="G159">
        <v>-63</v>
      </c>
    </row>
    <row r="160" spans="1:7" x14ac:dyDescent="0.4">
      <c r="A160">
        <v>57</v>
      </c>
      <c r="B160">
        <v>3</v>
      </c>
      <c r="C160" t="str">
        <f t="shared" si="4"/>
        <v>57_3</v>
      </c>
      <c r="D160" t="s">
        <v>98</v>
      </c>
      <c r="E160" s="14" t="s">
        <v>86</v>
      </c>
      <c r="F160" s="15">
        <v>-69.086021505376394</v>
      </c>
      <c r="G160">
        <v>-69</v>
      </c>
    </row>
    <row r="161" spans="1:7" x14ac:dyDescent="0.4">
      <c r="A161">
        <v>58</v>
      </c>
      <c r="B161">
        <v>1</v>
      </c>
      <c r="C161" t="str">
        <f t="shared" si="4"/>
        <v>58_1</v>
      </c>
      <c r="D161" t="s">
        <v>97</v>
      </c>
      <c r="E161" s="14" t="s">
        <v>91</v>
      </c>
      <c r="F161" s="15">
        <v>-51.2</v>
      </c>
      <c r="G161">
        <v>-50</v>
      </c>
    </row>
    <row r="162" spans="1:7" x14ac:dyDescent="0.4">
      <c r="A162">
        <v>58</v>
      </c>
      <c r="B162">
        <v>2</v>
      </c>
      <c r="C162" t="str">
        <f t="shared" ref="C162:C193" si="5">A162&amp;"_"&amp;B162</f>
        <v>58_2</v>
      </c>
      <c r="D162" t="s">
        <v>96</v>
      </c>
      <c r="E162" s="14" t="s">
        <v>90</v>
      </c>
      <c r="F162" s="15">
        <v>-64.516129032258107</v>
      </c>
      <c r="G162">
        <v>-65</v>
      </c>
    </row>
    <row r="163" spans="1:7" x14ac:dyDescent="0.4">
      <c r="A163">
        <v>58</v>
      </c>
      <c r="B163">
        <v>3</v>
      </c>
      <c r="C163" t="str">
        <f t="shared" si="5"/>
        <v>58_3</v>
      </c>
      <c r="D163" t="s">
        <v>95</v>
      </c>
      <c r="E163" s="14" t="s">
        <v>86</v>
      </c>
      <c r="F163" s="15">
        <v>-65.325581395348806</v>
      </c>
      <c r="G163">
        <v>-66</v>
      </c>
    </row>
    <row r="164" spans="1:7" x14ac:dyDescent="0.4">
      <c r="A164">
        <v>59</v>
      </c>
      <c r="B164">
        <v>1</v>
      </c>
      <c r="C164" t="str">
        <f t="shared" si="5"/>
        <v>59_1</v>
      </c>
      <c r="D164" t="s">
        <v>94</v>
      </c>
      <c r="E164" s="14" t="s">
        <v>91</v>
      </c>
      <c r="F164" s="15">
        <v>-41.54</v>
      </c>
      <c r="G164">
        <v>-41</v>
      </c>
    </row>
    <row r="165" spans="1:7" x14ac:dyDescent="0.4">
      <c r="A165">
        <v>59</v>
      </c>
      <c r="B165">
        <v>2</v>
      </c>
      <c r="C165" t="str">
        <f t="shared" si="5"/>
        <v>59_2</v>
      </c>
      <c r="D165" t="s">
        <v>93</v>
      </c>
      <c r="E165" s="14" t="s">
        <v>90</v>
      </c>
      <c r="F165" s="15">
        <v>-60.87</v>
      </c>
      <c r="G165">
        <v>-60</v>
      </c>
    </row>
    <row r="166" spans="1:7" x14ac:dyDescent="0.4">
      <c r="A166">
        <v>59</v>
      </c>
      <c r="B166">
        <v>3</v>
      </c>
      <c r="C166" t="str">
        <f t="shared" si="5"/>
        <v>59_3</v>
      </c>
      <c r="D166" t="s">
        <v>92</v>
      </c>
      <c r="E166" s="14" t="s">
        <v>86</v>
      </c>
      <c r="F166" s="15">
        <v>-66.662790697674396</v>
      </c>
      <c r="G166">
        <v>-66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2453-8152-4184-8E8B-B3FD4C2285C4}">
  <dimension ref="A1:S14"/>
  <sheetViews>
    <sheetView tabSelected="1" zoomScale="79" workbookViewId="0">
      <selection activeCell="F2" sqref="F2"/>
    </sheetView>
  </sheetViews>
  <sheetFormatPr defaultRowHeight="18.75" x14ac:dyDescent="0.4"/>
  <cols>
    <col min="2" max="2" width="13.875" bestFit="1" customWidth="1"/>
    <col min="3" max="3" width="12.25" style="16" customWidth="1"/>
    <col min="5" max="6" width="3.375" bestFit="1" customWidth="1"/>
    <col min="7" max="7" width="2.875" bestFit="1" customWidth="1"/>
    <col min="8" max="9" width="7.75" bestFit="1" customWidth="1"/>
    <col min="10" max="10" width="11.625" bestFit="1" customWidth="1"/>
    <col min="11" max="11" width="5.25" bestFit="1" customWidth="1"/>
    <col min="18" max="18" width="9.5" bestFit="1" customWidth="1"/>
    <col min="19" max="19" width="5.625" bestFit="1" customWidth="1"/>
  </cols>
  <sheetData>
    <row r="1" spans="1:19" ht="19.5" thickBot="1" x14ac:dyDescent="0.45">
      <c r="C1" t="s">
        <v>84</v>
      </c>
      <c r="D1" t="s">
        <v>84</v>
      </c>
      <c r="E1" t="s">
        <v>40</v>
      </c>
      <c r="F1" t="s">
        <v>6</v>
      </c>
      <c r="H1" s="23" t="s">
        <v>55</v>
      </c>
      <c r="I1" s="23"/>
      <c r="J1" t="s">
        <v>57</v>
      </c>
      <c r="K1" t="s">
        <v>56</v>
      </c>
      <c r="O1" s="23" t="s">
        <v>55</v>
      </c>
      <c r="P1" s="23"/>
      <c r="Q1" s="13"/>
      <c r="R1" t="s">
        <v>57</v>
      </c>
      <c r="S1" t="s">
        <v>56</v>
      </c>
    </row>
    <row r="2" spans="1:19" x14ac:dyDescent="0.4">
      <c r="A2" t="s">
        <v>4</v>
      </c>
      <c r="B2" s="14" t="str">
        <f>予測結果!$G$1</f>
        <v>AP-C-3F-04</v>
      </c>
      <c r="C2" s="15">
        <f>予測結果!$H$1</f>
        <v>-38.79</v>
      </c>
      <c r="D2" s="15">
        <f>C2</f>
        <v>-38.79</v>
      </c>
      <c r="E2">
        <v>3</v>
      </c>
      <c r="F2" t="str" cm="1">
        <f t="array" ref="F2">_xlfn.IFS(
    AND(
        OR(ISNUMBER(SEARCH("C-",B2)),ISNUMBER(SEARCH("C-",B3))),
        OR(ISNUMBER(SEARCH("C2-",B2)),ISNUMBER(SEARCH("C2-",B3)))
    ), IF(C2&gt;C3, IF(ISNUMBER(SEARCH("C-", B2)), "C",
            IF(ISNUMBER(SEARCH("C2-", B2)), "C2", "不明")
        ), IF(ISNUMBER(SEARCH("C-", B3)), "C",
            IF(ISNUMBER(SEARCH("C2-", B3)), "C2", "不明")
        )),
    OR(ISNUMBER(SEARCH("C2-",B2)), ISNUMBER(SEARCH("C2-",B3))), "C2",
    OR(ISNUMBER(SEARCH("C3-",B2)), ISNUMBER(SEARCH("C3-",B3))), "C3",
    OR(ISNUMBER(SEARCH("C-",B2)), ISNUMBER(SEARCH("C1-",B2)), ISNUMBER(SEARCH("C-",B3)), ISNUMBER(SEARCH("C1-",B3))), "C",
    TRUE, "該当なし"
)</f>
        <v>C</v>
      </c>
      <c r="G2" s="5"/>
      <c r="H2" s="6" t="s">
        <v>4</v>
      </c>
      <c r="I2" s="7" t="s">
        <v>5</v>
      </c>
      <c r="O2" s="5" t="s">
        <v>4</v>
      </c>
      <c r="P2" s="6" t="s">
        <v>5</v>
      </c>
      <c r="Q2" s="7" t="s">
        <v>85</v>
      </c>
      <c r="R2" s="19" t="e">
        <f>MIN(R3:R10)</f>
        <v>#N/A</v>
      </c>
    </row>
    <row r="3" spans="1:19" x14ac:dyDescent="0.4">
      <c r="A3" t="s">
        <v>5</v>
      </c>
      <c r="B3" s="14" t="str">
        <f>予測結果!$G$2</f>
        <v>AP-C-3F-03</v>
      </c>
      <c r="C3" s="15">
        <f>予測結果!$H$2</f>
        <v>-61.268817204301101</v>
      </c>
      <c r="D3" s="15">
        <f t="shared" ref="D3:D4" si="0">C3</f>
        <v>-61.268817204301101</v>
      </c>
      <c r="G3" s="8" t="s">
        <v>49</v>
      </c>
      <c r="H3" s="4">
        <f>VLOOKUP(入力!B2,function!A:E,2,FALSE)</f>
        <v>10.331489108802634</v>
      </c>
      <c r="I3" s="9">
        <f>VLOOKUP(入力!B3,function!A:E,5,FALSE)</f>
        <v>11.774575386152538</v>
      </c>
      <c r="J3">
        <f>MIN(J4:J7)</f>
        <v>1.443086277349904</v>
      </c>
      <c r="K3" cm="1">
        <f t="array" ref="K3">INDEX({3,3,4,4}, MATCH(J3, J4:J7, 0))</f>
        <v>3</v>
      </c>
      <c r="N3" t="s">
        <v>49</v>
      </c>
      <c r="O3" s="17">
        <f>VLOOKUP(入力!B2,functionC2!A:E,2,FALSE)</f>
        <v>1.7685108911973657</v>
      </c>
      <c r="P3" s="4">
        <f>VLOOKUP(入力!B3,functionC2!A:E,5,FALSE)</f>
        <v>11.774575386152538</v>
      </c>
      <c r="Q3" s="9" t="e">
        <f>VLOOKUP(入力!B4,functionC2!A:E,5,FALSE)</f>
        <v>#N/A</v>
      </c>
      <c r="R3" s="19" t="e">
        <f>ABS(O3 - P3)+ABS(O3 - Q3)+ABS(Q3 - P3)</f>
        <v>#N/A</v>
      </c>
      <c r="S3" t="e" cm="1">
        <f t="array" ref="S3">INDEX({3,3,3,3,4,4,4,4}, MATCH(R2, R3:R10, 0))</f>
        <v>#N/A</v>
      </c>
    </row>
    <row r="4" spans="1:19" ht="19.5" thickBot="1" x14ac:dyDescent="0.45">
      <c r="A4" t="s">
        <v>83</v>
      </c>
      <c r="B4" s="14" t="e">
        <f>予測結果!$G$3</f>
        <v>#N/A</v>
      </c>
      <c r="C4" s="15" t="e">
        <f>予測結果!$H$3</f>
        <v>#N/A</v>
      </c>
      <c r="D4" s="15" t="e">
        <f t="shared" si="0"/>
        <v>#N/A</v>
      </c>
      <c r="G4" s="10" t="s">
        <v>50</v>
      </c>
      <c r="H4" s="11">
        <f>VLOOKUP(入力!B2,function!A:E,3,FALSE)</f>
        <v>7.8685108911973654</v>
      </c>
      <c r="I4" s="12">
        <f>VLOOKUP(入力!B3,function!A:E,4,FALSE)</f>
        <v>29.825424613847463</v>
      </c>
      <c r="J4">
        <f>ABS(H3 - I3)</f>
        <v>1.443086277349904</v>
      </c>
      <c r="K4" cm="1">
        <f t="array" ref="K4">INDEX({3,4,3,4}, MATCH(J3, J4:J7, 0))</f>
        <v>3</v>
      </c>
      <c r="N4" t="s">
        <v>50</v>
      </c>
      <c r="O4" s="18">
        <f>VLOOKUP(入力!B2,functionC2!A:E,3,FALSE)</f>
        <v>1.7685108911973657</v>
      </c>
      <c r="P4" s="11">
        <f>VLOOKUP(入力!B3,functionC2!A:E,4,FALSE)</f>
        <v>29.825424613847463</v>
      </c>
      <c r="Q4" s="12" t="e">
        <f>VLOOKUP(入力!B4,functionC2!A:E,4,FALSE)</f>
        <v>#N/A</v>
      </c>
      <c r="R4" s="19" t="e">
        <f>ABS(O3 - P3)+ABS(O3 - Q4)+ABS(Q4 - P3)</f>
        <v>#N/A</v>
      </c>
      <c r="S4" t="e" cm="1">
        <f t="array" ref="S4">INDEX({3,3,4,4,3,3,4,4}, MATCH(R2, R3:R10, 0))</f>
        <v>#N/A</v>
      </c>
    </row>
    <row r="5" spans="1:19" x14ac:dyDescent="0.4">
      <c r="J5">
        <f>ABS(H3 -I4)</f>
        <v>19.493935505044831</v>
      </c>
      <c r="R5" s="19" t="e">
        <f>ABS(O3 - P4)+ABS(O3 - Q3)+ABS(Q3 - P4)</f>
        <v>#N/A</v>
      </c>
      <c r="S5" t="e" cm="1">
        <f t="array" ref="S5">INDEX({3,4,3,4,3,4,3,4}, MATCH(R2, R3:R10, 0))</f>
        <v>#N/A</v>
      </c>
    </row>
    <row r="6" spans="1:19" x14ac:dyDescent="0.4">
      <c r="J6">
        <f>ABS(H4 - I3)</f>
        <v>3.9060644949551726</v>
      </c>
      <c r="L6" s="2" t="s">
        <v>41</v>
      </c>
      <c r="M6" s="3" cm="1">
        <f t="array" ref="M6">_xlfn.SWITCH(F2,"C",(10^(D2/10) * INDEX(H:H, K3) + 10^(D3/10) * INDEX(I:I, K4)) / (10^(D2/10) + 10^(D3/10)),"C2","0",(10^(D2/10) * INDEX(H:H, K3) + 10^(D3/10) * INDEX(I:I, K4)) / (10^(D2/10) + 10^(D3/10)))</f>
        <v>10.339598034597048</v>
      </c>
      <c r="R6" s="19" t="e">
        <f>ABS(O3 - P4)+ABS(O3 - Q4)+ABS(Q4 - P4)</f>
        <v>#N/A</v>
      </c>
    </row>
    <row r="7" spans="1:19" x14ac:dyDescent="0.4">
      <c r="J7">
        <f>ABS(H4 - I4)</f>
        <v>21.9569137226501</v>
      </c>
      <c r="L7" s="2" t="s">
        <v>42</v>
      </c>
      <c r="M7" s="3" t="str" cm="1">
        <f t="array" ref="M7">_xlfn.SWITCH(F2,"C","0","C2",(10^(D2/10) * INDEX(O:O, S3) + 10^(D3/10) * INDEX(P:P, S4)) / (10^(D2/10) + 10^(D3/10)),"C3","56")</f>
        <v>0</v>
      </c>
      <c r="N7" s="20" t="str" cm="1">
        <f t="array" ref="N7">_xlfn.SWITCH(F2,"C","0","C2",( INDEX(O:O, K3) + INDEX(P:P, K4)) / (2),"C3","56")</f>
        <v>0</v>
      </c>
      <c r="R7" s="19" t="e">
        <f>ABS(O4 - P3)+ABS(O4 - Q3)+ABS(Q3 - P3)</f>
        <v>#N/A</v>
      </c>
    </row>
    <row r="8" spans="1:19" x14ac:dyDescent="0.4">
      <c r="L8" s="2" t="s">
        <v>43</v>
      </c>
      <c r="M8" s="2">
        <f>IF(E2=3,8.2,IF(E2=4,7.2,"範囲外"))</f>
        <v>8.1999999999999993</v>
      </c>
      <c r="R8" s="19" t="e">
        <f>ABS(O4 - P3)+ABS(O4 - Q4)+ABS(Q4 - P3)</f>
        <v>#N/A</v>
      </c>
    </row>
    <row r="9" spans="1:19" x14ac:dyDescent="0.4">
      <c r="R9" s="19" t="e">
        <f>ABS(O4 - P4)+ABS(O4 - Q3)+ABS(Q3 - P4)</f>
        <v>#N/A</v>
      </c>
    </row>
    <row r="10" spans="1:19" x14ac:dyDescent="0.4">
      <c r="M10" t="e" cm="1">
        <f t="array" ref="M10">(10^(D2/10) * INDEX(O:O, S3) + 10^(D3/10) * INDEX(P:P, S4)) / (10^(D2/10) + 10^(D3/10))</f>
        <v>#N/A</v>
      </c>
      <c r="R10" s="19" t="e">
        <f>ABS(O4 - P4)+ABS(O4 - Q4)+ABS(Q4 - P4)</f>
        <v>#N/A</v>
      </c>
    </row>
    <row r="14" spans="1:19" x14ac:dyDescent="0.4">
      <c r="I14" t="s">
        <v>82</v>
      </c>
    </row>
  </sheetData>
  <mergeCells count="2">
    <mergeCell ref="H1:I1"/>
    <mergeCell ref="O1:P1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FA68-5281-40FE-AFB1-7FC7C2BB38C7}">
  <dimension ref="A1:J28"/>
  <sheetViews>
    <sheetView topLeftCell="A5" workbookViewId="0">
      <selection activeCell="B11" sqref="B11"/>
    </sheetView>
  </sheetViews>
  <sheetFormatPr defaultRowHeight="18.75" x14ac:dyDescent="0.4"/>
  <cols>
    <col min="1" max="1" width="12.25" bestFit="1" customWidth="1"/>
  </cols>
  <sheetData>
    <row r="1" spans="1:10" x14ac:dyDescent="0.4">
      <c r="A1" t="s">
        <v>44</v>
      </c>
      <c r="B1" s="23">
        <v>1</v>
      </c>
      <c r="C1" s="23"/>
      <c r="D1" s="23">
        <v>2</v>
      </c>
      <c r="E1" s="23"/>
      <c r="F1" s="23">
        <v>3</v>
      </c>
      <c r="G1" s="23"/>
    </row>
    <row r="2" spans="1:10" x14ac:dyDescent="0.4">
      <c r="B2" s="1" t="s">
        <v>45</v>
      </c>
      <c r="C2" s="1" t="s">
        <v>46</v>
      </c>
      <c r="D2" s="1" t="s">
        <v>45</v>
      </c>
      <c r="E2" s="1" t="s">
        <v>46</v>
      </c>
      <c r="G2" s="1"/>
      <c r="H2" s="1"/>
    </row>
    <row r="3" spans="1:10" x14ac:dyDescent="0.4">
      <c r="A3" t="s">
        <v>58</v>
      </c>
      <c r="B3">
        <f>32-(15.8-0.0154*10^(-入力!D2/20))</f>
        <v>17.53974060692051</v>
      </c>
      <c r="C3" s="1"/>
      <c r="D3">
        <f>15.8-0.0154*10^(-入力!D3/20)</f>
        <v>-2.0222110003083777</v>
      </c>
      <c r="E3" s="1"/>
      <c r="G3" s="1"/>
      <c r="H3" s="1"/>
    </row>
    <row r="4" spans="1:10" x14ac:dyDescent="0.4">
      <c r="H4" s="1"/>
      <c r="J4" s="1"/>
    </row>
    <row r="5" spans="1:10" x14ac:dyDescent="0.4">
      <c r="A5" t="s">
        <v>51</v>
      </c>
      <c r="B5" t="e">
        <f>SQRT((-0.1522*入力!D2+3.3935)^2-11.2^2)-1.9</f>
        <v>#NUM!</v>
      </c>
      <c r="C5" t="e">
        <f>SQRT((-0.1522*入力!D2+3.3935)^2-11.2^2)-1.9</f>
        <v>#NUM!</v>
      </c>
      <c r="D5">
        <f>ABS(-11.2+SQRT((-0.1522*入力!D3+3.3935)^2-11.2^2))</f>
        <v>5.1731316976427175</v>
      </c>
      <c r="E5">
        <f>ABS(-11.2+SQRT((-0.1522*入力!D3+3.3935)^2-11.2^2))</f>
        <v>5.1731316976427175</v>
      </c>
    </row>
    <row r="6" spans="1:10" x14ac:dyDescent="0.4">
      <c r="A6" t="s">
        <v>52</v>
      </c>
      <c r="B6">
        <f>30.1+(-0.2478*入力!D2 - 8.527)</f>
        <v>31.185162000000002</v>
      </c>
      <c r="C6">
        <f>30.1-(-0.2478*入力!D2 - 8.527)</f>
        <v>29.014838000000001</v>
      </c>
      <c r="D6">
        <f>30.1+(-0.2478*入力!D3 - 8.527)</f>
        <v>36.755412903225817</v>
      </c>
      <c r="E6">
        <f>30.1-(-0.2478*入力!D3 - 8.527)</f>
        <v>23.444587096774189</v>
      </c>
    </row>
    <row r="7" spans="1:10" x14ac:dyDescent="0.4">
      <c r="A7" t="s">
        <v>53</v>
      </c>
      <c r="B7">
        <f>20.8+(0.00002514*入力!D2^5+0.0064156*入力!D2^4+0.64772057*入力!D2^3+32.32475471*入力!D2^2+796.81838527*入力!D2+7758.3716808)</f>
        <v>20.863194618783201</v>
      </c>
      <c r="C7">
        <f>20.8-(0.00002514*入力!D2^5+0.0064156*入力!D2^4+0.64772057*入力!D2^3+32.32475471*入力!D2^2+796.81838527*入力!D2+7758.3716808)</f>
        <v>20.736805381216801</v>
      </c>
      <c r="D7">
        <f>20.8+(0.00002514*入力!D3^5+0.0064156*入力!D3^4+0.64772057*入力!D3^3+32.32475471*入力!D3^2+796.81838527*入力!D3+7758.3716808)</f>
        <v>29.825424613847463</v>
      </c>
      <c r="E7">
        <f>20.8-(0.00002514*入力!D3^5+0.0064156*入力!D3^4+0.64772057*入力!D3^3+32.32475471*入力!D3^2+796.81838527*入力!D3+7758.3716808)</f>
        <v>11.774575386152538</v>
      </c>
    </row>
    <row r="8" spans="1:10" x14ac:dyDescent="0.4">
      <c r="A8" t="s">
        <v>54</v>
      </c>
      <c r="B8">
        <f>3-(0.00006771*入力!D2^5+0.0169408*入力!D2^4+1.68581189*入力!D2^3+83.40255464*入力!D2^2+2050.66985639*入力!D2+20040.00579671)</f>
        <v>1.7685108911973657</v>
      </c>
      <c r="C8">
        <f>3-(0.00006771*入力!D2^5+0.0169408*入力!D2^4+1.68581189*入力!D2^3+83.40255464*入力!D2^2+2050.66985639*入力!D2+20040.00579671)</f>
        <v>1.7685108911973657</v>
      </c>
      <c r="D8">
        <f>3-(0.00006771*入力!D3^5+0.0169408*入力!D3^4+1.68581189*入力!D3^3+83.40255464*入力!D3^2+2050.66985639*入力!D3+20040.00579671)</f>
        <v>-11.524587393447291</v>
      </c>
      <c r="E8">
        <f>3-(0.00006771*入力!D3^5+0.0169408*入力!D3^4+1.68581189*入力!D3^3+83.40255464*入力!D3^2+2050.66985639*入力!D3+20040.00579671)</f>
        <v>-11.524587393447291</v>
      </c>
    </row>
    <row r="10" spans="1:10" x14ac:dyDescent="0.4">
      <c r="A10" t="s">
        <v>59</v>
      </c>
      <c r="B10">
        <f>IF(入力!B3="AP-C-3F-04",C10,(IF(AND(入力!C2&gt;入力!C3,入力!B3="AP-C2-02"),(15.6-ABS((-0.0000204616*入力!D2^6-0.0060908336*入力!D2^5-0.7508705481*入力!D2^4-49.0687300529*入力!D2^3-1792.7570329909*入力!D2^2-34722.5135370779*入力!D2-278547.229882225))),(15.6+ABS((-0.0000204616*入力!D2^6-0.0060908336*入力!D2^5-0.7508705481*入力!D2^4-49.0687300529*入力!D2^3-1792.7570329909*入力!D2^2-34722.5135370779*入力!D2-278547.229882225))))))</f>
        <v>17.290477080584971</v>
      </c>
      <c r="C10">
        <f>(15.6-ABS((-0.0000204616*入力!D2^6-0.0060908336*入力!D2^5-0.7508705481*入力!D2^4-49.0687300529*入力!D2^3-1792.7570329909*入力!D2^2-34722.5135370779*入力!D2-278547.229882225)))</f>
        <v>13.90952291941503</v>
      </c>
      <c r="D10">
        <f>IF(AND(入力!C2&gt;入力!C3,入力!B3="AP-C2-02"),(15.6-ABS((-0.0000204616*入力!D3^6-0.0060908336*入力!D3^5-0.7508705481*入力!D3^4-49.0687300529*入力!D3^3-1792.7570329909*入力!D3^2-34722.5135370779*入力!D3-278547.229882225))),(15.6+ABS((-0.0000204616*入力!D3^6-0.0060908336*入力!D3^5-0.7508705481*入力!D3^4-49.0687300529*入力!D3^3-1792.7570329909*入力!D3^2-34722.5135370779*入力!D3-278547.229882225))))</f>
        <v>34.027890262042639</v>
      </c>
      <c r="E10">
        <f>(15.6-ABS((-0.0000204616*入力!D3^6-0.0060908336*入力!D3^5-0.7508705481*入力!D3^4-49.0687300529*入力!D3^3-1792.7570329909*入力!D3^2-34722.5135370779*入力!D3-278547.229882225)))</f>
        <v>-2.8278902620426383</v>
      </c>
      <c r="F10" t="e">
        <f>(15.6+ABS((-0.0000204616*入力!D4^6-0.0060908336*入力!D4^5-0.7508705481*入力!D4^4-49.0687300529*入力!D4^3-1792.7570329909*入力!D4^2-34722.5135370779*入力!D4-278547.229882225)))</f>
        <v>#N/A</v>
      </c>
      <c r="G10" t="e">
        <f>(15.6-ABS((-0.0000204616*入力!D4^6-0.0060908336*入力!D4^5-0.7508705481*入力!D4^4-49.0687300529*入力!D4^3-1792.7570329909*入力!D4^2-34722.5135370779*入力!D4-278547.229882225)))</f>
        <v>#N/A</v>
      </c>
    </row>
    <row r="11" spans="1:10" x14ac:dyDescent="0.4">
      <c r="A11" t="s">
        <v>70</v>
      </c>
      <c r="B11">
        <f>30.7+ABS((-0.000000623491329*入力!D2^6-0.000224036655069*入力!D2^5-0.033069011527151*入力!D2^4-2.56584351373535*入力!D2^3-110.360956314535*入力!D2^2-2495.51371550706*入力!D2-23186.0860343553))</f>
        <v>31.693346723778813</v>
      </c>
      <c r="C11">
        <f>30.7-ABS((-0.000000623491329*入力!D2^6-0.000224036655069*入力!D2^5-0.033069011527151*入力!D2^4-2.56584351373535*入力!D2^3-110.360956314535*入力!D2^2-2495.51371550706*入力!D2-23186.0860343553))</f>
        <v>29.706653276221186</v>
      </c>
      <c r="D11">
        <f>30.7+ABS((-0.000000623491329*入力!D3^6-0.000224036655069*入力!D3^5-0.033069011527151*入力!D3^4-2.56584351373535*入力!D3^3-110.360956314535*入力!D3^2-2495.51371550706*入力!D3-23186.0860343553))</f>
        <v>45.33512000867195</v>
      </c>
      <c r="E11">
        <f>30.7-ABS((-0.000000623491329*入力!D3^6-0.000224036655069*入力!D3^5-0.033069011527151*入力!D3^4-2.56584351373535*入力!D3^3-110.360956314535*入力!D3^2-2495.51371550706*入力!D3-23186.0860343553))</f>
        <v>16.064879991328052</v>
      </c>
      <c r="F11" t="e">
        <f>30.7+ABS((-0.000000623491329*入力!D4^6-0.000224036655069*入力!D4^5-0.033069011527151*入力!D4^4-2.56584351373535*入力!D4^3-110.360956314535*入力!D4^2-2495.51371550706*入力!D4-23186.0860343553))</f>
        <v>#N/A</v>
      </c>
      <c r="G11" t="e">
        <f>30.7-ABS((-0.000000623491329*入力!D4^6-0.000224036655069*入力!D4^5-0.033069011527151*入力!D4^4-2.56584351373535*入力!D4^3-110.360956314535*入力!D4^2-2495.51371550706*入力!D4-23186.0860343553))</f>
        <v>#N/A</v>
      </c>
    </row>
    <row r="12" spans="1:10" x14ac:dyDescent="0.4">
      <c r="A12" t="s">
        <v>71</v>
      </c>
      <c r="B12">
        <f>42.2+ABS((0.000021889863144*入力!D2^6+0.006591987693789*入力!D2^5+0.821702593992364*入力!D2^4+54.2707571974688*入力!D2^3+2003.22303769953*入力!D2^2+39185.3934502491*入力!D2+317387.987232011))</f>
        <v>44.028766790393277</v>
      </c>
      <c r="C12">
        <f>42.2-ABS((0.000021889863144*入力!D2^6+0.006591987693789*入力!D2^5+0.821702593992364*入力!D2^4+54.2707571974688*入力!D2^3+2003.22303769953*入力!D2^2+39185.3934502491*入力!D2+317387.987232011))</f>
        <v>40.371233209606729</v>
      </c>
      <c r="D12">
        <f>42.2+ABS((0.000021889863144*入力!D3^6+0.006591987693789*入力!D3^5+0.821702593992364*入力!D3^4+54.2707571974688*入力!D3^3+2003.22303769953*入力!D3^2+39185.3934502491*入力!D3+317387.987232011))</f>
        <v>51.709666172496512</v>
      </c>
      <c r="E12">
        <f>42.2-ABS((0.000021889863144*入力!D3^6+0.006591987693789*入力!D3^5+0.821702593992364*入力!D3^4+54.2707571974688*入力!D3^3+2003.22303769953*入力!D3^2+39185.3934502491*入力!D3+317387.987232011))</f>
        <v>32.690333827503494</v>
      </c>
      <c r="F12" t="e">
        <f>42.2+ABS((0.000021889863144*入力!D4^6+0.006591987693789*入力!D4^5+0.821702593992364*入力!D4^4+54.2707571974688*入力!D4^3+2003.22303769953*入力!D4^2+39185.3934502491*入力!D4+317387.987232011))</f>
        <v>#N/A</v>
      </c>
      <c r="G12" t="e">
        <f>42.2-ABS((0.000021889863144*入力!D4^6+0.006591987693789*入力!D4^5+0.821702593992364*入力!D4^4+54.2707571974688*入力!D4^3+2003.22303769953*入力!D4^2+39185.3934502491*入力!D4+317387.987232011))</f>
        <v>#N/A</v>
      </c>
    </row>
    <row r="14" spans="1:10" x14ac:dyDescent="0.4">
      <c r="A14" t="s">
        <v>60</v>
      </c>
      <c r="B14">
        <f>25.7+(-0.543*入力!D2-19.626)</f>
        <v>27.136969999999998</v>
      </c>
      <c r="C14">
        <f>25.7-(-0.543*入力!D2-19.626)</f>
        <v>24.263030000000001</v>
      </c>
      <c r="D14">
        <f>25.7+(-0.543*入力!D2-19.626)</f>
        <v>27.136969999999998</v>
      </c>
      <c r="E14">
        <f>25.7-(-0.543*入力!D3-19.626)</f>
        <v>12.057032258064503</v>
      </c>
    </row>
    <row r="15" spans="1:10" x14ac:dyDescent="0.4">
      <c r="A15" t="s">
        <v>72</v>
      </c>
      <c r="B15">
        <f>50+ABS((0.000007545601704*入力!D2^6+0.002439503018763*入力!D2^5+0.326250365082653*入力!D2^4+23.096668894556*入力!D2^3+912.706520302518*入力!D2^2+19085.0002362076*入力!D2+164953.126742013))</f>
        <v>54.624801762023708</v>
      </c>
      <c r="C15">
        <f>50+13.6-ABS((0.000007545601704*入力!D2^6+0.002439503018763*入力!D2^5+0.326250365082653*入力!D2^4+23.096668894556*入力!D2^3+912.706520302518*入力!D2^2+19085.0002362076*入力!D2+164953.126742013))</f>
        <v>58.975198237976294</v>
      </c>
      <c r="D15">
        <f>50+13.6+ABS((0.000007545601704*入力!D3^6+0.002439503018763*入力!D3^5+0.326250365082653*入力!D3^4+23.096668894556*入力!D3^3+912.706520302518*入力!D3^2+19085.0002362076*入力!D3+164953.126742013))</f>
        <v>75.52164690929348</v>
      </c>
      <c r="E15">
        <f>50+13.6-ABS((0.000007545601704*入力!D3^6+0.002439503018763*入力!D3^5+0.326250365082653*入力!D3^4+23.096668894556*入力!D3^3+912.706520302518*入力!D3^2+19085.0002362076*入力!D3+164953.126742013))</f>
        <v>51.678353090706516</v>
      </c>
    </row>
    <row r="16" spans="1:10" x14ac:dyDescent="0.4">
      <c r="A16" t="s">
        <v>73</v>
      </c>
      <c r="B16">
        <f>50+ABS(-0.000350955862531*入力!D2^4-0.074596322039989*入力!D2^3-5.87986582134675*入力!D2^2-203.92810108975*入力!D2-2624.39084704116)</f>
        <v>51.928827783002362</v>
      </c>
      <c r="C16">
        <f>50-ABS(-0.000350955862531*入力!D2^4-0.074596322039989*入力!D2^3-5.87986582134675*入力!D2^2-203.92810108975*入力!D2-2624.39084704116)</f>
        <v>48.071172216997638</v>
      </c>
      <c r="D16">
        <f>50+ABS(-0.000350955862531*入力!D3^4-0.074596322039989*入力!D3^3-5.87986582134675*入力!D3^2-203.92810108975*入力!D3-2624.39084704116)</f>
        <v>59.084393647612615</v>
      </c>
      <c r="E16">
        <f>IF((50-ABS(-0.000350955862531*入力!D3^4-0.074596322039989*入力!D3^3-5.87986582134675*入力!D3^2-203.92810108975*入力!D3-2624.39084704116))&lt;48,48,(50-ABS(-0.000350955862531*入力!D3^4-0.074596322039989*入力!D3^3-5.87986582134675*入力!D3^2-203.92810108975*入力!D3-2624.39084704116)))</f>
        <v>48</v>
      </c>
    </row>
    <row r="18" spans="1:5" x14ac:dyDescent="0.4">
      <c r="A18" t="s">
        <v>61</v>
      </c>
      <c r="B18">
        <f>-1.9+(-0.3539*入力!D2+35.386)</f>
        <v>47.213781000000004</v>
      </c>
      <c r="C18">
        <f>-1.9-(-0.3539*入力!D2+35.386)</f>
        <v>-51.013781000000002</v>
      </c>
      <c r="D18">
        <f>-1.9+(-0.3539*入力!D3+35.386)</f>
        <v>55.169034408602165</v>
      </c>
      <c r="E18">
        <f>-1.9-(-0.3539*入力!D3+35.386)</f>
        <v>-58.969034408602163</v>
      </c>
    </row>
    <row r="19" spans="1:5" x14ac:dyDescent="0.4">
      <c r="A19" t="s">
        <v>62</v>
      </c>
      <c r="B19">
        <f>30.1+(-0.2303*入力!D2-7.6605)</f>
        <v>31.372837000000001</v>
      </c>
      <c r="C19">
        <f>30.1-(-0.2303*入力!D2-7.6605)</f>
        <v>28.827163000000002</v>
      </c>
      <c r="D19">
        <f>30.1+(-0.2303*入力!D3-7.6605)</f>
        <v>36.549708602150545</v>
      </c>
      <c r="E19">
        <f>30.1-(-0.2303*入力!D3-7.6605)</f>
        <v>23.650291397849458</v>
      </c>
    </row>
    <row r="20" spans="1:5" x14ac:dyDescent="0.4">
      <c r="A20" t="s">
        <v>63</v>
      </c>
      <c r="B20">
        <f>20.8+(-0.2425*入力!D2-8.0975)</f>
        <v>22.109075000000001</v>
      </c>
      <c r="C20">
        <f>20.8-(-0.2425*入力!D2-8.0975)</f>
        <v>19.490925000000001</v>
      </c>
      <c r="D20">
        <f>20.8+(-0.2425*入力!D3-8.0975)</f>
        <v>27.560188172043016</v>
      </c>
      <c r="E20">
        <f>20.8-(-0.2425*入力!D3-8.0975)</f>
        <v>14.039811827956985</v>
      </c>
    </row>
    <row r="21" spans="1:5" x14ac:dyDescent="0.4">
      <c r="A21" t="s">
        <v>64</v>
      </c>
      <c r="B21">
        <f>9.2+(-0.2094*入力!D2-6.7891)</f>
        <v>10.533525999999998</v>
      </c>
      <c r="C21">
        <f>9.2-(-0.2094*入力!D2-6.7891)</f>
        <v>7.8664739999999993</v>
      </c>
      <c r="D21">
        <f>9.2+(-0.2094*入力!D3-6.7891)</f>
        <v>15.240590322580651</v>
      </c>
      <c r="E21">
        <f>9.2-(-0.2094*入力!D3-6.7891)</f>
        <v>3.1594096774193483</v>
      </c>
    </row>
    <row r="23" spans="1:5" x14ac:dyDescent="0.4">
      <c r="A23" t="s">
        <v>65</v>
      </c>
      <c r="B23">
        <f>23+(-0.00133039*入力!D2^3 - 0.20949746*入力!D2^2 - 11.27882133*入力!D2 - 202.08623992)</f>
        <v>20.845369260355227</v>
      </c>
      <c r="C23">
        <f>23-(-0.00133039*入力!D2^3 - 0.20949746*入力!D2^2 - 11.27882133*入力!D2 - 202.08623992)</f>
        <v>25.154630739644773</v>
      </c>
      <c r="D23">
        <f>23+(-0.00133039*入力!D3^3 - 0.20949746*入力!D3^2 - 11.27882133*入力!D3 - 202.08623992)</f>
        <v>31.511113796153978</v>
      </c>
      <c r="E23">
        <f>23-(-0.00133039*入力!D3^3 - 0.20949746*入力!D3^2 - 11.27882133*入力!D3 - 202.08623992)</f>
        <v>14.488886203846022</v>
      </c>
    </row>
    <row r="24" spans="1:5" x14ac:dyDescent="0.4">
      <c r="A24" t="s">
        <v>66</v>
      </c>
      <c r="B24">
        <f>30+(0.00411961*入力!D2^2 - 0.08868641*入力!D2 - 8.87376569)</f>
        <v>30.765009426900999</v>
      </c>
      <c r="C24">
        <f>30-(0.00411961*入力!D2^2 - 0.08868641*入力!D2 - 8.87376569)</f>
        <v>29.234990573099001</v>
      </c>
      <c r="D24">
        <f>30+(0.00411961*入力!D3^2 - 0.08868641*入力!D3 - 8.87376569)</f>
        <v>42.024417746140607</v>
      </c>
      <c r="E24">
        <f>30-(0.00411961*入力!D3^2 - 0.08868641*入力!D3 - 8.87376569)</f>
        <v>17.975582253859393</v>
      </c>
    </row>
    <row r="25" spans="1:5" x14ac:dyDescent="0.4">
      <c r="A25" t="s">
        <v>67</v>
      </c>
      <c r="B25">
        <f>42+(-0.00000342*入力!D2^5 - 0.00126123*入力!D2^4 - 0.17015383*入力!D2^3 - 10.80390298*入力!D2^2 - 328.01822991*入力!D2 - 3844.95684529)</f>
        <v>40.715977696729624</v>
      </c>
      <c r="C25">
        <f>42-(-0.00000342*入力!D2^5 - 0.00126123*入力!D2^4 - 0.17015383*入力!D2^3 - 10.80390298*入力!D2^2 - 328.01822991*入力!D2 - 3844.95684529)</f>
        <v>43.284022303270376</v>
      </c>
      <c r="D25">
        <f>42+(-0.00000342*入力!D3^5 - 0.00126123*入力!D3^4 - 0.17015383*入力!D3^3 - 10.80390298*入力!D3^2 - 328.01822991*入力!D3 - 3844.95684529)</f>
        <v>52.520820737494887</v>
      </c>
      <c r="E25">
        <f>42-(-0.00000342*入力!D3^5 - 0.00126123*入力!D3^4 - 0.17015383*入力!D3^3 - 10.80390298*入力!D3^2 - 328.01822991*入力!D3 - 3844.95684529)</f>
        <v>31.479179262505113</v>
      </c>
    </row>
    <row r="27" spans="1:5" x14ac:dyDescent="0.4">
      <c r="A27" t="s">
        <v>68</v>
      </c>
      <c r="B27">
        <f>25+(0.00011655*入力!D2^4 + 0.02402005*入力!D2^3 + 1.85616004*入力!D2^2 + 63.10472662*入力!D2 + 795.0739677)</f>
        <v>27.057508885709808</v>
      </c>
      <c r="C27">
        <f>25-(0.00011655*入力!D2^4 + 0.02402005*入力!D2^3 + 1.85616004*入力!D2^2 + 63.10472662*入力!D2 + 795.0739677)</f>
        <v>22.942491114290192</v>
      </c>
      <c r="D27">
        <f>25+(0.00011655*入力!D3^4 + 0.02402005*入力!D3^3 + 1.85616004*入力!D3^2 + 63.10472662*入力!D3 + 795.0739677)</f>
        <v>39.376314608725693</v>
      </c>
      <c r="E27">
        <f>25-(0.00011655*入力!D3^4 + 0.02402005*入力!D3^3 + 1.85616004*入力!D3^2 + 63.10472662*入力!D3 + 795.0739677)</f>
        <v>10.623685391274307</v>
      </c>
    </row>
    <row r="28" spans="1:5" x14ac:dyDescent="0.4">
      <c r="A28" t="s">
        <v>69</v>
      </c>
      <c r="B28">
        <f>10+( -0.0047*入力!D2^2 - 0.829*入力!D2 - 23.861)</f>
        <v>11.223988729999995</v>
      </c>
      <c r="C28">
        <f>10-( -0.0047*入力!D2^2 - 0.829*入力!D2 - 23.861)</f>
        <v>8.776011270000005</v>
      </c>
      <c r="D28">
        <f>10+( -0.0047*入力!D3^2 - 0.829*入力!D3 - 23.861)</f>
        <v>19.287670042779514</v>
      </c>
      <c r="E28">
        <f>10-( -0.0047*入力!D3^2 - 0.829*入力!D3 - 23.861)</f>
        <v>0.71232995722048642</v>
      </c>
    </row>
  </sheetData>
  <mergeCells count="3">
    <mergeCell ref="B1:C1"/>
    <mergeCell ref="D1:E1"/>
    <mergeCell ref="F1:G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5DC7-4664-4323-9F95-4AECA57868D7}">
  <dimension ref="A1:J29"/>
  <sheetViews>
    <sheetView topLeftCell="A9" workbookViewId="0">
      <selection activeCell="B13" sqref="B13"/>
    </sheetView>
  </sheetViews>
  <sheetFormatPr defaultRowHeight="18.75" x14ac:dyDescent="0.4"/>
  <cols>
    <col min="1" max="1" width="12.25" bestFit="1" customWidth="1"/>
  </cols>
  <sheetData>
    <row r="1" spans="1:10" x14ac:dyDescent="0.4">
      <c r="A1" t="s">
        <v>44</v>
      </c>
      <c r="B1" s="23" t="s">
        <v>47</v>
      </c>
      <c r="C1" s="23"/>
      <c r="D1" s="23" t="s">
        <v>48</v>
      </c>
      <c r="E1" s="23"/>
    </row>
    <row r="2" spans="1:10" x14ac:dyDescent="0.4">
      <c r="B2" s="1" t="s">
        <v>45</v>
      </c>
      <c r="C2" s="1" t="s">
        <v>46</v>
      </c>
      <c r="D2" s="1" t="s">
        <v>45</v>
      </c>
      <c r="E2" s="1" t="s">
        <v>46</v>
      </c>
      <c r="G2" s="1"/>
      <c r="H2" s="1"/>
    </row>
    <row r="3" spans="1:10" x14ac:dyDescent="0.4">
      <c r="A3" t="s">
        <v>58</v>
      </c>
      <c r="B3">
        <f>32-(15.8-0.0154*10^(-入力!D2/20))</f>
        <v>17.53974060692051</v>
      </c>
      <c r="C3" s="1"/>
      <c r="D3">
        <f>32-(15.8-0.0154*10^(-入力!D3/20))</f>
        <v>34.022211000308374</v>
      </c>
      <c r="E3" s="1"/>
      <c r="G3" s="1"/>
      <c r="H3" s="1"/>
    </row>
    <row r="4" spans="1:10" x14ac:dyDescent="0.4">
      <c r="F4" t="s">
        <v>59</v>
      </c>
      <c r="G4">
        <f>0.0319*10^(-入力!D2/20)</f>
        <v>2.775176971478206</v>
      </c>
      <c r="H4" s="1" t="s">
        <v>79</v>
      </c>
      <c r="I4">
        <f>0.0319*10^(-入力!D3/20)</f>
        <v>36.917437072067351</v>
      </c>
      <c r="J4" s="1"/>
    </row>
    <row r="5" spans="1:10" x14ac:dyDescent="0.4">
      <c r="A5" t="s">
        <v>51</v>
      </c>
      <c r="B5" t="e">
        <f>SQRT((-0.1522*入力!D2+3.3935)^2-11.2^2)-1.9</f>
        <v>#NUM!</v>
      </c>
      <c r="C5" t="e">
        <f>SQRT((-0.1522*入力!D2+3.3935)^2-11.2^2)-1.9</f>
        <v>#NUM!</v>
      </c>
      <c r="D5">
        <f>-1.9+SQRT((-0.1522*入力!D3+3.3935)^2-11.2^2)</f>
        <v>4.1268683023572823</v>
      </c>
      <c r="E5">
        <f>-1.9+SQRT((-0.1522*入力!D3+3.3935)^2-11.2^2)</f>
        <v>4.1268683023572823</v>
      </c>
    </row>
    <row r="6" spans="1:10" x14ac:dyDescent="0.4">
      <c r="A6" t="s">
        <v>52</v>
      </c>
      <c r="B6">
        <f>30.1+(-0.2478*入力!D2 - 8.527)</f>
        <v>31.185162000000002</v>
      </c>
      <c r="C6">
        <f>30.1-(-0.2478*入力!D2 - 8.527)</f>
        <v>29.014838000000001</v>
      </c>
      <c r="D6">
        <f>30.1+(-0.2478*入力!D3 - 8.527)</f>
        <v>36.755412903225817</v>
      </c>
      <c r="E6">
        <f>30.1-(-0.2478*入力!D3 - 8.527)</f>
        <v>23.444587096774189</v>
      </c>
    </row>
    <row r="7" spans="1:10" x14ac:dyDescent="0.4">
      <c r="A7" t="s">
        <v>53</v>
      </c>
      <c r="B7">
        <f>20.8+(0.00002514*入力!D2^5+0.0064156*入力!D2^4+0.64772057*入力!D2^3+32.32475471*入力!D2^2+796.81838527*入力!D2+7758.3716808)</f>
        <v>20.863194618783201</v>
      </c>
      <c r="C7">
        <f>20.8-(0.00002514*入力!D2^5+0.0064156*入力!D2^4+0.64772057*入力!D2^3+32.32475471*入力!D2^2+796.81838527*入力!D2+7758.3716808)</f>
        <v>20.736805381216801</v>
      </c>
      <c r="D7">
        <f>20.8+(0.00002514*入力!D3^5+0.0064156*入力!D3^4+0.64772057*入力!D3^3+32.32475471*入力!D3^2+796.81838527*入力!D3+7758.3716808)</f>
        <v>29.825424613847463</v>
      </c>
      <c r="E7">
        <f>20.8-(0.00002514*入力!D3^5+0.0064156*入力!D3^4+0.64772057*入力!D3^3+32.32475471*入力!D3^2+796.81838527*入力!D3+7758.3716808)</f>
        <v>11.774575386152538</v>
      </c>
    </row>
    <row r="8" spans="1:10" x14ac:dyDescent="0.4">
      <c r="A8" t="s">
        <v>54</v>
      </c>
      <c r="B8">
        <f>IF((9.1+(0.00006771*入力!D2^5+0.0169408*入力!D2^4+1.68581189*入力!D2^3+83.40255464*入力!D2^2+2050.66985639*入力!D2+20040.00579671))&gt;20,0,9.1+(0.00006771*入力!D2^5+0.0169408*入力!D2^4+1.68581189*入力!D2^3+83.40255464*入力!D2^2+2050.66985639*入力!D2+20040.00579671))</f>
        <v>10.331489108802634</v>
      </c>
      <c r="C8">
        <f>IF((9.1-(0.00006771*入力!D2^5 + 0.0169408*入力!D2^4 + 1.68581189*入力!D2^3 + 83.40255464*入力!D2^2 + 2050.66985639*入力!D2 + 20040.00579671))&lt;-15,0,9.1-(0.00006771*入力!D2^5 + 0.0169408*入力!D2^4 + 1.68581189*入力!D2^3 + 83.40255464*入力!D2^2 + 2050.66985639*入力!D2 + 20040.00579671))</f>
        <v>7.8685108911973654</v>
      </c>
      <c r="D8">
        <f>IF((9.1+(0.00006771*入力!D3^5+0.0169408*入力!D3^4+1.68581189*入力!D3^3+83.40255464*入力!D3^2+2050.66985639*入力!D3+20040.00579671))&gt;20,0,9.1+(0.00006771*入力!D3^5+0.0169408*入力!D3^4+1.68581189*入力!D3^3+83.40255464*入力!D3^2+2050.66985639*入力!D3+20040.00579671))</f>
        <v>0</v>
      </c>
      <c r="E8">
        <f>IF((9.1-( 0.00006771*入力!D3^5 + 0.0169408*入力!D3^4 + 1.68581189*入力!D3^3 + 83.40255464*入力!D3^2 + 2050.66985639*入力!D3 + 20040.00579671))&lt;-15,0,9.1-( 0.00006771*入力!D3^5 + 0.0169408*入力!D3^4 + 1.68581189*入力!D3^3 + 83.40255464*入力!D3^2 + 2050.66985639*入力!D3 + 20040.00579671))</f>
        <v>-5.4245873934472915</v>
      </c>
    </row>
    <row r="11" spans="1:10" x14ac:dyDescent="0.4">
      <c r="A11" t="s">
        <v>59</v>
      </c>
      <c r="B11">
        <f>(15.6+ABS((-0.0000204616*入力!D2^6-0.0060908336*入力!D2^5-0.7508705481*入力!D2^4-49.0687300529*入力!D2^3-1792.7570329909*入力!D2^2-34722.5135370779*入力!D2-278547.229882225)))</f>
        <v>17.290477080584971</v>
      </c>
      <c r="C11">
        <f>(15.6-ABS((-0.0000204616*入力!D2^6-0.0060908336*入力!D2^5-0.7508705481*入力!D2^4-49.0687300529*入力!D2^3-1792.7570329909*入力!D2^2-34722.5135370779*入力!D2-278547.229882225)))</f>
        <v>13.90952291941503</v>
      </c>
      <c r="D11">
        <f>(15.6+ABS((-0.0000204616*入力!D3^6-0.0060908336*入力!D3^5-0.7508705481*入力!D3^4-49.0687300529*入力!D3^3-1792.7570329909*入力!D3^2-34722.5135370779*入力!D3-278547.229882225)))</f>
        <v>34.027890262042639</v>
      </c>
      <c r="E11">
        <f>(15.6-ABS((-0.0000204616*入力!D3^6-0.0060908336*入力!D3^5-0.7508705481*入力!D3^4-49.0687300529*入力!D3^3-1792.7570329909*入力!D3^2-34722.5135370779*入力!D3-278547.229882225)))</f>
        <v>-2.8278902620426383</v>
      </c>
    </row>
    <row r="12" spans="1:10" x14ac:dyDescent="0.4">
      <c r="A12" t="s">
        <v>70</v>
      </c>
      <c r="B12">
        <f>30.7+ABS((-0.000000623491329*入力!D2^6-0.000224036655069*入力!D2^5-0.033069011527151*入力!D2^4-2.56584351373535*入力!D2^3-110.360956314535*入力!D2^2-2495.51371550706*入力!D2-23186.0860343553))</f>
        <v>31.693346723778813</v>
      </c>
      <c r="C12">
        <f>30.7-ABS((-0.000000623491329*入力!D2^6-0.000224036655069*入力!D2^5-0.033069011527151*入力!D2^4-2.56584351373535*入力!D2^3-110.360956314535*入力!D2^2-2495.51371550706*入力!D2-23186.0860343553))</f>
        <v>29.706653276221186</v>
      </c>
      <c r="D12">
        <f>30.7+ABS((-0.000000623491329*入力!D3^6-0.000224036655069*入力!D3^5-0.033069011527151*入力!D3^4-2.56584351373535*入力!D3^3-110.360956314535*入力!D3^2-2495.51371550706*入力!D3-23186.0860343553))</f>
        <v>45.33512000867195</v>
      </c>
      <c r="E12">
        <f>30.7-ABS((-0.000000623491329*入力!D3^6-0.000224036655069*入力!D3^5-0.033069011527151*入力!D3^4-2.56584351373535*入力!D3^3-110.360956314535*入力!D3^2-2495.51371550706*入力!D3-23186.0860343553))</f>
        <v>16.064879991328052</v>
      </c>
    </row>
    <row r="13" spans="1:10" x14ac:dyDescent="0.4">
      <c r="A13" t="s">
        <v>71</v>
      </c>
      <c r="B13">
        <f>44.2+ABS((0.000021889863144*入力!D2^6+0.006591987693789*入力!D2^5+0.821702593992364*入力!D2^4+54.2707571974688*入力!D2^3+2003.22303769953*入力!D2^2+39185.3934502491*入力!D2+317387.987232011))</f>
        <v>46.028766790393277</v>
      </c>
      <c r="C13">
        <f>44.2-ABS((0.000021889863144*入力!D2^6+0.006591987693789*入力!D2^5+0.821702593992364*入力!D2^4+54.2707571974688*入力!D2^3+2003.22303769953*入力!D2^2+39185.3934502491*入力!D2+317387.987232011))</f>
        <v>42.371233209606729</v>
      </c>
      <c r="D13">
        <f>44.2+ABS((0.000021889863144*入力!D3^6+0.006591987693789*入力!D3^5+0.821702593992364*入力!D3^4+54.2707571974688*入力!D3^3+2003.22303769953*入力!D3^2+39185.3934502491*入力!D3+317387.987232011))</f>
        <v>53.709666172496512</v>
      </c>
      <c r="E13">
        <f>44.2-ABS((0.000021889863144*入力!D3^6+0.006591987693789*入力!D3^5+0.821702593992364*入力!D3^4+54.2707571974688*入力!D3^3+2003.22303769953*入力!D3^2+39185.3934502491*入力!D3+317387.987232011))</f>
        <v>34.690333827503494</v>
      </c>
    </row>
    <row r="15" spans="1:10" x14ac:dyDescent="0.4">
      <c r="A15" t="s">
        <v>60</v>
      </c>
      <c r="B15">
        <f>25.7+(-0.543*入力!D2-19.626)</f>
        <v>27.136969999999998</v>
      </c>
      <c r="C15">
        <f>25.7-(-0.543*入力!D2-19.626)</f>
        <v>24.263030000000001</v>
      </c>
      <c r="D15">
        <f>25.7+(-0.543*入力!D2-19.626)</f>
        <v>27.136969999999998</v>
      </c>
      <c r="E15">
        <f>25.7-(-0.543*入力!D3-19.626)</f>
        <v>12.057032258064503</v>
      </c>
    </row>
    <row r="16" spans="1:10" x14ac:dyDescent="0.4">
      <c r="A16" t="s">
        <v>72</v>
      </c>
      <c r="B16">
        <f>13.6+(0.000008236196315*入力!D2^6+0.002648962424126*入力!D2^5+0.352559307774952*入力!D2^4+24.8482953597086*入力!D2^3+977.905478012547*入力!D2^2+20371.4298920102*入力!D2+175465.0951263)</f>
        <v>18.252743072365412</v>
      </c>
      <c r="C16">
        <f>13.6-(0.000008236196315*入力!D2^6+0.002648962424126*入力!D2^5+0.352559307774952*入力!D2^4+24.8482953597086*入力!D2^3+977.905478012547*入力!D2^2+20371.4298920102*入力!D2+175465.0951263)</f>
        <v>8.947256927634589</v>
      </c>
      <c r="D16">
        <f>13.6+(0.000008236196315*入力!D3^6+0.002648962424126*入力!D3^5+0.352559307774952*入力!D3^4+24.8482953597086*入力!D3^3+977.905478012547*入力!D3^2+20371.4298920102*入力!D3+175465.0951263)</f>
        <v>25.139649588172325</v>
      </c>
      <c r="E16">
        <f>13.6-(0.000008236196315*入力!D3^6+0.002648962424126*入力!D3^5+0.352559307774952*入力!D3^4+24.8482953597086*入力!D3^3+977.905478012547*入力!D3^2+20371.4298920102*入力!D3+175465.0951263)</f>
        <v>2.0603504118276756</v>
      </c>
    </row>
    <row r="17" spans="1:5" x14ac:dyDescent="0.4">
      <c r="A17" t="s">
        <v>73</v>
      </c>
      <c r="B17">
        <f>4.6+(-0.000350955862531*入力!D2^4-0.074596322039989*入力!D2^3-5.87986582134675*入力!D2^2-203.92810108975*入力!D2-2624.39084704116)</f>
        <v>2.671172216997638</v>
      </c>
      <c r="C17">
        <f>4.6-(-0.000350955862531*入力!D2^4-0.074596322039989*入力!D2^3-5.87986582134675*入力!D2^2-203.92810108975*入力!D2-2624.39084704116)</f>
        <v>6.5288277830023613</v>
      </c>
      <c r="D17">
        <f>4.6+(-0.000350955862531*入力!D3^4-0.074596322039989*入力!D3^3-5.87986582134675*入力!D3^2-203.92810108975*入力!D3-2624.39084704116)</f>
        <v>13.684393647612614</v>
      </c>
      <c r="E17">
        <f>4.6-(-0.000350955862531*入力!D3^4-0.074596322039989*入力!D3^3-5.87986582134675*入力!D3^2-203.92810108975*入力!D3-2624.39084704116)</f>
        <v>-4.4843936476126149</v>
      </c>
    </row>
    <row r="19" spans="1:5" x14ac:dyDescent="0.4">
      <c r="A19" t="s">
        <v>61</v>
      </c>
      <c r="B19">
        <f>-1.9+(-0.3539*入力!D2+35.386)</f>
        <v>47.213781000000004</v>
      </c>
      <c r="C19">
        <f>-1.9-(-0.3539*入力!D2+35.386)</f>
        <v>-51.013781000000002</v>
      </c>
      <c r="D19">
        <f>-1.9+(-0.3539*入力!D3+35.386)</f>
        <v>55.169034408602165</v>
      </c>
      <c r="E19">
        <f>-1.9-(-0.3539*入力!D3+35.386)</f>
        <v>-58.969034408602163</v>
      </c>
    </row>
    <row r="20" spans="1:5" x14ac:dyDescent="0.4">
      <c r="A20" t="s">
        <v>62</v>
      </c>
      <c r="B20">
        <f>30.1+(-0.2303*入力!D2-7.6605)</f>
        <v>31.372837000000001</v>
      </c>
      <c r="C20">
        <f>30.1-(-0.2303*入力!D2-7.6605)</f>
        <v>28.827163000000002</v>
      </c>
      <c r="D20">
        <f>30.1+(-0.2303*入力!D3-7.6605)</f>
        <v>36.549708602150545</v>
      </c>
      <c r="E20">
        <f>30.1-(-0.2303*入力!D3-7.6605)</f>
        <v>23.650291397849458</v>
      </c>
    </row>
    <row r="21" spans="1:5" x14ac:dyDescent="0.4">
      <c r="A21" t="s">
        <v>63</v>
      </c>
      <c r="B21">
        <f>20.8+(-0.2425*入力!D2-8.0975)</f>
        <v>22.109075000000001</v>
      </c>
      <c r="C21">
        <f>20.8-(-0.2425*入力!D2-8.0975)</f>
        <v>19.490925000000001</v>
      </c>
      <c r="D21">
        <f>20.8+(-0.2425*入力!D3-8.0975)</f>
        <v>27.560188172043016</v>
      </c>
      <c r="E21">
        <f>20.8-(-0.2425*入力!D3-8.0975)</f>
        <v>14.039811827956985</v>
      </c>
    </row>
    <row r="22" spans="1:5" x14ac:dyDescent="0.4">
      <c r="A22" t="s">
        <v>64</v>
      </c>
      <c r="B22">
        <f>9.2+(-0.2094*入力!D2-6.7891)</f>
        <v>10.533525999999998</v>
      </c>
      <c r="C22">
        <f>9.2-(-0.2094*入力!D2-6.7891)</f>
        <v>7.8664739999999993</v>
      </c>
      <c r="D22">
        <f>9.2+(-0.2094*入力!D3-6.7891)</f>
        <v>15.240590322580651</v>
      </c>
      <c r="E22">
        <f>9.2-(-0.2094*入力!D3-6.7891)</f>
        <v>3.1594096774193483</v>
      </c>
    </row>
    <row r="24" spans="1:5" x14ac:dyDescent="0.4">
      <c r="A24" t="s">
        <v>65</v>
      </c>
      <c r="B24">
        <f>23+(-0.00133039*入力!D2^3 - 0.20949746*入力!D2^2 - 11.27882133*入力!D2 - 202.08623992)</f>
        <v>20.845369260355227</v>
      </c>
      <c r="C24">
        <f>23-(-0.00133039*入力!D2^3 - 0.20949746*入力!D2^2 - 11.27882133*入力!D2 - 202.08623992)</f>
        <v>25.154630739644773</v>
      </c>
      <c r="D24">
        <f>23+(-0.00133039*入力!D3^3 - 0.20949746*入力!D3^2 - 11.27882133*入力!D3 - 202.08623992)</f>
        <v>31.511113796153978</v>
      </c>
      <c r="E24">
        <f>23-(-0.00133039*入力!D3^3 - 0.20949746*入力!D3^2 - 11.27882133*入力!D3 - 202.08623992)</f>
        <v>14.488886203846022</v>
      </c>
    </row>
    <row r="25" spans="1:5" x14ac:dyDescent="0.4">
      <c r="A25" t="s">
        <v>66</v>
      </c>
      <c r="B25">
        <f>30+(0.00411961*入力!D2^2 - 0.08868641*入力!D2 - 8.87376569)</f>
        <v>30.765009426900999</v>
      </c>
      <c r="C25">
        <f>30-(0.00411961*入力!D2^2 - 0.08868641*入力!D2 - 8.87376569)</f>
        <v>29.234990573099001</v>
      </c>
      <c r="D25">
        <f>30+(0.00411961*入力!D3^2 - 0.08868641*入力!D3 - 8.87376569)</f>
        <v>42.024417746140607</v>
      </c>
      <c r="E25">
        <f>30-(0.00411961*入力!D3^2 - 0.08868641*入力!D3 - 8.87376569)</f>
        <v>17.975582253859393</v>
      </c>
    </row>
    <row r="26" spans="1:5" x14ac:dyDescent="0.4">
      <c r="A26" t="s">
        <v>67</v>
      </c>
      <c r="B26">
        <f>42+(-0.00000342*入力!D2^5 - 0.00126123*入力!D2^4 - 0.17015383*入力!D2^3 - 10.80390298*入力!D2^2 - 328.01822991*入力!D2 - 3844.95684529)</f>
        <v>40.715977696729624</v>
      </c>
      <c r="C26">
        <f>42-(-0.00000342*入力!D2^5 - 0.00126123*入力!D2^4 - 0.17015383*入力!D2^3 - 10.80390298*入力!D2^2 - 328.01822991*入力!D2 - 3844.95684529)</f>
        <v>43.284022303270376</v>
      </c>
      <c r="D26">
        <f>42+(-0.00000342*入力!D3^5 - 0.00126123*入力!D3^4 - 0.17015383*入力!D3^3 - 10.80390298*入力!D3^2 - 328.01822991*入力!D3 - 3844.95684529)</f>
        <v>52.520820737494887</v>
      </c>
      <c r="E26">
        <f>42-(-0.00000342*入力!D3^5 - 0.00126123*入力!D3^4 - 0.17015383*入力!D3^3 - 10.80390298*入力!D3^2 - 328.01822991*入力!D3 - 3844.95684529)</f>
        <v>31.479179262505113</v>
      </c>
    </row>
    <row r="28" spans="1:5" x14ac:dyDescent="0.4">
      <c r="A28" t="s">
        <v>68</v>
      </c>
      <c r="B28">
        <f>25+(0.00011655*入力!D2^4 + 0.02402005*入力!D2^3 + 1.85616004*入力!D2^2 + 63.10472662*入力!D2 + 795.0739677)</f>
        <v>27.057508885709808</v>
      </c>
      <c r="C28">
        <f>25-(0.00011655*入力!D2^4 + 0.02402005*入力!D2^3 + 1.85616004*入力!D2^2 + 63.10472662*入力!D2 + 795.0739677)</f>
        <v>22.942491114290192</v>
      </c>
      <c r="D28">
        <f>25+(0.00011655*入力!D3^4 + 0.02402005*入力!D3^3 + 1.85616004*入力!D3^2 + 63.10472662*入力!D3 + 795.0739677)</f>
        <v>39.376314608725693</v>
      </c>
      <c r="E28">
        <f>25-(0.00011655*入力!D3^4 + 0.02402005*入力!D3^3 + 1.85616004*入力!D3^2 + 63.10472662*入力!D3 + 795.0739677)</f>
        <v>10.623685391274307</v>
      </c>
    </row>
    <row r="29" spans="1:5" x14ac:dyDescent="0.4">
      <c r="A29" t="s">
        <v>69</v>
      </c>
      <c r="B29">
        <f>10+( -0.0047*入力!D2^2 - 0.829*入力!D2 - 23.861)</f>
        <v>11.223988729999995</v>
      </c>
      <c r="C29">
        <f>10-( -0.0047*入力!D2^2 - 0.829*入力!D2 - 23.861)</f>
        <v>8.776011270000005</v>
      </c>
      <c r="D29">
        <f>10+( -0.0047*入力!D3^2 - 0.829*入力!D3 - 23.861)</f>
        <v>19.287670042779514</v>
      </c>
      <c r="E29">
        <f>10-( -0.0047*入力!D3^2 - 0.829*入力!D3 - 23.861)</f>
        <v>0.71232995722048642</v>
      </c>
    </row>
  </sheetData>
  <mergeCells count="2">
    <mergeCell ref="B1:C1"/>
    <mergeCell ref="D1:E1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6733-2941-474A-B161-0CA9FB269DCD}">
  <dimension ref="A1:H27"/>
  <sheetViews>
    <sheetView workbookViewId="0">
      <selection activeCell="A5" sqref="A5"/>
    </sheetView>
  </sheetViews>
  <sheetFormatPr defaultRowHeight="18.75" x14ac:dyDescent="0.4"/>
  <cols>
    <col min="1" max="1" width="54.75" bestFit="1" customWidth="1"/>
    <col min="2" max="3" width="12.125" bestFit="1" customWidth="1"/>
    <col min="4" max="4" width="10.875" bestFit="1" customWidth="1"/>
  </cols>
  <sheetData>
    <row r="1" spans="1:8" x14ac:dyDescent="0.4">
      <c r="B1" s="23" t="s">
        <v>27</v>
      </c>
      <c r="C1" s="23"/>
      <c r="D1" s="23"/>
      <c r="F1" s="23" t="s">
        <v>28</v>
      </c>
      <c r="G1" s="23"/>
      <c r="H1" s="23"/>
    </row>
    <row r="2" spans="1:8" x14ac:dyDescent="0.4">
      <c r="A2" t="s">
        <v>26</v>
      </c>
      <c r="B2" t="s">
        <v>0</v>
      </c>
      <c r="C2" t="s">
        <v>1</v>
      </c>
      <c r="D2" t="s">
        <v>2</v>
      </c>
      <c r="F2" t="s">
        <v>0</v>
      </c>
      <c r="G2" t="s">
        <v>1</v>
      </c>
      <c r="H2" t="s">
        <v>2</v>
      </c>
    </row>
    <row r="3" spans="1:8" x14ac:dyDescent="0.4">
      <c r="A3" t="s">
        <v>25</v>
      </c>
      <c r="B3" t="s">
        <v>7</v>
      </c>
      <c r="C3" t="s">
        <v>9</v>
      </c>
      <c r="D3" t="s">
        <v>3</v>
      </c>
      <c r="F3" t="s">
        <v>29</v>
      </c>
      <c r="H3" t="s">
        <v>3</v>
      </c>
    </row>
    <row r="4" spans="1:8" x14ac:dyDescent="0.4">
      <c r="A4" t="s">
        <v>24</v>
      </c>
      <c r="B4" t="s">
        <v>8</v>
      </c>
      <c r="C4" t="s">
        <v>10</v>
      </c>
      <c r="D4" t="s">
        <v>3</v>
      </c>
      <c r="F4" t="s">
        <v>29</v>
      </c>
      <c r="G4" t="s">
        <v>30</v>
      </c>
      <c r="H4" t="s">
        <v>3</v>
      </c>
    </row>
    <row r="5" spans="1:8" x14ac:dyDescent="0.4">
      <c r="A5" t="s">
        <v>16</v>
      </c>
      <c r="B5" t="s">
        <v>10</v>
      </c>
      <c r="C5" t="s">
        <v>8</v>
      </c>
      <c r="D5" t="s">
        <v>12</v>
      </c>
      <c r="F5" t="s">
        <v>30</v>
      </c>
      <c r="G5" t="s">
        <v>29</v>
      </c>
      <c r="H5" t="s">
        <v>12</v>
      </c>
    </row>
    <row r="6" spans="1:8" x14ac:dyDescent="0.4">
      <c r="A6" t="s">
        <v>22</v>
      </c>
      <c r="B6" t="s">
        <v>10</v>
      </c>
      <c r="C6" t="s">
        <v>11</v>
      </c>
      <c r="D6" t="s">
        <v>12</v>
      </c>
      <c r="F6" t="s">
        <v>31</v>
      </c>
      <c r="G6" t="s">
        <v>32</v>
      </c>
      <c r="H6" t="s">
        <v>12</v>
      </c>
    </row>
    <row r="7" spans="1:8" x14ac:dyDescent="0.4">
      <c r="A7" t="s">
        <v>12</v>
      </c>
      <c r="B7" t="s">
        <v>11</v>
      </c>
      <c r="C7" t="s">
        <v>10</v>
      </c>
      <c r="D7" t="s">
        <v>12</v>
      </c>
      <c r="F7" t="s">
        <v>32</v>
      </c>
      <c r="G7" t="s">
        <v>31</v>
      </c>
      <c r="H7" t="s">
        <v>12</v>
      </c>
    </row>
    <row r="8" spans="1:8" x14ac:dyDescent="0.4">
      <c r="A8" t="s">
        <v>16</v>
      </c>
      <c r="B8" t="s">
        <v>11</v>
      </c>
      <c r="C8" t="s">
        <v>13</v>
      </c>
      <c r="D8" t="s">
        <v>12</v>
      </c>
      <c r="F8" t="s">
        <v>32</v>
      </c>
      <c r="G8" t="s">
        <v>33</v>
      </c>
      <c r="H8" t="s">
        <v>12</v>
      </c>
    </row>
    <row r="9" spans="1:8" x14ac:dyDescent="0.4">
      <c r="B9" t="s">
        <v>13</v>
      </c>
      <c r="C9" t="s">
        <v>11</v>
      </c>
      <c r="D9" t="s">
        <v>12</v>
      </c>
      <c r="F9" t="s">
        <v>33</v>
      </c>
      <c r="G9" t="s">
        <v>32</v>
      </c>
      <c r="H9" t="s">
        <v>12</v>
      </c>
    </row>
    <row r="10" spans="1:8" x14ac:dyDescent="0.4">
      <c r="A10" s="13" t="s">
        <v>74</v>
      </c>
    </row>
    <row r="11" spans="1:8" x14ac:dyDescent="0.4">
      <c r="A11" s="14" t="s">
        <v>75</v>
      </c>
    </row>
    <row r="12" spans="1:8" x14ac:dyDescent="0.4">
      <c r="A12" s="24" t="s">
        <v>76</v>
      </c>
    </row>
    <row r="13" spans="1:8" x14ac:dyDescent="0.4">
      <c r="A13" s="24" t="s">
        <v>77</v>
      </c>
      <c r="B13" t="s">
        <v>14</v>
      </c>
      <c r="C13" t="s">
        <v>11</v>
      </c>
      <c r="D13" t="s">
        <v>16</v>
      </c>
      <c r="F13" t="s">
        <v>35</v>
      </c>
      <c r="G13" t="s">
        <v>33</v>
      </c>
      <c r="H13" t="s">
        <v>16</v>
      </c>
    </row>
    <row r="14" spans="1:8" x14ac:dyDescent="0.4">
      <c r="A14" s="24" t="s">
        <v>78</v>
      </c>
      <c r="B14" t="s">
        <v>14</v>
      </c>
      <c r="C14" t="s">
        <v>13</v>
      </c>
      <c r="D14" t="s">
        <v>16</v>
      </c>
    </row>
    <row r="15" spans="1:8" x14ac:dyDescent="0.4">
      <c r="A15" s="24" t="s">
        <v>80</v>
      </c>
      <c r="B15" t="s">
        <v>14</v>
      </c>
      <c r="C15" t="s">
        <v>17</v>
      </c>
      <c r="D15" t="s">
        <v>15</v>
      </c>
      <c r="F15" t="s">
        <v>36</v>
      </c>
      <c r="G15" t="s">
        <v>37</v>
      </c>
      <c r="H15" t="s">
        <v>16</v>
      </c>
    </row>
    <row r="16" spans="1:8" x14ac:dyDescent="0.4">
      <c r="A16" s="24" t="s">
        <v>81</v>
      </c>
      <c r="B16" t="s">
        <v>17</v>
      </c>
      <c r="C16" t="s">
        <v>14</v>
      </c>
      <c r="D16" t="s">
        <v>15</v>
      </c>
      <c r="F16" t="s">
        <v>37</v>
      </c>
      <c r="G16" t="s">
        <v>36</v>
      </c>
      <c r="H16" t="s">
        <v>15</v>
      </c>
    </row>
    <row r="17" spans="2:8" x14ac:dyDescent="0.4">
      <c r="B17" t="s">
        <v>14</v>
      </c>
      <c r="C17" t="s">
        <v>18</v>
      </c>
      <c r="D17" t="s">
        <v>15</v>
      </c>
      <c r="F17" t="s">
        <v>36</v>
      </c>
      <c r="G17" t="s">
        <v>34</v>
      </c>
      <c r="H17" t="s">
        <v>15</v>
      </c>
    </row>
    <row r="18" spans="2:8" x14ac:dyDescent="0.4">
      <c r="B18" t="s">
        <v>18</v>
      </c>
      <c r="C18" t="s">
        <v>14</v>
      </c>
      <c r="D18" t="s">
        <v>15</v>
      </c>
      <c r="F18" t="s">
        <v>34</v>
      </c>
      <c r="G18" t="s">
        <v>36</v>
      </c>
      <c r="H18" t="s">
        <v>15</v>
      </c>
    </row>
    <row r="19" spans="2:8" x14ac:dyDescent="0.4">
      <c r="B19" t="s">
        <v>17</v>
      </c>
      <c r="C19" t="s">
        <v>18</v>
      </c>
      <c r="D19" t="s">
        <v>15</v>
      </c>
    </row>
    <row r="20" spans="2:8" x14ac:dyDescent="0.4">
      <c r="B20" t="s">
        <v>18</v>
      </c>
      <c r="C20" t="s">
        <v>17</v>
      </c>
      <c r="D20" t="s">
        <v>15</v>
      </c>
    </row>
    <row r="24" spans="2:8" x14ac:dyDescent="0.4">
      <c r="B24" t="s">
        <v>19</v>
      </c>
      <c r="C24" t="s">
        <v>20</v>
      </c>
      <c r="D24" t="s">
        <v>22</v>
      </c>
      <c r="F24" t="s">
        <v>38</v>
      </c>
      <c r="G24" t="s">
        <v>39</v>
      </c>
      <c r="H24" t="s">
        <v>22</v>
      </c>
    </row>
    <row r="25" spans="2:8" x14ac:dyDescent="0.4">
      <c r="B25" t="s">
        <v>20</v>
      </c>
      <c r="C25" t="s">
        <v>19</v>
      </c>
      <c r="D25" t="s">
        <v>22</v>
      </c>
      <c r="F25" t="s">
        <v>38</v>
      </c>
      <c r="G25" t="s">
        <v>39</v>
      </c>
    </row>
    <row r="26" spans="2:8" x14ac:dyDescent="0.4">
      <c r="B26" t="s">
        <v>20</v>
      </c>
      <c r="C26" t="s">
        <v>23</v>
      </c>
      <c r="D26" t="s">
        <v>21</v>
      </c>
      <c r="F26" t="s">
        <v>39</v>
      </c>
      <c r="G26" t="s">
        <v>38</v>
      </c>
    </row>
    <row r="27" spans="2:8" x14ac:dyDescent="0.4">
      <c r="B27" t="s">
        <v>23</v>
      </c>
      <c r="C27" t="s">
        <v>20</v>
      </c>
      <c r="D27" t="s">
        <v>21</v>
      </c>
    </row>
  </sheetData>
  <mergeCells count="2">
    <mergeCell ref="B1:D1"/>
    <mergeCell ref="F1:H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予測結果</vt:lpstr>
      <vt:lpstr>測定結果</vt:lpstr>
      <vt:lpstr>入力</vt:lpstr>
      <vt:lpstr>functionC2</vt:lpstr>
      <vt:lpstr>function</vt:lpstr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瑠以 河合</dc:creator>
  <cp:lastModifiedBy>瑠以 河合</cp:lastModifiedBy>
  <dcterms:created xsi:type="dcterms:W3CDTF">2025-07-13T04:22:36Z</dcterms:created>
  <dcterms:modified xsi:type="dcterms:W3CDTF">2025-07-21T05:03:54Z</dcterms:modified>
</cp:coreProperties>
</file>