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BOSTECH\Desktop\New folder\Audit 2019-20\shan\"/>
    </mc:Choice>
  </mc:AlternateContent>
  <bookViews>
    <workbookView xWindow="0" yWindow="0" windowWidth="20730" windowHeight="8835" firstSheet="5" activeTab="8"/>
  </bookViews>
  <sheets>
    <sheet name="July 2019" sheetId="2" r:id="rId1"/>
    <sheet name="August 2019" sheetId="3" r:id="rId2"/>
    <sheet name="Sept.19" sheetId="4" r:id="rId3"/>
    <sheet name="Oct.19" sheetId="5" r:id="rId4"/>
    <sheet name="Nov.19" sheetId="6" r:id="rId5"/>
    <sheet name="Dec.19" sheetId="7" r:id="rId6"/>
    <sheet name="Jan.2020" sheetId="8" r:id="rId7"/>
    <sheet name="Feb.2020" sheetId="9" r:id="rId8"/>
    <sheet name="Mar.2020" sheetId="10" r:id="rId9"/>
    <sheet name="April.2020" sheetId="11" r:id="rId10"/>
    <sheet name="May.2020" sheetId="12" r:id="rId11"/>
    <sheet name="June.19" sheetId="13" r:id="rId12"/>
  </sheets>
  <definedNames>
    <definedName name="_xlnm.Print_Area" localSheetId="9">April.2020!$A$1:$S$13</definedName>
    <definedName name="_xlnm.Print_Area" localSheetId="5">Dec.19!$A$1:$AC$25</definedName>
    <definedName name="_xlnm.Print_Area" localSheetId="7">Feb.2020!$A$1:$AA$19</definedName>
    <definedName name="_xlnm.Print_Area" localSheetId="0">'July 2019'!$A$1:$W$22</definedName>
    <definedName name="_xlnm.Print_Area" localSheetId="3">Oct.19!$A$1:$AB$22</definedName>
    <definedName name="_xlnm.Print_Area" localSheetId="2">Sept.19!$A$1:$AB$21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3" l="1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D20" i="13"/>
  <c r="T12" i="12"/>
  <c r="E19" i="9" l="1"/>
  <c r="G19" i="9"/>
  <c r="L19" i="9"/>
  <c r="M19" i="9"/>
  <c r="N19" i="9"/>
  <c r="P19" i="9"/>
  <c r="Q19" i="9"/>
  <c r="R19" i="9"/>
  <c r="S19" i="9"/>
  <c r="V19" i="9"/>
  <c r="W19" i="9"/>
  <c r="X19" i="9"/>
  <c r="Y19" i="9"/>
  <c r="Z19" i="9"/>
  <c r="AA19" i="9"/>
  <c r="U14" i="9"/>
  <c r="U19" i="9" s="1"/>
  <c r="D18" i="9"/>
  <c r="E25" i="7" l="1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D21" i="7"/>
  <c r="D22" i="7"/>
  <c r="D23" i="7"/>
  <c r="D24" i="7"/>
  <c r="X15" i="7"/>
  <c r="J7" i="7"/>
  <c r="AB20" i="7"/>
  <c r="D25" i="7" l="1"/>
  <c r="D19" i="6" l="1"/>
  <c r="J22" i="5" l="1"/>
  <c r="X14" i="5" l="1"/>
  <c r="E21" i="4" l="1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D21" i="4"/>
  <c r="X12" i="4" l="1"/>
  <c r="D19" i="4"/>
  <c r="D19" i="3" l="1"/>
  <c r="U21" i="3"/>
  <c r="D20" i="3"/>
  <c r="K21" i="3"/>
  <c r="L21" i="3"/>
  <c r="M21" i="3"/>
  <c r="N21" i="3"/>
  <c r="S21" i="3"/>
  <c r="V21" i="3"/>
  <c r="T16" i="3"/>
  <c r="T21" i="3" s="1"/>
  <c r="D21" i="2" l="1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D22" i="2"/>
  <c r="S15" i="2"/>
  <c r="F4" i="4" l="1"/>
  <c r="J6" i="4"/>
  <c r="W20" i="4"/>
  <c r="D20" i="4" l="1"/>
  <c r="H5" i="4"/>
  <c r="D13" i="4" l="1"/>
  <c r="J7" i="13" l="1"/>
  <c r="F5" i="13"/>
  <c r="H6" i="13"/>
  <c r="I7" i="9" l="1"/>
  <c r="H6" i="9"/>
  <c r="H6" i="12"/>
  <c r="I7" i="12"/>
  <c r="F5" i="12"/>
  <c r="I19" i="9" l="1"/>
  <c r="H19" i="9"/>
  <c r="Q12" i="13"/>
  <c r="W18" i="13"/>
  <c r="P16" i="13"/>
  <c r="D16" i="13" s="1"/>
  <c r="U13" i="13"/>
  <c r="X14" i="13"/>
  <c r="AA15" i="13"/>
  <c r="K8" i="13"/>
  <c r="Y14" i="12"/>
  <c r="W15" i="10"/>
  <c r="F5" i="11"/>
  <c r="N9" i="11"/>
  <c r="Q18" i="10" l="1"/>
  <c r="J7" i="10"/>
  <c r="G6" i="11"/>
  <c r="F5" i="10" l="1"/>
  <c r="H6" i="8"/>
  <c r="L10" i="10"/>
  <c r="K9" i="10" l="1"/>
  <c r="H6" i="10"/>
  <c r="P16" i="10"/>
  <c r="I8" i="10"/>
  <c r="S17" i="10"/>
  <c r="T14" i="10"/>
  <c r="K10" i="9" l="1"/>
  <c r="K19" i="9" s="1"/>
  <c r="J9" i="9"/>
  <c r="J19" i="9" s="1"/>
  <c r="F5" i="9"/>
  <c r="T13" i="9"/>
  <c r="T19" i="9" s="1"/>
  <c r="O15" i="9"/>
  <c r="O19" i="9" s="1"/>
  <c r="J7" i="8"/>
  <c r="F19" i="9" l="1"/>
  <c r="L9" i="8"/>
  <c r="F5" i="8"/>
  <c r="P16" i="8"/>
  <c r="K8" i="8"/>
  <c r="U12" i="8"/>
  <c r="AA15" i="8"/>
  <c r="R17" i="8" l="1"/>
  <c r="H6" i="7"/>
  <c r="L10" i="7"/>
  <c r="F5" i="7"/>
  <c r="P16" i="7" l="1"/>
  <c r="J7" i="6"/>
  <c r="H6" i="6"/>
  <c r="F5" i="6"/>
  <c r="Y18" i="6"/>
  <c r="X17" i="12" l="1"/>
  <c r="J8" i="12"/>
  <c r="S11" i="12"/>
  <c r="Y14" i="8" l="1"/>
  <c r="K9" i="7" l="1"/>
  <c r="U14" i="7"/>
  <c r="R18" i="7"/>
  <c r="V17" i="7"/>
  <c r="O12" i="7"/>
  <c r="Q13" i="7"/>
  <c r="G8" i="7"/>
  <c r="D8" i="7" s="1"/>
  <c r="X17" i="6" l="1"/>
  <c r="L11" i="6"/>
  <c r="U16" i="6"/>
  <c r="Q15" i="6"/>
  <c r="K10" i="6"/>
  <c r="I8" i="6"/>
  <c r="J7" i="5" l="1"/>
  <c r="L10" i="5"/>
  <c r="J10" i="3"/>
  <c r="J21" i="3" s="1"/>
  <c r="F5" i="5"/>
  <c r="H6" i="5"/>
  <c r="K9" i="5" l="1"/>
  <c r="R20" i="5"/>
  <c r="Q15" i="5"/>
  <c r="O12" i="5"/>
  <c r="I8" i="5"/>
  <c r="T19" i="5"/>
  <c r="U13" i="5"/>
  <c r="D17" i="4"/>
  <c r="L9" i="4"/>
  <c r="U11" i="4"/>
  <c r="K8" i="4"/>
  <c r="Y13" i="4" l="1"/>
  <c r="R18" i="4"/>
  <c r="F6" i="3" l="1"/>
  <c r="F21" i="3" s="1"/>
  <c r="H7" i="3"/>
  <c r="H21" i="3" s="1"/>
  <c r="Z15" i="4" l="1"/>
  <c r="T16" i="4"/>
  <c r="I9" i="3" l="1"/>
  <c r="I21" i="3" s="1"/>
  <c r="P17" i="3"/>
  <c r="P21" i="3" s="1"/>
  <c r="R15" i="3"/>
  <c r="R21" i="3" s="1"/>
  <c r="E5" i="3"/>
  <c r="E21" i="3" s="1"/>
  <c r="G8" i="3"/>
  <c r="G21" i="3" s="1"/>
  <c r="O14" i="3" l="1"/>
  <c r="O21" i="3" s="1"/>
  <c r="Q13" i="3"/>
  <c r="Q21" i="3" s="1"/>
  <c r="G6" i="2"/>
  <c r="H16" i="2" l="1"/>
  <c r="F5" i="2"/>
  <c r="I20" i="2" l="1"/>
  <c r="Q13" i="2"/>
  <c r="N11" i="2" l="1"/>
  <c r="T17" i="2"/>
  <c r="D17" i="2" s="1"/>
  <c r="P7" i="2"/>
  <c r="E4" i="2"/>
  <c r="R14" i="2"/>
  <c r="D16" i="2"/>
  <c r="D19" i="2"/>
  <c r="D20" i="2"/>
  <c r="D18" i="2"/>
  <c r="O12" i="2"/>
  <c r="V8" i="2"/>
  <c r="E18" i="12" l="1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D7" i="13" l="1"/>
  <c r="N13" i="11" l="1"/>
  <c r="D9" i="10"/>
  <c r="I57" i="9"/>
  <c r="D10" i="9"/>
  <c r="D9" i="9" l="1"/>
  <c r="D8" i="9"/>
  <c r="D17" i="12" l="1"/>
  <c r="D19" i="13" l="1"/>
  <c r="D18" i="13"/>
  <c r="D17" i="13"/>
  <c r="D15" i="13"/>
  <c r="D14" i="13"/>
  <c r="D13" i="13"/>
  <c r="D12" i="13"/>
  <c r="D11" i="13"/>
  <c r="D10" i="13"/>
  <c r="D9" i="13"/>
  <c r="D8" i="13"/>
  <c r="D6" i="13"/>
  <c r="D5" i="13"/>
  <c r="D16" i="12" l="1"/>
  <c r="D15" i="12"/>
  <c r="D14" i="12"/>
  <c r="D13" i="12"/>
  <c r="D12" i="12"/>
  <c r="D11" i="12"/>
  <c r="D10" i="12"/>
  <c r="D9" i="12"/>
  <c r="D8" i="12"/>
  <c r="D7" i="12"/>
  <c r="D6" i="12"/>
  <c r="D5" i="12"/>
  <c r="D18" i="12" l="1"/>
  <c r="S13" i="11" l="1"/>
  <c r="R13" i="11"/>
  <c r="Q13" i="11"/>
  <c r="P13" i="11"/>
  <c r="O13" i="11"/>
  <c r="M13" i="11"/>
  <c r="L13" i="11"/>
  <c r="K13" i="11"/>
  <c r="J13" i="11"/>
  <c r="I13" i="11"/>
  <c r="H13" i="11"/>
  <c r="G13" i="11"/>
  <c r="E13" i="11"/>
  <c r="D12" i="11"/>
  <c r="D11" i="11"/>
  <c r="D10" i="11"/>
  <c r="D9" i="11"/>
  <c r="D8" i="11"/>
  <c r="D7" i="11"/>
  <c r="D6" i="11"/>
  <c r="D5" i="11"/>
  <c r="D13" i="11" l="1"/>
  <c r="F13" i="11"/>
  <c r="D20" i="10"/>
  <c r="AB21" i="10"/>
  <c r="D19" i="10"/>
  <c r="AA21" i="10" l="1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K21" i="10"/>
  <c r="J21" i="10"/>
  <c r="I21" i="10"/>
  <c r="H21" i="10"/>
  <c r="G21" i="10"/>
  <c r="F21" i="10"/>
  <c r="E21" i="10"/>
  <c r="D18" i="10"/>
  <c r="D17" i="10"/>
  <c r="D16" i="10"/>
  <c r="D15" i="10"/>
  <c r="D14" i="10"/>
  <c r="D13" i="10"/>
  <c r="D12" i="10"/>
  <c r="D11" i="10"/>
  <c r="L21" i="10"/>
  <c r="D10" i="10"/>
  <c r="D8" i="10"/>
  <c r="D7" i="10"/>
  <c r="D6" i="10"/>
  <c r="D5" i="10"/>
  <c r="D21" i="10" l="1"/>
  <c r="D17" i="9" l="1"/>
  <c r="D16" i="9"/>
  <c r="D15" i="9"/>
  <c r="D14" i="9"/>
  <c r="D13" i="9"/>
  <c r="D12" i="9"/>
  <c r="D11" i="9"/>
  <c r="D7" i="9"/>
  <c r="D6" i="9"/>
  <c r="D5" i="9"/>
  <c r="D19" i="9" l="1"/>
  <c r="AB21" i="8"/>
  <c r="AC21" i="8"/>
  <c r="A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D20" i="8"/>
  <c r="G25" i="8" l="1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21" i="8" l="1"/>
  <c r="D20" i="7" l="1"/>
  <c r="D18" i="7" l="1"/>
  <c r="D17" i="7"/>
  <c r="D16" i="7"/>
  <c r="D15" i="7"/>
  <c r="D14" i="7"/>
  <c r="D13" i="7"/>
  <c r="D12" i="7"/>
  <c r="D11" i="7"/>
  <c r="D10" i="7"/>
  <c r="D9" i="7"/>
  <c r="D7" i="7"/>
  <c r="D6" i="7"/>
  <c r="D5" i="7"/>
  <c r="E19" i="6" l="1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AB22" i="5" l="1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I22" i="5"/>
  <c r="H22" i="5"/>
  <c r="G22" i="5"/>
  <c r="F22" i="5"/>
  <c r="E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22" i="5" l="1"/>
  <c r="D18" i="4" l="1"/>
  <c r="D16" i="4"/>
  <c r="D15" i="4"/>
  <c r="D14" i="4"/>
  <c r="D12" i="4"/>
  <c r="D11" i="4"/>
  <c r="D10" i="4"/>
  <c r="D9" i="4"/>
  <c r="D8" i="4"/>
  <c r="D7" i="4"/>
  <c r="D6" i="4"/>
  <c r="D5" i="4"/>
  <c r="D4" i="4"/>
  <c r="D8" i="3" l="1"/>
  <c r="D13" i="3" l="1"/>
  <c r="D9" i="3" l="1"/>
  <c r="D11" i="3"/>
  <c r="D12" i="3"/>
  <c r="D14" i="3"/>
  <c r="D15" i="3"/>
  <c r="D16" i="3"/>
  <c r="D17" i="3"/>
  <c r="D7" i="3"/>
  <c r="D5" i="3"/>
  <c r="D6" i="3"/>
  <c r="D18" i="3"/>
  <c r="D10" i="3"/>
  <c r="D21" i="3" l="1"/>
  <c r="D15" i="2"/>
  <c r="D7" i="2" l="1"/>
  <c r="D8" i="2"/>
  <c r="D9" i="2"/>
  <c r="D10" i="2"/>
  <c r="D11" i="2"/>
  <c r="D12" i="2"/>
  <c r="D13" i="2"/>
  <c r="D14" i="2"/>
  <c r="D4" i="2"/>
  <c r="D5" i="2"/>
  <c r="D6" i="2"/>
  <c r="B26" i="2" l="1"/>
  <c r="D24" i="2"/>
</calcChain>
</file>

<file path=xl/comments1.xml><?xml version="1.0" encoding="utf-8"?>
<comments xmlns="http://schemas.openxmlformats.org/spreadsheetml/2006/main">
  <authors>
    <author>SHAN-PC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SHAN-PC:</t>
        </r>
        <r>
          <rPr>
            <sz val="9"/>
            <color indexed="81"/>
            <rFont val="Tahoma"/>
            <family val="2"/>
          </rPr>
          <t xml:space="preserve">
roman songs books 13500</t>
        </r>
      </text>
    </comment>
  </commentList>
</comments>
</file>

<file path=xl/sharedStrings.xml><?xml version="1.0" encoding="utf-8"?>
<sst xmlns="http://schemas.openxmlformats.org/spreadsheetml/2006/main" count="736" uniqueCount="143">
  <si>
    <t>EVANGLICAL LITERATURE SERVICE</t>
  </si>
  <si>
    <t>SHEET NO.   001</t>
  </si>
  <si>
    <t>DATE</t>
  </si>
  <si>
    <t>PARTICULAR</t>
  </si>
  <si>
    <t>VOUCHERS NUMBER</t>
  </si>
  <si>
    <t>TOTAL AMOUNT</t>
  </si>
  <si>
    <t>AUDIO            CASSETTE</t>
  </si>
  <si>
    <t>URDU                BOOKS</t>
  </si>
  <si>
    <t>ENGLISH        BOOKS</t>
  </si>
  <si>
    <t>BIBLES</t>
  </si>
  <si>
    <t>CD's, VCD's, DVD's &amp; VHS</t>
  </si>
  <si>
    <t>GIFT ITEMS</t>
  </si>
  <si>
    <t>FREIGHT      CHARGE</t>
  </si>
  <si>
    <t>SALARIES</t>
  </si>
  <si>
    <t>SHOP RENT</t>
  </si>
  <si>
    <t>WARE HOUSE RENT</t>
  </si>
  <si>
    <t>SHOP ELECTRICITY BILL</t>
  </si>
  <si>
    <t>SHOP TELEPHONE BILL</t>
  </si>
  <si>
    <t>REPAIRS &amp; MAINTENANCE</t>
  </si>
  <si>
    <t>POSTAGE            EXPENSE</t>
  </si>
  <si>
    <t>CONVEYANCE EXPENSE</t>
  </si>
  <si>
    <t>STATIONERY EXPENSE</t>
  </si>
  <si>
    <t>ENTERTAINMENT EXPENSE</t>
  </si>
  <si>
    <t>BOOK TABLE EXPENSE</t>
  </si>
  <si>
    <t>PHOTOCOPIES EXPENSE</t>
  </si>
  <si>
    <t>MISCELLANEOUS EXPENSE</t>
  </si>
  <si>
    <t>INTERNET CHARGES</t>
  </si>
  <si>
    <t>GENRATOR EXPENSE</t>
  </si>
  <si>
    <t>CHRISTMAS ALLOWANCE</t>
  </si>
  <si>
    <t>ACCOUNT PAYABLE</t>
  </si>
  <si>
    <t>01</t>
  </si>
  <si>
    <t>02</t>
  </si>
  <si>
    <t>03</t>
  </si>
  <si>
    <t>04</t>
  </si>
  <si>
    <t>07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</si>
  <si>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</si>
  <si>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</si>
  <si>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</si>
  <si>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</si>
  <si>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</si>
  <si>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</si>
  <si>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</si>
  <si>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</si>
  <si>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</si>
  <si>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</si>
  <si>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</si>
  <si>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</si>
  <si>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</si>
  <si>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</si>
  <si>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</si>
  <si>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Gift Item</t>
  </si>
  <si>
    <t>Genrator Exp</t>
  </si>
  <si>
    <t>Urdu Books</t>
  </si>
  <si>
    <t>Bibles</t>
  </si>
  <si>
    <t>Conveyance</t>
  </si>
  <si>
    <t>Postage</t>
  </si>
  <si>
    <t>Freight</t>
  </si>
  <si>
    <t>Stationery</t>
  </si>
  <si>
    <t>Electricity</t>
  </si>
  <si>
    <t>Telephone</t>
  </si>
  <si>
    <t>Repair &amp; Maintenance</t>
  </si>
  <si>
    <t>Entertainment</t>
  </si>
  <si>
    <t>Photostate</t>
  </si>
  <si>
    <t>Misc.Expenses</t>
  </si>
  <si>
    <t>Salaries</t>
  </si>
  <si>
    <t>Generator Expenses</t>
  </si>
  <si>
    <t>Grand Total</t>
  </si>
  <si>
    <t>Telephone Recharge</t>
  </si>
  <si>
    <t>Rent: Shop &amp; Warehouse</t>
  </si>
  <si>
    <t>CD's, DVD's</t>
  </si>
  <si>
    <t>English Books</t>
  </si>
  <si>
    <t xml:space="preserve">Book Table </t>
  </si>
  <si>
    <t>A/C Payable (Anwar Padyar)</t>
  </si>
  <si>
    <t>FIXED ASSETS</t>
  </si>
  <si>
    <t>Fixed Assets</t>
  </si>
  <si>
    <t>A/C Payable (M.I.K)</t>
  </si>
  <si>
    <t>TRAVELLING ALLOWANCE</t>
  </si>
  <si>
    <t>Christmas Allowance</t>
  </si>
  <si>
    <t>A/C Payable (N.K)</t>
  </si>
  <si>
    <t>STIPEND</t>
  </si>
  <si>
    <t>Insurance Paid</t>
  </si>
  <si>
    <t>INSURANCE PAID</t>
  </si>
  <si>
    <t>Photocopies</t>
  </si>
  <si>
    <t>EASTER ALLOWANCE</t>
  </si>
  <si>
    <t>CASH BOOK PAYMENT SIDE FOR THE MONTH OF June 2019</t>
  </si>
  <si>
    <t>TOTAL</t>
  </si>
  <si>
    <t xml:space="preserve">             EVANGLICAL LITERATURE SERVICE</t>
  </si>
  <si>
    <t>SHEET NO.   002</t>
  </si>
  <si>
    <t>SHEET NO.   003</t>
  </si>
  <si>
    <t>ENGLISH                                                 BOOKS</t>
  </si>
  <si>
    <t>SHEET NO.   004</t>
  </si>
  <si>
    <t>TOTAL           AMOUNT</t>
  </si>
  <si>
    <t>SHEET NO.   005</t>
  </si>
  <si>
    <t>TOTAL      AMOUNT</t>
  </si>
  <si>
    <t>SHEET NO.   006</t>
  </si>
  <si>
    <t xml:space="preserve"> </t>
  </si>
  <si>
    <t>SHEET NO.   007</t>
  </si>
  <si>
    <t>SHEET NO.   008</t>
  </si>
  <si>
    <t>SHEET NO.   009</t>
  </si>
  <si>
    <t>CASH BOOK PAYMENT SIDE FOR THE MONTH OF APRIL 2019</t>
  </si>
  <si>
    <t xml:space="preserve">                 CASH BOOK PAYMENT SIDE FOR THE MONTH OF JULY 2019</t>
  </si>
  <si>
    <t xml:space="preserve">Freight </t>
  </si>
  <si>
    <t>Travelling Exp</t>
  </si>
  <si>
    <t xml:space="preserve"> TRAVELLING EXPENSE</t>
  </si>
  <si>
    <t>Shop &amp; Warehouse Rent</t>
  </si>
  <si>
    <t>Fixed Assest</t>
  </si>
  <si>
    <t>FIXED ASSEST</t>
  </si>
  <si>
    <t>CASH BOOK PAYMENT SIDE FOR THE MONTH OF August 2019</t>
  </si>
  <si>
    <t xml:space="preserve">Stationery </t>
  </si>
  <si>
    <t xml:space="preserve">Postage </t>
  </si>
  <si>
    <t>TRAVELLING EXPENSE</t>
  </si>
  <si>
    <t>CASH BOOK PAYMENT SIDE FOR THE MONTH OF September 2019</t>
  </si>
  <si>
    <t>CASH BOOK PAYMENT SIDE FOR THE MONTH OF October 2019</t>
  </si>
  <si>
    <t>CASH BOOK PAYMENT SIDE FOR THE MONTH OF November 2019</t>
  </si>
  <si>
    <t>POSTAGE EXPENSE</t>
  </si>
  <si>
    <t>CASH BOOK PAYMENT SIDE FOR THE MONTH OF December 2019</t>
  </si>
  <si>
    <t>ENGLISH                BOOKS</t>
  </si>
  <si>
    <t>CASH BOOK PAYMENT SIDE FOR THE MONTH OF January 2020</t>
  </si>
  <si>
    <t>CASH BOOK PAYMENT SIDE FOR THE MONTH OF May 2020</t>
  </si>
  <si>
    <t>COVID-19 precautions stuff</t>
  </si>
  <si>
    <t>COVID - 19 Precuation stuff</t>
  </si>
  <si>
    <t>REPAIR &amp; MAINTANCE</t>
  </si>
  <si>
    <t>Salaries for the month of April due to covid-19 50%</t>
  </si>
  <si>
    <t>A/C Payable (MIK)</t>
  </si>
  <si>
    <t>A/C Payable (Fahim inderyas)</t>
  </si>
  <si>
    <t>CASH BOOK PAYMENT SIDE FOR THE MONTH OF FEBRUARY 2020</t>
  </si>
  <si>
    <t>ENGLISH                            BOOKS</t>
  </si>
  <si>
    <t>CASH BOOK PAYMENT SIDE FOR THE MONTH OF MARCH 2020</t>
  </si>
  <si>
    <t>Easter Allowance</t>
  </si>
  <si>
    <t>COVID-19 STUFF</t>
  </si>
  <si>
    <t>Telephone Bill</t>
  </si>
  <si>
    <t>TELEPHONE BILL</t>
  </si>
  <si>
    <t>TRAVELLING EXP</t>
  </si>
  <si>
    <t>STIPEND TO MR.IMTAIZ</t>
  </si>
  <si>
    <t xml:space="preserve">Stipend to Mr.Imtaiz </t>
  </si>
  <si>
    <t>Stipend to Imtiaz</t>
  </si>
  <si>
    <t>STIPEND TO MR.IMTIAZ</t>
  </si>
  <si>
    <t>Stipend</t>
  </si>
  <si>
    <t>A/C Payable Anwar Padyar</t>
  </si>
  <si>
    <t xml:space="preserve">A/C Payable Asif </t>
  </si>
  <si>
    <t>A/C Payable MIK</t>
  </si>
  <si>
    <t>Stipent to Imtiaz</t>
  </si>
  <si>
    <t xml:space="preserve">Stipend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</si>
</sst>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32" x14ac:knownFonts="1"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scheme val="minor"/>
    </font>
    <font>
      <b/>
      <u/>
      <sz val="20"/>
      <color indexed="8"/>
      <name val="Calibri"/>
      <family val="2"/>
      <scheme val="minor"/>
    </font>
    <font>
      <b/>
      <u/>
      <sz val="15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Georgia"/>
      <family val="1"/>
    </font>
    <font>
      <b/>
      <sz val="10"/>
      <name val="Georgia"/>
      <family val="1"/>
    </font>
    <font>
      <b/>
      <sz val="9"/>
      <name val="Georgia"/>
      <family val="1"/>
    </font>
    <font>
      <sz val="11"/>
      <name val="Georgia"/>
      <family val="1"/>
    </font>
    <font>
      <sz val="11"/>
      <color theme="1"/>
      <name val="Georgia"/>
      <family val="1"/>
    </font>
    <font>
      <sz val="12"/>
      <color theme="1"/>
      <name val="Georgia"/>
      <family val="1"/>
    </font>
    <font>
      <b/>
      <sz val="8"/>
      <name val="Georgia"/>
      <family val="1"/>
    </font>
    <font>
      <sz val="14"/>
      <color theme="1"/>
      <name val="Georgia"/>
      <family val="1"/>
    </font>
    <font>
      <sz val="9"/>
      <name val="Georgia"/>
      <family val="1"/>
    </font>
    <font>
      <sz val="12"/>
      <name val="Georg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24"/>
      <color theme="1"/>
      <name val="Georgia"/>
      <family val="1"/>
    </font>
    <font>
      <b/>
      <sz val="16"/>
      <color theme="1"/>
      <name val="Georgia"/>
      <family val="1"/>
    </font>
    <font>
      <b/>
      <sz val="28"/>
      <color indexed="8"/>
      <name val="Georgia"/>
      <family val="1"/>
    </font>
    <font>
      <b/>
      <u/>
      <sz val="20"/>
      <color indexed="8"/>
      <name val="Georgia"/>
      <family val="1"/>
    </font>
    <font>
      <b/>
      <u/>
      <sz val="15"/>
      <color indexed="8"/>
      <name val="Georgia"/>
      <family val="1"/>
    </font>
    <font>
      <b/>
      <u/>
      <sz val="16"/>
      <color indexed="8"/>
      <name val="Georgia"/>
      <family val="1"/>
    </font>
    <font>
      <b/>
      <u/>
      <sz val="18"/>
      <color indexed="8"/>
      <name val="Georgia"/>
      <family val="1"/>
    </font>
    <font>
      <sz val="9"/>
      <color theme="1"/>
      <name val="Georgia"/>
      <family val="1"/>
    </font>
    <font>
      <b/>
      <sz val="11"/>
      <name val="Georgia"/>
      <family val="1"/>
    </font>
    <font>
      <b/>
      <sz val="14"/>
      <name val="Georgia"/>
      <family val="1"/>
    </font>
    <font>
      <sz val="10"/>
      <name val="Georgia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ont="1" applyBorder="1"/>
    <xf numFmtId="0" fontId="0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164" fontId="6" fillId="0" borderId="0" xfId="0" applyNumberFormat="1" applyFont="1"/>
    <xf numFmtId="164" fontId="0" fillId="0" borderId="0" xfId="0" applyNumberFormat="1" applyFont="1"/>
    <xf numFmtId="0" fontId="0" fillId="0" borderId="0" xfId="0" applyBorder="1"/>
    <xf numFmtId="164" fontId="6" fillId="0" borderId="0" xfId="0" applyNumberFormat="1" applyFont="1" applyAlignment="1">
      <alignment horizontal="center" vertical="center"/>
    </xf>
    <xf numFmtId="164" fontId="12" fillId="0" borderId="0" xfId="3" applyNumberFormat="1" applyFont="1"/>
    <xf numFmtId="164" fontId="12" fillId="0" borderId="6" xfId="3" applyNumberFormat="1" applyFont="1" applyBorder="1"/>
    <xf numFmtId="0" fontId="13" fillId="0" borderId="6" xfId="0" applyFont="1" applyBorder="1"/>
    <xf numFmtId="0" fontId="9" fillId="0" borderId="1" xfId="0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textRotation="90" wrapText="1"/>
    </xf>
    <xf numFmtId="0" fontId="14" fillId="0" borderId="2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textRotation="90" wrapText="1"/>
    </xf>
    <xf numFmtId="0" fontId="15" fillId="0" borderId="6" xfId="0" applyFont="1" applyBorder="1"/>
    <xf numFmtId="164" fontId="10" fillId="0" borderId="4" xfId="2" applyNumberFormat="1" applyFont="1" applyBorder="1"/>
    <xf numFmtId="164" fontId="10" fillId="0" borderId="5" xfId="2" applyNumberFormat="1" applyFont="1" applyBorder="1"/>
    <xf numFmtId="164" fontId="10" fillId="0" borderId="6" xfId="2" applyNumberFormat="1" applyFont="1" applyBorder="1"/>
    <xf numFmtId="164" fontId="10" fillId="0" borderId="7" xfId="2" applyNumberFormat="1" applyFont="1" applyBorder="1"/>
    <xf numFmtId="0" fontId="12" fillId="0" borderId="6" xfId="0" applyFont="1" applyBorder="1" applyAlignment="1">
      <alignment horizontal="left"/>
    </xf>
    <xf numFmtId="0" fontId="8" fillId="0" borderId="9" xfId="0" applyFont="1" applyBorder="1" applyAlignment="1">
      <alignment horizontal="center" vertical="center"/>
    </xf>
    <xf numFmtId="164" fontId="11" fillId="0" borderId="6" xfId="2" applyNumberFormat="1" applyFont="1" applyBorder="1"/>
    <xf numFmtId="0" fontId="15" fillId="0" borderId="6" xfId="0" applyFont="1" applyBorder="1" applyAlignment="1">
      <alignment horizontal="left"/>
    </xf>
    <xf numFmtId="164" fontId="16" fillId="0" borderId="6" xfId="2" quotePrefix="1" applyNumberFormat="1" applyFont="1" applyBorder="1" applyAlignment="1">
      <alignment horizontal="center" vertical="center"/>
    </xf>
    <xf numFmtId="164" fontId="16" fillId="0" borderId="4" xfId="2" applyNumberFormat="1" applyFont="1" applyBorder="1"/>
    <xf numFmtId="164" fontId="16" fillId="0" borderId="6" xfId="2" applyNumberFormat="1" applyFont="1" applyBorder="1"/>
    <xf numFmtId="164" fontId="16" fillId="0" borderId="8" xfId="2" applyNumberFormat="1" applyFont="1" applyBorder="1"/>
    <xf numFmtId="164" fontId="8" fillId="0" borderId="13" xfId="2" applyNumberFormat="1" applyFont="1" applyBorder="1"/>
    <xf numFmtId="165" fontId="16" fillId="0" borderId="6" xfId="2" applyNumberFormat="1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164" fontId="17" fillId="0" borderId="6" xfId="2" applyNumberFormat="1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43" fontId="0" fillId="0" borderId="0" xfId="0" applyNumberFormat="1"/>
    <xf numFmtId="164" fontId="10" fillId="0" borderId="15" xfId="2" applyNumberFormat="1" applyFont="1" applyBorder="1"/>
    <xf numFmtId="164" fontId="12" fillId="0" borderId="7" xfId="3" applyNumberFormat="1" applyFont="1" applyBorder="1"/>
    <xf numFmtId="164" fontId="8" fillId="0" borderId="16" xfId="2" applyNumberFormat="1" applyFont="1" applyBorder="1"/>
    <xf numFmtId="0" fontId="12" fillId="0" borderId="0" xfId="0" applyFont="1"/>
    <xf numFmtId="164" fontId="17" fillId="0" borderId="4" xfId="1" applyNumberFormat="1" applyFont="1" applyBorder="1"/>
    <xf numFmtId="164" fontId="17" fillId="0" borderId="6" xfId="1" applyNumberFormat="1" applyFont="1" applyBorder="1"/>
    <xf numFmtId="164" fontId="17" fillId="0" borderId="6" xfId="1" applyNumberFormat="1" applyFont="1" applyBorder="1" applyAlignment="1">
      <alignment vertical="top"/>
    </xf>
    <xf numFmtId="164" fontId="17" fillId="0" borderId="6" xfId="1" applyNumberFormat="1" applyFont="1" applyBorder="1" applyAlignment="1">
      <alignment horizontal="left"/>
    </xf>
    <xf numFmtId="164" fontId="8" fillId="0" borderId="6" xfId="1" applyNumberFormat="1" applyFont="1" applyBorder="1"/>
    <xf numFmtId="164" fontId="17" fillId="0" borderId="7" xfId="1" applyNumberFormat="1" applyFont="1" applyBorder="1"/>
    <xf numFmtId="164" fontId="13" fillId="0" borderId="0" xfId="3" applyNumberFormat="1" applyFont="1"/>
    <xf numFmtId="164" fontId="8" fillId="0" borderId="7" xfId="1" applyNumberFormat="1" applyFont="1" applyBorder="1"/>
    <xf numFmtId="16" fontId="17" fillId="0" borderId="3" xfId="1" applyNumberFormat="1" applyFont="1" applyBorder="1" applyAlignment="1">
      <alignment horizontal="center"/>
    </xf>
    <xf numFmtId="164" fontId="17" fillId="0" borderId="4" xfId="1" quotePrefix="1" applyNumberFormat="1" applyFont="1" applyBorder="1" applyAlignment="1">
      <alignment horizontal="center" vertical="center"/>
    </xf>
    <xf numFmtId="164" fontId="20" fillId="0" borderId="13" xfId="1" quotePrefix="1" applyNumberFormat="1" applyFont="1" applyBorder="1" applyAlignment="1">
      <alignment horizontal="center" vertical="center"/>
    </xf>
    <xf numFmtId="164" fontId="20" fillId="0" borderId="20" xfId="1" applyNumberFormat="1" applyFont="1" applyBorder="1" applyAlignment="1">
      <alignment horizontal="center" vertical="center"/>
    </xf>
    <xf numFmtId="164" fontId="17" fillId="0" borderId="20" xfId="1" applyNumberFormat="1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12" fillId="0" borderId="0" xfId="0" applyFont="1" applyBorder="1"/>
    <xf numFmtId="0" fontId="25" fillId="0" borderId="0" xfId="0" applyFont="1" applyBorder="1"/>
    <xf numFmtId="164" fontId="17" fillId="0" borderId="6" xfId="2" applyNumberFormat="1" applyFont="1" applyBorder="1"/>
    <xf numFmtId="0" fontId="26" fillId="0" borderId="0" xfId="0" applyFont="1" applyBorder="1"/>
    <xf numFmtId="164" fontId="11" fillId="0" borderId="4" xfId="2" applyNumberFormat="1" applyFont="1" applyBorder="1"/>
    <xf numFmtId="164" fontId="11" fillId="0" borderId="7" xfId="2" applyNumberFormat="1" applyFont="1" applyBorder="1"/>
    <xf numFmtId="0" fontId="0" fillId="0" borderId="0" xfId="0" applyFill="1" applyBorder="1"/>
    <xf numFmtId="164" fontId="0" fillId="0" borderId="0" xfId="3" applyNumberFormat="1" applyFont="1" applyBorder="1"/>
    <xf numFmtId="164" fontId="10" fillId="0" borderId="0" xfId="2" applyNumberFormat="1" applyFont="1" applyFill="1" applyBorder="1"/>
    <xf numFmtId="164" fontId="0" fillId="0" borderId="0" xfId="0" applyNumberFormat="1" applyFill="1" applyBorder="1"/>
    <xf numFmtId="0" fontId="10" fillId="0" borderId="21" xfId="0" applyFont="1" applyBorder="1" applyAlignment="1">
      <alignment horizontal="center" vertical="center" textRotation="90" wrapText="1"/>
    </xf>
    <xf numFmtId="164" fontId="11" fillId="0" borderId="8" xfId="2" applyNumberFormat="1" applyFont="1" applyBorder="1"/>
    <xf numFmtId="164" fontId="28" fillId="0" borderId="0" xfId="3" applyNumberFormat="1" applyFont="1"/>
    <xf numFmtId="164" fontId="11" fillId="0" borderId="13" xfId="2" applyNumberFormat="1" applyFont="1" applyBorder="1"/>
    <xf numFmtId="0" fontId="8" fillId="0" borderId="2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 wrapText="1"/>
    </xf>
    <xf numFmtId="0" fontId="30" fillId="0" borderId="2" xfId="0" applyFont="1" applyBorder="1" applyAlignment="1">
      <alignment horizontal="center" vertical="center" textRotation="90" wrapText="1"/>
    </xf>
    <xf numFmtId="164" fontId="29" fillId="0" borderId="13" xfId="2" applyNumberFormat="1" applyFont="1" applyBorder="1"/>
    <xf numFmtId="0" fontId="9" fillId="0" borderId="21" xfId="0" applyFont="1" applyBorder="1" applyAlignment="1">
      <alignment horizontal="center" vertical="center" textRotation="90" wrapText="1"/>
    </xf>
    <xf numFmtId="164" fontId="10" fillId="0" borderId="8" xfId="2" applyNumberFormat="1" applyFont="1" applyBorder="1"/>
    <xf numFmtId="164" fontId="11" fillId="0" borderId="19" xfId="2" applyNumberFormat="1" applyFont="1" applyBorder="1"/>
    <xf numFmtId="164" fontId="31" fillId="0" borderId="6" xfId="2" applyNumberFormat="1" applyFont="1" applyBorder="1"/>
    <xf numFmtId="0" fontId="10" fillId="0" borderId="22" xfId="0" applyFont="1" applyBorder="1" applyAlignment="1">
      <alignment horizontal="center" vertical="center" textRotation="90" wrapText="1"/>
    </xf>
    <xf numFmtId="164" fontId="11" fillId="0" borderId="12" xfId="2" applyNumberFormat="1" applyFont="1" applyBorder="1"/>
    <xf numFmtId="0" fontId="10" fillId="0" borderId="23" xfId="0" applyFont="1" applyBorder="1" applyAlignment="1">
      <alignment horizontal="center" vertical="center" textRotation="90" wrapText="1"/>
    </xf>
    <xf numFmtId="0" fontId="0" fillId="0" borderId="14" xfId="0" applyFont="1" applyBorder="1"/>
    <xf numFmtId="164" fontId="16" fillId="0" borderId="7" xfId="2" applyNumberFormat="1" applyFont="1" applyBorder="1"/>
    <xf numFmtId="164" fontId="16" fillId="0" borderId="5" xfId="2" applyNumberFormat="1" applyFont="1" applyBorder="1"/>
    <xf numFmtId="164" fontId="16" fillId="0" borderId="15" xfId="2" applyNumberFormat="1" applyFont="1" applyBorder="1"/>
    <xf numFmtId="164" fontId="0" fillId="0" borderId="0" xfId="3" applyNumberFormat="1" applyFont="1"/>
    <xf numFmtId="164" fontId="28" fillId="0" borderId="4" xfId="2" applyNumberFormat="1" applyFont="1" applyBorder="1"/>
    <xf numFmtId="164" fontId="16" fillId="0" borderId="24" xfId="2" applyNumberFormat="1" applyFont="1" applyBorder="1"/>
    <xf numFmtId="164" fontId="8" fillId="0" borderId="19" xfId="2" applyNumberFormat="1" applyFont="1" applyBorder="1"/>
    <xf numFmtId="164" fontId="10" fillId="0" borderId="24" xfId="2" applyNumberFormat="1" applyFont="1" applyBorder="1"/>
    <xf numFmtId="0" fontId="12" fillId="0" borderId="6" xfId="0" applyFont="1" applyBorder="1"/>
    <xf numFmtId="164" fontId="11" fillId="0" borderId="6" xfId="2" applyNumberFormat="1" applyFont="1" applyBorder="1" applyAlignment="1"/>
    <xf numFmtId="164" fontId="20" fillId="0" borderId="25" xfId="1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wrapText="1"/>
    </xf>
    <xf numFmtId="164" fontId="7" fillId="0" borderId="0" xfId="3" applyNumberFormat="1" applyFont="1"/>
    <xf numFmtId="164" fontId="10" fillId="0" borderId="26" xfId="2" applyNumberFormat="1" applyFont="1" applyBorder="1"/>
    <xf numFmtId="164" fontId="7" fillId="0" borderId="6" xfId="3" applyNumberFormat="1" applyFont="1" applyBorder="1"/>
    <xf numFmtId="164" fontId="0" fillId="0" borderId="6" xfId="3" applyNumberFormat="1" applyFont="1" applyBorder="1"/>
    <xf numFmtId="164" fontId="17" fillId="0" borderId="27" xfId="1" applyNumberFormat="1" applyFont="1" applyBorder="1"/>
    <xf numFmtId="164" fontId="10" fillId="0" borderId="28" xfId="2" applyNumberFormat="1" applyFont="1" applyFill="1" applyBorder="1"/>
    <xf numFmtId="164" fontId="16" fillId="0" borderId="14" xfId="2" applyNumberFormat="1" applyFont="1" applyBorder="1"/>
    <xf numFmtId="164" fontId="10" fillId="0" borderId="17" xfId="2" quotePrefix="1" applyNumberFormat="1" applyFont="1" applyBorder="1" applyAlignment="1">
      <alignment horizontal="center"/>
    </xf>
    <xf numFmtId="164" fontId="10" fillId="0" borderId="14" xfId="2" quotePrefix="1" applyNumberFormat="1" applyFont="1" applyBorder="1" applyAlignment="1">
      <alignment horizontal="center"/>
    </xf>
    <xf numFmtId="164" fontId="10" fillId="0" borderId="18" xfId="2" quotePrefix="1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64" fontId="10" fillId="0" borderId="10" xfId="2" quotePrefix="1" applyNumberFormat="1" applyFont="1" applyBorder="1" applyAlignment="1">
      <alignment horizontal="center"/>
    </xf>
    <xf numFmtId="164" fontId="10" fillId="0" borderId="11" xfId="2" quotePrefix="1" applyNumberFormat="1" applyFont="1" applyBorder="1" applyAlignment="1">
      <alignment horizontal="center"/>
    </xf>
    <xf numFmtId="164" fontId="10" fillId="0" borderId="12" xfId="2" quotePrefix="1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">
    <cellStyle name="Comma" xfId="3" builtinId="3"/>
    <cellStyle name="Comma 10" xfId="2"/>
    <cellStyle name="Comma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171"/>
  <sheetViews>
    <sheetView zoomScaleNormal="100" workbookViewId="0">
      <pane xSplit="3" ySplit="3" topLeftCell="D14" activePane="bottomRight" state="frozen"/>
      <selection pane="topRight" activeCell="D1" sqref="D1"/>
      <selection pane="bottomLeft" activeCell="A4" sqref="A4"/>
      <selection pane="bottomRight" activeCell="H23" sqref="H23"/>
    </sheetView>
  </sheetViews>
  <sheetFormatPr defaultRowHeight="15" x14ac:dyDescent="0.25"/>
  <cols>
    <col min="1" max="1" width="8" customWidth="1"/>
    <col min="2" max="2" width="29.42578125" customWidth="1"/>
    <col min="3" max="3" width="5.5703125" customWidth="1"/>
    <col min="4" max="4" width="12.5703125" customWidth="1"/>
    <col min="5" max="5" width="10" customWidth="1"/>
    <col min="6" max="6" width="12" customWidth="1"/>
    <col min="7" max="7" width="11.140625" customWidth="1"/>
    <col min="8" max="8" width="9.5703125" customWidth="1"/>
    <col min="9" max="9" width="10.5703125" customWidth="1"/>
    <col min="10" max="10" width="11.28515625" customWidth="1"/>
    <col min="11" max="11" width="8.5703125" customWidth="1"/>
    <col min="12" max="12" width="8.42578125" customWidth="1"/>
    <col min="13" max="13" width="9" customWidth="1"/>
    <col min="14" max="14" width="8.5703125" customWidth="1"/>
    <col min="15" max="15" width="8.7109375" customWidth="1"/>
    <col min="16" max="17" width="8.85546875" customWidth="1"/>
    <col min="18" max="18" width="6.85546875" customWidth="1"/>
    <col min="19" max="19" width="9.42578125" customWidth="1"/>
    <col min="20" max="21" width="10.85546875" customWidth="1"/>
    <col min="22" max="22" width="9.42578125" customWidth="1"/>
    <col min="23" max="23" width="8.85546875" customWidth="1"/>
    <col min="24" max="24" width="11.7109375" customWidth="1"/>
  </cols>
  <sheetData>
    <row r="1" spans="1:26" ht="36" customHeight="1" x14ac:dyDescent="0.25">
      <c r="A1" s="1"/>
      <c r="B1" s="58" t="s">
        <v>86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ht="24" customHeight="1" thickBot="1" x14ac:dyDescent="0.4">
      <c r="A2" s="1"/>
      <c r="B2" s="59" t="s">
        <v>100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1"/>
      <c r="Q2" s="1"/>
      <c r="R2" s="1"/>
      <c r="S2" s="1"/>
      <c r="T2" s="4" t="s">
        <v>1</v>
      </c>
      <c r="U2" s="4"/>
      <c r="W2" s="1"/>
      <c r="X2" s="2"/>
      <c r="Y2" s="2"/>
      <c r="Z2" s="2"/>
    </row>
    <row r="3" spans="1:26" ht="95.25" customHeight="1" thickBot="1" x14ac:dyDescent="0.3">
      <c r="A3" s="13" t="s">
        <v>2</v>
      </c>
      <c r="B3" s="14" t="s">
        <v>3</v>
      </c>
      <c r="C3" s="15" t="s">
        <v>4</v>
      </c>
      <c r="D3" s="16" t="s">
        <v>5</v>
      </c>
      <c r="E3" s="17" t="s">
        <v>7</v>
      </c>
      <c r="F3" s="18" t="s">
        <v>9</v>
      </c>
      <c r="G3" s="17" t="s">
        <v>11</v>
      </c>
      <c r="H3" s="19" t="s">
        <v>12</v>
      </c>
      <c r="I3" s="19" t="s">
        <v>13</v>
      </c>
      <c r="J3" s="19" t="s">
        <v>14</v>
      </c>
      <c r="K3" s="19" t="s">
        <v>15</v>
      </c>
      <c r="L3" s="19" t="s">
        <v>16</v>
      </c>
      <c r="M3" s="19" t="s">
        <v>17</v>
      </c>
      <c r="N3" s="19" t="s">
        <v>18</v>
      </c>
      <c r="O3" s="19" t="s">
        <v>19</v>
      </c>
      <c r="P3" s="19" t="s">
        <v>21</v>
      </c>
      <c r="Q3" s="19" t="s">
        <v>22</v>
      </c>
      <c r="R3" s="19" t="s">
        <v>24</v>
      </c>
      <c r="S3" s="19" t="s">
        <v>25</v>
      </c>
      <c r="T3" s="19" t="s">
        <v>103</v>
      </c>
      <c r="U3" s="19" t="s">
        <v>133</v>
      </c>
      <c r="V3" s="19" t="s">
        <v>27</v>
      </c>
      <c r="W3" s="19" t="s">
        <v>106</v>
      </c>
      <c r="X3" s="2"/>
      <c r="Y3" s="2"/>
      <c r="Z3" s="2"/>
    </row>
    <row r="4" spans="1:26" ht="15.95" customHeight="1" thickTop="1" x14ac:dyDescent="0.25">
      <c r="A4" s="53">
        <v>43677</v>
      </c>
      <c r="B4" s="47" t="s">
        <v>52</v>
      </c>
      <c r="C4" s="54" t="s">
        <v>30</v>
      </c>
      <c r="D4" s="45">
        <f t="shared" ref="D4:D21" si="0">SUM(E4:W4)</f>
        <v>13180</v>
      </c>
      <c r="E4" s="46">
        <f>580+7100+3000+2500</f>
        <v>13180</v>
      </c>
      <c r="F4" s="46">
        <v>0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5"/>
      <c r="Y4" s="2"/>
      <c r="Z4" s="2"/>
    </row>
    <row r="5" spans="1:26" ht="15.95" customHeight="1" x14ac:dyDescent="0.25">
      <c r="A5" s="53">
        <v>43677</v>
      </c>
      <c r="B5" s="39" t="s">
        <v>53</v>
      </c>
      <c r="C5" s="54" t="s">
        <v>31</v>
      </c>
      <c r="D5" s="45">
        <f t="shared" si="0"/>
        <v>108298</v>
      </c>
      <c r="E5" s="46">
        <v>0</v>
      </c>
      <c r="F5" s="46">
        <f>1575+5220+2835+16000+5490+3555+20520+10000+10000+8910+9675+2610+2200+3300+6408</f>
        <v>108298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5"/>
      <c r="Y5" s="2"/>
      <c r="Z5" s="2"/>
    </row>
    <row r="6" spans="1:26" ht="15.95" customHeight="1" x14ac:dyDescent="0.25">
      <c r="A6" s="53">
        <v>43677</v>
      </c>
      <c r="B6" s="46" t="s">
        <v>50</v>
      </c>
      <c r="C6" s="54" t="s">
        <v>32</v>
      </c>
      <c r="D6" s="45">
        <f t="shared" si="0"/>
        <v>34630</v>
      </c>
      <c r="E6" s="46">
        <v>0</v>
      </c>
      <c r="F6" s="46">
        <v>0</v>
      </c>
      <c r="G6" s="46">
        <f>2500+1780+710+2000+2260+1220+2900+2180+3050+3120+300+1060+1100+2000+240+240+3680+450+1320+2520</f>
        <v>34630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5"/>
      <c r="Y6" s="2"/>
      <c r="Z6" s="2"/>
    </row>
    <row r="7" spans="1:26" ht="15.95" customHeight="1" x14ac:dyDescent="0.25">
      <c r="A7" s="53">
        <v>43677</v>
      </c>
      <c r="B7" s="48" t="s">
        <v>57</v>
      </c>
      <c r="C7" s="54" t="s">
        <v>33</v>
      </c>
      <c r="D7" s="45">
        <f t="shared" si="0"/>
        <v>3780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f>470+2500+750+60</f>
        <v>3780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5"/>
      <c r="Y7" s="2"/>
      <c r="Z7" s="2"/>
    </row>
    <row r="8" spans="1:26" ht="15.95" customHeight="1" x14ac:dyDescent="0.25">
      <c r="A8" s="53">
        <v>43677</v>
      </c>
      <c r="B8" s="48" t="s">
        <v>51</v>
      </c>
      <c r="C8" s="54" t="s">
        <v>35</v>
      </c>
      <c r="D8" s="45">
        <f t="shared" si="0"/>
        <v>500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9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50">
        <f>500</f>
        <v>500</v>
      </c>
      <c r="W8" s="46">
        <v>0</v>
      </c>
      <c r="X8" s="5"/>
      <c r="Y8" s="2"/>
      <c r="Z8" s="2"/>
    </row>
    <row r="9" spans="1:26" ht="15.95" customHeight="1" x14ac:dyDescent="0.25">
      <c r="A9" s="53">
        <v>43677</v>
      </c>
      <c r="B9" s="12" t="s">
        <v>58</v>
      </c>
      <c r="C9" s="54" t="s">
        <v>36</v>
      </c>
      <c r="D9" s="45">
        <f t="shared" si="0"/>
        <v>4572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51">
        <v>4572</v>
      </c>
      <c r="M9" s="46">
        <v>0</v>
      </c>
      <c r="N9" s="46">
        <v>0</v>
      </c>
      <c r="O9" s="46">
        <v>0</v>
      </c>
      <c r="P9" s="49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52">
        <v>0</v>
      </c>
      <c r="W9" s="46">
        <v>0</v>
      </c>
      <c r="X9" s="5"/>
      <c r="Y9" s="2"/>
      <c r="Z9" s="2"/>
    </row>
    <row r="10" spans="1:26" ht="15.95" customHeight="1" x14ac:dyDescent="0.25">
      <c r="A10" s="53">
        <v>43677</v>
      </c>
      <c r="B10" s="12" t="s">
        <v>59</v>
      </c>
      <c r="C10" s="54" t="s">
        <v>34</v>
      </c>
      <c r="D10" s="45">
        <f t="shared" si="0"/>
        <v>1750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9">
        <v>0</v>
      </c>
      <c r="M10" s="51">
        <v>1750</v>
      </c>
      <c r="N10" s="46">
        <v>0</v>
      </c>
      <c r="O10" s="46">
        <v>0</v>
      </c>
      <c r="P10" s="49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52">
        <v>0</v>
      </c>
      <c r="W10" s="46">
        <v>0</v>
      </c>
      <c r="X10" s="5"/>
      <c r="Y10" s="2"/>
      <c r="Z10" s="2"/>
    </row>
    <row r="11" spans="1:26" ht="15.95" customHeight="1" x14ac:dyDescent="0.25">
      <c r="A11" s="53">
        <v>43677</v>
      </c>
      <c r="B11" s="12" t="s">
        <v>60</v>
      </c>
      <c r="C11" s="54" t="s">
        <v>37</v>
      </c>
      <c r="D11" s="45">
        <f t="shared" si="0"/>
        <v>1515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9">
        <v>0</v>
      </c>
      <c r="M11" s="49">
        <v>0</v>
      </c>
      <c r="N11" s="51">
        <f>765+250+500</f>
        <v>1515</v>
      </c>
      <c r="O11" s="46">
        <v>0</v>
      </c>
      <c r="P11" s="49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52">
        <v>0</v>
      </c>
      <c r="W11" s="46">
        <v>0</v>
      </c>
      <c r="X11" s="5"/>
      <c r="Y11" s="2"/>
      <c r="Z11" s="2"/>
    </row>
    <row r="12" spans="1:26" ht="15.95" customHeight="1" x14ac:dyDescent="0.25">
      <c r="A12" s="53">
        <v>43677</v>
      </c>
      <c r="B12" s="12" t="s">
        <v>55</v>
      </c>
      <c r="C12" s="54" t="s">
        <v>38</v>
      </c>
      <c r="D12" s="45">
        <f t="shared" si="0"/>
        <v>1100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9">
        <v>0</v>
      </c>
      <c r="M12" s="49">
        <v>0</v>
      </c>
      <c r="N12" s="49">
        <v>0</v>
      </c>
      <c r="O12" s="51">
        <f>350+750</f>
        <v>1100</v>
      </c>
      <c r="P12" s="49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52">
        <v>0</v>
      </c>
      <c r="W12" s="46">
        <v>0</v>
      </c>
      <c r="X12" s="5"/>
      <c r="Y12" s="2"/>
      <c r="Z12" s="2"/>
    </row>
    <row r="13" spans="1:26" ht="15.95" customHeight="1" x14ac:dyDescent="0.25">
      <c r="A13" s="53">
        <v>43677</v>
      </c>
      <c r="B13" s="12" t="s">
        <v>61</v>
      </c>
      <c r="C13" s="54" t="s">
        <v>39</v>
      </c>
      <c r="D13" s="45">
        <f t="shared" si="0"/>
        <v>1309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51">
        <f>100+1015+124+70</f>
        <v>1309</v>
      </c>
      <c r="R13" s="46">
        <v>0</v>
      </c>
      <c r="S13" s="46">
        <v>0</v>
      </c>
      <c r="T13" s="46">
        <v>0</v>
      </c>
      <c r="U13" s="46">
        <v>0</v>
      </c>
      <c r="V13" s="52">
        <v>0</v>
      </c>
      <c r="W13" s="46">
        <v>0</v>
      </c>
      <c r="X13" s="5"/>
      <c r="Y13" s="2"/>
      <c r="Z13" s="2"/>
    </row>
    <row r="14" spans="1:26" ht="15.95" customHeight="1" x14ac:dyDescent="0.25">
      <c r="A14" s="53">
        <v>43677</v>
      </c>
      <c r="B14" s="12" t="s">
        <v>62</v>
      </c>
      <c r="C14" s="54" t="s">
        <v>40</v>
      </c>
      <c r="D14" s="45">
        <f t="shared" si="0"/>
        <v>922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51">
        <f>58+280+222+52+130+180</f>
        <v>922</v>
      </c>
      <c r="S14" s="46">
        <v>0</v>
      </c>
      <c r="T14" s="46">
        <v>0</v>
      </c>
      <c r="U14" s="46">
        <v>0</v>
      </c>
      <c r="V14" s="52">
        <v>0</v>
      </c>
      <c r="W14" s="46">
        <v>0</v>
      </c>
      <c r="X14" s="5"/>
      <c r="Y14" s="2"/>
      <c r="Z14" s="2"/>
    </row>
    <row r="15" spans="1:26" ht="15.95" customHeight="1" x14ac:dyDescent="0.25">
      <c r="A15" s="53">
        <v>43677</v>
      </c>
      <c r="B15" s="12" t="s">
        <v>63</v>
      </c>
      <c r="C15" s="54" t="s">
        <v>41</v>
      </c>
      <c r="D15" s="45">
        <f t="shared" si="0"/>
        <v>1621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6">
        <v>0</v>
      </c>
      <c r="S15" s="51">
        <f>93+838+150+300+240</f>
        <v>1621</v>
      </c>
      <c r="T15" s="46">
        <v>0</v>
      </c>
      <c r="U15" s="46">
        <v>0</v>
      </c>
      <c r="V15" s="52">
        <v>0</v>
      </c>
      <c r="W15" s="46">
        <v>0</v>
      </c>
      <c r="X15" s="5"/>
      <c r="Y15" s="2"/>
      <c r="Z15" s="2"/>
    </row>
    <row r="16" spans="1:26" ht="15.95" customHeight="1" x14ac:dyDescent="0.25">
      <c r="A16" s="53">
        <v>43677</v>
      </c>
      <c r="B16" s="12" t="s">
        <v>101</v>
      </c>
      <c r="C16" s="54" t="s">
        <v>42</v>
      </c>
      <c r="D16" s="45">
        <f t="shared" si="0"/>
        <v>1525</v>
      </c>
      <c r="E16" s="46">
        <v>0</v>
      </c>
      <c r="F16" s="46">
        <v>0</v>
      </c>
      <c r="G16" s="46">
        <v>0</v>
      </c>
      <c r="H16" s="46">
        <f>550+100+135+115+100+135+50+200+100+40</f>
        <v>1525</v>
      </c>
      <c r="I16" s="46">
        <v>0</v>
      </c>
      <c r="J16" s="46">
        <v>0</v>
      </c>
      <c r="K16" s="46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6">
        <v>0</v>
      </c>
      <c r="S16" s="49">
        <v>0</v>
      </c>
      <c r="T16" s="46">
        <v>0</v>
      </c>
      <c r="U16" s="46">
        <v>0</v>
      </c>
      <c r="V16" s="52">
        <v>0</v>
      </c>
      <c r="W16" s="46">
        <v>0</v>
      </c>
      <c r="X16" s="5"/>
      <c r="Y16" s="2"/>
      <c r="Z16" s="2"/>
    </row>
    <row r="17" spans="1:26" ht="15.95" customHeight="1" x14ac:dyDescent="0.25">
      <c r="A17" s="53">
        <v>43677</v>
      </c>
      <c r="B17" s="12" t="s">
        <v>102</v>
      </c>
      <c r="C17" s="54" t="s">
        <v>43</v>
      </c>
      <c r="D17" s="45">
        <f t="shared" si="0"/>
        <v>10900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6">
        <v>0</v>
      </c>
      <c r="S17" s="49">
        <v>0</v>
      </c>
      <c r="T17" s="46">
        <f>500+9200+1200</f>
        <v>10900</v>
      </c>
      <c r="U17" s="46">
        <v>0</v>
      </c>
      <c r="V17" s="52">
        <v>0</v>
      </c>
      <c r="W17" s="46">
        <v>0</v>
      </c>
      <c r="X17" s="5"/>
      <c r="Y17" s="2"/>
      <c r="Z17" s="2"/>
    </row>
    <row r="18" spans="1:26" ht="15.95" customHeight="1" x14ac:dyDescent="0.25">
      <c r="A18" s="53">
        <v>43677</v>
      </c>
      <c r="B18" s="12" t="s">
        <v>104</v>
      </c>
      <c r="C18" s="54" t="s">
        <v>44</v>
      </c>
      <c r="D18" s="45">
        <f t="shared" si="0"/>
        <v>20545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14641</v>
      </c>
      <c r="K18" s="46">
        <v>5904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6">
        <v>0</v>
      </c>
      <c r="S18" s="49">
        <v>0</v>
      </c>
      <c r="T18" s="46">
        <v>0</v>
      </c>
      <c r="U18" s="46">
        <v>0</v>
      </c>
      <c r="V18" s="52">
        <v>0</v>
      </c>
      <c r="W18" s="46">
        <v>0</v>
      </c>
      <c r="X18" s="5"/>
      <c r="Y18" s="2"/>
      <c r="Z18" s="2"/>
    </row>
    <row r="19" spans="1:26" ht="15.95" customHeight="1" x14ac:dyDescent="0.25">
      <c r="A19" s="53">
        <v>43677</v>
      </c>
      <c r="B19" s="12" t="s">
        <v>105</v>
      </c>
      <c r="C19" s="54" t="s">
        <v>45</v>
      </c>
      <c r="D19" s="45">
        <f t="shared" si="0"/>
        <v>5000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6">
        <v>0</v>
      </c>
      <c r="S19" s="49">
        <v>0</v>
      </c>
      <c r="T19" s="46">
        <v>0</v>
      </c>
      <c r="U19" s="46">
        <v>0</v>
      </c>
      <c r="V19" s="52">
        <v>0</v>
      </c>
      <c r="W19" s="46">
        <v>5000</v>
      </c>
      <c r="X19" s="5"/>
      <c r="Y19" s="2"/>
      <c r="Z19" s="2"/>
    </row>
    <row r="20" spans="1:26" ht="15.95" customHeight="1" x14ac:dyDescent="0.25">
      <c r="A20" s="53">
        <v>43677</v>
      </c>
      <c r="B20" s="12" t="s">
        <v>64</v>
      </c>
      <c r="C20" s="54" t="s">
        <v>46</v>
      </c>
      <c r="D20" s="45">
        <f t="shared" si="0"/>
        <v>56480</v>
      </c>
      <c r="E20" s="46">
        <v>0</v>
      </c>
      <c r="F20" s="46">
        <v>0</v>
      </c>
      <c r="G20" s="46">
        <v>0</v>
      </c>
      <c r="H20" s="46">
        <v>0</v>
      </c>
      <c r="I20" s="51">
        <f>11480+18000+27000</f>
        <v>56480</v>
      </c>
      <c r="J20" s="46">
        <v>0</v>
      </c>
      <c r="K20" s="46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6">
        <v>0</v>
      </c>
      <c r="S20" s="49">
        <v>0</v>
      </c>
      <c r="T20" s="46">
        <v>0</v>
      </c>
      <c r="U20" s="46">
        <v>0</v>
      </c>
      <c r="V20" s="52">
        <v>0</v>
      </c>
      <c r="W20" s="46">
        <v>0</v>
      </c>
      <c r="X20" s="6"/>
      <c r="Y20" s="2"/>
      <c r="Z20" s="2"/>
    </row>
    <row r="21" spans="1:26" ht="15.95" customHeight="1" thickBot="1" x14ac:dyDescent="0.3">
      <c r="A21" s="53">
        <v>43677</v>
      </c>
      <c r="B21" s="12" t="s">
        <v>134</v>
      </c>
      <c r="C21" s="54" t="s">
        <v>47</v>
      </c>
      <c r="D21" s="45">
        <f t="shared" si="0"/>
        <v>704</v>
      </c>
      <c r="E21" s="103">
        <v>0</v>
      </c>
      <c r="F21" s="103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704</v>
      </c>
      <c r="V21" s="46">
        <v>0</v>
      </c>
      <c r="W21" s="46">
        <v>0</v>
      </c>
      <c r="X21" s="6"/>
      <c r="Y21" s="2"/>
      <c r="Z21" s="2"/>
    </row>
    <row r="22" spans="1:26" ht="20.25" customHeight="1" thickBot="1" x14ac:dyDescent="0.3">
      <c r="A22" s="55"/>
      <c r="B22" s="97" t="s">
        <v>85</v>
      </c>
      <c r="C22" s="56"/>
      <c r="D22" s="57">
        <f>SUM(D4:D21)</f>
        <v>268331</v>
      </c>
      <c r="E22" s="57">
        <f t="shared" ref="E22:W22" si="1">SUM(E4:E21)</f>
        <v>13180</v>
      </c>
      <c r="F22" s="57">
        <f t="shared" si="1"/>
        <v>108298</v>
      </c>
      <c r="G22" s="57">
        <f t="shared" si="1"/>
        <v>34630</v>
      </c>
      <c r="H22" s="57">
        <f t="shared" si="1"/>
        <v>1525</v>
      </c>
      <c r="I22" s="57">
        <f t="shared" si="1"/>
        <v>56480</v>
      </c>
      <c r="J22" s="57">
        <f t="shared" si="1"/>
        <v>14641</v>
      </c>
      <c r="K22" s="57">
        <f t="shared" si="1"/>
        <v>5904</v>
      </c>
      <c r="L22" s="57">
        <f t="shared" si="1"/>
        <v>4572</v>
      </c>
      <c r="M22" s="57">
        <f t="shared" si="1"/>
        <v>1750</v>
      </c>
      <c r="N22" s="57">
        <f t="shared" si="1"/>
        <v>1515</v>
      </c>
      <c r="O22" s="57">
        <f t="shared" si="1"/>
        <v>1100</v>
      </c>
      <c r="P22" s="57">
        <f t="shared" si="1"/>
        <v>3780</v>
      </c>
      <c r="Q22" s="57">
        <f t="shared" si="1"/>
        <v>1309</v>
      </c>
      <c r="R22" s="57">
        <f t="shared" si="1"/>
        <v>922</v>
      </c>
      <c r="S22" s="57">
        <f t="shared" si="1"/>
        <v>1621</v>
      </c>
      <c r="T22" s="57">
        <f t="shared" si="1"/>
        <v>10900</v>
      </c>
      <c r="U22" s="57">
        <f t="shared" si="1"/>
        <v>704</v>
      </c>
      <c r="V22" s="57">
        <f t="shared" si="1"/>
        <v>500</v>
      </c>
      <c r="W22" s="57">
        <f t="shared" si="1"/>
        <v>5000</v>
      </c>
      <c r="X22" s="9"/>
      <c r="Y22" s="7"/>
      <c r="Z22" s="2"/>
    </row>
    <row r="23" spans="1:26" ht="15.9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95" customHeight="1" x14ac:dyDescent="0.25">
      <c r="A24" s="2"/>
      <c r="B24" s="2"/>
      <c r="C24" s="2"/>
      <c r="D24" s="7">
        <f>D25-D22</f>
        <v>-268331</v>
      </c>
      <c r="E24" s="2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9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95" customHeight="1" x14ac:dyDescent="0.25">
      <c r="A26" s="2"/>
      <c r="B26" s="7">
        <f>SUM(E22:G22)</f>
        <v>156108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9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9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9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9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9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9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9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9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9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9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9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9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9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9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9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9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9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9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9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9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9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9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9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9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9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9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9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9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9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9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9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9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9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9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9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9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9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9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9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9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9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9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9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9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9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9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9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9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9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9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9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9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9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9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9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9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9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9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9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9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9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9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9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9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9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9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9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9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9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9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9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9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9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9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9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9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9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9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9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9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9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95" customHeight="1" x14ac:dyDescent="0.25"/>
    <row r="109" spans="1:26" ht="15.95" customHeight="1" x14ac:dyDescent="0.25"/>
    <row r="110" spans="1:26" ht="15.95" customHeight="1" x14ac:dyDescent="0.25"/>
    <row r="111" spans="1:26" ht="15.95" customHeight="1" x14ac:dyDescent="0.25"/>
    <row r="112" spans="1:26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  <row r="1026" ht="15.95" customHeight="1" x14ac:dyDescent="0.25"/>
    <row r="1027" ht="15.95" customHeight="1" x14ac:dyDescent="0.25"/>
    <row r="1028" ht="15.95" customHeight="1" x14ac:dyDescent="0.25"/>
    <row r="1029" ht="15.95" customHeight="1" x14ac:dyDescent="0.25"/>
    <row r="1030" ht="15.95" customHeight="1" x14ac:dyDescent="0.25"/>
    <row r="1031" ht="15.95" customHeight="1" x14ac:dyDescent="0.25"/>
    <row r="1032" ht="15.95" customHeight="1" x14ac:dyDescent="0.25"/>
    <row r="1033" ht="15.95" customHeight="1" x14ac:dyDescent="0.25"/>
    <row r="1034" ht="15.95" customHeight="1" x14ac:dyDescent="0.25"/>
    <row r="1035" ht="15.95" customHeight="1" x14ac:dyDescent="0.25"/>
    <row r="1036" ht="15.95" customHeight="1" x14ac:dyDescent="0.25"/>
    <row r="1037" ht="15.95" customHeight="1" x14ac:dyDescent="0.25"/>
    <row r="1038" ht="15.95" customHeight="1" x14ac:dyDescent="0.25"/>
    <row r="1039" ht="15.95" customHeight="1" x14ac:dyDescent="0.25"/>
    <row r="1040" ht="15.95" customHeight="1" x14ac:dyDescent="0.25"/>
    <row r="1041" ht="15.95" customHeight="1" x14ac:dyDescent="0.25"/>
    <row r="1042" ht="15.95" customHeight="1" x14ac:dyDescent="0.25"/>
    <row r="1043" ht="15.95" customHeight="1" x14ac:dyDescent="0.25"/>
    <row r="1044" ht="15.95" customHeight="1" x14ac:dyDescent="0.25"/>
    <row r="1045" ht="15.95" customHeight="1" x14ac:dyDescent="0.25"/>
    <row r="1046" ht="15.95" customHeight="1" x14ac:dyDescent="0.25"/>
    <row r="1047" ht="15.95" customHeight="1" x14ac:dyDescent="0.25"/>
    <row r="1048" ht="15.95" customHeight="1" x14ac:dyDescent="0.25"/>
    <row r="1049" ht="15.95" customHeight="1" x14ac:dyDescent="0.25"/>
    <row r="1050" ht="15.95" customHeight="1" x14ac:dyDescent="0.25"/>
    <row r="1051" ht="15.95" customHeight="1" x14ac:dyDescent="0.25"/>
    <row r="1052" ht="15.95" customHeight="1" x14ac:dyDescent="0.25"/>
    <row r="1053" ht="15.95" customHeight="1" x14ac:dyDescent="0.25"/>
    <row r="1054" ht="15.95" customHeight="1" x14ac:dyDescent="0.25"/>
    <row r="1055" ht="15.95" customHeight="1" x14ac:dyDescent="0.25"/>
    <row r="1056" ht="15.95" customHeight="1" x14ac:dyDescent="0.25"/>
    <row r="1057" ht="15.95" customHeight="1" x14ac:dyDescent="0.25"/>
    <row r="1058" ht="15.95" customHeight="1" x14ac:dyDescent="0.25"/>
    <row r="1059" ht="15.95" customHeight="1" x14ac:dyDescent="0.25"/>
    <row r="1060" ht="15.95" customHeight="1" x14ac:dyDescent="0.25"/>
    <row r="1061" ht="15.95" customHeight="1" x14ac:dyDescent="0.25"/>
    <row r="1062" ht="15.95" customHeight="1" x14ac:dyDescent="0.25"/>
    <row r="1063" ht="15.95" customHeight="1" x14ac:dyDescent="0.25"/>
    <row r="1064" ht="15.95" customHeight="1" x14ac:dyDescent="0.25"/>
    <row r="1065" ht="15.95" customHeight="1" x14ac:dyDescent="0.25"/>
    <row r="1066" ht="15.95" customHeight="1" x14ac:dyDescent="0.25"/>
    <row r="1067" ht="15.95" customHeight="1" x14ac:dyDescent="0.25"/>
    <row r="1068" ht="15.95" customHeight="1" x14ac:dyDescent="0.25"/>
    <row r="1069" ht="15.95" customHeight="1" x14ac:dyDescent="0.25"/>
    <row r="1070" ht="15.95" customHeight="1" x14ac:dyDescent="0.25"/>
    <row r="1071" ht="15.95" customHeight="1" x14ac:dyDescent="0.25"/>
    <row r="1072" ht="15.95" customHeight="1" x14ac:dyDescent="0.25"/>
    <row r="1073" ht="15.95" customHeight="1" x14ac:dyDescent="0.25"/>
    <row r="1074" ht="15.95" customHeight="1" x14ac:dyDescent="0.25"/>
    <row r="1075" ht="15.95" customHeight="1" x14ac:dyDescent="0.25"/>
    <row r="1076" ht="15.95" customHeight="1" x14ac:dyDescent="0.25"/>
    <row r="1077" ht="15.95" customHeight="1" x14ac:dyDescent="0.25"/>
    <row r="1078" ht="15.95" customHeight="1" x14ac:dyDescent="0.25"/>
    <row r="1079" ht="15.95" customHeight="1" x14ac:dyDescent="0.25"/>
    <row r="1080" ht="15.95" customHeight="1" x14ac:dyDescent="0.25"/>
    <row r="1081" ht="15.95" customHeight="1" x14ac:dyDescent="0.25"/>
    <row r="1082" ht="15.95" customHeight="1" x14ac:dyDescent="0.25"/>
    <row r="1083" ht="15.95" customHeight="1" x14ac:dyDescent="0.25"/>
    <row r="1084" ht="15.95" customHeight="1" x14ac:dyDescent="0.25"/>
    <row r="1085" ht="15.95" customHeight="1" x14ac:dyDescent="0.25"/>
    <row r="1086" ht="15.95" customHeight="1" x14ac:dyDescent="0.25"/>
    <row r="1087" ht="15.95" customHeight="1" x14ac:dyDescent="0.25"/>
    <row r="1088" ht="15.95" customHeight="1" x14ac:dyDescent="0.25"/>
    <row r="1089" ht="15.95" customHeight="1" x14ac:dyDescent="0.25"/>
    <row r="1090" ht="15.95" customHeight="1" x14ac:dyDescent="0.25"/>
    <row r="1091" ht="15.95" customHeight="1" x14ac:dyDescent="0.25"/>
    <row r="1092" ht="15.95" customHeight="1" x14ac:dyDescent="0.25"/>
    <row r="1093" ht="15.95" customHeight="1" x14ac:dyDescent="0.25"/>
    <row r="1094" ht="15.95" customHeight="1" x14ac:dyDescent="0.25"/>
    <row r="1095" ht="15.95" customHeight="1" x14ac:dyDescent="0.25"/>
    <row r="1096" ht="15.95" customHeight="1" x14ac:dyDescent="0.25"/>
    <row r="1097" ht="15.95" customHeight="1" x14ac:dyDescent="0.25"/>
    <row r="1098" ht="15.95" customHeight="1" x14ac:dyDescent="0.25"/>
    <row r="1099" ht="15.95" customHeight="1" x14ac:dyDescent="0.25"/>
    <row r="1100" ht="15.95" customHeight="1" x14ac:dyDescent="0.25"/>
    <row r="1101" ht="15.95" customHeight="1" x14ac:dyDescent="0.25"/>
    <row r="1102" ht="15.95" customHeight="1" x14ac:dyDescent="0.25"/>
    <row r="1103" ht="15.95" customHeight="1" x14ac:dyDescent="0.25"/>
    <row r="1104" ht="15.95" customHeight="1" x14ac:dyDescent="0.25"/>
    <row r="1105" ht="15.95" customHeight="1" x14ac:dyDescent="0.25"/>
    <row r="1106" ht="15.95" customHeight="1" x14ac:dyDescent="0.25"/>
    <row r="1107" ht="15.95" customHeight="1" x14ac:dyDescent="0.25"/>
    <row r="1108" ht="15.95" customHeight="1" x14ac:dyDescent="0.25"/>
    <row r="1109" ht="15.95" customHeight="1" x14ac:dyDescent="0.25"/>
    <row r="1110" ht="15.95" customHeight="1" x14ac:dyDescent="0.25"/>
    <row r="1111" ht="15.95" customHeight="1" x14ac:dyDescent="0.25"/>
    <row r="1112" ht="15.95" customHeight="1" x14ac:dyDescent="0.25"/>
    <row r="1113" ht="15.95" customHeight="1" x14ac:dyDescent="0.25"/>
    <row r="1114" ht="15.95" customHeight="1" x14ac:dyDescent="0.25"/>
    <row r="1115" ht="15.95" customHeight="1" x14ac:dyDescent="0.25"/>
    <row r="1116" ht="15.95" customHeight="1" x14ac:dyDescent="0.25"/>
    <row r="1117" ht="15.95" customHeight="1" x14ac:dyDescent="0.25"/>
    <row r="1118" ht="15.95" customHeight="1" x14ac:dyDescent="0.25"/>
    <row r="1119" ht="15.95" customHeight="1" x14ac:dyDescent="0.25"/>
    <row r="1120" ht="15.95" customHeight="1" x14ac:dyDescent="0.25"/>
    <row r="1121" ht="15.95" customHeight="1" x14ac:dyDescent="0.25"/>
    <row r="1122" ht="15.95" customHeight="1" x14ac:dyDescent="0.25"/>
    <row r="1123" ht="15.95" customHeight="1" x14ac:dyDescent="0.25"/>
    <row r="1124" ht="15.95" customHeight="1" x14ac:dyDescent="0.25"/>
    <row r="1125" ht="15.95" customHeight="1" x14ac:dyDescent="0.25"/>
    <row r="1126" ht="15.95" customHeight="1" x14ac:dyDescent="0.25"/>
    <row r="1127" ht="15.95" customHeight="1" x14ac:dyDescent="0.25"/>
    <row r="1128" ht="15.95" customHeight="1" x14ac:dyDescent="0.25"/>
    <row r="1129" ht="15.95" customHeight="1" x14ac:dyDescent="0.25"/>
    <row r="1130" ht="15.95" customHeight="1" x14ac:dyDescent="0.25"/>
    <row r="1131" ht="15.95" customHeight="1" x14ac:dyDescent="0.25"/>
    <row r="1132" ht="15.95" customHeight="1" x14ac:dyDescent="0.25"/>
    <row r="1133" ht="15.95" customHeight="1" x14ac:dyDescent="0.25"/>
    <row r="1134" ht="15.95" customHeight="1" x14ac:dyDescent="0.25"/>
    <row r="1135" ht="15.95" customHeight="1" x14ac:dyDescent="0.25"/>
    <row r="1136" ht="15.95" customHeight="1" x14ac:dyDescent="0.25"/>
    <row r="1137" ht="15.95" customHeight="1" x14ac:dyDescent="0.25"/>
    <row r="1138" ht="15.95" customHeight="1" x14ac:dyDescent="0.25"/>
    <row r="1139" ht="15.95" customHeight="1" x14ac:dyDescent="0.25"/>
    <row r="1140" ht="15.95" customHeight="1" x14ac:dyDescent="0.25"/>
    <row r="1141" ht="15.95" customHeight="1" x14ac:dyDescent="0.25"/>
    <row r="1142" ht="15.95" customHeight="1" x14ac:dyDescent="0.25"/>
    <row r="1143" ht="15.95" customHeight="1" x14ac:dyDescent="0.25"/>
    <row r="1144" ht="15.95" customHeight="1" x14ac:dyDescent="0.25"/>
    <row r="1145" ht="15.95" customHeight="1" x14ac:dyDescent="0.25"/>
    <row r="1146" ht="15.95" customHeight="1" x14ac:dyDescent="0.25"/>
    <row r="1147" ht="15.95" customHeight="1" x14ac:dyDescent="0.25"/>
    <row r="1148" ht="15.95" customHeight="1" x14ac:dyDescent="0.25"/>
    <row r="1149" ht="15.95" customHeight="1" x14ac:dyDescent="0.25"/>
    <row r="1150" ht="15.95" customHeight="1" x14ac:dyDescent="0.25"/>
    <row r="1151" ht="15.95" customHeight="1" x14ac:dyDescent="0.25"/>
    <row r="1152" ht="15.95" customHeight="1" x14ac:dyDescent="0.25"/>
    <row r="1153" ht="15.95" customHeight="1" x14ac:dyDescent="0.25"/>
    <row r="1154" ht="15.95" customHeight="1" x14ac:dyDescent="0.25"/>
    <row r="1155" ht="15.95" customHeight="1" x14ac:dyDescent="0.25"/>
    <row r="1156" ht="15.95" customHeight="1" x14ac:dyDescent="0.25"/>
    <row r="1157" ht="15.95" customHeight="1" x14ac:dyDescent="0.25"/>
    <row r="1158" ht="15.95" customHeight="1" x14ac:dyDescent="0.25"/>
    <row r="1159" ht="15.95" customHeight="1" x14ac:dyDescent="0.25"/>
    <row r="1160" ht="15.95" customHeight="1" x14ac:dyDescent="0.25"/>
    <row r="1161" ht="15.95" customHeight="1" x14ac:dyDescent="0.25"/>
    <row r="1162" ht="15.95" customHeight="1" x14ac:dyDescent="0.25"/>
    <row r="1163" ht="15.95" customHeight="1" x14ac:dyDescent="0.25"/>
    <row r="1164" ht="15.95" customHeight="1" x14ac:dyDescent="0.25"/>
    <row r="1165" ht="15.95" customHeight="1" x14ac:dyDescent="0.25"/>
    <row r="1166" ht="15.95" customHeight="1" x14ac:dyDescent="0.25"/>
    <row r="1167" ht="15.95" customHeight="1" x14ac:dyDescent="0.25"/>
    <row r="1168" ht="15.95" customHeight="1" x14ac:dyDescent="0.25"/>
    <row r="1169" ht="15.95" customHeight="1" x14ac:dyDescent="0.25"/>
    <row r="1170" ht="15.95" customHeight="1" x14ac:dyDescent="0.25"/>
    <row r="1171" ht="15.95" customHeight="1" x14ac:dyDescent="0.25"/>
  </sheetData>
  <printOptions horizontalCentered="1" verticalCentered="1"/>
  <pageMargins left="0" right="0.75" top="0" bottom="0.28000000000000003" header="0.22" footer="0"/>
  <pageSetup paperSize="9" scale="91" orientation="landscape" r:id="rId1"/>
  <headerFooter differentFirst="1">
    <oddFooter xml:space="preserve">&amp;R
</oddFooter>
    <firstFooter>&amp;RContin...</firstFooter>
  </headerFooter>
  <rowBreaks count="1" manualBreakCount="1">
    <brk id="22" max="16383" man="1"/>
  </rowBreaks>
  <colBreaks count="1" manualBreakCount="1">
    <brk id="11" max="19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B1" zoomScaleNormal="100" workbookViewId="0">
      <selection activeCell="B12" sqref="B12"/>
    </sheetView>
  </sheetViews>
  <sheetFormatPr defaultRowHeight="15" x14ac:dyDescent="0.25"/>
  <cols>
    <col min="1" max="1" width="7.140625" bestFit="1" customWidth="1"/>
    <col min="2" max="2" width="32.42578125" bestFit="1" customWidth="1"/>
    <col min="3" max="3" width="6.42578125" customWidth="1"/>
    <col min="4" max="4" width="14.85546875" customWidth="1"/>
    <col min="5" max="5" width="0" hidden="1" customWidth="1"/>
    <col min="6" max="6" width="11.42578125" bestFit="1" customWidth="1"/>
    <col min="7" max="7" width="11.28515625" customWidth="1"/>
    <col min="8" max="8" width="10.85546875" customWidth="1"/>
    <col min="9" max="10" width="10" bestFit="1" customWidth="1"/>
    <col min="11" max="11" width="9.85546875" bestFit="1" customWidth="1"/>
    <col min="12" max="12" width="0" hidden="1" customWidth="1"/>
    <col min="13" max="13" width="8.42578125" customWidth="1"/>
    <col min="14" max="14" width="10" bestFit="1" customWidth="1"/>
    <col min="15" max="18" width="0" hidden="1" customWidth="1"/>
    <col min="19" max="19" width="11.42578125" bestFit="1" customWidth="1"/>
  </cols>
  <sheetData>
    <row r="1" spans="1:19" ht="36" x14ac:dyDescent="0.55000000000000004">
      <c r="A1" s="1"/>
      <c r="B1" s="116" t="s">
        <v>0</v>
      </c>
      <c r="C1" s="116"/>
      <c r="D1" s="116"/>
      <c r="E1" s="116"/>
      <c r="F1" s="116"/>
      <c r="G1" s="116"/>
    </row>
    <row r="2" spans="1:19" ht="26.25" x14ac:dyDescent="0.4">
      <c r="A2" s="1"/>
      <c r="B2" s="117" t="s">
        <v>99</v>
      </c>
      <c r="C2" s="117"/>
      <c r="D2" s="117"/>
      <c r="E2" s="117"/>
      <c r="F2" s="117"/>
      <c r="G2" s="117"/>
      <c r="H2" s="1"/>
      <c r="I2" s="1"/>
      <c r="J2" s="1"/>
      <c r="K2" s="1"/>
      <c r="L2" s="3"/>
      <c r="M2" s="1"/>
      <c r="N2" s="1"/>
      <c r="S2" s="1"/>
    </row>
    <row r="3" spans="1:19" ht="20.25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78" customHeight="1" thickBot="1" x14ac:dyDescent="0.3">
      <c r="A4" s="13" t="s">
        <v>2</v>
      </c>
      <c r="B4" s="27" t="s">
        <v>3</v>
      </c>
      <c r="C4" s="15" t="s">
        <v>4</v>
      </c>
      <c r="D4" s="15" t="s">
        <v>5</v>
      </c>
      <c r="E4" s="17" t="s">
        <v>6</v>
      </c>
      <c r="F4" s="18" t="s">
        <v>9</v>
      </c>
      <c r="G4" s="19" t="s">
        <v>13</v>
      </c>
      <c r="H4" s="19" t="s">
        <v>14</v>
      </c>
      <c r="I4" s="19" t="s">
        <v>15</v>
      </c>
      <c r="J4" s="19" t="s">
        <v>16</v>
      </c>
      <c r="K4" s="19" t="s">
        <v>17</v>
      </c>
      <c r="L4" s="19" t="s">
        <v>23</v>
      </c>
      <c r="M4" s="19" t="s">
        <v>137</v>
      </c>
      <c r="N4" s="19" t="s">
        <v>25</v>
      </c>
      <c r="O4" s="19" t="s">
        <v>26</v>
      </c>
      <c r="P4" s="19" t="s">
        <v>76</v>
      </c>
      <c r="Q4" s="19" t="s">
        <v>27</v>
      </c>
      <c r="R4" s="19" t="s">
        <v>79</v>
      </c>
      <c r="S4" s="19" t="s">
        <v>129</v>
      </c>
    </row>
    <row r="5" spans="1:19" ht="18.75" thickTop="1" x14ac:dyDescent="0.25">
      <c r="A5" s="35">
        <v>43585</v>
      </c>
      <c r="B5" s="29" t="s">
        <v>53</v>
      </c>
      <c r="C5" s="30" t="s">
        <v>30</v>
      </c>
      <c r="D5" s="31">
        <f t="shared" ref="D5:D12" si="0">SUM(E5:S5)</f>
        <v>2000</v>
      </c>
      <c r="E5" s="24"/>
      <c r="F5" s="24">
        <f>2000</f>
        <v>2000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</row>
    <row r="6" spans="1:19" ht="18" x14ac:dyDescent="0.25">
      <c r="A6" s="35">
        <v>43585</v>
      </c>
      <c r="B6" s="21" t="s">
        <v>64</v>
      </c>
      <c r="C6" s="30" t="s">
        <v>31</v>
      </c>
      <c r="D6" s="31">
        <f t="shared" si="0"/>
        <v>22500</v>
      </c>
      <c r="E6" s="22"/>
      <c r="F6" s="22">
        <v>0</v>
      </c>
      <c r="G6" s="10">
        <f>9000+13500</f>
        <v>22500</v>
      </c>
      <c r="H6" s="22">
        <v>0</v>
      </c>
      <c r="I6" s="22">
        <v>0</v>
      </c>
      <c r="J6" s="22">
        <v>0</v>
      </c>
      <c r="K6" s="24">
        <v>0</v>
      </c>
      <c r="L6" s="22"/>
      <c r="M6" s="24">
        <v>0</v>
      </c>
      <c r="N6" s="24">
        <v>0</v>
      </c>
      <c r="O6" s="22"/>
      <c r="P6" s="23"/>
      <c r="Q6" s="23"/>
      <c r="R6" s="23"/>
      <c r="S6" s="24">
        <v>0</v>
      </c>
    </row>
    <row r="7" spans="1:19" ht="18" x14ac:dyDescent="0.25">
      <c r="A7" s="35">
        <v>43585</v>
      </c>
      <c r="B7" s="21" t="s">
        <v>68</v>
      </c>
      <c r="C7" s="30" t="s">
        <v>32</v>
      </c>
      <c r="D7" s="31">
        <f t="shared" si="0"/>
        <v>10250</v>
      </c>
      <c r="E7" s="24"/>
      <c r="F7" s="24">
        <v>0</v>
      </c>
      <c r="G7" s="24">
        <v>0</v>
      </c>
      <c r="H7" s="10">
        <v>7300</v>
      </c>
      <c r="I7" s="32">
        <v>2950</v>
      </c>
      <c r="J7" s="24">
        <v>0</v>
      </c>
      <c r="K7" s="24">
        <v>0</v>
      </c>
      <c r="L7" s="24"/>
      <c r="M7" s="24">
        <v>0</v>
      </c>
      <c r="N7" s="24">
        <v>0</v>
      </c>
      <c r="O7" s="24"/>
      <c r="P7" s="25"/>
      <c r="Q7" s="25"/>
      <c r="R7" s="25"/>
      <c r="S7" s="24">
        <v>0</v>
      </c>
    </row>
    <row r="8" spans="1:19" ht="18" x14ac:dyDescent="0.25">
      <c r="A8" s="35">
        <v>43585</v>
      </c>
      <c r="B8" s="21" t="s">
        <v>58</v>
      </c>
      <c r="C8" s="30" t="s">
        <v>33</v>
      </c>
      <c r="D8" s="31">
        <f t="shared" si="0"/>
        <v>2169</v>
      </c>
      <c r="E8" s="24"/>
      <c r="F8" s="24">
        <v>0</v>
      </c>
      <c r="G8" s="24">
        <v>0</v>
      </c>
      <c r="H8" s="24">
        <v>0</v>
      </c>
      <c r="I8" s="24">
        <v>0</v>
      </c>
      <c r="J8" s="10">
        <v>2169</v>
      </c>
      <c r="K8" s="24">
        <v>0</v>
      </c>
      <c r="L8" s="24"/>
      <c r="M8" s="24">
        <v>0</v>
      </c>
      <c r="N8" s="24">
        <v>0</v>
      </c>
      <c r="O8" s="24"/>
      <c r="P8" s="25"/>
      <c r="Q8" s="25"/>
      <c r="R8" s="25"/>
      <c r="S8" s="24">
        <v>0</v>
      </c>
    </row>
    <row r="9" spans="1:19" ht="18" x14ac:dyDescent="0.25">
      <c r="A9" s="35">
        <v>43585</v>
      </c>
      <c r="B9" s="21" t="s">
        <v>63</v>
      </c>
      <c r="C9" s="30" t="s">
        <v>35</v>
      </c>
      <c r="D9" s="31">
        <f t="shared" si="0"/>
        <v>875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/>
      <c r="M9" s="24">
        <v>0</v>
      </c>
      <c r="N9" s="10">
        <f>375+500</f>
        <v>875</v>
      </c>
      <c r="O9" s="24"/>
      <c r="P9" s="25"/>
      <c r="Q9" s="25"/>
      <c r="R9" s="25"/>
      <c r="S9" s="24">
        <v>0</v>
      </c>
    </row>
    <row r="10" spans="1:19" ht="15.75" x14ac:dyDescent="0.25">
      <c r="A10" s="35">
        <v>43585</v>
      </c>
      <c r="B10" s="12" t="s">
        <v>67</v>
      </c>
      <c r="C10" s="30" t="s">
        <v>36</v>
      </c>
      <c r="D10" s="31">
        <f t="shared" si="0"/>
        <v>1270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1270</v>
      </c>
      <c r="L10" s="24"/>
      <c r="M10" s="24">
        <v>0</v>
      </c>
      <c r="N10" s="24">
        <v>0</v>
      </c>
      <c r="O10" s="24"/>
      <c r="P10" s="25"/>
      <c r="Q10" s="25"/>
      <c r="R10" s="25"/>
      <c r="S10" s="24">
        <v>0</v>
      </c>
    </row>
    <row r="11" spans="1:19" x14ac:dyDescent="0.25">
      <c r="A11" s="35">
        <v>43585</v>
      </c>
      <c r="B11" s="44" t="s">
        <v>120</v>
      </c>
      <c r="C11" s="30" t="s">
        <v>34</v>
      </c>
      <c r="D11" s="31">
        <f t="shared" si="0"/>
        <v>230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/>
      <c r="M11" s="24">
        <v>0</v>
      </c>
      <c r="N11" s="24">
        <v>0</v>
      </c>
      <c r="O11" s="24"/>
      <c r="P11" s="24"/>
      <c r="Q11" s="24"/>
      <c r="R11" s="24"/>
      <c r="S11" s="24">
        <v>230</v>
      </c>
    </row>
    <row r="12" spans="1:19" ht="15.75" thickBot="1" x14ac:dyDescent="0.3">
      <c r="A12" s="35">
        <v>43585</v>
      </c>
      <c r="B12" s="26" t="s">
        <v>135</v>
      </c>
      <c r="C12" s="30" t="s">
        <v>37</v>
      </c>
      <c r="D12" s="31">
        <f t="shared" si="0"/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/>
      <c r="M12" s="24">
        <v>0</v>
      </c>
      <c r="N12" s="24">
        <v>0</v>
      </c>
      <c r="O12" s="24"/>
      <c r="P12" s="24"/>
      <c r="Q12" s="24"/>
      <c r="R12" s="24"/>
      <c r="S12" s="24">
        <v>0</v>
      </c>
    </row>
    <row r="13" spans="1:19" ht="16.5" thickBot="1" x14ac:dyDescent="0.3">
      <c r="A13" s="112" t="s">
        <v>66</v>
      </c>
      <c r="B13" s="107"/>
      <c r="C13" s="114"/>
      <c r="D13" s="34">
        <f t="shared" ref="D13:S13" si="1">SUM(D5:D12)</f>
        <v>39294</v>
      </c>
      <c r="E13" s="43">
        <f t="shared" si="1"/>
        <v>0</v>
      </c>
      <c r="F13" s="43">
        <f t="shared" si="1"/>
        <v>2000</v>
      </c>
      <c r="G13" s="43">
        <f t="shared" si="1"/>
        <v>22500</v>
      </c>
      <c r="H13" s="43">
        <f t="shared" si="1"/>
        <v>7300</v>
      </c>
      <c r="I13" s="43">
        <f t="shared" si="1"/>
        <v>2950</v>
      </c>
      <c r="J13" s="43">
        <f t="shared" si="1"/>
        <v>2169</v>
      </c>
      <c r="K13" s="43">
        <f t="shared" si="1"/>
        <v>1270</v>
      </c>
      <c r="L13" s="43">
        <f t="shared" si="1"/>
        <v>0</v>
      </c>
      <c r="M13" s="43">
        <f t="shared" si="1"/>
        <v>0</v>
      </c>
      <c r="N13" s="43">
        <f t="shared" si="1"/>
        <v>875</v>
      </c>
      <c r="O13" s="43">
        <f t="shared" si="1"/>
        <v>0</v>
      </c>
      <c r="P13" s="43">
        <f t="shared" si="1"/>
        <v>0</v>
      </c>
      <c r="Q13" s="43">
        <f t="shared" si="1"/>
        <v>0</v>
      </c>
      <c r="R13" s="43">
        <f t="shared" si="1"/>
        <v>0</v>
      </c>
      <c r="S13" s="43">
        <f t="shared" si="1"/>
        <v>230</v>
      </c>
    </row>
    <row r="15" spans="1:19" x14ac:dyDescent="0.25">
      <c r="M15" s="68"/>
    </row>
    <row r="16" spans="1:19" x14ac:dyDescent="0.25">
      <c r="M16" s="68"/>
    </row>
    <row r="17" spans="13:13" x14ac:dyDescent="0.25">
      <c r="M17" s="68"/>
    </row>
    <row r="18" spans="13:13" x14ac:dyDescent="0.25">
      <c r="M18" s="68"/>
    </row>
    <row r="19" spans="13:13" x14ac:dyDescent="0.25">
      <c r="M19" s="68"/>
    </row>
    <row r="20" spans="13:13" x14ac:dyDescent="0.25">
      <c r="M20" s="68"/>
    </row>
    <row r="21" spans="13:13" x14ac:dyDescent="0.25">
      <c r="M21" s="37"/>
    </row>
  </sheetData>
  <mergeCells count="3">
    <mergeCell ref="B1:G1"/>
    <mergeCell ref="B2:G2"/>
    <mergeCell ref="A13:C13"/>
  </mergeCells>
  <pageMargins left="1.45" right="0" top="0.75" bottom="0" header="0.3" footer="0.3"/>
  <pageSetup paperSize="9" orientation="landscape" r:id="rId1"/>
  <headerFooter differentOddEven="1">
    <oddFooter>&amp;RContin....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A5" zoomScaleNormal="100" workbookViewId="0">
      <selection activeCell="T17" sqref="T17"/>
    </sheetView>
  </sheetViews>
  <sheetFormatPr defaultRowHeight="15" x14ac:dyDescent="0.25"/>
  <cols>
    <col min="1" max="1" width="7.42578125" bestFit="1" customWidth="1"/>
    <col min="2" max="2" width="32.42578125" bestFit="1" customWidth="1"/>
    <col min="3" max="3" width="6" bestFit="1" customWidth="1"/>
    <col min="4" max="4" width="12.7109375" bestFit="1" customWidth="1"/>
    <col min="5" max="5" width="7.42578125" hidden="1" customWidth="1"/>
    <col min="6" max="6" width="11.42578125" bestFit="1" customWidth="1"/>
    <col min="7" max="7" width="7.42578125" hidden="1" customWidth="1"/>
    <col min="8" max="8" width="11.42578125" bestFit="1" customWidth="1"/>
    <col min="9" max="9" width="11.28515625" bestFit="1" customWidth="1"/>
    <col min="10" max="10" width="10.140625" customWidth="1"/>
    <col min="11" max="11" width="11.42578125" bestFit="1" customWidth="1"/>
    <col min="12" max="12" width="11.28515625" bestFit="1" customWidth="1"/>
    <col min="13" max="13" width="10" bestFit="1" customWidth="1"/>
    <col min="14" max="14" width="9.85546875" bestFit="1" customWidth="1"/>
    <col min="15" max="15" width="10" hidden="1" customWidth="1"/>
    <col min="16" max="18" width="0" hidden="1" customWidth="1"/>
    <col min="19" max="19" width="9.85546875" bestFit="1" customWidth="1"/>
    <col min="20" max="20" width="9.7109375" customWidth="1"/>
    <col min="21" max="23" width="0" hidden="1" customWidth="1"/>
    <col min="24" max="24" width="11" customWidth="1"/>
    <col min="25" max="25" width="11.42578125" customWidth="1"/>
    <col min="26" max="26" width="9.85546875" customWidth="1"/>
  </cols>
  <sheetData>
    <row r="1" spans="1:26" ht="36" x14ac:dyDescent="0.55000000000000004">
      <c r="A1" s="1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</row>
    <row r="2" spans="1:26" ht="26.25" x14ac:dyDescent="0.4">
      <c r="A2" s="1"/>
      <c r="B2" s="117" t="s">
        <v>118</v>
      </c>
      <c r="C2" s="117"/>
      <c r="D2" s="117"/>
      <c r="E2" s="117"/>
      <c r="F2" s="117"/>
      <c r="G2" s="117"/>
      <c r="H2" s="117"/>
      <c r="I2" s="117"/>
      <c r="J2" s="117"/>
      <c r="K2" s="117"/>
      <c r="L2" s="1"/>
      <c r="M2" s="1"/>
      <c r="N2" s="1"/>
      <c r="O2" s="1"/>
      <c r="P2" s="1"/>
      <c r="Q2" s="1"/>
      <c r="R2" s="1"/>
      <c r="S2" s="1"/>
      <c r="T2" s="1"/>
      <c r="Y2" s="1"/>
      <c r="Z2" s="1"/>
    </row>
    <row r="3" spans="1:26" ht="20.25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8.75" thickBot="1" x14ac:dyDescent="0.3">
      <c r="A4" s="13" t="s">
        <v>2</v>
      </c>
      <c r="B4" s="27" t="s">
        <v>3</v>
      </c>
      <c r="C4" s="15" t="s">
        <v>4</v>
      </c>
      <c r="D4" s="16" t="s">
        <v>5</v>
      </c>
      <c r="E4" s="17" t="s">
        <v>6</v>
      </c>
      <c r="F4" s="17" t="s">
        <v>7</v>
      </c>
      <c r="G4" s="17" t="s">
        <v>8</v>
      </c>
      <c r="H4" s="18" t="s">
        <v>9</v>
      </c>
      <c r="I4" s="17" t="s">
        <v>11</v>
      </c>
      <c r="J4" s="19" t="s">
        <v>12</v>
      </c>
      <c r="K4" s="19" t="s">
        <v>13</v>
      </c>
      <c r="L4" s="19" t="s">
        <v>14</v>
      </c>
      <c r="M4" s="19" t="s">
        <v>15</v>
      </c>
      <c r="N4" s="19" t="s">
        <v>17</v>
      </c>
      <c r="O4" s="19" t="s">
        <v>18</v>
      </c>
      <c r="P4" s="19" t="s">
        <v>19</v>
      </c>
      <c r="Q4" s="19" t="s">
        <v>20</v>
      </c>
      <c r="R4" s="19" t="s">
        <v>21</v>
      </c>
      <c r="S4" s="19" t="s">
        <v>22</v>
      </c>
      <c r="T4" s="19" t="s">
        <v>25</v>
      </c>
      <c r="U4" s="19" t="s">
        <v>26</v>
      </c>
      <c r="V4" s="19" t="s">
        <v>76</v>
      </c>
      <c r="W4" s="19" t="s">
        <v>27</v>
      </c>
      <c r="X4" s="19" t="s">
        <v>119</v>
      </c>
      <c r="Y4" s="19" t="s">
        <v>121</v>
      </c>
      <c r="Z4" s="19" t="s">
        <v>137</v>
      </c>
    </row>
    <row r="5" spans="1:26" ht="15.75" thickTop="1" x14ac:dyDescent="0.25">
      <c r="A5" s="35">
        <v>43616</v>
      </c>
      <c r="B5" s="26" t="s">
        <v>52</v>
      </c>
      <c r="C5" s="30" t="s">
        <v>30</v>
      </c>
      <c r="D5" s="31">
        <f>SUM(E5:Z5)</f>
        <v>18543</v>
      </c>
      <c r="E5" s="24"/>
      <c r="F5" s="32">
        <f>6043+760+10000+1740</f>
        <v>18543</v>
      </c>
      <c r="G5" s="24"/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</row>
    <row r="6" spans="1:26" x14ac:dyDescent="0.25">
      <c r="A6" s="35">
        <v>43616</v>
      </c>
      <c r="B6" s="26" t="s">
        <v>53</v>
      </c>
      <c r="C6" s="30" t="s">
        <v>31</v>
      </c>
      <c r="D6" s="31">
        <f>SUM(E6:Z6)</f>
        <v>42335</v>
      </c>
      <c r="E6" s="24"/>
      <c r="F6" s="24">
        <v>0</v>
      </c>
      <c r="G6" s="24"/>
      <c r="H6" s="32">
        <f>2000+1050+5760+12150+2250+14805+2070+2250</f>
        <v>42335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/>
      <c r="P6" s="24"/>
      <c r="Q6" s="24"/>
      <c r="R6" s="24"/>
      <c r="S6" s="24">
        <v>0</v>
      </c>
      <c r="T6" s="24">
        <v>0</v>
      </c>
      <c r="U6" s="24"/>
      <c r="V6" s="25"/>
      <c r="W6" s="25"/>
      <c r="X6" s="24">
        <v>0</v>
      </c>
      <c r="Y6" s="24">
        <v>0</v>
      </c>
      <c r="Z6" s="24">
        <v>0</v>
      </c>
    </row>
    <row r="7" spans="1:26" x14ac:dyDescent="0.25">
      <c r="A7" s="35">
        <v>43616</v>
      </c>
      <c r="B7" s="26" t="s">
        <v>50</v>
      </c>
      <c r="C7" s="30" t="s">
        <v>32</v>
      </c>
      <c r="D7" s="31">
        <f>SUM(E7:Z7)</f>
        <v>6720</v>
      </c>
      <c r="E7" s="24"/>
      <c r="F7" s="24">
        <v>0</v>
      </c>
      <c r="G7" s="24">
        <v>0</v>
      </c>
      <c r="H7" s="24" t="s">
        <v>95</v>
      </c>
      <c r="I7" s="28">
        <f>500+3820+1800+300+300</f>
        <v>6720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/>
      <c r="P7" s="24"/>
      <c r="Q7" s="24"/>
      <c r="R7" s="24"/>
      <c r="S7" s="24">
        <v>0</v>
      </c>
      <c r="T7" s="24">
        <v>0</v>
      </c>
      <c r="U7" s="24"/>
      <c r="V7" s="25"/>
      <c r="W7" s="25"/>
      <c r="X7" s="24">
        <v>0</v>
      </c>
      <c r="Y7" s="24">
        <v>0</v>
      </c>
      <c r="Z7" s="24">
        <v>0</v>
      </c>
    </row>
    <row r="8" spans="1:26" x14ac:dyDescent="0.25">
      <c r="A8" s="35">
        <v>43616</v>
      </c>
      <c r="B8" s="95" t="s">
        <v>56</v>
      </c>
      <c r="C8" s="30" t="s">
        <v>33</v>
      </c>
      <c r="D8" s="31">
        <f>SUM(E8:Z8)</f>
        <v>100</v>
      </c>
      <c r="E8" s="24"/>
      <c r="F8" s="24">
        <v>0</v>
      </c>
      <c r="G8" s="24">
        <v>0</v>
      </c>
      <c r="H8" s="24">
        <v>0</v>
      </c>
      <c r="I8" s="24">
        <v>0</v>
      </c>
      <c r="J8" s="11">
        <f>100</f>
        <v>100</v>
      </c>
      <c r="K8" s="24">
        <v>0</v>
      </c>
      <c r="L8" s="24">
        <v>0</v>
      </c>
      <c r="M8" s="24">
        <v>0</v>
      </c>
      <c r="N8" s="24">
        <v>0</v>
      </c>
      <c r="O8" s="24"/>
      <c r="P8" s="24"/>
      <c r="Q8" s="24"/>
      <c r="R8" s="24"/>
      <c r="S8" s="24">
        <v>0</v>
      </c>
      <c r="T8" s="24">
        <v>0</v>
      </c>
      <c r="U8" s="24"/>
      <c r="V8" s="25"/>
      <c r="W8" s="25"/>
      <c r="X8" s="24">
        <v>0</v>
      </c>
      <c r="Y8" s="24">
        <v>0</v>
      </c>
      <c r="Z8" s="24">
        <v>0</v>
      </c>
    </row>
    <row r="9" spans="1:26" x14ac:dyDescent="0.25">
      <c r="A9" s="35">
        <v>43616</v>
      </c>
      <c r="B9" s="95" t="s">
        <v>64</v>
      </c>
      <c r="C9" s="30" t="s">
        <v>35</v>
      </c>
      <c r="D9" s="31">
        <f>SUM(E9:Z9)</f>
        <v>61000</v>
      </c>
      <c r="E9" s="22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10">
        <v>61000</v>
      </c>
      <c r="L9" s="24">
        <v>0</v>
      </c>
      <c r="M9" s="24">
        <v>0</v>
      </c>
      <c r="N9" s="24">
        <v>0</v>
      </c>
      <c r="O9" s="22"/>
      <c r="P9" s="22"/>
      <c r="Q9" s="22"/>
      <c r="R9" s="22"/>
      <c r="S9" s="24">
        <v>0</v>
      </c>
      <c r="T9" s="24">
        <v>0</v>
      </c>
      <c r="U9" s="22"/>
      <c r="V9" s="23"/>
      <c r="W9" s="23"/>
      <c r="X9" s="24">
        <v>0</v>
      </c>
      <c r="Y9" s="24">
        <v>0</v>
      </c>
      <c r="Z9" s="24">
        <v>0</v>
      </c>
    </row>
    <row r="10" spans="1:26" x14ac:dyDescent="0.25">
      <c r="A10" s="35">
        <v>43616</v>
      </c>
      <c r="B10" s="95" t="s">
        <v>68</v>
      </c>
      <c r="C10" s="30" t="s">
        <v>36</v>
      </c>
      <c r="D10" s="31">
        <f>SUM(E10:Z10)</f>
        <v>18000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/>
      <c r="L10" s="10">
        <v>12752</v>
      </c>
      <c r="M10" s="32">
        <v>5248</v>
      </c>
      <c r="N10" s="24">
        <v>0</v>
      </c>
      <c r="O10" s="24"/>
      <c r="P10" s="24"/>
      <c r="Q10" s="24"/>
      <c r="R10" s="24"/>
      <c r="S10" s="24">
        <v>0</v>
      </c>
      <c r="T10" s="24">
        <v>0</v>
      </c>
      <c r="U10" s="24"/>
      <c r="V10" s="25"/>
      <c r="W10" s="25"/>
      <c r="X10" s="24">
        <v>0</v>
      </c>
      <c r="Y10" s="24">
        <v>0</v>
      </c>
      <c r="Z10" s="24">
        <v>0</v>
      </c>
    </row>
    <row r="11" spans="1:26" x14ac:dyDescent="0.25">
      <c r="A11" s="35">
        <v>43616</v>
      </c>
      <c r="B11" s="95" t="s">
        <v>61</v>
      </c>
      <c r="C11" s="30" t="s">
        <v>34</v>
      </c>
      <c r="D11" s="31">
        <f>SUM(E11:Z11)</f>
        <v>100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/>
      <c r="P11" s="24"/>
      <c r="Q11" s="24"/>
      <c r="R11" s="24"/>
      <c r="S11" s="10">
        <f>100</f>
        <v>100</v>
      </c>
      <c r="T11" s="24">
        <v>0</v>
      </c>
      <c r="U11" s="24"/>
      <c r="V11" s="25"/>
      <c r="W11" s="25"/>
      <c r="X11" s="24">
        <v>0</v>
      </c>
      <c r="Y11" s="24">
        <v>0</v>
      </c>
      <c r="Z11" s="24">
        <v>0</v>
      </c>
    </row>
    <row r="12" spans="1:26" x14ac:dyDescent="0.25">
      <c r="A12" s="35">
        <v>43616</v>
      </c>
      <c r="B12" s="95" t="s">
        <v>63</v>
      </c>
      <c r="C12" s="30" t="s">
        <v>37</v>
      </c>
      <c r="D12" s="31">
        <f>SUM(E12:Z12)</f>
        <v>2000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/>
      <c r="P12" s="24"/>
      <c r="Q12" s="24"/>
      <c r="R12" s="24"/>
      <c r="S12" s="24">
        <v>0</v>
      </c>
      <c r="T12" s="10">
        <f>670+100+350+250+630</f>
        <v>2000</v>
      </c>
      <c r="U12" s="24"/>
      <c r="V12" s="25"/>
      <c r="W12" s="25"/>
      <c r="X12" s="24">
        <v>0</v>
      </c>
      <c r="Y12" s="24">
        <v>0</v>
      </c>
      <c r="Z12" s="24">
        <v>0</v>
      </c>
    </row>
    <row r="13" spans="1:26" x14ac:dyDescent="0.25">
      <c r="A13" s="35">
        <v>43616</v>
      </c>
      <c r="B13" s="95" t="s">
        <v>67</v>
      </c>
      <c r="C13" s="30" t="s">
        <v>38</v>
      </c>
      <c r="D13" s="31">
        <f>SUM(E13:Z13)</f>
        <v>1340</v>
      </c>
      <c r="E13" s="24"/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32">
        <v>1340</v>
      </c>
      <c r="O13" s="24"/>
      <c r="P13" s="24"/>
      <c r="Q13" s="24"/>
      <c r="R13" s="24"/>
      <c r="S13" s="24">
        <v>0</v>
      </c>
      <c r="T13" s="24">
        <v>0</v>
      </c>
      <c r="U13" s="24"/>
      <c r="V13" s="25"/>
      <c r="W13" s="25"/>
      <c r="X13" s="24">
        <v>0</v>
      </c>
      <c r="Y13" s="24">
        <v>0</v>
      </c>
      <c r="Z13" s="24">
        <v>0</v>
      </c>
    </row>
    <row r="14" spans="1:26" x14ac:dyDescent="0.25">
      <c r="A14" s="35">
        <v>43616</v>
      </c>
      <c r="B14" s="96" t="s">
        <v>60</v>
      </c>
      <c r="C14" s="30" t="s">
        <v>39</v>
      </c>
      <c r="D14" s="31">
        <f>SUM(E14:Z14)</f>
        <v>240</v>
      </c>
      <c r="E14" s="24"/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/>
      <c r="V14" s="24"/>
      <c r="W14" s="24"/>
      <c r="X14" s="24">
        <v>0</v>
      </c>
      <c r="Y14" s="24">
        <f>240</f>
        <v>240</v>
      </c>
      <c r="Z14" s="24">
        <v>0</v>
      </c>
    </row>
    <row r="15" spans="1:26" ht="29.25" x14ac:dyDescent="0.25">
      <c r="A15" s="35">
        <v>43616</v>
      </c>
      <c r="B15" s="98" t="s">
        <v>122</v>
      </c>
      <c r="C15" s="30" t="s">
        <v>40</v>
      </c>
      <c r="D15" s="31">
        <f>SUM(E15:Z15)</f>
        <v>22500</v>
      </c>
      <c r="E15" s="24"/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22500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/>
      <c r="V15" s="24"/>
      <c r="W15" s="24"/>
      <c r="X15" s="24">
        <v>0</v>
      </c>
      <c r="Y15" s="32">
        <v>0</v>
      </c>
      <c r="Z15" s="24">
        <v>0</v>
      </c>
    </row>
    <row r="16" spans="1:26" x14ac:dyDescent="0.25">
      <c r="A16" s="35">
        <v>43616</v>
      </c>
      <c r="B16" s="26" t="s">
        <v>141</v>
      </c>
      <c r="C16" s="30" t="s">
        <v>41</v>
      </c>
      <c r="D16" s="31">
        <f>SUM(E16:Z16)</f>
        <v>0</v>
      </c>
      <c r="E16" s="24"/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/>
      <c r="V16" s="24"/>
      <c r="W16" s="24"/>
      <c r="X16" s="24">
        <v>0</v>
      </c>
      <c r="Y16" s="24">
        <v>0</v>
      </c>
      <c r="Z16" s="24">
        <v>0</v>
      </c>
    </row>
    <row r="17" spans="1:26" x14ac:dyDescent="0.25">
      <c r="A17" s="35">
        <v>43616</v>
      </c>
      <c r="B17" s="26" t="s">
        <v>120</v>
      </c>
      <c r="C17" s="30" t="s">
        <v>42</v>
      </c>
      <c r="D17" s="31">
        <f>SUM(E17:Z17)</f>
        <v>420</v>
      </c>
      <c r="E17" s="24"/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/>
      <c r="V17" s="24"/>
      <c r="W17" s="24"/>
      <c r="X17" s="32">
        <f>270+150</f>
        <v>420</v>
      </c>
      <c r="Y17" s="24">
        <v>0</v>
      </c>
      <c r="Z17" s="24">
        <v>0</v>
      </c>
    </row>
    <row r="18" spans="1:26" ht="16.5" thickBot="1" x14ac:dyDescent="0.3">
      <c r="A18" s="106" t="s">
        <v>66</v>
      </c>
      <c r="B18" s="107"/>
      <c r="C18" s="108"/>
      <c r="D18" s="43">
        <f t="shared" ref="D18:Z18" si="0">SUM(D5:D17)</f>
        <v>173298</v>
      </c>
      <c r="E18" s="43">
        <f t="shared" si="0"/>
        <v>0</v>
      </c>
      <c r="F18" s="43">
        <f t="shared" si="0"/>
        <v>18543</v>
      </c>
      <c r="G18" s="43">
        <f t="shared" si="0"/>
        <v>0</v>
      </c>
      <c r="H18" s="43">
        <f t="shared" si="0"/>
        <v>42335</v>
      </c>
      <c r="I18" s="43">
        <f t="shared" si="0"/>
        <v>6720</v>
      </c>
      <c r="J18" s="43">
        <f t="shared" si="0"/>
        <v>100</v>
      </c>
      <c r="K18" s="43">
        <f t="shared" si="0"/>
        <v>83500</v>
      </c>
      <c r="L18" s="43">
        <f t="shared" si="0"/>
        <v>12752</v>
      </c>
      <c r="M18" s="43">
        <f t="shared" si="0"/>
        <v>5248</v>
      </c>
      <c r="N18" s="43">
        <f t="shared" si="0"/>
        <v>1340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100</v>
      </c>
      <c r="T18" s="43">
        <f t="shared" si="0"/>
        <v>2000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420</v>
      </c>
      <c r="Y18" s="43">
        <f t="shared" si="0"/>
        <v>240</v>
      </c>
      <c r="Z18" s="43">
        <f t="shared" si="0"/>
        <v>0</v>
      </c>
    </row>
  </sheetData>
  <mergeCells count="3">
    <mergeCell ref="B1:K1"/>
    <mergeCell ref="B2:K2"/>
    <mergeCell ref="A18:C18"/>
  </mergeCells>
  <pageMargins left="1.25" right="0.25" top="0.75" bottom="0.75" header="0.3" footer="0.3"/>
  <pageSetup paperSize="9" orientation="landscape" r:id="rId1"/>
  <headerFooter differentOddEven="1">
    <oddFooter>&amp;RContin....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opLeftCell="A5" zoomScaleNormal="100" workbookViewId="0">
      <selection activeCell="D19" sqref="D19"/>
    </sheetView>
  </sheetViews>
  <sheetFormatPr defaultRowHeight="15" x14ac:dyDescent="0.25"/>
  <cols>
    <col min="1" max="1" width="7" bestFit="1" customWidth="1"/>
    <col min="2" max="2" width="32.42578125" bestFit="1" customWidth="1"/>
    <col min="3" max="3" width="6" bestFit="1" customWidth="1"/>
    <col min="4" max="4" width="12.85546875" bestFit="1" customWidth="1"/>
    <col min="5" max="5" width="7.42578125" hidden="1" customWidth="1"/>
    <col min="6" max="6" width="11.42578125" bestFit="1" customWidth="1"/>
    <col min="7" max="7" width="0" hidden="1" customWidth="1"/>
    <col min="8" max="8" width="11.42578125" bestFit="1" customWidth="1"/>
    <col min="9" max="9" width="0" hidden="1" customWidth="1"/>
    <col min="10" max="10" width="11.28515625" bestFit="1" customWidth="1"/>
    <col min="11" max="11" width="9.7109375" bestFit="1" customWidth="1"/>
    <col min="12" max="12" width="11.42578125" bestFit="1" customWidth="1"/>
    <col min="13" max="13" width="11.5703125" bestFit="1" customWidth="1"/>
    <col min="14" max="14" width="10.42578125" bestFit="1" customWidth="1"/>
    <col min="15" max="15" width="9.85546875" bestFit="1" customWidth="1"/>
    <col min="16" max="16" width="9.7109375" bestFit="1" customWidth="1"/>
    <col min="17" max="17" width="9.85546875" bestFit="1" customWidth="1"/>
    <col min="18" max="20" width="0" hidden="1" customWidth="1"/>
    <col min="21" max="21" width="9.85546875" bestFit="1" customWidth="1"/>
    <col min="22" max="22" width="0" hidden="1" customWidth="1"/>
    <col min="24" max="24" width="10" bestFit="1" customWidth="1"/>
    <col min="25" max="26" width="0" hidden="1" customWidth="1"/>
    <col min="27" max="27" width="9.85546875" bestFit="1" customWidth="1"/>
    <col min="28" max="30" width="0" hidden="1" customWidth="1"/>
    <col min="31" max="31" width="9.140625" customWidth="1"/>
    <col min="32" max="32" width="11.42578125" bestFit="1" customWidth="1"/>
  </cols>
  <sheetData>
    <row r="1" spans="1:32" ht="36" x14ac:dyDescent="0.55000000000000004">
      <c r="A1" s="1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32" ht="26.25" x14ac:dyDescent="0.4">
      <c r="A2" s="1"/>
      <c r="B2" s="117" t="s">
        <v>84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"/>
      <c r="N2" s="1"/>
      <c r="O2" s="1"/>
      <c r="P2" s="1"/>
      <c r="Q2" s="1"/>
      <c r="R2" s="1"/>
      <c r="S2" s="1"/>
      <c r="T2" s="1"/>
      <c r="U2" s="1"/>
      <c r="V2" s="3"/>
      <c r="W2" s="1"/>
      <c r="X2" s="1"/>
      <c r="AC2" s="1"/>
      <c r="AD2" s="1"/>
      <c r="AE2" s="1"/>
      <c r="AF2" s="1"/>
    </row>
    <row r="3" spans="1:32" ht="20.25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78" customHeight="1" thickBot="1" x14ac:dyDescent="0.3">
      <c r="A4" s="13" t="s">
        <v>2</v>
      </c>
      <c r="B4" s="27" t="s">
        <v>3</v>
      </c>
      <c r="C4" s="15" t="s">
        <v>4</v>
      </c>
      <c r="D4" s="16" t="s">
        <v>5</v>
      </c>
      <c r="E4" s="17" t="s">
        <v>6</v>
      </c>
      <c r="F4" s="17" t="s">
        <v>7</v>
      </c>
      <c r="G4" s="17" t="s">
        <v>8</v>
      </c>
      <c r="H4" s="18" t="s">
        <v>9</v>
      </c>
      <c r="I4" s="17" t="s">
        <v>10</v>
      </c>
      <c r="J4" s="17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131</v>
      </c>
      <c r="P4" s="19" t="s">
        <v>73</v>
      </c>
      <c r="Q4" s="19" t="s">
        <v>18</v>
      </c>
      <c r="R4" s="19" t="s">
        <v>19</v>
      </c>
      <c r="S4" s="19" t="s">
        <v>20</v>
      </c>
      <c r="T4" s="19" t="s">
        <v>21</v>
      </c>
      <c r="U4" s="19" t="s">
        <v>22</v>
      </c>
      <c r="V4" s="19" t="s">
        <v>23</v>
      </c>
      <c r="W4" s="19" t="s">
        <v>114</v>
      </c>
      <c r="X4" s="19" t="s">
        <v>25</v>
      </c>
      <c r="Y4" s="19" t="s">
        <v>26</v>
      </c>
      <c r="Z4" s="19" t="s">
        <v>76</v>
      </c>
      <c r="AA4" s="19" t="s">
        <v>120</v>
      </c>
      <c r="AB4" s="19" t="s">
        <v>79</v>
      </c>
      <c r="AC4" s="19" t="s">
        <v>83</v>
      </c>
      <c r="AD4" s="19" t="s">
        <v>73</v>
      </c>
      <c r="AE4" s="20" t="s">
        <v>142</v>
      </c>
      <c r="AF4" s="20" t="s">
        <v>29</v>
      </c>
    </row>
    <row r="5" spans="1:32" ht="15.75" thickTop="1" x14ac:dyDescent="0.25">
      <c r="A5" s="35">
        <v>43646</v>
      </c>
      <c r="B5" s="26" t="s">
        <v>52</v>
      </c>
      <c r="C5" s="30" t="s">
        <v>30</v>
      </c>
      <c r="D5" s="31">
        <f t="shared" ref="D5:D19" si="0">SUM(E5:AF5)</f>
        <v>60115</v>
      </c>
      <c r="E5" s="24"/>
      <c r="F5" s="32">
        <f>5000+15140+960+4150+4185+9690+6200+4790+5000+5000</f>
        <v>60115</v>
      </c>
      <c r="G5" s="24"/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</row>
    <row r="6" spans="1:32" x14ac:dyDescent="0.25">
      <c r="A6" s="35">
        <v>43646</v>
      </c>
      <c r="B6" s="26" t="s">
        <v>53</v>
      </c>
      <c r="C6" s="30" t="s">
        <v>31</v>
      </c>
      <c r="D6" s="31">
        <f t="shared" si="0"/>
        <v>34571</v>
      </c>
      <c r="E6" s="24"/>
      <c r="F6" s="24">
        <v>0</v>
      </c>
      <c r="G6" s="24"/>
      <c r="H6" s="32">
        <f>1800+3330+180+1260+15111+1890+11000</f>
        <v>34571</v>
      </c>
      <c r="I6" s="24"/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/>
      <c r="S6" s="24"/>
      <c r="T6" s="24"/>
      <c r="U6" s="24">
        <v>0</v>
      </c>
      <c r="V6" s="24"/>
      <c r="W6" s="24">
        <v>0</v>
      </c>
      <c r="X6" s="24">
        <v>0</v>
      </c>
      <c r="Y6" s="24"/>
      <c r="Z6" s="25"/>
      <c r="AA6" s="24">
        <v>0</v>
      </c>
      <c r="AB6" s="25"/>
      <c r="AC6" s="25"/>
      <c r="AD6" s="25"/>
      <c r="AE6" s="24">
        <v>0</v>
      </c>
      <c r="AF6" s="24">
        <v>0</v>
      </c>
    </row>
    <row r="7" spans="1:32" x14ac:dyDescent="0.25">
      <c r="A7" s="35">
        <v>43646</v>
      </c>
      <c r="B7" s="26" t="s">
        <v>50</v>
      </c>
      <c r="C7" s="30" t="s">
        <v>32</v>
      </c>
      <c r="D7" s="31">
        <f>SUM(E7:AF7)</f>
        <v>19090</v>
      </c>
      <c r="E7" s="24"/>
      <c r="F7" s="24">
        <v>0</v>
      </c>
      <c r="G7" s="24">
        <v>0</v>
      </c>
      <c r="H7" s="24">
        <v>0</v>
      </c>
      <c r="I7" s="24"/>
      <c r="J7" s="28">
        <f>3030+300+3190+90+500+480+100+150+4400+2350+4500</f>
        <v>19090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/>
      <c r="S7" s="24"/>
      <c r="T7" s="24"/>
      <c r="U7" s="24">
        <v>0</v>
      </c>
      <c r="V7" s="24"/>
      <c r="W7" s="24">
        <v>0</v>
      </c>
      <c r="X7" s="24">
        <v>0</v>
      </c>
      <c r="Y7" s="24"/>
      <c r="Z7" s="25"/>
      <c r="AA7" s="24">
        <v>0</v>
      </c>
      <c r="AB7" s="25"/>
      <c r="AC7" s="25"/>
      <c r="AD7" s="25"/>
      <c r="AE7" s="24">
        <v>0</v>
      </c>
      <c r="AF7" s="24">
        <v>0</v>
      </c>
    </row>
    <row r="8" spans="1:32" x14ac:dyDescent="0.25">
      <c r="A8" s="35">
        <v>43646</v>
      </c>
      <c r="B8" s="95" t="s">
        <v>56</v>
      </c>
      <c r="C8" s="30" t="s">
        <v>33</v>
      </c>
      <c r="D8" s="31">
        <f t="shared" si="0"/>
        <v>640</v>
      </c>
      <c r="E8" s="24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11">
        <f>90+450+100</f>
        <v>640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/>
      <c r="S8" s="24"/>
      <c r="T8" s="24"/>
      <c r="U8" s="24">
        <v>0</v>
      </c>
      <c r="V8" s="24"/>
      <c r="W8" s="24">
        <v>0</v>
      </c>
      <c r="X8" s="24">
        <v>0</v>
      </c>
      <c r="Y8" s="24"/>
      <c r="Z8" s="25"/>
      <c r="AA8" s="24">
        <v>0</v>
      </c>
      <c r="AB8" s="25"/>
      <c r="AC8" s="25"/>
      <c r="AD8" s="25"/>
      <c r="AE8" s="24">
        <v>0</v>
      </c>
      <c r="AF8" s="24">
        <v>0</v>
      </c>
    </row>
    <row r="9" spans="1:32" x14ac:dyDescent="0.25">
      <c r="A9" s="35">
        <v>43646</v>
      </c>
      <c r="B9" s="95" t="s">
        <v>64</v>
      </c>
      <c r="C9" s="30" t="s">
        <v>35</v>
      </c>
      <c r="D9" s="31">
        <f t="shared" si="0"/>
        <v>61000</v>
      </c>
      <c r="E9" s="22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10">
        <v>61000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2"/>
      <c r="S9" s="22"/>
      <c r="T9" s="22"/>
      <c r="U9" s="24">
        <v>0</v>
      </c>
      <c r="V9" s="22"/>
      <c r="W9" s="24">
        <v>0</v>
      </c>
      <c r="X9" s="24">
        <v>0</v>
      </c>
      <c r="Y9" s="22"/>
      <c r="Z9" s="23"/>
      <c r="AA9" s="24">
        <v>0</v>
      </c>
      <c r="AB9" s="23"/>
      <c r="AC9" s="23"/>
      <c r="AD9" s="23"/>
      <c r="AE9" s="24">
        <v>0</v>
      </c>
      <c r="AF9" s="24">
        <v>0</v>
      </c>
    </row>
    <row r="10" spans="1:32" x14ac:dyDescent="0.25">
      <c r="A10" s="35">
        <v>43646</v>
      </c>
      <c r="B10" s="95" t="s">
        <v>68</v>
      </c>
      <c r="C10" s="30" t="s">
        <v>36</v>
      </c>
      <c r="D10" s="31">
        <f t="shared" si="0"/>
        <v>20545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101">
        <v>14641</v>
      </c>
      <c r="N10" s="99">
        <v>5904</v>
      </c>
      <c r="O10" s="24">
        <v>0</v>
      </c>
      <c r="P10" s="24">
        <v>0</v>
      </c>
      <c r="Q10" s="24">
        <v>0</v>
      </c>
      <c r="R10" s="24"/>
      <c r="S10" s="24"/>
      <c r="T10" s="24"/>
      <c r="U10" s="24">
        <v>0</v>
      </c>
      <c r="V10" s="24"/>
      <c r="W10" s="24">
        <v>0</v>
      </c>
      <c r="X10" s="24">
        <v>0</v>
      </c>
      <c r="Y10" s="24"/>
      <c r="Z10" s="25"/>
      <c r="AA10" s="24">
        <v>0</v>
      </c>
      <c r="AB10" s="25"/>
      <c r="AC10" s="25"/>
      <c r="AD10" s="25"/>
      <c r="AE10" s="24">
        <v>0</v>
      </c>
      <c r="AF10" s="24">
        <v>0</v>
      </c>
    </row>
    <row r="11" spans="1:32" x14ac:dyDescent="0.25">
      <c r="A11" s="35">
        <v>43646</v>
      </c>
      <c r="B11" s="95" t="s">
        <v>130</v>
      </c>
      <c r="C11" s="30" t="s">
        <v>34</v>
      </c>
      <c r="D11" s="31">
        <f t="shared" si="0"/>
        <v>1270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102">
        <v>0</v>
      </c>
      <c r="N11" s="100">
        <v>0</v>
      </c>
      <c r="O11" s="10">
        <v>1270</v>
      </c>
      <c r="P11" s="24">
        <v>0</v>
      </c>
      <c r="Q11" s="24">
        <v>0</v>
      </c>
      <c r="R11" s="24"/>
      <c r="S11" s="24"/>
      <c r="T11" s="24"/>
      <c r="U11" s="24">
        <v>0</v>
      </c>
      <c r="V11" s="24"/>
      <c r="W11" s="24">
        <v>0</v>
      </c>
      <c r="X11" s="24">
        <v>0</v>
      </c>
      <c r="Y11" s="24"/>
      <c r="Z11" s="25"/>
      <c r="AA11" s="24">
        <v>0</v>
      </c>
      <c r="AB11" s="25"/>
      <c r="AC11" s="25"/>
      <c r="AD11" s="25"/>
      <c r="AE11" s="24">
        <v>0</v>
      </c>
      <c r="AF11" s="24">
        <v>0</v>
      </c>
    </row>
    <row r="12" spans="1:32" x14ac:dyDescent="0.25">
      <c r="A12" s="35">
        <v>43646</v>
      </c>
      <c r="B12" s="95" t="s">
        <v>60</v>
      </c>
      <c r="C12" s="30" t="s">
        <v>37</v>
      </c>
      <c r="D12" s="31">
        <f t="shared" si="0"/>
        <v>5066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10">
        <f>4360+500+56+150</f>
        <v>5066</v>
      </c>
      <c r="R12" s="24"/>
      <c r="S12" s="24"/>
      <c r="T12" s="24"/>
      <c r="U12" s="24">
        <v>0</v>
      </c>
      <c r="V12" s="24"/>
      <c r="W12" s="24">
        <v>0</v>
      </c>
      <c r="X12" s="24">
        <v>0</v>
      </c>
      <c r="Y12" s="24"/>
      <c r="Z12" s="25"/>
      <c r="AA12" s="24">
        <v>0</v>
      </c>
      <c r="AB12" s="25"/>
      <c r="AC12" s="25"/>
      <c r="AD12" s="25"/>
      <c r="AE12" s="24">
        <v>0</v>
      </c>
      <c r="AF12" s="24">
        <v>0</v>
      </c>
    </row>
    <row r="13" spans="1:32" x14ac:dyDescent="0.25">
      <c r="A13" s="35">
        <v>43646</v>
      </c>
      <c r="B13" s="95" t="s">
        <v>61</v>
      </c>
      <c r="C13" s="30" t="s">
        <v>38</v>
      </c>
      <c r="D13" s="31">
        <f t="shared" si="0"/>
        <v>90</v>
      </c>
      <c r="E13" s="24"/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/>
      <c r="S13" s="24"/>
      <c r="T13" s="24"/>
      <c r="U13" s="10">
        <f>90</f>
        <v>90</v>
      </c>
      <c r="V13" s="24"/>
      <c r="W13" s="24">
        <v>0</v>
      </c>
      <c r="X13" s="24">
        <v>0</v>
      </c>
      <c r="Y13" s="24"/>
      <c r="Z13" s="25"/>
      <c r="AA13" s="24">
        <v>0</v>
      </c>
      <c r="AB13" s="25"/>
      <c r="AC13" s="25"/>
      <c r="AD13" s="25"/>
      <c r="AE13" s="24">
        <v>0</v>
      </c>
      <c r="AF13" s="24">
        <v>0</v>
      </c>
    </row>
    <row r="14" spans="1:32" x14ac:dyDescent="0.25">
      <c r="A14" s="35">
        <v>43646</v>
      </c>
      <c r="B14" s="95" t="s">
        <v>63</v>
      </c>
      <c r="C14" s="30" t="s">
        <v>39</v>
      </c>
      <c r="D14" s="31">
        <f t="shared" si="0"/>
        <v>3344</v>
      </c>
      <c r="E14" s="24"/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/>
      <c r="S14" s="24"/>
      <c r="T14" s="24"/>
      <c r="U14" s="24">
        <v>0</v>
      </c>
      <c r="V14" s="24"/>
      <c r="W14" s="24">
        <v>0</v>
      </c>
      <c r="X14" s="10">
        <f>630+60+524+900+240+150+140+700</f>
        <v>3344</v>
      </c>
      <c r="Y14" s="24"/>
      <c r="Z14" s="25"/>
      <c r="AA14" s="24">
        <v>0</v>
      </c>
      <c r="AB14" s="25"/>
      <c r="AC14" s="25"/>
      <c r="AD14" s="25"/>
      <c r="AE14" s="24">
        <v>0</v>
      </c>
      <c r="AF14" s="24">
        <v>0</v>
      </c>
    </row>
    <row r="15" spans="1:32" x14ac:dyDescent="0.25">
      <c r="A15" s="35">
        <v>43646</v>
      </c>
      <c r="B15" s="95" t="s">
        <v>120</v>
      </c>
      <c r="C15" s="30" t="s">
        <v>40</v>
      </c>
      <c r="D15" s="31">
        <f t="shared" si="0"/>
        <v>1050</v>
      </c>
      <c r="E15" s="24"/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/>
      <c r="S15" s="24"/>
      <c r="T15" s="24"/>
      <c r="U15" s="24">
        <v>0</v>
      </c>
      <c r="V15" s="24"/>
      <c r="W15" s="24">
        <v>0</v>
      </c>
      <c r="X15" s="24">
        <v>0</v>
      </c>
      <c r="Y15" s="24"/>
      <c r="Z15" s="25"/>
      <c r="AA15" s="11">
        <f>1050</f>
        <v>1050</v>
      </c>
      <c r="AB15" s="42"/>
      <c r="AC15" s="25"/>
      <c r="AD15" s="25"/>
      <c r="AE15" s="24">
        <v>0</v>
      </c>
      <c r="AF15" s="24">
        <v>0</v>
      </c>
    </row>
    <row r="16" spans="1:32" x14ac:dyDescent="0.25">
      <c r="A16" s="35">
        <v>43646</v>
      </c>
      <c r="B16" s="95" t="s">
        <v>74</v>
      </c>
      <c r="C16" s="30" t="s">
        <v>41</v>
      </c>
      <c r="D16" s="31">
        <f t="shared" si="0"/>
        <v>900</v>
      </c>
      <c r="E16" s="24"/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32">
        <f>900</f>
        <v>900</v>
      </c>
      <c r="Q16" s="24">
        <v>0</v>
      </c>
      <c r="R16" s="24"/>
      <c r="S16" s="24"/>
      <c r="T16" s="24"/>
      <c r="U16" s="24">
        <v>0</v>
      </c>
      <c r="V16" s="24"/>
      <c r="W16" s="24">
        <v>0</v>
      </c>
      <c r="X16" s="24">
        <v>0</v>
      </c>
      <c r="Y16" s="24"/>
      <c r="Z16" s="25"/>
      <c r="AA16" s="25">
        <v>0</v>
      </c>
      <c r="AB16" s="25"/>
      <c r="AC16" s="25"/>
      <c r="AD16" s="25"/>
      <c r="AE16" s="24">
        <v>0</v>
      </c>
      <c r="AF16" s="24">
        <v>0</v>
      </c>
    </row>
    <row r="17" spans="1:32" x14ac:dyDescent="0.25">
      <c r="A17" s="35">
        <v>43646</v>
      </c>
      <c r="B17" s="28" t="s">
        <v>75</v>
      </c>
      <c r="C17" s="30" t="s">
        <v>42</v>
      </c>
      <c r="D17" s="31">
        <f t="shared" si="0"/>
        <v>30000</v>
      </c>
      <c r="E17" s="24"/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/>
      <c r="W17" s="24">
        <v>0</v>
      </c>
      <c r="X17" s="24">
        <v>0</v>
      </c>
      <c r="Y17" s="24"/>
      <c r="Z17" s="24"/>
      <c r="AA17" s="25">
        <v>0</v>
      </c>
      <c r="AB17" s="24"/>
      <c r="AC17" s="24"/>
      <c r="AD17" s="24"/>
      <c r="AE17" s="24">
        <v>0</v>
      </c>
      <c r="AF17" s="32">
        <v>30000</v>
      </c>
    </row>
    <row r="18" spans="1:32" x14ac:dyDescent="0.25">
      <c r="A18" s="35">
        <v>43646</v>
      </c>
      <c r="B18" s="26" t="s">
        <v>55</v>
      </c>
      <c r="C18" s="30" t="s">
        <v>43</v>
      </c>
      <c r="D18" s="31">
        <f t="shared" si="0"/>
        <v>500</v>
      </c>
      <c r="E18" s="24"/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/>
      <c r="W18" s="32">
        <f>500</f>
        <v>500</v>
      </c>
      <c r="X18" s="24">
        <v>0</v>
      </c>
      <c r="Y18" s="24"/>
      <c r="Z18" s="24"/>
      <c r="AA18" s="25">
        <v>0</v>
      </c>
      <c r="AB18" s="24"/>
      <c r="AC18" s="24"/>
      <c r="AD18" s="24"/>
      <c r="AE18" s="24">
        <v>0</v>
      </c>
      <c r="AF18" s="24">
        <v>0</v>
      </c>
    </row>
    <row r="19" spans="1:32" ht="15.75" thickBot="1" x14ac:dyDescent="0.3">
      <c r="A19" s="35">
        <v>43646</v>
      </c>
      <c r="B19" s="26" t="s">
        <v>135</v>
      </c>
      <c r="C19" s="30" t="s">
        <v>44</v>
      </c>
      <c r="D19" s="31">
        <f t="shared" si="0"/>
        <v>0</v>
      </c>
      <c r="E19" s="24"/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/>
      <c r="W19" s="24"/>
      <c r="X19" s="24">
        <v>0</v>
      </c>
      <c r="Y19" s="24"/>
      <c r="Z19" s="24"/>
      <c r="AA19" s="25">
        <v>0</v>
      </c>
      <c r="AB19" s="24"/>
      <c r="AC19" s="24"/>
      <c r="AD19" s="24"/>
      <c r="AE19" s="24">
        <v>0</v>
      </c>
      <c r="AF19" s="32">
        <v>0</v>
      </c>
    </row>
    <row r="20" spans="1:32" ht="16.5" thickBot="1" x14ac:dyDescent="0.3">
      <c r="A20" s="112" t="s">
        <v>66</v>
      </c>
      <c r="B20" s="107"/>
      <c r="C20" s="114"/>
      <c r="D20" s="34">
        <f>SUM(D5:D19)</f>
        <v>238181</v>
      </c>
      <c r="E20" s="34">
        <f t="shared" ref="E20:AF20" si="1">SUM(E5:E19)</f>
        <v>0</v>
      </c>
      <c r="F20" s="34">
        <f t="shared" si="1"/>
        <v>60115</v>
      </c>
      <c r="G20" s="34">
        <f t="shared" si="1"/>
        <v>0</v>
      </c>
      <c r="H20" s="34">
        <f t="shared" si="1"/>
        <v>34571</v>
      </c>
      <c r="I20" s="34">
        <f t="shared" si="1"/>
        <v>0</v>
      </c>
      <c r="J20" s="34">
        <f t="shared" si="1"/>
        <v>19090</v>
      </c>
      <c r="K20" s="34">
        <f t="shared" si="1"/>
        <v>640</v>
      </c>
      <c r="L20" s="34">
        <f t="shared" si="1"/>
        <v>61000</v>
      </c>
      <c r="M20" s="34">
        <f t="shared" si="1"/>
        <v>14641</v>
      </c>
      <c r="N20" s="34">
        <f t="shared" si="1"/>
        <v>5904</v>
      </c>
      <c r="O20" s="34">
        <f t="shared" si="1"/>
        <v>1270</v>
      </c>
      <c r="P20" s="34">
        <f t="shared" si="1"/>
        <v>900</v>
      </c>
      <c r="Q20" s="34">
        <f t="shared" si="1"/>
        <v>5066</v>
      </c>
      <c r="R20" s="34">
        <f t="shared" si="1"/>
        <v>0</v>
      </c>
      <c r="S20" s="34">
        <f t="shared" si="1"/>
        <v>0</v>
      </c>
      <c r="T20" s="34">
        <f t="shared" si="1"/>
        <v>0</v>
      </c>
      <c r="U20" s="34">
        <f t="shared" si="1"/>
        <v>90</v>
      </c>
      <c r="V20" s="34">
        <f t="shared" si="1"/>
        <v>0</v>
      </c>
      <c r="W20" s="34">
        <f t="shared" si="1"/>
        <v>500</v>
      </c>
      <c r="X20" s="34">
        <f t="shared" si="1"/>
        <v>3344</v>
      </c>
      <c r="Y20" s="34">
        <f t="shared" si="1"/>
        <v>0</v>
      </c>
      <c r="Z20" s="34">
        <f t="shared" si="1"/>
        <v>0</v>
      </c>
      <c r="AA20" s="34">
        <f t="shared" si="1"/>
        <v>1050</v>
      </c>
      <c r="AB20" s="34">
        <f t="shared" si="1"/>
        <v>0</v>
      </c>
      <c r="AC20" s="34">
        <f t="shared" si="1"/>
        <v>0</v>
      </c>
      <c r="AD20" s="34">
        <f t="shared" si="1"/>
        <v>0</v>
      </c>
      <c r="AE20" s="34">
        <f t="shared" si="1"/>
        <v>0</v>
      </c>
      <c r="AF20" s="34">
        <f t="shared" si="1"/>
        <v>30000</v>
      </c>
    </row>
    <row r="22" spans="1:32" x14ac:dyDescent="0.25">
      <c r="F22" s="68"/>
      <c r="H22" s="68"/>
      <c r="J22" s="68"/>
      <c r="K22" s="68"/>
    </row>
    <row r="23" spans="1:32" x14ac:dyDescent="0.25">
      <c r="F23" s="68"/>
      <c r="H23" s="68"/>
      <c r="J23" s="68"/>
      <c r="K23" s="68"/>
    </row>
    <row r="24" spans="1:32" x14ac:dyDescent="0.25">
      <c r="F24" s="68"/>
      <c r="H24" s="68"/>
      <c r="J24" s="68"/>
      <c r="K24" s="37"/>
    </row>
    <row r="25" spans="1:32" x14ac:dyDescent="0.25">
      <c r="F25" s="68"/>
      <c r="H25" s="68"/>
      <c r="J25" s="68"/>
    </row>
    <row r="26" spans="1:32" x14ac:dyDescent="0.25">
      <c r="F26" s="68"/>
      <c r="H26" s="68"/>
      <c r="J26" s="68"/>
    </row>
    <row r="27" spans="1:32" x14ac:dyDescent="0.25">
      <c r="F27" s="68"/>
      <c r="H27" s="68"/>
      <c r="J27" s="68"/>
    </row>
    <row r="28" spans="1:32" x14ac:dyDescent="0.25">
      <c r="F28" s="68"/>
      <c r="H28" s="68"/>
      <c r="J28" s="68"/>
    </row>
    <row r="29" spans="1:32" x14ac:dyDescent="0.25">
      <c r="F29" s="37"/>
      <c r="H29" s="68"/>
      <c r="J29" s="68"/>
    </row>
    <row r="30" spans="1:32" x14ac:dyDescent="0.25">
      <c r="H30" s="68"/>
      <c r="J30" s="68"/>
    </row>
    <row r="31" spans="1:32" x14ac:dyDescent="0.25">
      <c r="H31" s="68"/>
      <c r="J31" s="68"/>
    </row>
    <row r="32" spans="1:32" x14ac:dyDescent="0.25">
      <c r="H32" s="68"/>
      <c r="J32" s="68"/>
    </row>
    <row r="33" spans="8:10" x14ac:dyDescent="0.25">
      <c r="H33" s="68"/>
      <c r="J33" s="68"/>
    </row>
    <row r="34" spans="8:10" x14ac:dyDescent="0.25">
      <c r="H34" s="37"/>
      <c r="J34" s="68"/>
    </row>
    <row r="35" spans="8:10" x14ac:dyDescent="0.25">
      <c r="J35" s="68"/>
    </row>
    <row r="36" spans="8:10" x14ac:dyDescent="0.25">
      <c r="J36" s="68"/>
    </row>
    <row r="37" spans="8:10" x14ac:dyDescent="0.25">
      <c r="J37" s="68"/>
    </row>
    <row r="38" spans="8:10" x14ac:dyDescent="0.25">
      <c r="J38" s="68"/>
    </row>
    <row r="39" spans="8:10" x14ac:dyDescent="0.25">
      <c r="J39" s="68"/>
    </row>
    <row r="40" spans="8:10" x14ac:dyDescent="0.25">
      <c r="J40" s="68"/>
    </row>
    <row r="41" spans="8:10" x14ac:dyDescent="0.25">
      <c r="J41" s="68"/>
    </row>
    <row r="42" spans="8:10" x14ac:dyDescent="0.25">
      <c r="J42" s="68"/>
    </row>
    <row r="43" spans="8:10" x14ac:dyDescent="0.25">
      <c r="J43" s="68"/>
    </row>
    <row r="44" spans="8:10" x14ac:dyDescent="0.25">
      <c r="J44" s="68"/>
    </row>
    <row r="45" spans="8:10" x14ac:dyDescent="0.25">
      <c r="J45" s="68"/>
    </row>
    <row r="46" spans="8:10" x14ac:dyDescent="0.25">
      <c r="J46" s="68"/>
    </row>
    <row r="47" spans="8:10" x14ac:dyDescent="0.25">
      <c r="J47" s="68"/>
    </row>
    <row r="48" spans="8:10" x14ac:dyDescent="0.25">
      <c r="J48" s="68"/>
    </row>
    <row r="49" spans="10:10" x14ac:dyDescent="0.25">
      <c r="J49" s="68"/>
    </row>
    <row r="50" spans="10:10" x14ac:dyDescent="0.25">
      <c r="J50" s="37"/>
    </row>
  </sheetData>
  <mergeCells count="3">
    <mergeCell ref="B1:L1"/>
    <mergeCell ref="B2:L2"/>
    <mergeCell ref="A20:C20"/>
  </mergeCells>
  <pageMargins left="1.7" right="0" top="1" bottom="0" header="0.3" footer="0.3"/>
  <pageSetup paperSize="9" orientation="landscape" r:id="rId1"/>
  <headerFooter differentOddEven="1">
    <oddFooter>&amp;RContin...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46"/>
  <sheetViews>
    <sheetView zoomScale="80" zoomScaleNormal="8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defaultRowHeight="15" x14ac:dyDescent="0.25"/>
  <cols>
    <col min="1" max="1" width="7.140625" customWidth="1"/>
    <col min="2" max="2" width="35.28515625" customWidth="1"/>
    <col min="3" max="3" width="5.7109375" bestFit="1" customWidth="1"/>
    <col min="4" max="4" width="13.7109375" customWidth="1"/>
    <col min="5" max="5" width="12.85546875" customWidth="1"/>
    <col min="6" max="6" width="12.7109375" customWidth="1"/>
    <col min="7" max="7" width="10.42578125" customWidth="1"/>
    <col min="8" max="8" width="13.42578125" customWidth="1"/>
    <col min="9" max="9" width="10" bestFit="1" customWidth="1"/>
    <col min="10" max="10" width="12.5703125" customWidth="1"/>
    <col min="11" max="11" width="11.140625" bestFit="1" customWidth="1"/>
    <col min="12" max="12" width="11" bestFit="1" customWidth="1"/>
    <col min="13" max="13" width="10.85546875" bestFit="1" customWidth="1"/>
    <col min="14" max="14" width="10.5703125" bestFit="1" customWidth="1"/>
    <col min="15" max="15" width="10.85546875" bestFit="1" customWidth="1"/>
    <col min="16" max="16" width="8.85546875" bestFit="1" customWidth="1"/>
    <col min="17" max="17" width="10.85546875" customWidth="1"/>
    <col min="18" max="18" width="11" bestFit="1" customWidth="1"/>
    <col min="19" max="19" width="11" customWidth="1"/>
    <col min="20" max="20" width="10" bestFit="1" customWidth="1"/>
    <col min="21" max="21" width="10" customWidth="1"/>
    <col min="22" max="22" width="11.5703125" customWidth="1"/>
  </cols>
  <sheetData>
    <row r="1" spans="1:22" ht="34.5" x14ac:dyDescent="0.45">
      <c r="A1" s="60"/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25.5" x14ac:dyDescent="0.35">
      <c r="A2" s="60"/>
      <c r="B2" s="110" t="s">
        <v>107</v>
      </c>
      <c r="C2" s="110"/>
      <c r="D2" s="110"/>
      <c r="E2" s="110"/>
      <c r="F2" s="110"/>
      <c r="G2" s="110"/>
      <c r="H2" s="110"/>
      <c r="I2" s="110"/>
      <c r="J2" s="110"/>
      <c r="K2" s="60"/>
      <c r="L2" s="60"/>
      <c r="M2" s="60"/>
      <c r="N2" s="60"/>
      <c r="O2" s="60"/>
      <c r="P2" s="60"/>
      <c r="Q2" s="60"/>
      <c r="S2" s="63" t="s">
        <v>87</v>
      </c>
      <c r="T2" s="60"/>
      <c r="U2" s="60"/>
      <c r="V2" s="60"/>
    </row>
    <row r="3" spans="1:22" ht="20.25" thickBot="1" x14ac:dyDescent="0.35">
      <c r="A3" s="60"/>
      <c r="B3" s="61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spans="1:22" ht="94.5" customHeight="1" thickBot="1" x14ac:dyDescent="0.3">
      <c r="A4" s="13" t="s">
        <v>2</v>
      </c>
      <c r="B4" s="27" t="s">
        <v>3</v>
      </c>
      <c r="C4" s="15" t="s">
        <v>4</v>
      </c>
      <c r="D4" s="16" t="s">
        <v>5</v>
      </c>
      <c r="E4" s="17" t="s">
        <v>7</v>
      </c>
      <c r="F4" s="18" t="s">
        <v>9</v>
      </c>
      <c r="G4" s="17" t="s">
        <v>10</v>
      </c>
      <c r="H4" s="17" t="s">
        <v>11</v>
      </c>
      <c r="I4" s="19" t="s">
        <v>12</v>
      </c>
      <c r="J4" s="19" t="s">
        <v>13</v>
      </c>
      <c r="K4" s="19" t="s">
        <v>14</v>
      </c>
      <c r="L4" s="19" t="s">
        <v>15</v>
      </c>
      <c r="M4" s="19" t="s">
        <v>16</v>
      </c>
      <c r="N4" s="19" t="s">
        <v>17</v>
      </c>
      <c r="O4" s="19" t="s">
        <v>18</v>
      </c>
      <c r="P4" s="19" t="s">
        <v>19</v>
      </c>
      <c r="Q4" s="19" t="s">
        <v>21</v>
      </c>
      <c r="R4" s="19" t="s">
        <v>22</v>
      </c>
      <c r="S4" s="19" t="s">
        <v>24</v>
      </c>
      <c r="T4" s="19" t="s">
        <v>25</v>
      </c>
      <c r="U4" s="19" t="s">
        <v>136</v>
      </c>
      <c r="V4" s="19" t="s">
        <v>110</v>
      </c>
    </row>
    <row r="5" spans="1:22" ht="18.75" thickTop="1" x14ac:dyDescent="0.25">
      <c r="A5" s="35">
        <v>43343</v>
      </c>
      <c r="B5" s="29" t="s">
        <v>52</v>
      </c>
      <c r="C5" s="30" t="s">
        <v>30</v>
      </c>
      <c r="D5" s="31">
        <f t="shared" ref="D5:D20" si="0">SUM(E5:V5)</f>
        <v>15540</v>
      </c>
      <c r="E5" s="32">
        <f>7500+3290+4750</f>
        <v>15540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</row>
    <row r="6" spans="1:22" ht="18" x14ac:dyDescent="0.25">
      <c r="A6" s="35">
        <v>43343</v>
      </c>
      <c r="B6" s="29" t="s">
        <v>53</v>
      </c>
      <c r="C6" s="30" t="s">
        <v>31</v>
      </c>
      <c r="D6" s="31">
        <f t="shared" si="0"/>
        <v>40745</v>
      </c>
      <c r="E6" s="24">
        <v>0</v>
      </c>
      <c r="F6" s="32">
        <f>3150+3195+6480+3375+20000+4545</f>
        <v>40745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</row>
    <row r="7" spans="1:22" ht="18" x14ac:dyDescent="0.25">
      <c r="A7" s="35">
        <v>43343</v>
      </c>
      <c r="B7" s="29" t="s">
        <v>50</v>
      </c>
      <c r="C7" s="30" t="s">
        <v>32</v>
      </c>
      <c r="D7" s="31">
        <f t="shared" si="0"/>
        <v>28425</v>
      </c>
      <c r="E7" s="24">
        <v>0</v>
      </c>
      <c r="F7" s="24">
        <v>0</v>
      </c>
      <c r="G7" s="24">
        <v>0</v>
      </c>
      <c r="H7" s="28">
        <f>400+1100+500+3840+1680+2600+1875+910+350+240+1620+480+3000+350+410+2200+1300+1040+950+840+90+2250+400</f>
        <v>28425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</row>
    <row r="8" spans="1:22" ht="18" x14ac:dyDescent="0.25">
      <c r="A8" s="35">
        <v>43343</v>
      </c>
      <c r="B8" s="29" t="s">
        <v>69</v>
      </c>
      <c r="C8" s="30" t="s">
        <v>33</v>
      </c>
      <c r="D8" s="31">
        <f t="shared" si="0"/>
        <v>600</v>
      </c>
      <c r="E8" s="24">
        <v>0</v>
      </c>
      <c r="F8" s="24">
        <v>0</v>
      </c>
      <c r="G8" s="32">
        <f>600</f>
        <v>600</v>
      </c>
      <c r="H8" s="28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</row>
    <row r="9" spans="1:22" ht="18" x14ac:dyDescent="0.25">
      <c r="A9" s="35">
        <v>43343</v>
      </c>
      <c r="B9" s="21" t="s">
        <v>56</v>
      </c>
      <c r="C9" s="30" t="s">
        <v>35</v>
      </c>
      <c r="D9" s="31">
        <f t="shared" si="0"/>
        <v>955</v>
      </c>
      <c r="E9" s="24">
        <v>0</v>
      </c>
      <c r="F9" s="24">
        <v>0</v>
      </c>
      <c r="G9" s="24">
        <v>0</v>
      </c>
      <c r="H9" s="24">
        <v>0</v>
      </c>
      <c r="I9" s="11">
        <f>100+300+50+100+165+100+140</f>
        <v>955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</row>
    <row r="10" spans="1:22" ht="18" x14ac:dyDescent="0.25">
      <c r="A10" s="35">
        <v>43343</v>
      </c>
      <c r="B10" s="21" t="s">
        <v>64</v>
      </c>
      <c r="C10" s="30" t="s">
        <v>36</v>
      </c>
      <c r="D10" s="31">
        <f t="shared" si="0"/>
        <v>57205</v>
      </c>
      <c r="E10" s="24">
        <v>0</v>
      </c>
      <c r="F10" s="24">
        <v>0</v>
      </c>
      <c r="G10" s="24">
        <v>0</v>
      </c>
      <c r="H10" s="22">
        <v>0</v>
      </c>
      <c r="I10" s="22">
        <v>0</v>
      </c>
      <c r="J10" s="11">
        <f>27000+12205+18000</f>
        <v>57205</v>
      </c>
      <c r="K10" s="24">
        <v>0</v>
      </c>
      <c r="L10" s="22">
        <v>0</v>
      </c>
      <c r="M10" s="22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</row>
    <row r="11" spans="1:22" ht="18" x14ac:dyDescent="0.25">
      <c r="A11" s="35">
        <v>43343</v>
      </c>
      <c r="B11" s="21" t="s">
        <v>68</v>
      </c>
      <c r="C11" s="30" t="s">
        <v>34</v>
      </c>
      <c r="D11" s="31">
        <f t="shared" si="0"/>
        <v>20545</v>
      </c>
      <c r="E11" s="24">
        <v>0</v>
      </c>
      <c r="F11" s="24">
        <v>0</v>
      </c>
      <c r="G11" s="24">
        <v>0</v>
      </c>
      <c r="H11" s="24">
        <v>0</v>
      </c>
      <c r="I11" s="22">
        <v>0</v>
      </c>
      <c r="J11" s="24">
        <v>0</v>
      </c>
      <c r="K11" s="11">
        <v>14641</v>
      </c>
      <c r="L11" s="32">
        <v>5904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</row>
    <row r="12" spans="1:22" ht="18" x14ac:dyDescent="0.25">
      <c r="A12" s="35">
        <v>43343</v>
      </c>
      <c r="B12" s="21" t="s">
        <v>58</v>
      </c>
      <c r="C12" s="30" t="s">
        <v>37</v>
      </c>
      <c r="D12" s="31">
        <f t="shared" si="0"/>
        <v>5999</v>
      </c>
      <c r="E12" s="24">
        <v>0</v>
      </c>
      <c r="F12" s="24">
        <v>0</v>
      </c>
      <c r="G12" s="24">
        <v>0</v>
      </c>
      <c r="H12" s="24">
        <v>0</v>
      </c>
      <c r="I12" s="22">
        <v>0</v>
      </c>
      <c r="J12" s="22">
        <v>0</v>
      </c>
      <c r="K12" s="24">
        <v>0</v>
      </c>
      <c r="L12" s="24">
        <v>0</v>
      </c>
      <c r="M12" s="10">
        <v>5999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</row>
    <row r="13" spans="1:22" ht="18" x14ac:dyDescent="0.25">
      <c r="A13" s="35">
        <v>43343</v>
      </c>
      <c r="B13" s="21" t="s">
        <v>108</v>
      </c>
      <c r="C13" s="30" t="s">
        <v>38</v>
      </c>
      <c r="D13" s="31">
        <f t="shared" si="0"/>
        <v>1500</v>
      </c>
      <c r="E13" s="24">
        <v>0</v>
      </c>
      <c r="F13" s="24">
        <v>0</v>
      </c>
      <c r="G13" s="24">
        <v>0</v>
      </c>
      <c r="H13" s="24">
        <v>0</v>
      </c>
      <c r="I13" s="22">
        <v>0</v>
      </c>
      <c r="J13" s="22">
        <v>0</v>
      </c>
      <c r="K13" s="22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32">
        <f>1500</f>
        <v>1500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</row>
    <row r="14" spans="1:22" ht="18" x14ac:dyDescent="0.25">
      <c r="A14" s="35">
        <v>43343</v>
      </c>
      <c r="B14" s="21" t="s">
        <v>60</v>
      </c>
      <c r="C14" s="30" t="s">
        <v>39</v>
      </c>
      <c r="D14" s="31">
        <f t="shared" si="0"/>
        <v>1000</v>
      </c>
      <c r="E14" s="24">
        <v>0</v>
      </c>
      <c r="F14" s="24">
        <v>0</v>
      </c>
      <c r="G14" s="24">
        <v>0</v>
      </c>
      <c r="H14" s="24">
        <v>0</v>
      </c>
      <c r="I14" s="22">
        <v>0</v>
      </c>
      <c r="J14" s="22">
        <v>0</v>
      </c>
      <c r="K14" s="22">
        <v>0</v>
      </c>
      <c r="L14" s="24">
        <v>0</v>
      </c>
      <c r="M14" s="24">
        <v>0</v>
      </c>
      <c r="N14" s="24">
        <v>0</v>
      </c>
      <c r="O14" s="10">
        <f>300+700</f>
        <v>1000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</row>
    <row r="15" spans="1:22" ht="18" x14ac:dyDescent="0.25">
      <c r="A15" s="35">
        <v>43343</v>
      </c>
      <c r="B15" s="21" t="s">
        <v>61</v>
      </c>
      <c r="C15" s="30" t="s">
        <v>40</v>
      </c>
      <c r="D15" s="31">
        <f t="shared" si="0"/>
        <v>2270</v>
      </c>
      <c r="E15" s="24">
        <v>0</v>
      </c>
      <c r="F15" s="24">
        <v>0</v>
      </c>
      <c r="G15" s="24">
        <v>0</v>
      </c>
      <c r="H15" s="24">
        <v>0</v>
      </c>
      <c r="I15" s="22">
        <v>0</v>
      </c>
      <c r="J15" s="22">
        <v>0</v>
      </c>
      <c r="K15" s="22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10">
        <f>1220+300+440+310</f>
        <v>2270</v>
      </c>
      <c r="S15" s="24">
        <v>0</v>
      </c>
      <c r="T15" s="24">
        <v>0</v>
      </c>
      <c r="U15" s="24">
        <v>0</v>
      </c>
      <c r="V15" s="24">
        <v>0</v>
      </c>
    </row>
    <row r="16" spans="1:22" ht="18" x14ac:dyDescent="0.25">
      <c r="A16" s="35">
        <v>43343</v>
      </c>
      <c r="B16" s="21" t="s">
        <v>63</v>
      </c>
      <c r="C16" s="30" t="s">
        <v>41</v>
      </c>
      <c r="D16" s="31">
        <f t="shared" si="0"/>
        <v>3321</v>
      </c>
      <c r="E16" s="24">
        <v>0</v>
      </c>
      <c r="F16" s="24">
        <v>0</v>
      </c>
      <c r="G16" s="24">
        <v>0</v>
      </c>
      <c r="H16" s="24">
        <v>0</v>
      </c>
      <c r="I16" s="22">
        <v>0</v>
      </c>
      <c r="J16" s="22">
        <v>0</v>
      </c>
      <c r="K16" s="22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10">
        <f>250+100+220+270+980+315+300+190+200+196+300</f>
        <v>3321</v>
      </c>
      <c r="U16" s="24">
        <v>0</v>
      </c>
      <c r="V16" s="24">
        <v>0</v>
      </c>
    </row>
    <row r="17" spans="1:23" ht="18" x14ac:dyDescent="0.25">
      <c r="A17" s="35">
        <v>43343</v>
      </c>
      <c r="B17" s="21" t="s">
        <v>109</v>
      </c>
      <c r="C17" s="30" t="s">
        <v>42</v>
      </c>
      <c r="D17" s="31">
        <f t="shared" si="0"/>
        <v>900</v>
      </c>
      <c r="E17" s="24">
        <v>0</v>
      </c>
      <c r="F17" s="24">
        <v>0</v>
      </c>
      <c r="G17" s="24">
        <v>0</v>
      </c>
      <c r="H17" s="24">
        <v>0</v>
      </c>
      <c r="I17" s="22">
        <v>0</v>
      </c>
      <c r="J17" s="22">
        <v>0</v>
      </c>
      <c r="K17" s="22">
        <v>0</v>
      </c>
      <c r="L17" s="24">
        <v>0</v>
      </c>
      <c r="M17" s="24">
        <v>0</v>
      </c>
      <c r="N17" s="24">
        <v>0</v>
      </c>
      <c r="O17" s="24">
        <v>0</v>
      </c>
      <c r="P17" s="32">
        <f>300+600</f>
        <v>900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</row>
    <row r="18" spans="1:23" ht="15.75" x14ac:dyDescent="0.25">
      <c r="A18" s="35">
        <v>43343</v>
      </c>
      <c r="B18" s="12" t="s">
        <v>67</v>
      </c>
      <c r="C18" s="30" t="s">
        <v>43</v>
      </c>
      <c r="D18" s="31">
        <f t="shared" si="0"/>
        <v>1280</v>
      </c>
      <c r="E18" s="24">
        <v>0</v>
      </c>
      <c r="F18" s="24">
        <v>0</v>
      </c>
      <c r="G18" s="24">
        <v>0</v>
      </c>
      <c r="H18" s="24">
        <v>0</v>
      </c>
      <c r="I18" s="22">
        <v>0</v>
      </c>
      <c r="J18" s="22">
        <v>0</v>
      </c>
      <c r="K18" s="22">
        <v>0</v>
      </c>
      <c r="L18" s="24">
        <v>0</v>
      </c>
      <c r="M18" s="24">
        <v>0</v>
      </c>
      <c r="N18" s="32">
        <v>1280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</row>
    <row r="19" spans="1:23" ht="15.75" x14ac:dyDescent="0.25">
      <c r="A19" s="35">
        <v>43343</v>
      </c>
      <c r="B19" s="62" t="s">
        <v>62</v>
      </c>
      <c r="C19" s="30" t="s">
        <v>44</v>
      </c>
      <c r="D19" s="31">
        <f>SUM(E19:V19)</f>
        <v>1050</v>
      </c>
      <c r="E19" s="24">
        <v>0</v>
      </c>
      <c r="F19" s="24">
        <v>0</v>
      </c>
      <c r="G19" s="24">
        <v>0</v>
      </c>
      <c r="H19" s="24">
        <v>0</v>
      </c>
      <c r="I19" s="22">
        <v>0</v>
      </c>
      <c r="J19" s="22">
        <v>0</v>
      </c>
      <c r="K19" s="22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1050</v>
      </c>
      <c r="T19" s="24">
        <v>0</v>
      </c>
      <c r="U19" s="24">
        <v>0</v>
      </c>
      <c r="V19" s="24">
        <v>0</v>
      </c>
    </row>
    <row r="20" spans="1:23" ht="15.75" x14ac:dyDescent="0.25">
      <c r="A20" s="35">
        <v>43343</v>
      </c>
      <c r="B20" s="62" t="s">
        <v>135</v>
      </c>
      <c r="C20" s="30" t="s">
        <v>45</v>
      </c>
      <c r="D20" s="31">
        <f t="shared" si="0"/>
        <v>735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735</v>
      </c>
      <c r="V20" s="24">
        <v>0</v>
      </c>
    </row>
    <row r="21" spans="1:23" ht="20.25" customHeight="1" thickBot="1" x14ac:dyDescent="0.3">
      <c r="A21" s="106" t="s">
        <v>66</v>
      </c>
      <c r="B21" s="107"/>
      <c r="C21" s="108"/>
      <c r="D21" s="43">
        <f>SUM(D5:D20)</f>
        <v>182070</v>
      </c>
      <c r="E21" s="43">
        <f t="shared" ref="E21:V21" si="1">SUM(E5:E20)</f>
        <v>15540</v>
      </c>
      <c r="F21" s="43">
        <f t="shared" si="1"/>
        <v>40745</v>
      </c>
      <c r="G21" s="43">
        <f t="shared" si="1"/>
        <v>600</v>
      </c>
      <c r="H21" s="43">
        <f t="shared" si="1"/>
        <v>28425</v>
      </c>
      <c r="I21" s="43">
        <f t="shared" si="1"/>
        <v>955</v>
      </c>
      <c r="J21" s="43">
        <f t="shared" si="1"/>
        <v>57205</v>
      </c>
      <c r="K21" s="43">
        <f t="shared" si="1"/>
        <v>14641</v>
      </c>
      <c r="L21" s="43">
        <f t="shared" si="1"/>
        <v>5904</v>
      </c>
      <c r="M21" s="43">
        <f t="shared" si="1"/>
        <v>5999</v>
      </c>
      <c r="N21" s="43">
        <f t="shared" si="1"/>
        <v>1280</v>
      </c>
      <c r="O21" s="43">
        <f t="shared" si="1"/>
        <v>1000</v>
      </c>
      <c r="P21" s="43">
        <f t="shared" si="1"/>
        <v>900</v>
      </c>
      <c r="Q21" s="43">
        <f t="shared" si="1"/>
        <v>1500</v>
      </c>
      <c r="R21" s="43">
        <f t="shared" si="1"/>
        <v>2270</v>
      </c>
      <c r="S21" s="43">
        <f t="shared" si="1"/>
        <v>1050</v>
      </c>
      <c r="T21" s="43">
        <f t="shared" si="1"/>
        <v>3321</v>
      </c>
      <c r="U21" s="43">
        <f t="shared" si="1"/>
        <v>735</v>
      </c>
      <c r="V21" s="43">
        <f t="shared" si="1"/>
        <v>0</v>
      </c>
    </row>
    <row r="22" spans="1:2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8"/>
      <c r="B23" s="8"/>
      <c r="C23" s="8"/>
      <c r="D23" s="8"/>
      <c r="E23" s="8"/>
      <c r="F23" s="68"/>
      <c r="G23" s="8"/>
      <c r="H23" s="6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8"/>
      <c r="B25" s="8"/>
      <c r="C25" s="8"/>
      <c r="D25" s="8"/>
      <c r="E25" s="8"/>
      <c r="F25" s="3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8"/>
      <c r="B26" s="8"/>
      <c r="C26" s="8"/>
      <c r="D26" s="3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8"/>
      <c r="B27" s="8"/>
      <c r="C27" s="8"/>
      <c r="D27" s="8"/>
      <c r="E27" s="8"/>
      <c r="F27" s="36"/>
      <c r="G27" s="8"/>
      <c r="H27" s="6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8"/>
      <c r="B28" s="8"/>
      <c r="C28" s="8"/>
      <c r="D28" s="8"/>
      <c r="E28" s="66"/>
      <c r="F28" s="8"/>
      <c r="G28" s="8"/>
      <c r="H28" s="6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/>
      <c r="C29" s="8"/>
      <c r="D29" s="8"/>
      <c r="E29" s="66"/>
      <c r="F29" s="69"/>
      <c r="G29" s="8"/>
      <c r="H29" s="6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8"/>
      <c r="B30" s="8"/>
      <c r="C30" s="8"/>
      <c r="D30" s="8"/>
      <c r="E30" s="66"/>
      <c r="F30" s="66"/>
      <c r="G30" s="8"/>
      <c r="H30" s="6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8"/>
      <c r="B31" s="8"/>
      <c r="C31" s="8"/>
      <c r="D31" s="8"/>
      <c r="E31" s="66"/>
      <c r="F31" s="69"/>
      <c r="G31" s="8"/>
      <c r="H31" s="6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8"/>
      <c r="B32" s="8"/>
      <c r="C32" s="8"/>
      <c r="D32" s="8"/>
      <c r="E32" s="66"/>
      <c r="F32" s="66"/>
      <c r="G32" s="8"/>
      <c r="H32" s="6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8"/>
      <c r="B33" s="8"/>
      <c r="C33" s="8"/>
      <c r="D33" s="8"/>
      <c r="E33" s="66"/>
      <c r="F33" s="69"/>
      <c r="G33" s="8"/>
      <c r="H33" s="6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8"/>
      <c r="B34" s="8"/>
      <c r="C34" s="8"/>
      <c r="D34" s="8"/>
      <c r="E34" s="66"/>
      <c r="F34" s="66"/>
      <c r="G34" s="8"/>
      <c r="H34" s="6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x14ac:dyDescent="0.25">
      <c r="A35" s="8"/>
      <c r="B35" s="8"/>
      <c r="C35" s="8"/>
      <c r="D35" s="8"/>
      <c r="E35" s="66"/>
      <c r="F35" s="69"/>
      <c r="G35" s="8"/>
      <c r="H35" s="6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x14ac:dyDescent="0.25">
      <c r="A36" s="8"/>
      <c r="B36" s="8"/>
      <c r="C36" s="8"/>
      <c r="D36" s="8"/>
      <c r="E36" s="66"/>
      <c r="F36" s="66"/>
      <c r="G36" s="8"/>
      <c r="H36" s="6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25">
      <c r="A37" s="8"/>
      <c r="B37" s="8"/>
      <c r="C37" s="8"/>
      <c r="D37" s="8"/>
      <c r="E37" s="66"/>
      <c r="F37" s="69"/>
      <c r="G37" s="8"/>
      <c r="H37" s="6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25">
      <c r="A38" s="8"/>
      <c r="B38" s="8"/>
      <c r="C38" s="8"/>
      <c r="D38" s="8"/>
      <c r="E38" s="67"/>
      <c r="F38" s="66"/>
      <c r="G38" s="8"/>
      <c r="H38" s="6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25">
      <c r="A39" s="8"/>
      <c r="B39" s="8"/>
      <c r="C39" s="8"/>
      <c r="D39" s="8"/>
      <c r="E39" s="36"/>
      <c r="F39" s="69"/>
      <c r="G39" s="8"/>
      <c r="H39" s="6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25">
      <c r="A40" s="8"/>
      <c r="B40" s="8"/>
      <c r="C40" s="8"/>
      <c r="D40" s="8"/>
      <c r="E40" s="36"/>
      <c r="F40" s="36"/>
      <c r="G40" s="8"/>
      <c r="H40" s="6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25">
      <c r="A41" s="8"/>
      <c r="B41" s="8"/>
      <c r="C41" s="8"/>
      <c r="D41" s="8"/>
      <c r="E41" s="8"/>
      <c r="F41" s="36"/>
      <c r="G41" s="8"/>
      <c r="H41" s="6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x14ac:dyDescent="0.25">
      <c r="A42" s="8"/>
      <c r="B42" s="8"/>
      <c r="C42" s="8"/>
      <c r="D42" s="8"/>
      <c r="E42" s="8"/>
      <c r="F42" s="36"/>
      <c r="G42" s="8"/>
      <c r="H42" s="6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25">
      <c r="A43" s="8"/>
      <c r="B43" s="8"/>
      <c r="C43" s="8"/>
      <c r="D43" s="8"/>
      <c r="E43" s="8"/>
      <c r="F43" s="8"/>
      <c r="G43" s="8"/>
      <c r="H43" s="6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25">
      <c r="H44" s="36"/>
    </row>
    <row r="45" spans="1:23" x14ac:dyDescent="0.25">
      <c r="H45" s="37"/>
    </row>
    <row r="46" spans="1:23" x14ac:dyDescent="0.25">
      <c r="H46" s="37"/>
    </row>
  </sheetData>
  <mergeCells count="3">
    <mergeCell ref="A21:C21"/>
    <mergeCell ref="B1:J1"/>
    <mergeCell ref="B2:J2"/>
  </mergeCells>
  <pageMargins left="1" right="0" top="1" bottom="0.28000000000000003" header="0.22" footer="0"/>
  <pageSetup paperSize="9" scale="92" orientation="landscape" horizontalDpi="4294967294" r:id="rId1"/>
  <headerFooter differentOddEven="1">
    <oddFooter>&amp;RContin...</oddFooter>
  </headerFooter>
  <colBreaks count="1" manualBreakCount="1">
    <brk id="10" max="2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Normal="100" workbookViewId="0">
      <pane xSplit="3" ySplit="3" topLeftCell="D12" activePane="bottomRight" state="frozen"/>
      <selection pane="topRight" activeCell="D1" sqref="D1"/>
      <selection pane="bottomLeft" activeCell="A4" sqref="A4"/>
      <selection pane="bottomRight" activeCell="E21" sqref="E21"/>
    </sheetView>
  </sheetViews>
  <sheetFormatPr defaultRowHeight="15" x14ac:dyDescent="0.25"/>
  <cols>
    <col min="1" max="1" width="7.140625" bestFit="1" customWidth="1"/>
    <col min="2" max="2" width="32.42578125" bestFit="1" customWidth="1"/>
    <col min="3" max="3" width="6" bestFit="1" customWidth="1"/>
    <col min="4" max="4" width="13.42578125" customWidth="1"/>
    <col min="5" max="5" width="7.42578125" bestFit="1" customWidth="1"/>
    <col min="6" max="6" width="11.42578125" bestFit="1" customWidth="1"/>
    <col min="7" max="7" width="7.140625" customWidth="1"/>
    <col min="8" max="8" width="11.140625" customWidth="1"/>
    <col min="9" max="9" width="7.28515625" customWidth="1"/>
    <col min="10" max="10" width="11.42578125" bestFit="1" customWidth="1"/>
    <col min="11" max="11" width="8.28515625" customWidth="1"/>
    <col min="12" max="12" width="11.42578125" bestFit="1" customWidth="1"/>
    <col min="13" max="13" width="11.140625" bestFit="1" customWidth="1"/>
    <col min="14" max="15" width="10" bestFit="1" customWidth="1"/>
    <col min="16" max="16" width="9.85546875" bestFit="1" customWidth="1"/>
    <col min="17" max="17" width="7.28515625" customWidth="1"/>
    <col min="18" max="18" width="10" bestFit="1" customWidth="1"/>
    <col min="19" max="19" width="6.85546875" customWidth="1"/>
    <col min="20" max="20" width="8.5703125" customWidth="1"/>
    <col min="21" max="21" width="9.85546875" bestFit="1" customWidth="1"/>
    <col min="22" max="22" width="7.7109375" customWidth="1"/>
    <col min="23" max="23" width="11.28515625" bestFit="1" customWidth="1"/>
    <col min="24" max="24" width="10" bestFit="1" customWidth="1"/>
    <col min="25" max="25" width="8.42578125" customWidth="1"/>
    <col min="26" max="26" width="10" bestFit="1" customWidth="1"/>
    <col min="27" max="27" width="9.5703125" customWidth="1"/>
    <col min="28" max="28" width="9.42578125" customWidth="1"/>
  </cols>
  <sheetData>
    <row r="1" spans="1:28" ht="34.5" x14ac:dyDescent="0.45">
      <c r="A1" s="60"/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24" thickBot="1" x14ac:dyDescent="0.4">
      <c r="A2" s="60"/>
      <c r="B2" s="111" t="s">
        <v>111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60"/>
      <c r="N2" s="60"/>
      <c r="O2" s="60"/>
      <c r="P2" s="60"/>
      <c r="Q2" s="60"/>
      <c r="R2" s="60"/>
      <c r="S2" s="60"/>
      <c r="T2" s="60"/>
      <c r="U2" s="60"/>
      <c r="V2" s="61"/>
      <c r="W2" s="60"/>
      <c r="X2" s="60"/>
      <c r="Y2" s="63" t="s">
        <v>88</v>
      </c>
      <c r="AA2" s="60"/>
      <c r="AB2" s="60"/>
    </row>
    <row r="3" spans="1:28" ht="90" customHeight="1" thickBot="1" x14ac:dyDescent="0.3">
      <c r="A3" s="13" t="s">
        <v>2</v>
      </c>
      <c r="B3" s="27" t="s">
        <v>3</v>
      </c>
      <c r="C3" s="15" t="s">
        <v>4</v>
      </c>
      <c r="D3" s="16" t="s">
        <v>5</v>
      </c>
      <c r="E3" s="17" t="s">
        <v>6</v>
      </c>
      <c r="F3" s="17" t="s">
        <v>7</v>
      </c>
      <c r="G3" s="17" t="s">
        <v>8</v>
      </c>
      <c r="H3" s="18" t="s">
        <v>9</v>
      </c>
      <c r="I3" s="17" t="s">
        <v>10</v>
      </c>
      <c r="J3" s="17" t="s">
        <v>11</v>
      </c>
      <c r="K3" s="19" t="s">
        <v>12</v>
      </c>
      <c r="L3" s="19" t="s">
        <v>13</v>
      </c>
      <c r="M3" s="70" t="s">
        <v>14</v>
      </c>
      <c r="N3" s="70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19" t="s">
        <v>20</v>
      </c>
      <c r="T3" s="19" t="s">
        <v>21</v>
      </c>
      <c r="U3" s="19" t="s">
        <v>22</v>
      </c>
      <c r="V3" s="19" t="s">
        <v>23</v>
      </c>
      <c r="W3" s="19" t="s">
        <v>132</v>
      </c>
      <c r="X3" s="19" t="s">
        <v>25</v>
      </c>
      <c r="Y3" s="19" t="s">
        <v>73</v>
      </c>
      <c r="Z3" s="19" t="s">
        <v>27</v>
      </c>
      <c r="AA3" s="19" t="s">
        <v>137</v>
      </c>
      <c r="AB3" s="20" t="s">
        <v>29</v>
      </c>
    </row>
    <row r="4" spans="1:28" ht="18.75" thickTop="1" x14ac:dyDescent="0.25">
      <c r="A4" s="35">
        <v>43373</v>
      </c>
      <c r="B4" s="29" t="s">
        <v>52</v>
      </c>
      <c r="C4" s="30" t="s">
        <v>30</v>
      </c>
      <c r="D4" s="64">
        <f t="shared" ref="D4:D20" si="0">SUM(E4:AB4)</f>
        <v>77406</v>
      </c>
      <c r="E4" s="28">
        <v>0</v>
      </c>
      <c r="F4" s="28">
        <f>1680+13370+370+3000+5400+11586+42000-10000+10000</f>
        <v>77406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64">
        <v>0</v>
      </c>
      <c r="N4" s="64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</row>
    <row r="5" spans="1:28" ht="18" x14ac:dyDescent="0.25">
      <c r="A5" s="35">
        <v>43373</v>
      </c>
      <c r="B5" s="29" t="s">
        <v>53</v>
      </c>
      <c r="C5" s="30" t="s">
        <v>31</v>
      </c>
      <c r="D5" s="64">
        <f t="shared" si="0"/>
        <v>62266</v>
      </c>
      <c r="E5" s="28">
        <v>0</v>
      </c>
      <c r="F5" s="28">
        <v>0</v>
      </c>
      <c r="G5" s="28">
        <v>0</v>
      </c>
      <c r="H5" s="28">
        <f>1520+4860+14220+6500+23200+90+780+1500+300+2250+2025+15021-10000</f>
        <v>62266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</row>
    <row r="6" spans="1:28" ht="18" x14ac:dyDescent="0.25">
      <c r="A6" s="35">
        <v>43373</v>
      </c>
      <c r="B6" s="29" t="s">
        <v>50</v>
      </c>
      <c r="C6" s="30" t="s">
        <v>32</v>
      </c>
      <c r="D6" s="64">
        <f t="shared" si="0"/>
        <v>75520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f>2500+5000+70+300+2750+1800+2040+5000+10000+5000+1880+2100+4560+4500+50+3430+450+2250+180+2340+970+3150+8250+10000-12550+9500</f>
        <v>75520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</row>
    <row r="7" spans="1:28" ht="18" x14ac:dyDescent="0.25">
      <c r="A7" s="35">
        <v>43373</v>
      </c>
      <c r="B7" s="29" t="s">
        <v>54</v>
      </c>
      <c r="C7" s="30" t="s">
        <v>33</v>
      </c>
      <c r="D7" s="64">
        <f t="shared" si="0"/>
        <v>45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45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</row>
    <row r="8" spans="1:28" ht="18" x14ac:dyDescent="0.25">
      <c r="A8" s="35">
        <v>43373</v>
      </c>
      <c r="B8" s="21" t="s">
        <v>56</v>
      </c>
      <c r="C8" s="30" t="s">
        <v>35</v>
      </c>
      <c r="D8" s="64">
        <f t="shared" si="0"/>
        <v>705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11">
        <f>100+100+145+60+200+100</f>
        <v>705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</row>
    <row r="9" spans="1:28" ht="18" x14ac:dyDescent="0.25">
      <c r="A9" s="35">
        <v>43373</v>
      </c>
      <c r="B9" s="21" t="s">
        <v>64</v>
      </c>
      <c r="C9" s="30" t="s">
        <v>36</v>
      </c>
      <c r="D9" s="64">
        <f t="shared" si="0"/>
        <v>58250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10">
        <f>18000+27000+13250</f>
        <v>58250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64">
        <v>0</v>
      </c>
      <c r="U9" s="64">
        <v>0</v>
      </c>
      <c r="V9" s="64">
        <v>0</v>
      </c>
      <c r="W9" s="64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</row>
    <row r="10" spans="1:28" ht="18" x14ac:dyDescent="0.25">
      <c r="A10" s="35">
        <v>43373</v>
      </c>
      <c r="B10" s="21" t="s">
        <v>58</v>
      </c>
      <c r="C10" s="30" t="s">
        <v>34</v>
      </c>
      <c r="D10" s="64">
        <f t="shared" si="0"/>
        <v>4847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10">
        <v>4847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</row>
    <row r="11" spans="1:28" ht="18" x14ac:dyDescent="0.25">
      <c r="A11" s="35">
        <v>43373</v>
      </c>
      <c r="B11" s="21" t="s">
        <v>61</v>
      </c>
      <c r="C11" s="30" t="s">
        <v>37</v>
      </c>
      <c r="D11" s="64">
        <f t="shared" si="0"/>
        <v>2215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10">
        <f>1295+100+420+100+300</f>
        <v>2215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</row>
    <row r="12" spans="1:28" ht="18" x14ac:dyDescent="0.25">
      <c r="A12" s="35">
        <v>43373</v>
      </c>
      <c r="B12" s="21" t="s">
        <v>63</v>
      </c>
      <c r="C12" s="30" t="s">
        <v>38</v>
      </c>
      <c r="D12" s="64">
        <f t="shared" si="0"/>
        <v>3833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10">
        <f>700+40+612+240+200+300+90+60+466+215+910</f>
        <v>3833</v>
      </c>
      <c r="Y12" s="28">
        <v>0</v>
      </c>
      <c r="Z12" s="28">
        <v>0</v>
      </c>
      <c r="AA12" s="28">
        <v>0</v>
      </c>
      <c r="AB12" s="28">
        <v>0</v>
      </c>
    </row>
    <row r="13" spans="1:28" ht="18" x14ac:dyDescent="0.25">
      <c r="A13" s="35">
        <v>43373</v>
      </c>
      <c r="B13" s="21" t="s">
        <v>74</v>
      </c>
      <c r="C13" s="30" t="s">
        <v>39</v>
      </c>
      <c r="D13" s="64">
        <f>SUM(E13:AB13)</f>
        <v>250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10">
        <f>250</f>
        <v>250</v>
      </c>
      <c r="Z13" s="65">
        <v>0</v>
      </c>
      <c r="AA13" s="65">
        <v>0</v>
      </c>
      <c r="AB13" s="28">
        <v>0</v>
      </c>
    </row>
    <row r="14" spans="1:28" ht="15.75" x14ac:dyDescent="0.25">
      <c r="A14" s="35">
        <v>43373</v>
      </c>
      <c r="B14" s="12" t="s">
        <v>67</v>
      </c>
      <c r="C14" s="30" t="s">
        <v>40</v>
      </c>
      <c r="D14" s="64">
        <f t="shared" si="0"/>
        <v>1280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1280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</row>
    <row r="15" spans="1:28" ht="15.75" x14ac:dyDescent="0.25">
      <c r="A15" s="35">
        <v>43373</v>
      </c>
      <c r="B15" s="38" t="s">
        <v>51</v>
      </c>
      <c r="C15" s="30" t="s">
        <v>41</v>
      </c>
      <c r="D15" s="64">
        <f t="shared" si="0"/>
        <v>2000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f>1000+1000</f>
        <v>2000</v>
      </c>
      <c r="AA15" s="28">
        <v>0</v>
      </c>
      <c r="AB15" s="28">
        <v>0</v>
      </c>
    </row>
    <row r="16" spans="1:28" ht="15.75" x14ac:dyDescent="0.25">
      <c r="A16" s="35">
        <v>43373</v>
      </c>
      <c r="B16" s="39" t="s">
        <v>57</v>
      </c>
      <c r="C16" s="30" t="s">
        <v>42</v>
      </c>
      <c r="D16" s="64">
        <f t="shared" si="0"/>
        <v>40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f>40</f>
        <v>40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</row>
    <row r="17" spans="1:28" ht="15.75" x14ac:dyDescent="0.25">
      <c r="A17" s="35">
        <v>43373</v>
      </c>
      <c r="B17" s="39" t="s">
        <v>104</v>
      </c>
      <c r="C17" s="30" t="s">
        <v>43</v>
      </c>
      <c r="D17" s="64">
        <f t="shared" si="0"/>
        <v>20545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11">
        <v>14641</v>
      </c>
      <c r="N17" s="32">
        <v>5904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</row>
    <row r="18" spans="1:28" ht="15.75" x14ac:dyDescent="0.25">
      <c r="A18" s="35">
        <v>43373</v>
      </c>
      <c r="B18" s="39" t="s">
        <v>55</v>
      </c>
      <c r="C18" s="30" t="s">
        <v>44</v>
      </c>
      <c r="D18" s="64">
        <f t="shared" si="0"/>
        <v>5390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71">
        <v>0</v>
      </c>
      <c r="N18" s="71">
        <v>0</v>
      </c>
      <c r="O18" s="28">
        <v>0</v>
      </c>
      <c r="P18" s="28">
        <v>0</v>
      </c>
      <c r="Q18" s="28">
        <v>0</v>
      </c>
      <c r="R18" s="28">
        <f>580+3430+800+580</f>
        <v>5390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</row>
    <row r="19" spans="1:28" ht="15.75" x14ac:dyDescent="0.25">
      <c r="A19" s="35">
        <v>43373</v>
      </c>
      <c r="B19" s="39" t="s">
        <v>137</v>
      </c>
      <c r="C19" s="30" t="s">
        <v>45</v>
      </c>
      <c r="D19" s="64">
        <f t="shared" si="0"/>
        <v>770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770</v>
      </c>
      <c r="AB19" s="28">
        <v>0</v>
      </c>
    </row>
    <row r="20" spans="1:28" ht="16.5" thickBot="1" x14ac:dyDescent="0.3">
      <c r="A20" s="35">
        <v>43373</v>
      </c>
      <c r="B20" s="39" t="s">
        <v>102</v>
      </c>
      <c r="C20" s="30" t="s">
        <v>46</v>
      </c>
      <c r="D20" s="28">
        <f t="shared" si="0"/>
        <v>13050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f>32550-19500</f>
        <v>13050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</row>
    <row r="21" spans="1:28" ht="16.5" thickBot="1" x14ac:dyDescent="0.3">
      <c r="A21" s="112" t="s">
        <v>66</v>
      </c>
      <c r="B21" s="107"/>
      <c r="C21" s="108"/>
      <c r="D21" s="43">
        <f>SUM(D4:D20)</f>
        <v>328412</v>
      </c>
      <c r="E21" s="43">
        <f t="shared" ref="E21:AB21" si="1">SUM(E4:E20)</f>
        <v>0</v>
      </c>
      <c r="F21" s="43">
        <f t="shared" si="1"/>
        <v>77406</v>
      </c>
      <c r="G21" s="43">
        <f t="shared" si="1"/>
        <v>0</v>
      </c>
      <c r="H21" s="43">
        <f t="shared" si="1"/>
        <v>62266</v>
      </c>
      <c r="I21" s="43">
        <f t="shared" si="1"/>
        <v>0</v>
      </c>
      <c r="J21" s="43">
        <f t="shared" si="1"/>
        <v>75520</v>
      </c>
      <c r="K21" s="43">
        <f t="shared" si="1"/>
        <v>705</v>
      </c>
      <c r="L21" s="43">
        <f t="shared" si="1"/>
        <v>58250</v>
      </c>
      <c r="M21" s="43">
        <f t="shared" si="1"/>
        <v>14641</v>
      </c>
      <c r="N21" s="43">
        <f t="shared" si="1"/>
        <v>5904</v>
      </c>
      <c r="O21" s="43">
        <f t="shared" si="1"/>
        <v>4847</v>
      </c>
      <c r="P21" s="43">
        <f t="shared" si="1"/>
        <v>1280</v>
      </c>
      <c r="Q21" s="43">
        <f t="shared" si="1"/>
        <v>0</v>
      </c>
      <c r="R21" s="43">
        <f t="shared" si="1"/>
        <v>5390</v>
      </c>
      <c r="S21" s="43">
        <f t="shared" si="1"/>
        <v>45</v>
      </c>
      <c r="T21" s="43">
        <f t="shared" si="1"/>
        <v>40</v>
      </c>
      <c r="U21" s="43">
        <f t="shared" si="1"/>
        <v>2215</v>
      </c>
      <c r="V21" s="43">
        <f t="shared" si="1"/>
        <v>0</v>
      </c>
      <c r="W21" s="43">
        <f t="shared" si="1"/>
        <v>13050</v>
      </c>
      <c r="X21" s="43">
        <f t="shared" si="1"/>
        <v>3833</v>
      </c>
      <c r="Y21" s="43">
        <f t="shared" si="1"/>
        <v>250</v>
      </c>
      <c r="Z21" s="43">
        <f t="shared" si="1"/>
        <v>2000</v>
      </c>
      <c r="AA21" s="43">
        <f t="shared" si="1"/>
        <v>770</v>
      </c>
      <c r="AB21" s="43">
        <f t="shared" si="1"/>
        <v>0</v>
      </c>
    </row>
    <row r="22" spans="1:2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x14ac:dyDescent="0.25">
      <c r="G24" s="37"/>
    </row>
    <row r="37" spans="6:6" x14ac:dyDescent="0.25">
      <c r="F37" s="37"/>
    </row>
    <row r="52" spans="6:6" x14ac:dyDescent="0.25">
      <c r="F52" s="37"/>
    </row>
    <row r="53" spans="6:6" x14ac:dyDescent="0.25">
      <c r="F53" s="37"/>
    </row>
  </sheetData>
  <mergeCells count="3">
    <mergeCell ref="B1:L1"/>
    <mergeCell ref="B2:L2"/>
    <mergeCell ref="A21:C21"/>
  </mergeCells>
  <pageMargins left="1" right="0.63" top="0.98" bottom="0.28000000000000003" header="0.22" footer="0"/>
  <pageSetup paperSize="9" scale="93" orientation="landscape" r:id="rId1"/>
  <headerFooter differentOddEven="1">
    <oddFooter>&amp;RContin....</oddFooter>
  </headerFooter>
  <colBreaks count="1" manualBreakCount="1">
    <brk id="13" max="1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7" sqref="J7"/>
    </sheetView>
  </sheetViews>
  <sheetFormatPr defaultRowHeight="15" x14ac:dyDescent="0.25"/>
  <cols>
    <col min="1" max="1" width="6.7109375" bestFit="1" customWidth="1"/>
    <col min="2" max="2" width="32.42578125" bestFit="1" customWidth="1"/>
    <col min="3" max="3" width="6" bestFit="1" customWidth="1"/>
    <col min="4" max="4" width="12.140625" customWidth="1"/>
    <col min="5" max="5" width="7.140625" customWidth="1"/>
    <col min="6" max="6" width="10.5703125" bestFit="1" customWidth="1"/>
    <col min="7" max="7" width="7.28515625" customWidth="1"/>
    <col min="8" max="8" width="10.5703125" customWidth="1"/>
    <col min="9" max="9" width="7.28515625" customWidth="1"/>
    <col min="10" max="10" width="9.7109375" customWidth="1"/>
    <col min="11" max="11" width="8.28515625" customWidth="1"/>
    <col min="12" max="12" width="9.7109375" customWidth="1"/>
    <col min="13" max="14" width="9.140625" customWidth="1"/>
    <col min="15" max="15" width="8.5703125" customWidth="1"/>
    <col min="16" max="16" width="8.42578125" bestFit="1" customWidth="1"/>
    <col min="17" max="17" width="7.85546875" customWidth="1"/>
    <col min="18" max="18" width="8.5703125" customWidth="1"/>
    <col min="19" max="19" width="7.42578125" customWidth="1"/>
    <col min="20" max="21" width="9" customWidth="1"/>
    <col min="22" max="23" width="7.7109375" customWidth="1"/>
    <col min="24" max="25" width="8" customWidth="1"/>
    <col min="26" max="26" width="7" customWidth="1"/>
    <col min="27" max="27" width="7.7109375" customWidth="1"/>
    <col min="28" max="28" width="8.28515625" customWidth="1"/>
  </cols>
  <sheetData>
    <row r="1" spans="1:28" ht="34.5" x14ac:dyDescent="0.45">
      <c r="A1" s="1"/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28" ht="23.25" x14ac:dyDescent="0.35">
      <c r="A2" s="1"/>
      <c r="B2" s="111" t="s">
        <v>112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"/>
      <c r="N2" s="1"/>
      <c r="O2" s="1"/>
      <c r="P2" s="1"/>
      <c r="Q2" s="1"/>
      <c r="R2" s="1"/>
      <c r="S2" s="1"/>
      <c r="T2" s="1"/>
      <c r="U2" s="1"/>
      <c r="V2" s="3"/>
      <c r="W2" s="1"/>
      <c r="X2" s="1"/>
      <c r="Y2" s="63" t="s">
        <v>90</v>
      </c>
      <c r="AA2" s="1"/>
      <c r="AB2" s="1"/>
    </row>
    <row r="3" spans="1:28" ht="9" customHeight="1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97.5" customHeight="1" thickBot="1" x14ac:dyDescent="0.3">
      <c r="A4" s="13" t="s">
        <v>2</v>
      </c>
      <c r="B4" s="27" t="s">
        <v>3</v>
      </c>
      <c r="C4" s="15" t="s">
        <v>4</v>
      </c>
      <c r="D4" s="77" t="s">
        <v>5</v>
      </c>
      <c r="E4" s="15" t="s">
        <v>6</v>
      </c>
      <c r="F4" s="74" t="s">
        <v>7</v>
      </c>
      <c r="G4" s="15" t="s">
        <v>89</v>
      </c>
      <c r="H4" s="75" t="s">
        <v>9</v>
      </c>
      <c r="I4" s="19" t="s">
        <v>10</v>
      </c>
      <c r="J4" s="15" t="s">
        <v>11</v>
      </c>
      <c r="K4" s="15" t="s">
        <v>12</v>
      </c>
      <c r="L4" s="79" t="s">
        <v>13</v>
      </c>
      <c r="M4" s="79" t="s">
        <v>14</v>
      </c>
      <c r="N4" s="15" t="s">
        <v>15</v>
      </c>
      <c r="O4" s="15" t="s">
        <v>16</v>
      </c>
      <c r="P4" s="15" t="s">
        <v>17</v>
      </c>
      <c r="Q4" s="15" t="s">
        <v>18</v>
      </c>
      <c r="R4" s="15" t="s">
        <v>19</v>
      </c>
      <c r="S4" s="15" t="s">
        <v>20</v>
      </c>
      <c r="T4" s="15" t="s">
        <v>21</v>
      </c>
      <c r="U4" s="15" t="s">
        <v>22</v>
      </c>
      <c r="V4" s="15" t="s">
        <v>23</v>
      </c>
      <c r="W4" s="15" t="s">
        <v>24</v>
      </c>
      <c r="X4" s="15" t="s">
        <v>25</v>
      </c>
      <c r="Y4" s="15" t="s">
        <v>26</v>
      </c>
      <c r="Z4" s="15" t="s">
        <v>27</v>
      </c>
      <c r="AA4" s="15" t="s">
        <v>137</v>
      </c>
      <c r="AB4" s="76" t="s">
        <v>29</v>
      </c>
    </row>
    <row r="5" spans="1:28" ht="18.75" thickTop="1" x14ac:dyDescent="0.25">
      <c r="A5" s="35">
        <v>43404</v>
      </c>
      <c r="B5" s="29" t="s">
        <v>52</v>
      </c>
      <c r="C5" s="30" t="s">
        <v>30</v>
      </c>
      <c r="D5" s="31">
        <f t="shared" ref="D5:D21" si="0">SUM(E5:AB5)</f>
        <v>106349</v>
      </c>
      <c r="E5" s="24">
        <v>0</v>
      </c>
      <c r="F5" s="32">
        <f>975+2065+1300+57280+1000+17849+4000+7500+4500+5880+4000</f>
        <v>106349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2">
        <v>0</v>
      </c>
      <c r="M5" s="22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</row>
    <row r="6" spans="1:28" ht="18" x14ac:dyDescent="0.25">
      <c r="A6" s="35">
        <v>43404</v>
      </c>
      <c r="B6" s="29" t="s">
        <v>53</v>
      </c>
      <c r="C6" s="30" t="s">
        <v>31</v>
      </c>
      <c r="D6" s="31">
        <f t="shared" si="0"/>
        <v>87750</v>
      </c>
      <c r="E6" s="24">
        <v>0</v>
      </c>
      <c r="F6" s="24">
        <v>0</v>
      </c>
      <c r="G6" s="24">
        <v>0</v>
      </c>
      <c r="H6" s="32">
        <f>1600+12420+1200+1200+4005+1200+9540+15585+8000+33000</f>
        <v>87750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</row>
    <row r="7" spans="1:28" ht="18" x14ac:dyDescent="0.25">
      <c r="A7" s="35">
        <v>43404</v>
      </c>
      <c r="B7" s="29" t="s">
        <v>50</v>
      </c>
      <c r="C7" s="30" t="s">
        <v>32</v>
      </c>
      <c r="D7" s="31">
        <f t="shared" si="0"/>
        <v>75560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8">
        <f>400+3270+1950+1610+675+190+180+900+950+1030+4000+1740+650+230+2910+240+140+90+400+650+2000+3600+240+235+8100+3160+15000+4930+7250+640+2800+5400</f>
        <v>75560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</row>
    <row r="8" spans="1:28" ht="18" x14ac:dyDescent="0.25">
      <c r="A8" s="35">
        <v>43404</v>
      </c>
      <c r="B8" s="29" t="s">
        <v>69</v>
      </c>
      <c r="C8" s="30" t="s">
        <v>33</v>
      </c>
      <c r="D8" s="31">
        <f t="shared" si="0"/>
        <v>900</v>
      </c>
      <c r="E8" s="24">
        <v>0</v>
      </c>
      <c r="F8" s="24">
        <v>0</v>
      </c>
      <c r="G8" s="24">
        <v>0</v>
      </c>
      <c r="H8" s="24">
        <v>0</v>
      </c>
      <c r="I8" s="24">
        <f>900</f>
        <v>900</v>
      </c>
      <c r="J8" s="28"/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/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</row>
    <row r="9" spans="1:28" ht="18" x14ac:dyDescent="0.25">
      <c r="A9" s="35">
        <v>43404</v>
      </c>
      <c r="B9" s="21" t="s">
        <v>56</v>
      </c>
      <c r="C9" s="30" t="s">
        <v>35</v>
      </c>
      <c r="D9" s="31">
        <f t="shared" si="0"/>
        <v>1535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11">
        <f>80+200+70+250+640+30+115+150</f>
        <v>1535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</row>
    <row r="10" spans="1:28" ht="18" x14ac:dyDescent="0.25">
      <c r="A10" s="35">
        <v>43404</v>
      </c>
      <c r="B10" s="21" t="s">
        <v>64</v>
      </c>
      <c r="C10" s="30" t="s">
        <v>36</v>
      </c>
      <c r="D10" s="31">
        <f t="shared" si="0"/>
        <v>59200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11">
        <f>14200+18000+27000</f>
        <v>59200</v>
      </c>
      <c r="M10" s="24">
        <v>0</v>
      </c>
      <c r="N10" s="24">
        <v>0</v>
      </c>
      <c r="O10" s="24">
        <v>0</v>
      </c>
      <c r="P10" s="22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</row>
    <row r="11" spans="1:28" ht="18" x14ac:dyDescent="0.25">
      <c r="A11" s="35">
        <v>43404</v>
      </c>
      <c r="B11" s="21" t="s">
        <v>68</v>
      </c>
      <c r="C11" s="30" t="s">
        <v>34</v>
      </c>
      <c r="D11" s="31">
        <f t="shared" si="0"/>
        <v>20545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11">
        <v>14641</v>
      </c>
      <c r="N11" s="32">
        <v>5904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</row>
    <row r="12" spans="1:28" ht="18" x14ac:dyDescent="0.25">
      <c r="A12" s="35">
        <v>43404</v>
      </c>
      <c r="B12" s="21" t="s">
        <v>58</v>
      </c>
      <c r="C12" s="30" t="s">
        <v>37</v>
      </c>
      <c r="D12" s="31">
        <f t="shared" si="0"/>
        <v>6746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72">
        <f>6746</f>
        <v>6746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</row>
    <row r="13" spans="1:28" ht="18" x14ac:dyDescent="0.25">
      <c r="A13" s="35">
        <v>43404</v>
      </c>
      <c r="B13" s="21" t="s">
        <v>61</v>
      </c>
      <c r="C13" s="30" t="s">
        <v>38</v>
      </c>
      <c r="D13" s="31">
        <f t="shared" si="0"/>
        <v>1500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72">
        <f>1300+200</f>
        <v>1500</v>
      </c>
      <c r="V13" s="24">
        <v>0</v>
      </c>
      <c r="W13" s="24">
        <v>0</v>
      </c>
      <c r="X13" s="24"/>
      <c r="Y13" s="24">
        <v>0</v>
      </c>
      <c r="Z13" s="24">
        <v>0</v>
      </c>
      <c r="AA13" s="24">
        <v>0</v>
      </c>
      <c r="AB13" s="24">
        <v>0</v>
      </c>
    </row>
    <row r="14" spans="1:28" ht="18" x14ac:dyDescent="0.25">
      <c r="A14" s="35">
        <v>43404</v>
      </c>
      <c r="B14" s="21" t="s">
        <v>63</v>
      </c>
      <c r="C14" s="30" t="s">
        <v>39</v>
      </c>
      <c r="D14" s="31">
        <f t="shared" si="0"/>
        <v>2160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10">
        <f>360+130+910+260+300+200</f>
        <v>2160</v>
      </c>
      <c r="Y14" s="24">
        <v>0</v>
      </c>
      <c r="Z14" s="24">
        <v>0</v>
      </c>
      <c r="AA14" s="24">
        <v>0</v>
      </c>
      <c r="AB14" s="24">
        <v>0</v>
      </c>
    </row>
    <row r="15" spans="1:28" ht="18" x14ac:dyDescent="0.25">
      <c r="A15" s="35">
        <v>43404</v>
      </c>
      <c r="B15" s="21" t="s">
        <v>60</v>
      </c>
      <c r="C15" s="30" t="s">
        <v>40</v>
      </c>
      <c r="D15" s="31">
        <f t="shared" si="0"/>
        <v>576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f>126+150+300</f>
        <v>576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10">
        <v>0</v>
      </c>
      <c r="Z15" s="24">
        <v>0</v>
      </c>
      <c r="AA15" s="24">
        <v>0</v>
      </c>
      <c r="AB15" s="24">
        <v>0</v>
      </c>
    </row>
    <row r="16" spans="1:28" ht="18" x14ac:dyDescent="0.25">
      <c r="A16" s="35">
        <v>43404</v>
      </c>
      <c r="B16" s="21" t="s">
        <v>137</v>
      </c>
      <c r="C16" s="30" t="s">
        <v>41</v>
      </c>
      <c r="D16" s="31">
        <f t="shared" si="0"/>
        <v>770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11">
        <v>0</v>
      </c>
      <c r="AA16" s="24">
        <v>770</v>
      </c>
      <c r="AB16" s="24">
        <v>0</v>
      </c>
    </row>
    <row r="17" spans="1:28" ht="15.75" x14ac:dyDescent="0.25">
      <c r="A17" s="35">
        <v>43404</v>
      </c>
      <c r="B17" s="12" t="s">
        <v>67</v>
      </c>
      <c r="C17" s="30" t="s">
        <v>42</v>
      </c>
      <c r="D17" s="31">
        <f t="shared" si="0"/>
        <v>1280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32">
        <v>1280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</row>
    <row r="18" spans="1:28" ht="15.75" x14ac:dyDescent="0.25">
      <c r="A18" s="35">
        <v>43404</v>
      </c>
      <c r="B18" s="38" t="s">
        <v>71</v>
      </c>
      <c r="C18" s="30" t="s">
        <v>43</v>
      </c>
      <c r="D18" s="31">
        <f t="shared" si="0"/>
        <v>100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32">
        <v>100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</row>
    <row r="19" spans="1:28" ht="15.75" x14ac:dyDescent="0.25">
      <c r="A19" s="35">
        <v>43404</v>
      </c>
      <c r="B19" s="39" t="s">
        <v>57</v>
      </c>
      <c r="C19" s="30" t="s">
        <v>44</v>
      </c>
      <c r="D19" s="31">
        <f t="shared" si="0"/>
        <v>1300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32">
        <f>1300</f>
        <v>1300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</row>
    <row r="20" spans="1:28" ht="15.75" x14ac:dyDescent="0.25">
      <c r="A20" s="35">
        <v>43404</v>
      </c>
      <c r="B20" s="39" t="s">
        <v>55</v>
      </c>
      <c r="C20" s="30" t="s">
        <v>45</v>
      </c>
      <c r="D20" s="31">
        <f t="shared" si="0"/>
        <v>2900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32">
        <f>2400+250+250</f>
        <v>2900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</row>
    <row r="21" spans="1:28" ht="15.75" thickBot="1" x14ac:dyDescent="0.3">
      <c r="A21" s="35">
        <v>43404</v>
      </c>
      <c r="B21" s="33" t="s">
        <v>82</v>
      </c>
      <c r="C21" s="30" t="s">
        <v>46</v>
      </c>
      <c r="D21" s="31">
        <f t="shared" si="0"/>
        <v>63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/>
      <c r="K21" s="24">
        <v>0</v>
      </c>
      <c r="L21" s="80">
        <v>0</v>
      </c>
      <c r="M21" s="80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63</v>
      </c>
      <c r="X21" s="24">
        <v>0</v>
      </c>
      <c r="Y21" s="24">
        <v>0</v>
      </c>
      <c r="Z21" s="24">
        <v>0</v>
      </c>
      <c r="AA21" s="25"/>
      <c r="AB21" s="33">
        <v>0</v>
      </c>
    </row>
    <row r="22" spans="1:28" ht="15.75" thickBot="1" x14ac:dyDescent="0.3">
      <c r="A22" s="112" t="s">
        <v>66</v>
      </c>
      <c r="B22" s="113"/>
      <c r="C22" s="114"/>
      <c r="D22" s="78">
        <f>SUM(D5:D21)</f>
        <v>369234</v>
      </c>
      <c r="E22" s="73">
        <f t="shared" ref="E22:AB22" si="1">SUM(E5:E21)</f>
        <v>0</v>
      </c>
      <c r="F22" s="73">
        <f t="shared" si="1"/>
        <v>106349</v>
      </c>
      <c r="G22" s="73">
        <f t="shared" si="1"/>
        <v>0</v>
      </c>
      <c r="H22" s="73">
        <f t="shared" si="1"/>
        <v>87750</v>
      </c>
      <c r="I22" s="73">
        <f t="shared" si="1"/>
        <v>900</v>
      </c>
      <c r="J22" s="73">
        <f>SUM(J5:J21)</f>
        <v>75560</v>
      </c>
      <c r="K22" s="73">
        <f t="shared" si="1"/>
        <v>1535</v>
      </c>
      <c r="L22" s="73">
        <f t="shared" si="1"/>
        <v>59200</v>
      </c>
      <c r="M22" s="81">
        <f t="shared" si="1"/>
        <v>14641</v>
      </c>
      <c r="N22" s="73">
        <f t="shared" si="1"/>
        <v>5904</v>
      </c>
      <c r="O22" s="73">
        <f t="shared" si="1"/>
        <v>6746</v>
      </c>
      <c r="P22" s="73">
        <f t="shared" si="1"/>
        <v>1280</v>
      </c>
      <c r="Q22" s="73">
        <f t="shared" si="1"/>
        <v>576</v>
      </c>
      <c r="R22" s="73">
        <f t="shared" si="1"/>
        <v>2900</v>
      </c>
      <c r="S22" s="73">
        <f t="shared" si="1"/>
        <v>0</v>
      </c>
      <c r="T22" s="73">
        <f t="shared" si="1"/>
        <v>1300</v>
      </c>
      <c r="U22" s="73">
        <f t="shared" si="1"/>
        <v>1500</v>
      </c>
      <c r="V22" s="73">
        <f t="shared" si="1"/>
        <v>100</v>
      </c>
      <c r="W22" s="73">
        <f t="shared" si="1"/>
        <v>63</v>
      </c>
      <c r="X22" s="73">
        <f t="shared" si="1"/>
        <v>2160</v>
      </c>
      <c r="Y22" s="73">
        <f t="shared" si="1"/>
        <v>0</v>
      </c>
      <c r="Z22" s="73">
        <f t="shared" si="1"/>
        <v>0</v>
      </c>
      <c r="AA22" s="73">
        <f t="shared" si="1"/>
        <v>770</v>
      </c>
      <c r="AB22" s="73">
        <f t="shared" si="1"/>
        <v>0</v>
      </c>
    </row>
    <row r="23" spans="1:28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6" spans="1:28" x14ac:dyDescent="0.25">
      <c r="H26" s="37"/>
    </row>
    <row r="44" spans="6:6" x14ac:dyDescent="0.25">
      <c r="F44" s="37"/>
    </row>
  </sheetData>
  <dataConsolidate/>
  <mergeCells count="3">
    <mergeCell ref="B1:L1"/>
    <mergeCell ref="B2:L2"/>
    <mergeCell ref="A22:C22"/>
  </mergeCells>
  <pageMargins left="1.25" right="0" top="0.75" bottom="0.75" header="0.3" footer="0.3"/>
  <pageSetup paperSize="9" fitToHeight="2" orientation="landscape" r:id="rId1"/>
  <headerFooter differentOddEven="1">
    <oddFooter>&amp;RContin...</oddFooter>
  </headerFooter>
  <colBreaks count="1" manualBreakCount="1">
    <brk id="12" max="2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opLeftCell="A4" zoomScaleNormal="100" workbookViewId="0">
      <selection activeCell="Q15" sqref="Q15"/>
    </sheetView>
  </sheetViews>
  <sheetFormatPr defaultRowHeight="15" x14ac:dyDescent="0.25"/>
  <cols>
    <col min="1" max="1" width="7.28515625" bestFit="1" customWidth="1"/>
    <col min="2" max="2" width="34.140625" customWidth="1"/>
    <col min="3" max="3" width="6.5703125" customWidth="1"/>
    <col min="4" max="4" width="13.85546875" customWidth="1"/>
    <col min="5" max="5" width="0" hidden="1" customWidth="1"/>
    <col min="6" max="6" width="9.7109375" customWidth="1"/>
    <col min="7" max="7" width="0" hidden="1" customWidth="1"/>
    <col min="8" max="8" width="10.140625" customWidth="1"/>
    <col min="9" max="9" width="8.28515625" bestFit="1" customWidth="1"/>
    <col min="10" max="10" width="10.5703125" bestFit="1" customWidth="1"/>
    <col min="11" max="11" width="8.28515625" customWidth="1"/>
    <col min="12" max="12" width="9.5703125" customWidth="1"/>
    <col min="13" max="13" width="9.28515625" customWidth="1"/>
    <col min="14" max="14" width="9.140625" customWidth="1"/>
    <col min="15" max="15" width="7.85546875" customWidth="1"/>
    <col min="16" max="16" width="7" customWidth="1"/>
    <col min="17" max="17" width="8.140625" bestFit="1" customWidth="1"/>
    <col min="18" max="18" width="9.7109375" hidden="1" customWidth="1"/>
    <col min="19" max="19" width="6.140625" hidden="1" customWidth="1"/>
    <col min="20" max="20" width="8.140625" customWidth="1"/>
    <col min="21" max="21" width="8.5703125" customWidth="1"/>
    <col min="22" max="23" width="0" hidden="1" customWidth="1"/>
    <col min="24" max="24" width="8.28515625" bestFit="1" customWidth="1"/>
    <col min="25" max="25" width="8.140625" bestFit="1" customWidth="1"/>
    <col min="26" max="26" width="8.42578125" customWidth="1"/>
    <col min="27" max="27" width="8.140625" customWidth="1"/>
    <col min="28" max="28" width="6.7109375" customWidth="1"/>
    <col min="29" max="29" width="9.7109375" customWidth="1"/>
  </cols>
  <sheetData>
    <row r="1" spans="1:29" ht="34.5" x14ac:dyDescent="0.45">
      <c r="A1" s="1"/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29" ht="20.25" x14ac:dyDescent="0.3">
      <c r="A2" s="1"/>
      <c r="B2" s="115" t="s">
        <v>113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"/>
      <c r="O2" s="1"/>
      <c r="P2" s="1"/>
      <c r="Q2" s="1"/>
      <c r="R2" s="1"/>
      <c r="S2" s="1"/>
      <c r="T2" s="1"/>
      <c r="U2" s="1"/>
      <c r="V2" s="3"/>
      <c r="W2" s="1"/>
      <c r="X2" s="1"/>
      <c r="Z2" s="63" t="s">
        <v>92</v>
      </c>
      <c r="AB2" s="1"/>
      <c r="AC2" s="1"/>
    </row>
    <row r="3" spans="1:29" ht="20.25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92.25" customHeight="1" thickBot="1" x14ac:dyDescent="0.3">
      <c r="A4" s="13" t="s">
        <v>2</v>
      </c>
      <c r="B4" s="27" t="s">
        <v>3</v>
      </c>
      <c r="C4" s="15" t="s">
        <v>4</v>
      </c>
      <c r="D4" s="74" t="s">
        <v>91</v>
      </c>
      <c r="E4" s="17" t="s">
        <v>6</v>
      </c>
      <c r="F4" s="17" t="s">
        <v>7</v>
      </c>
      <c r="G4" s="17" t="s">
        <v>8</v>
      </c>
      <c r="H4" s="18" t="s">
        <v>9</v>
      </c>
      <c r="I4" s="17" t="s">
        <v>10</v>
      </c>
      <c r="J4" s="17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19" t="s">
        <v>17</v>
      </c>
      <c r="Q4" s="19" t="s">
        <v>18</v>
      </c>
      <c r="R4" s="19" t="s">
        <v>19</v>
      </c>
      <c r="S4" s="19" t="s">
        <v>20</v>
      </c>
      <c r="T4" s="19" t="s">
        <v>21</v>
      </c>
      <c r="U4" s="19" t="s">
        <v>22</v>
      </c>
      <c r="V4" s="19" t="s">
        <v>23</v>
      </c>
      <c r="W4" s="19" t="s">
        <v>24</v>
      </c>
      <c r="X4" s="19" t="s">
        <v>25</v>
      </c>
      <c r="Y4" s="19" t="s">
        <v>114</v>
      </c>
      <c r="Z4" s="19" t="s">
        <v>76</v>
      </c>
      <c r="AA4" s="19" t="s">
        <v>27</v>
      </c>
      <c r="AB4" s="19" t="s">
        <v>73</v>
      </c>
      <c r="AC4" s="83" t="s">
        <v>29</v>
      </c>
    </row>
    <row r="5" spans="1:29" ht="18.75" thickTop="1" x14ac:dyDescent="0.25">
      <c r="A5" s="35">
        <v>43434</v>
      </c>
      <c r="B5" s="29" t="s">
        <v>52</v>
      </c>
      <c r="C5" s="30" t="s">
        <v>30</v>
      </c>
      <c r="D5" s="31">
        <f t="shared" ref="D5:D18" si="0">SUM(E5:AC5)</f>
        <v>97370</v>
      </c>
      <c r="E5" s="24"/>
      <c r="F5" s="82">
        <f>3510+370+5920+7400+10160+10000+1470+16000+20000+2590+10000+9950</f>
        <v>97370</v>
      </c>
      <c r="G5" s="24"/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2">
        <v>0</v>
      </c>
      <c r="N5" s="22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2">
        <v>0</v>
      </c>
    </row>
    <row r="6" spans="1:29" ht="18" x14ac:dyDescent="0.25">
      <c r="A6" s="35">
        <v>43434</v>
      </c>
      <c r="B6" s="29" t="s">
        <v>53</v>
      </c>
      <c r="C6" s="30" t="s">
        <v>31</v>
      </c>
      <c r="D6" s="31">
        <f t="shared" si="0"/>
        <v>84185</v>
      </c>
      <c r="E6" s="24"/>
      <c r="F6" s="24">
        <v>0</v>
      </c>
      <c r="G6" s="24"/>
      <c r="H6" s="82">
        <f>3600+10000+875+1400+6435+9990+1200+2970+1495+6000+8000+32220</f>
        <v>84185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</row>
    <row r="7" spans="1:29" ht="18" x14ac:dyDescent="0.25">
      <c r="A7" s="35">
        <v>43434</v>
      </c>
      <c r="B7" s="29" t="s">
        <v>50</v>
      </c>
      <c r="C7" s="30" t="s">
        <v>32</v>
      </c>
      <c r="D7" s="31">
        <f t="shared" si="0"/>
        <v>176422</v>
      </c>
      <c r="E7" s="24"/>
      <c r="F7" s="24">
        <v>0</v>
      </c>
      <c r="G7" s="24">
        <v>0</v>
      </c>
      <c r="H7" s="32">
        <v>0</v>
      </c>
      <c r="I7" s="24">
        <v>0</v>
      </c>
      <c r="J7" s="28">
        <f>90+2550+1500+1480+1730+3120+1200+2870+960+1830+787+480+600+700+2250+750+4150+3120+3000+1000+4200+1975+1550+2000+600+5000+4030+150+1500+2250+2700+3400+450+29525+4000+4500+7510+2480+720+32400+4050+4750+2735+2280+2400+1200+10000+3900</f>
        <v>176422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</row>
    <row r="8" spans="1:29" ht="18" x14ac:dyDescent="0.25">
      <c r="A8" s="35">
        <v>43434</v>
      </c>
      <c r="B8" s="29" t="s">
        <v>69</v>
      </c>
      <c r="C8" s="30" t="s">
        <v>33</v>
      </c>
      <c r="D8" s="31">
        <f t="shared" si="0"/>
        <v>3309</v>
      </c>
      <c r="E8" s="24"/>
      <c r="F8" s="24">
        <v>0</v>
      </c>
      <c r="G8" s="24">
        <v>0</v>
      </c>
      <c r="H8" s="24">
        <v>0</v>
      </c>
      <c r="I8" s="28">
        <f>2180+1129</f>
        <v>3309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</row>
    <row r="9" spans="1:29" ht="18" hidden="1" x14ac:dyDescent="0.25">
      <c r="A9" s="35">
        <v>43434</v>
      </c>
      <c r="B9" s="29" t="s">
        <v>70</v>
      </c>
      <c r="C9" s="30" t="s">
        <v>35</v>
      </c>
      <c r="D9" s="31">
        <f t="shared" si="0"/>
        <v>0</v>
      </c>
      <c r="E9" s="24"/>
      <c r="F9" s="24">
        <v>0</v>
      </c>
      <c r="G9" s="24">
        <v>0</v>
      </c>
      <c r="H9" s="24">
        <v>0</v>
      </c>
      <c r="I9" s="24"/>
      <c r="J9" s="28">
        <v>0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18" x14ac:dyDescent="0.25">
      <c r="A10" s="35">
        <v>43434</v>
      </c>
      <c r="B10" s="21" t="s">
        <v>56</v>
      </c>
      <c r="C10" s="30" t="s">
        <v>35</v>
      </c>
      <c r="D10" s="31">
        <f t="shared" si="0"/>
        <v>1505</v>
      </c>
      <c r="E10" s="24"/>
      <c r="F10" s="24">
        <v>0</v>
      </c>
      <c r="G10" s="24">
        <v>0</v>
      </c>
      <c r="H10" s="24">
        <v>0</v>
      </c>
      <c r="I10" s="24">
        <v>0</v>
      </c>
      <c r="J10" s="28">
        <v>0</v>
      </c>
      <c r="K10" s="11">
        <f>250+30+145+500+100+100+100+150+130</f>
        <v>1505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</row>
    <row r="11" spans="1:29" ht="18" x14ac:dyDescent="0.25">
      <c r="A11" s="35">
        <v>43434</v>
      </c>
      <c r="B11" s="21" t="s">
        <v>64</v>
      </c>
      <c r="C11" s="30" t="s">
        <v>36</v>
      </c>
      <c r="D11" s="31">
        <f t="shared" si="0"/>
        <v>54450</v>
      </c>
      <c r="E11" s="22"/>
      <c r="F11" s="24">
        <v>0</v>
      </c>
      <c r="G11" s="24">
        <v>0</v>
      </c>
      <c r="H11" s="24">
        <v>0</v>
      </c>
      <c r="I11" s="24">
        <v>0</v>
      </c>
      <c r="J11" s="28">
        <v>0</v>
      </c>
      <c r="K11" s="28">
        <v>0</v>
      </c>
      <c r="L11" s="10">
        <f>6000+11250+10200+27000</f>
        <v>54450</v>
      </c>
      <c r="M11" s="24">
        <v>0</v>
      </c>
      <c r="N11" s="24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</row>
    <row r="12" spans="1:29" ht="18" x14ac:dyDescent="0.25">
      <c r="A12" s="35">
        <v>43434</v>
      </c>
      <c r="B12" s="21" t="s">
        <v>68</v>
      </c>
      <c r="C12" s="30" t="s">
        <v>34</v>
      </c>
      <c r="D12" s="31">
        <f t="shared" si="0"/>
        <v>20545</v>
      </c>
      <c r="E12" s="24"/>
      <c r="F12" s="24">
        <v>0</v>
      </c>
      <c r="G12" s="24">
        <v>0</v>
      </c>
      <c r="H12" s="24">
        <v>0</v>
      </c>
      <c r="I12" s="24">
        <v>0</v>
      </c>
      <c r="J12" s="28">
        <v>0</v>
      </c>
      <c r="K12" s="28">
        <v>0</v>
      </c>
      <c r="L12" s="28">
        <v>0</v>
      </c>
      <c r="M12" s="11">
        <v>14641</v>
      </c>
      <c r="N12" s="28">
        <v>5904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</row>
    <row r="13" spans="1:29" ht="18" x14ac:dyDescent="0.25">
      <c r="A13" s="35">
        <v>43434</v>
      </c>
      <c r="B13" s="21" t="s">
        <v>58</v>
      </c>
      <c r="C13" s="30" t="s">
        <v>37</v>
      </c>
      <c r="D13" s="31">
        <f t="shared" si="0"/>
        <v>6769</v>
      </c>
      <c r="E13" s="24"/>
      <c r="F13" s="24">
        <v>0</v>
      </c>
      <c r="G13" s="24">
        <v>0</v>
      </c>
      <c r="H13" s="24">
        <v>0</v>
      </c>
      <c r="I13" s="24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10">
        <v>6769</v>
      </c>
      <c r="P13" s="24">
        <v>0</v>
      </c>
      <c r="Q13" s="24">
        <v>0</v>
      </c>
      <c r="R13" s="24"/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</row>
    <row r="14" spans="1:29" ht="18" hidden="1" x14ac:dyDescent="0.25">
      <c r="A14" s="35">
        <v>43434</v>
      </c>
      <c r="B14" s="21" t="s">
        <v>54</v>
      </c>
      <c r="C14" s="30" t="s">
        <v>38</v>
      </c>
      <c r="D14" s="31">
        <f t="shared" si="0"/>
        <v>0</v>
      </c>
      <c r="E14" s="24"/>
      <c r="F14" s="24">
        <v>0</v>
      </c>
      <c r="G14" s="24">
        <v>0</v>
      </c>
      <c r="H14" s="24">
        <v>0</v>
      </c>
      <c r="I14" s="24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4"/>
      <c r="P14" s="24">
        <v>0</v>
      </c>
      <c r="Q14" s="24"/>
      <c r="R14" s="24"/>
      <c r="S14" s="10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 ht="18" x14ac:dyDescent="0.25">
      <c r="A15" s="35">
        <v>43434</v>
      </c>
      <c r="B15" s="21" t="s">
        <v>60</v>
      </c>
      <c r="C15" s="30" t="s">
        <v>38</v>
      </c>
      <c r="D15" s="31">
        <f t="shared" si="0"/>
        <v>3335</v>
      </c>
      <c r="E15" s="24"/>
      <c r="F15" s="24">
        <v>0</v>
      </c>
      <c r="G15" s="24">
        <v>0</v>
      </c>
      <c r="H15" s="24">
        <v>0</v>
      </c>
      <c r="I15" s="24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4">
        <v>0</v>
      </c>
      <c r="Q15" s="10">
        <f>725+2610</f>
        <v>3335</v>
      </c>
      <c r="R15" s="24"/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</row>
    <row r="16" spans="1:29" ht="18" x14ac:dyDescent="0.25">
      <c r="A16" s="35">
        <v>43434</v>
      </c>
      <c r="B16" s="21" t="s">
        <v>61</v>
      </c>
      <c r="C16" s="30" t="s">
        <v>39</v>
      </c>
      <c r="D16" s="31">
        <f t="shared" si="0"/>
        <v>2175</v>
      </c>
      <c r="E16" s="24"/>
      <c r="F16" s="24">
        <v>0</v>
      </c>
      <c r="G16" s="24">
        <v>0</v>
      </c>
      <c r="H16" s="24">
        <v>0</v>
      </c>
      <c r="I16" s="24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10">
        <f>1500+200+335+140</f>
        <v>2175</v>
      </c>
      <c r="V16" s="24"/>
      <c r="W16" s="24"/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</row>
    <row r="17" spans="1:29" ht="18" x14ac:dyDescent="0.25">
      <c r="A17" s="35">
        <v>43434</v>
      </c>
      <c r="B17" s="21" t="s">
        <v>63</v>
      </c>
      <c r="C17" s="30" t="s">
        <v>40</v>
      </c>
      <c r="D17" s="31">
        <f t="shared" si="0"/>
        <v>4990</v>
      </c>
      <c r="E17" s="24"/>
      <c r="F17" s="24">
        <v>0</v>
      </c>
      <c r="G17" s="24">
        <v>0</v>
      </c>
      <c r="H17" s="24">
        <v>0</v>
      </c>
      <c r="I17" s="24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4">
        <v>0</v>
      </c>
      <c r="V17" s="24"/>
      <c r="W17" s="24"/>
      <c r="X17" s="10">
        <f>545+300+1260+330+330+200+140+860+1025</f>
        <v>4990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</row>
    <row r="18" spans="1:29" ht="18.75" thickBot="1" x14ac:dyDescent="0.3">
      <c r="A18" s="35">
        <v>43434</v>
      </c>
      <c r="B18" s="21" t="s">
        <v>55</v>
      </c>
      <c r="C18" s="30" t="s">
        <v>41</v>
      </c>
      <c r="D18" s="31">
        <f t="shared" si="0"/>
        <v>2130</v>
      </c>
      <c r="E18" s="24"/>
      <c r="F18" s="24">
        <v>0</v>
      </c>
      <c r="G18" s="24">
        <v>0</v>
      </c>
      <c r="H18" s="24">
        <v>0</v>
      </c>
      <c r="I18" s="24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10">
        <f>500+1630</f>
        <v>2130</v>
      </c>
      <c r="Z18" s="25">
        <v>0</v>
      </c>
      <c r="AA18" s="25">
        <v>0</v>
      </c>
      <c r="AB18" s="25">
        <v>0</v>
      </c>
      <c r="AC18" s="24">
        <v>0</v>
      </c>
    </row>
    <row r="19" spans="1:29" ht="16.5" thickBot="1" x14ac:dyDescent="0.3">
      <c r="A19" s="112" t="s">
        <v>66</v>
      </c>
      <c r="B19" s="113"/>
      <c r="C19" s="114"/>
      <c r="D19" s="34">
        <f t="shared" ref="D19:AC19" si="1">SUM(D5:D18)</f>
        <v>457185</v>
      </c>
      <c r="E19" s="73">
        <f t="shared" si="1"/>
        <v>0</v>
      </c>
      <c r="F19" s="73">
        <f t="shared" si="1"/>
        <v>97370</v>
      </c>
      <c r="G19" s="73">
        <f t="shared" si="1"/>
        <v>0</v>
      </c>
      <c r="H19" s="73">
        <f t="shared" si="1"/>
        <v>84185</v>
      </c>
      <c r="I19" s="73">
        <f t="shared" si="1"/>
        <v>3309</v>
      </c>
      <c r="J19" s="73">
        <f t="shared" si="1"/>
        <v>176422</v>
      </c>
      <c r="K19" s="73">
        <f t="shared" si="1"/>
        <v>1505</v>
      </c>
      <c r="L19" s="73">
        <f t="shared" si="1"/>
        <v>54450</v>
      </c>
      <c r="M19" s="73">
        <f t="shared" si="1"/>
        <v>14641</v>
      </c>
      <c r="N19" s="84">
        <f t="shared" si="1"/>
        <v>5904</v>
      </c>
      <c r="O19" s="73">
        <f t="shared" si="1"/>
        <v>6769</v>
      </c>
      <c r="P19" s="73">
        <f t="shared" si="1"/>
        <v>0</v>
      </c>
      <c r="Q19" s="73">
        <f t="shared" si="1"/>
        <v>3335</v>
      </c>
      <c r="R19" s="73">
        <f t="shared" si="1"/>
        <v>0</v>
      </c>
      <c r="S19" s="73">
        <f t="shared" si="1"/>
        <v>0</v>
      </c>
      <c r="T19" s="73">
        <f t="shared" si="1"/>
        <v>0</v>
      </c>
      <c r="U19" s="73">
        <f t="shared" si="1"/>
        <v>2175</v>
      </c>
      <c r="V19" s="73">
        <f t="shared" si="1"/>
        <v>0</v>
      </c>
      <c r="W19" s="73">
        <f t="shared" si="1"/>
        <v>0</v>
      </c>
      <c r="X19" s="73">
        <f t="shared" si="1"/>
        <v>4990</v>
      </c>
      <c r="Y19" s="73">
        <f t="shared" si="1"/>
        <v>2130</v>
      </c>
      <c r="Z19" s="73">
        <f t="shared" si="1"/>
        <v>0</v>
      </c>
      <c r="AA19" s="73">
        <f t="shared" si="1"/>
        <v>0</v>
      </c>
      <c r="AB19" s="73">
        <f t="shared" si="1"/>
        <v>0</v>
      </c>
      <c r="AC19" s="73">
        <f t="shared" si="1"/>
        <v>0</v>
      </c>
    </row>
    <row r="20" spans="1:29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2" spans="1:29" x14ac:dyDescent="0.25">
      <c r="G22" s="37"/>
    </row>
    <row r="24" spans="1:29" x14ac:dyDescent="0.25">
      <c r="G24" s="37"/>
    </row>
    <row r="26" spans="1:29" x14ac:dyDescent="0.25">
      <c r="G26" s="37"/>
    </row>
    <row r="32" spans="1:29" x14ac:dyDescent="0.25">
      <c r="F32" s="37"/>
      <c r="H32" s="37"/>
    </row>
    <row r="33" spans="6:10" x14ac:dyDescent="0.25">
      <c r="F33" s="37"/>
      <c r="H33" s="37"/>
    </row>
    <row r="47" spans="6:10" x14ac:dyDescent="0.25">
      <c r="J47" s="37"/>
    </row>
    <row r="48" spans="6:10" x14ac:dyDescent="0.25">
      <c r="J48" s="37"/>
    </row>
  </sheetData>
  <mergeCells count="3">
    <mergeCell ref="A19:C19"/>
    <mergeCell ref="B2:M2"/>
    <mergeCell ref="B1:M1"/>
  </mergeCells>
  <pageMargins left="1.35" right="0.25" top="0.75" bottom="0.75" header="0.3" footer="0.3"/>
  <pageSetup paperSize="9" orientation="landscape" r:id="rId1"/>
  <headerFooter differentOddEven="1">
    <oddFooter>&amp;RContin...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8" sqref="G8"/>
    </sheetView>
  </sheetViews>
  <sheetFormatPr defaultRowHeight="15" x14ac:dyDescent="0.25"/>
  <cols>
    <col min="1" max="1" width="7.28515625" bestFit="1" customWidth="1"/>
    <col min="2" max="2" width="31" customWidth="1"/>
    <col min="3" max="3" width="6" bestFit="1" customWidth="1"/>
    <col min="4" max="4" width="13.140625" customWidth="1"/>
    <col min="5" max="5" width="0" hidden="1" customWidth="1"/>
    <col min="6" max="6" width="11.42578125" customWidth="1"/>
    <col min="7" max="7" width="11.5703125" customWidth="1"/>
    <col min="8" max="8" width="12.28515625" customWidth="1"/>
    <col min="9" max="9" width="7.28515625" customWidth="1"/>
    <col min="10" max="10" width="14" customWidth="1"/>
    <col min="11" max="11" width="9.7109375" customWidth="1"/>
    <col min="12" max="12" width="13.28515625" customWidth="1"/>
    <col min="13" max="13" width="12.85546875" customWidth="1"/>
    <col min="14" max="14" width="10" customWidth="1"/>
    <col min="15" max="15" width="10.42578125" customWidth="1"/>
    <col min="16" max="16" width="10.28515625" customWidth="1"/>
    <col min="17" max="17" width="10.5703125" customWidth="1"/>
    <col min="18" max="18" width="10.28515625" customWidth="1"/>
    <col min="19" max="19" width="1.140625" hidden="1" customWidth="1"/>
    <col min="20" max="20" width="7.85546875" customWidth="1"/>
    <col min="21" max="22" width="9.85546875" customWidth="1"/>
    <col min="23" max="23" width="0" hidden="1" customWidth="1"/>
    <col min="24" max="24" width="10.42578125" customWidth="1"/>
    <col min="25" max="25" width="9.7109375" customWidth="1"/>
    <col min="26" max="26" width="10" hidden="1" customWidth="1"/>
    <col min="27" max="27" width="9.85546875" hidden="1" customWidth="1"/>
    <col min="28" max="29" width="11.28515625" customWidth="1"/>
  </cols>
  <sheetData>
    <row r="1" spans="1:29" ht="36" x14ac:dyDescent="0.55000000000000004">
      <c r="A1" s="1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29" ht="26.25" x14ac:dyDescent="0.4">
      <c r="A2" s="1"/>
      <c r="B2" s="117" t="s">
        <v>115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"/>
      <c r="N2" s="1"/>
      <c r="O2" s="1"/>
      <c r="P2" s="1"/>
      <c r="Q2" s="1"/>
      <c r="R2" s="1"/>
      <c r="S2" s="1"/>
      <c r="T2" s="1"/>
      <c r="U2" s="1"/>
      <c r="V2" s="3"/>
      <c r="W2" s="1"/>
      <c r="X2" s="63" t="s">
        <v>94</v>
      </c>
      <c r="AB2" s="1"/>
      <c r="AC2" s="1"/>
    </row>
    <row r="3" spans="1:29" ht="20.25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96" customHeight="1" thickBot="1" x14ac:dyDescent="0.3">
      <c r="A4" s="13" t="s">
        <v>2</v>
      </c>
      <c r="B4" s="27" t="s">
        <v>3</v>
      </c>
      <c r="C4" s="15" t="s">
        <v>4</v>
      </c>
      <c r="D4" s="15" t="s">
        <v>93</v>
      </c>
      <c r="E4" s="17" t="s">
        <v>6</v>
      </c>
      <c r="F4" s="17" t="s">
        <v>7</v>
      </c>
      <c r="G4" s="17" t="s">
        <v>116</v>
      </c>
      <c r="H4" s="18" t="s">
        <v>9</v>
      </c>
      <c r="I4" s="17" t="s">
        <v>10</v>
      </c>
      <c r="J4" s="17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19" t="s">
        <v>17</v>
      </c>
      <c r="Q4" s="19" t="s">
        <v>18</v>
      </c>
      <c r="R4" s="19" t="s">
        <v>19</v>
      </c>
      <c r="S4" s="19" t="s">
        <v>20</v>
      </c>
      <c r="T4" s="19" t="s">
        <v>21</v>
      </c>
      <c r="U4" s="19" t="s">
        <v>22</v>
      </c>
      <c r="V4" s="19" t="s">
        <v>23</v>
      </c>
      <c r="W4" s="19" t="s">
        <v>24</v>
      </c>
      <c r="X4" s="19" t="s">
        <v>25</v>
      </c>
      <c r="Y4" s="19" t="s">
        <v>137</v>
      </c>
      <c r="Z4" s="19" t="s">
        <v>76</v>
      </c>
      <c r="AA4" s="19" t="s">
        <v>27</v>
      </c>
      <c r="AB4" s="19" t="s">
        <v>28</v>
      </c>
      <c r="AC4" s="20" t="s">
        <v>29</v>
      </c>
    </row>
    <row r="5" spans="1:29" ht="18.75" thickTop="1" x14ac:dyDescent="0.25">
      <c r="A5" s="35">
        <v>43465</v>
      </c>
      <c r="B5" s="29" t="s">
        <v>52</v>
      </c>
      <c r="C5" s="30" t="s">
        <v>30</v>
      </c>
      <c r="D5" s="31">
        <f t="shared" ref="D5:D24" si="0">SUM(E5:AC5)</f>
        <v>43355</v>
      </c>
      <c r="E5" s="24">
        <v>0</v>
      </c>
      <c r="F5" s="32">
        <f>2500+1500+6000+600+7425+400+4500+20430</f>
        <v>43355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2">
        <v>0</v>
      </c>
      <c r="O5" s="22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</row>
    <row r="6" spans="1:29" ht="18" x14ac:dyDescent="0.25">
      <c r="A6" s="35">
        <v>43465</v>
      </c>
      <c r="B6" s="29" t="s">
        <v>53</v>
      </c>
      <c r="C6" s="30" t="s">
        <v>31</v>
      </c>
      <c r="D6" s="31">
        <f t="shared" si="0"/>
        <v>133155</v>
      </c>
      <c r="E6" s="24">
        <v>0</v>
      </c>
      <c r="F6" s="24">
        <v>0</v>
      </c>
      <c r="G6" s="24">
        <v>0</v>
      </c>
      <c r="H6" s="32">
        <f>2880+4770+2200+5310+7740+2700+1080+6000+2970+10000+15705+1800+8000+50000+12000</f>
        <v>133155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</row>
    <row r="7" spans="1:29" ht="18" x14ac:dyDescent="0.25">
      <c r="A7" s="35">
        <v>43465</v>
      </c>
      <c r="B7" s="29" t="s">
        <v>50</v>
      </c>
      <c r="C7" s="30" t="s">
        <v>32</v>
      </c>
      <c r="D7" s="31">
        <f t="shared" si="0"/>
        <v>260730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8">
        <f>9860+4090+23350+600+300+1800+450+1300+6100+3000+4000+2740+920+5000+5250+2160+10840+5410+2140+1700+4500+4400+15000+3000+320+1500+2980+2000+2030+2800+2150+4100+10000+570+1220+2860+1100+150+3000+720+4800+3500+12000+180+630+2630+480+5760+300+1120+6090+1400+5700+900+980+4500+1950+5000+15000+7300+6000+19100</f>
        <v>260730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5"/>
      <c r="AA7" s="25"/>
      <c r="AB7" s="24">
        <v>0</v>
      </c>
      <c r="AC7" s="24">
        <v>0</v>
      </c>
    </row>
    <row r="8" spans="1:29" ht="18" x14ac:dyDescent="0.25">
      <c r="A8" s="35">
        <v>43465</v>
      </c>
      <c r="B8" s="29" t="s">
        <v>70</v>
      </c>
      <c r="C8" s="30" t="s">
        <v>33</v>
      </c>
      <c r="D8" s="31">
        <f t="shared" si="0"/>
        <v>1650</v>
      </c>
      <c r="E8" s="24"/>
      <c r="F8" s="24">
        <v>0</v>
      </c>
      <c r="G8" s="32">
        <f>1650</f>
        <v>1650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</row>
    <row r="9" spans="1:29" ht="18" x14ac:dyDescent="0.25">
      <c r="A9" s="35">
        <v>43465</v>
      </c>
      <c r="B9" s="21" t="s">
        <v>56</v>
      </c>
      <c r="C9" s="30" t="s">
        <v>35</v>
      </c>
      <c r="D9" s="31">
        <f t="shared" si="0"/>
        <v>2460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11">
        <f>150+100+200+30+200+95+300+200+180+100+100+100+50+155+200+200+100</f>
        <v>2460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5"/>
      <c r="AA9" s="25"/>
      <c r="AB9" s="24">
        <v>0</v>
      </c>
      <c r="AC9" s="24">
        <v>0</v>
      </c>
    </row>
    <row r="10" spans="1:29" ht="18" x14ac:dyDescent="0.25">
      <c r="A10" s="35">
        <v>43465</v>
      </c>
      <c r="B10" s="21" t="s">
        <v>64</v>
      </c>
      <c r="C10" s="30" t="s">
        <v>36</v>
      </c>
      <c r="D10" s="31">
        <f t="shared" si="0"/>
        <v>56000</v>
      </c>
      <c r="E10" s="24">
        <v>0</v>
      </c>
      <c r="F10" s="24">
        <v>0</v>
      </c>
      <c r="G10" s="24">
        <v>0</v>
      </c>
      <c r="H10" s="24">
        <v>0</v>
      </c>
      <c r="I10" s="22">
        <v>0</v>
      </c>
      <c r="J10" s="22">
        <v>0</v>
      </c>
      <c r="K10" s="22">
        <v>0</v>
      </c>
      <c r="L10" s="10">
        <f>18000+27000+11000</f>
        <v>56000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3"/>
      <c r="AA10" s="23"/>
      <c r="AB10" s="24">
        <v>0</v>
      </c>
      <c r="AC10" s="24">
        <v>0</v>
      </c>
    </row>
    <row r="11" spans="1:29" ht="18" x14ac:dyDescent="0.25">
      <c r="A11" s="35">
        <v>43465</v>
      </c>
      <c r="B11" s="21" t="s">
        <v>68</v>
      </c>
      <c r="C11" s="30" t="s">
        <v>34</v>
      </c>
      <c r="D11" s="31">
        <f t="shared" si="0"/>
        <v>20545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10">
        <v>14641</v>
      </c>
      <c r="N11" s="32">
        <v>5904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5"/>
      <c r="AA11" s="25"/>
      <c r="AB11" s="24">
        <v>0</v>
      </c>
      <c r="AC11" s="24">
        <v>0</v>
      </c>
    </row>
    <row r="12" spans="1:29" ht="18" x14ac:dyDescent="0.25">
      <c r="A12" s="35">
        <v>43465</v>
      </c>
      <c r="B12" s="21" t="s">
        <v>58</v>
      </c>
      <c r="C12" s="30" t="s">
        <v>37</v>
      </c>
      <c r="D12" s="31">
        <f t="shared" si="0"/>
        <v>4526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11">
        <f>4526</f>
        <v>4526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5"/>
      <c r="AA12" s="25"/>
      <c r="AB12" s="24">
        <v>0</v>
      </c>
      <c r="AC12" s="24">
        <v>0</v>
      </c>
    </row>
    <row r="13" spans="1:29" ht="18" x14ac:dyDescent="0.25">
      <c r="A13" s="35">
        <v>43465</v>
      </c>
      <c r="B13" s="21" t="s">
        <v>60</v>
      </c>
      <c r="C13" s="30" t="s">
        <v>38</v>
      </c>
      <c r="D13" s="31">
        <f t="shared" si="0"/>
        <v>1600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10">
        <f>1600</f>
        <v>1600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5"/>
      <c r="AA13" s="25"/>
      <c r="AB13" s="24">
        <v>0</v>
      </c>
      <c r="AC13" s="24">
        <v>0</v>
      </c>
    </row>
    <row r="14" spans="1:29" ht="18" x14ac:dyDescent="0.25">
      <c r="A14" s="35">
        <v>43465</v>
      </c>
      <c r="B14" s="21" t="s">
        <v>61</v>
      </c>
      <c r="C14" s="30" t="s">
        <v>39</v>
      </c>
      <c r="D14" s="31">
        <f t="shared" si="0"/>
        <v>1890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10">
        <f>935+260+240+105+105+80+165</f>
        <v>1890</v>
      </c>
      <c r="V14" s="24">
        <v>0</v>
      </c>
      <c r="W14" s="24">
        <v>0</v>
      </c>
      <c r="X14" s="24">
        <v>0</v>
      </c>
      <c r="Y14" s="24">
        <v>0</v>
      </c>
      <c r="Z14" s="25"/>
      <c r="AA14" s="25"/>
      <c r="AB14" s="24">
        <v>0</v>
      </c>
      <c r="AC14" s="24">
        <v>0</v>
      </c>
    </row>
    <row r="15" spans="1:29" ht="18" x14ac:dyDescent="0.25">
      <c r="A15" s="35">
        <v>43465</v>
      </c>
      <c r="B15" s="21" t="s">
        <v>63</v>
      </c>
      <c r="C15" s="30" t="s">
        <v>40</v>
      </c>
      <c r="D15" s="31">
        <f t="shared" si="0"/>
        <v>3801</v>
      </c>
      <c r="E15" s="24">
        <v>0</v>
      </c>
      <c r="F15" s="24">
        <v>0</v>
      </c>
      <c r="G15" s="24">
        <v>0</v>
      </c>
      <c r="H15" s="24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/>
      <c r="X15" s="10">
        <f>560+821+150+500+200+180+80+470+65+210+350+215</f>
        <v>3801</v>
      </c>
      <c r="Y15" s="24">
        <v>0</v>
      </c>
      <c r="Z15" s="25"/>
      <c r="AA15" s="25"/>
      <c r="AB15" s="24">
        <v>0</v>
      </c>
      <c r="AC15" s="24">
        <v>0</v>
      </c>
    </row>
    <row r="16" spans="1:29" ht="15.75" x14ac:dyDescent="0.25">
      <c r="A16" s="35">
        <v>43465</v>
      </c>
      <c r="B16" s="12" t="s">
        <v>67</v>
      </c>
      <c r="C16" s="30" t="s">
        <v>41</v>
      </c>
      <c r="D16" s="31">
        <f t="shared" si="0"/>
        <v>2610</v>
      </c>
      <c r="E16" s="24">
        <v>0</v>
      </c>
      <c r="F16" s="24">
        <v>0</v>
      </c>
      <c r="G16" s="24">
        <v>0</v>
      </c>
      <c r="H16" s="24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4">
        <v>0</v>
      </c>
      <c r="O16" s="24">
        <v>0</v>
      </c>
      <c r="P16" s="32">
        <f>2610</f>
        <v>2610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/>
      <c r="X16" s="24">
        <v>0</v>
      </c>
      <c r="Y16" s="24">
        <v>0</v>
      </c>
      <c r="Z16" s="25"/>
      <c r="AA16" s="25"/>
      <c r="AB16" s="24">
        <v>0</v>
      </c>
      <c r="AC16" s="24">
        <v>0</v>
      </c>
    </row>
    <row r="17" spans="1:29" ht="15.75" x14ac:dyDescent="0.25">
      <c r="A17" s="35">
        <v>43465</v>
      </c>
      <c r="B17" s="38" t="s">
        <v>71</v>
      </c>
      <c r="C17" s="30" t="s">
        <v>42</v>
      </c>
      <c r="D17" s="31">
        <f t="shared" si="0"/>
        <v>1680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32">
        <f>450+180+500+550</f>
        <v>1680</v>
      </c>
      <c r="W17" s="24"/>
      <c r="X17" s="24">
        <v>0</v>
      </c>
      <c r="Y17" s="24">
        <v>0</v>
      </c>
      <c r="Z17" s="25"/>
      <c r="AA17" s="25"/>
      <c r="AB17" s="24">
        <v>0</v>
      </c>
      <c r="AC17" s="24">
        <v>0</v>
      </c>
    </row>
    <row r="18" spans="1:29" ht="15.75" x14ac:dyDescent="0.25">
      <c r="A18" s="35">
        <v>43465</v>
      </c>
      <c r="B18" s="39" t="s">
        <v>55</v>
      </c>
      <c r="C18" s="30" t="s">
        <v>43</v>
      </c>
      <c r="D18" s="31">
        <f t="shared" si="0"/>
        <v>2670</v>
      </c>
      <c r="E18" s="24">
        <v>0</v>
      </c>
      <c r="F18" s="24">
        <v>0</v>
      </c>
      <c r="G18" s="24">
        <v>0</v>
      </c>
      <c r="H18" s="24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4">
        <v>0</v>
      </c>
      <c r="O18" s="24">
        <v>0</v>
      </c>
      <c r="P18" s="24">
        <v>0</v>
      </c>
      <c r="Q18" s="24">
        <v>0</v>
      </c>
      <c r="R18" s="32">
        <f>690+600+800+280+300</f>
        <v>2670</v>
      </c>
      <c r="S18" s="24"/>
      <c r="T18" s="24">
        <v>0</v>
      </c>
      <c r="U18" s="24">
        <v>0</v>
      </c>
      <c r="V18" s="24">
        <v>0</v>
      </c>
      <c r="W18" s="24"/>
      <c r="X18" s="24">
        <v>0</v>
      </c>
      <c r="Y18" s="24">
        <v>0</v>
      </c>
      <c r="Z18" s="25"/>
      <c r="AA18" s="25"/>
      <c r="AB18" s="24">
        <v>0</v>
      </c>
      <c r="AC18" s="24">
        <v>0</v>
      </c>
    </row>
    <row r="19" spans="1:29" x14ac:dyDescent="0.25">
      <c r="A19" s="35">
        <v>43465</v>
      </c>
      <c r="B19" s="32" t="s">
        <v>78</v>
      </c>
      <c r="C19" s="30" t="s">
        <v>44</v>
      </c>
      <c r="D19" s="31">
        <v>15000</v>
      </c>
      <c r="E19" s="24">
        <v>0</v>
      </c>
      <c r="F19" s="24">
        <v>0</v>
      </c>
      <c r="G19" s="24">
        <v>0</v>
      </c>
      <c r="H19" s="24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/>
      <c r="T19" s="24">
        <v>0</v>
      </c>
      <c r="U19" s="24">
        <v>0</v>
      </c>
      <c r="V19" s="24">
        <v>0</v>
      </c>
      <c r="W19" s="24"/>
      <c r="X19" s="24">
        <v>0</v>
      </c>
      <c r="Y19" s="24">
        <v>0</v>
      </c>
      <c r="Z19" s="24"/>
      <c r="AA19" s="24"/>
      <c r="AB19" s="24">
        <v>0</v>
      </c>
      <c r="AC19" s="32">
        <v>15000</v>
      </c>
    </row>
    <row r="20" spans="1:29" x14ac:dyDescent="0.25">
      <c r="A20" s="35">
        <v>43465</v>
      </c>
      <c r="B20" s="26" t="s">
        <v>77</v>
      </c>
      <c r="C20" s="30" t="s">
        <v>45</v>
      </c>
      <c r="D20" s="31">
        <f t="shared" si="0"/>
        <v>32500</v>
      </c>
      <c r="E20" s="24">
        <v>0</v>
      </c>
      <c r="F20" s="24">
        <v>0</v>
      </c>
      <c r="G20" s="24">
        <v>0</v>
      </c>
      <c r="H20" s="24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/>
      <c r="T20" s="24">
        <v>0</v>
      </c>
      <c r="U20" s="24">
        <v>0</v>
      </c>
      <c r="V20" s="24">
        <v>0</v>
      </c>
      <c r="W20" s="24"/>
      <c r="X20" s="24">
        <v>0</v>
      </c>
      <c r="Y20" s="24">
        <v>0</v>
      </c>
      <c r="Z20" s="24"/>
      <c r="AA20" s="24"/>
      <c r="AB20" s="32">
        <f>10800+5000+16200+500</f>
        <v>32500</v>
      </c>
      <c r="AC20" s="24">
        <v>0</v>
      </c>
    </row>
    <row r="21" spans="1:29" x14ac:dyDescent="0.25">
      <c r="A21" s="35">
        <v>43465</v>
      </c>
      <c r="B21" s="26" t="s">
        <v>135</v>
      </c>
      <c r="C21" s="30" t="s">
        <v>46</v>
      </c>
      <c r="D21" s="31">
        <f t="shared" si="0"/>
        <v>1000</v>
      </c>
      <c r="E21" s="24"/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1000</v>
      </c>
      <c r="Z21" s="24">
        <v>0</v>
      </c>
      <c r="AA21" s="24">
        <v>0</v>
      </c>
      <c r="AB21" s="24">
        <v>0</v>
      </c>
      <c r="AC21" s="24">
        <v>0</v>
      </c>
    </row>
    <row r="22" spans="1:29" x14ac:dyDescent="0.25">
      <c r="A22" s="35">
        <v>43465</v>
      </c>
      <c r="B22" s="26" t="s">
        <v>138</v>
      </c>
      <c r="C22" s="30" t="s">
        <v>47</v>
      </c>
      <c r="D22" s="31">
        <f t="shared" si="0"/>
        <v>30000</v>
      </c>
      <c r="E22" s="24"/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30000</v>
      </c>
    </row>
    <row r="23" spans="1:29" x14ac:dyDescent="0.25">
      <c r="A23" s="35">
        <v>43465</v>
      </c>
      <c r="B23" s="26" t="s">
        <v>139</v>
      </c>
      <c r="C23" s="30" t="s">
        <v>48</v>
      </c>
      <c r="D23" s="31">
        <f t="shared" si="0"/>
        <v>10000</v>
      </c>
      <c r="E23" s="24"/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10000</v>
      </c>
    </row>
    <row r="24" spans="1:29" x14ac:dyDescent="0.25">
      <c r="A24" s="35">
        <v>43465</v>
      </c>
      <c r="B24" s="26" t="s">
        <v>140</v>
      </c>
      <c r="C24" s="30" t="s">
        <v>49</v>
      </c>
      <c r="D24" s="31">
        <f t="shared" si="0"/>
        <v>20000</v>
      </c>
      <c r="E24" s="24"/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20000</v>
      </c>
    </row>
    <row r="25" spans="1:29" ht="16.5" thickBot="1" x14ac:dyDescent="0.3">
      <c r="A25" s="106" t="s">
        <v>66</v>
      </c>
      <c r="B25" s="107"/>
      <c r="C25" s="108"/>
      <c r="D25" s="43">
        <f>SUM(D5:D24)</f>
        <v>645172</v>
      </c>
      <c r="E25" s="43">
        <f t="shared" ref="E25:AC25" si="1">SUM(E5:E24)</f>
        <v>0</v>
      </c>
      <c r="F25" s="43">
        <f t="shared" si="1"/>
        <v>43355</v>
      </c>
      <c r="G25" s="43">
        <f t="shared" si="1"/>
        <v>1650</v>
      </c>
      <c r="H25" s="43">
        <f t="shared" si="1"/>
        <v>133155</v>
      </c>
      <c r="I25" s="43">
        <f t="shared" si="1"/>
        <v>0</v>
      </c>
      <c r="J25" s="43">
        <f t="shared" si="1"/>
        <v>260730</v>
      </c>
      <c r="K25" s="43">
        <f t="shared" si="1"/>
        <v>2460</v>
      </c>
      <c r="L25" s="43">
        <f t="shared" si="1"/>
        <v>56000</v>
      </c>
      <c r="M25" s="43">
        <f t="shared" si="1"/>
        <v>14641</v>
      </c>
      <c r="N25" s="43">
        <f t="shared" si="1"/>
        <v>5904</v>
      </c>
      <c r="O25" s="43">
        <f t="shared" si="1"/>
        <v>4526</v>
      </c>
      <c r="P25" s="43">
        <f t="shared" si="1"/>
        <v>2610</v>
      </c>
      <c r="Q25" s="43">
        <f t="shared" si="1"/>
        <v>1600</v>
      </c>
      <c r="R25" s="43">
        <f t="shared" si="1"/>
        <v>2670</v>
      </c>
      <c r="S25" s="43">
        <f t="shared" si="1"/>
        <v>0</v>
      </c>
      <c r="T25" s="43">
        <f t="shared" si="1"/>
        <v>0</v>
      </c>
      <c r="U25" s="43">
        <f t="shared" si="1"/>
        <v>1890</v>
      </c>
      <c r="V25" s="43">
        <f t="shared" si="1"/>
        <v>1680</v>
      </c>
      <c r="W25" s="43">
        <f t="shared" si="1"/>
        <v>0</v>
      </c>
      <c r="X25" s="43">
        <f t="shared" si="1"/>
        <v>3801</v>
      </c>
      <c r="Y25" s="43">
        <f t="shared" si="1"/>
        <v>1000</v>
      </c>
      <c r="Z25" s="43">
        <f t="shared" si="1"/>
        <v>0</v>
      </c>
      <c r="AA25" s="43">
        <f t="shared" si="1"/>
        <v>0</v>
      </c>
      <c r="AB25" s="43">
        <f t="shared" si="1"/>
        <v>32500</v>
      </c>
      <c r="AC25" s="43">
        <f t="shared" si="1"/>
        <v>75000</v>
      </c>
    </row>
    <row r="27" spans="1:29" x14ac:dyDescent="0.25">
      <c r="F27" s="68"/>
      <c r="H27" s="68"/>
      <c r="J27" s="68"/>
      <c r="K27" s="68"/>
    </row>
    <row r="28" spans="1:29" x14ac:dyDescent="0.25">
      <c r="F28" s="68"/>
      <c r="H28" s="68"/>
      <c r="J28" s="68"/>
      <c r="K28" s="68"/>
    </row>
    <row r="29" spans="1:29" x14ac:dyDescent="0.25">
      <c r="F29" s="68"/>
      <c r="H29" s="68"/>
      <c r="J29" s="68"/>
      <c r="K29" s="68"/>
    </row>
    <row r="30" spans="1:29" x14ac:dyDescent="0.25">
      <c r="F30" s="68"/>
      <c r="H30" s="68"/>
      <c r="J30" s="68"/>
      <c r="K30" s="68"/>
    </row>
    <row r="31" spans="1:29" x14ac:dyDescent="0.25">
      <c r="F31" s="68"/>
      <c r="G31" s="37"/>
      <c r="H31" s="68"/>
      <c r="J31" s="68"/>
      <c r="K31" s="68"/>
    </row>
    <row r="32" spans="1:29" x14ac:dyDescent="0.25">
      <c r="F32" s="68"/>
      <c r="G32" s="40"/>
      <c r="H32" s="68"/>
      <c r="J32" s="68"/>
      <c r="K32" s="68"/>
      <c r="L32" t="s">
        <v>95</v>
      </c>
    </row>
    <row r="33" spans="6:11" x14ac:dyDescent="0.25">
      <c r="F33" s="68"/>
      <c r="G33" s="40"/>
      <c r="H33" s="68"/>
      <c r="J33" s="68"/>
      <c r="K33" s="68"/>
    </row>
    <row r="34" spans="6:11" x14ac:dyDescent="0.25">
      <c r="F34" s="68"/>
      <c r="H34" s="68"/>
      <c r="J34" s="68"/>
      <c r="K34" s="68"/>
    </row>
    <row r="35" spans="6:11" x14ac:dyDescent="0.25">
      <c r="F35" s="68"/>
      <c r="H35" s="68"/>
      <c r="J35" s="68"/>
      <c r="K35" s="68"/>
    </row>
    <row r="36" spans="6:11" x14ac:dyDescent="0.25">
      <c r="H36" s="68"/>
      <c r="J36" s="68"/>
      <c r="K36" s="68"/>
    </row>
    <row r="37" spans="6:11" x14ac:dyDescent="0.25">
      <c r="H37" s="68"/>
      <c r="J37" s="68"/>
      <c r="K37" s="68"/>
    </row>
    <row r="38" spans="6:11" x14ac:dyDescent="0.25">
      <c r="F38" s="37"/>
      <c r="J38" s="68"/>
      <c r="K38" s="68"/>
    </row>
    <row r="39" spans="6:11" x14ac:dyDescent="0.25">
      <c r="F39" s="37"/>
      <c r="J39" s="68"/>
      <c r="K39" s="68"/>
    </row>
    <row r="40" spans="6:11" x14ac:dyDescent="0.25">
      <c r="F40" s="37"/>
      <c r="J40" s="68"/>
      <c r="K40" s="68"/>
    </row>
    <row r="41" spans="6:11" x14ac:dyDescent="0.25">
      <c r="J41" s="68"/>
      <c r="K41" s="68"/>
    </row>
    <row r="42" spans="6:11" x14ac:dyDescent="0.25">
      <c r="J42" s="68"/>
      <c r="K42" s="68"/>
    </row>
    <row r="43" spans="6:11" x14ac:dyDescent="0.25">
      <c r="J43" s="68"/>
      <c r="K43" s="68"/>
    </row>
    <row r="44" spans="6:11" x14ac:dyDescent="0.25">
      <c r="J44" s="68"/>
      <c r="K44" s="68"/>
    </row>
    <row r="45" spans="6:11" x14ac:dyDescent="0.25">
      <c r="J45" s="68"/>
      <c r="K45" s="68"/>
    </row>
    <row r="46" spans="6:11" x14ac:dyDescent="0.25">
      <c r="J46" s="68"/>
      <c r="K46" s="68"/>
    </row>
    <row r="47" spans="6:11" x14ac:dyDescent="0.25">
      <c r="J47" s="68"/>
      <c r="K47" s="68"/>
    </row>
    <row r="48" spans="6:11" x14ac:dyDescent="0.25">
      <c r="J48" s="68"/>
      <c r="K48" s="68"/>
    </row>
    <row r="49" spans="10:11" x14ac:dyDescent="0.25">
      <c r="J49" s="68"/>
      <c r="K49" s="68"/>
    </row>
    <row r="50" spans="10:11" x14ac:dyDescent="0.25">
      <c r="J50" s="68"/>
      <c r="K50" s="68"/>
    </row>
    <row r="51" spans="10:11" x14ac:dyDescent="0.25">
      <c r="J51" s="68"/>
      <c r="K51" s="37"/>
    </row>
    <row r="52" spans="10:11" x14ac:dyDescent="0.25">
      <c r="J52" s="68"/>
      <c r="K52" s="37"/>
    </row>
    <row r="53" spans="10:11" x14ac:dyDescent="0.25">
      <c r="J53" s="68"/>
      <c r="K53" s="68"/>
    </row>
    <row r="54" spans="10:11" x14ac:dyDescent="0.25">
      <c r="J54" s="68"/>
    </row>
    <row r="55" spans="10:11" x14ac:dyDescent="0.25">
      <c r="J55" s="68"/>
    </row>
    <row r="56" spans="10:11" x14ac:dyDescent="0.25">
      <c r="J56" s="68"/>
    </row>
    <row r="57" spans="10:11" x14ac:dyDescent="0.25">
      <c r="J57" s="68"/>
    </row>
    <row r="58" spans="10:11" x14ac:dyDescent="0.25">
      <c r="J58" s="68"/>
    </row>
    <row r="59" spans="10:11" x14ac:dyDescent="0.25">
      <c r="J59" s="68"/>
    </row>
    <row r="60" spans="10:11" x14ac:dyDescent="0.25">
      <c r="J60" s="68"/>
    </row>
    <row r="61" spans="10:11" x14ac:dyDescent="0.25">
      <c r="J61" s="68"/>
    </row>
    <row r="62" spans="10:11" x14ac:dyDescent="0.25">
      <c r="J62" s="68"/>
    </row>
    <row r="63" spans="10:11" x14ac:dyDescent="0.25">
      <c r="J63" s="68"/>
    </row>
    <row r="64" spans="10:11" x14ac:dyDescent="0.25">
      <c r="J64" s="37"/>
    </row>
    <row r="65" spans="10:10" x14ac:dyDescent="0.25">
      <c r="J65" s="37"/>
    </row>
    <row r="66" spans="10:10" x14ac:dyDescent="0.25">
      <c r="J66" s="68"/>
    </row>
  </sheetData>
  <mergeCells count="3">
    <mergeCell ref="B1:L1"/>
    <mergeCell ref="B2:L2"/>
    <mergeCell ref="A25:C25"/>
  </mergeCells>
  <conditionalFormatting sqref="D4">
    <cfRule type="top10" dxfId="0" priority="1" rank="10"/>
  </conditionalFormatting>
  <pageMargins left="1.6" right="0.25" top="0.75" bottom="0.75" header="0.3" footer="0.3"/>
  <pageSetup paperSize="9" scale="93" orientation="landscape" r:id="rId1"/>
  <headerFooter differentOddEven="1">
    <oddFooter>&amp;RContin....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3" ySplit="4" topLeftCell="D12" activePane="bottomRight" state="frozen"/>
      <selection pane="topRight" activeCell="D1" sqref="D1"/>
      <selection pane="bottomLeft" activeCell="A5" sqref="A5"/>
      <selection pane="bottomRight" activeCell="D20" sqref="D20"/>
    </sheetView>
  </sheetViews>
  <sheetFormatPr defaultRowHeight="15" x14ac:dyDescent="0.25"/>
  <cols>
    <col min="1" max="1" width="6.7109375" bestFit="1" customWidth="1"/>
    <col min="2" max="2" width="32.42578125" bestFit="1" customWidth="1"/>
    <col min="3" max="3" width="7.85546875" customWidth="1"/>
    <col min="4" max="4" width="12" customWidth="1"/>
    <col min="5" max="5" width="0" hidden="1" customWidth="1"/>
    <col min="6" max="6" width="11.28515625" bestFit="1" customWidth="1"/>
    <col min="7" max="7" width="0" hidden="1" customWidth="1"/>
    <col min="8" max="8" width="10.5703125" bestFit="1" customWidth="1"/>
    <col min="9" max="9" width="9" customWidth="1"/>
    <col min="10" max="10" width="12.7109375" bestFit="1" customWidth="1"/>
    <col min="11" max="11" width="10" bestFit="1" customWidth="1"/>
    <col min="12" max="12" width="11.42578125" bestFit="1" customWidth="1"/>
    <col min="13" max="13" width="11.140625" bestFit="1" customWidth="1"/>
    <col min="14" max="14" width="10" bestFit="1" customWidth="1"/>
    <col min="15" max="15" width="9.85546875" customWidth="1"/>
    <col min="16" max="16" width="9.7109375" bestFit="1" customWidth="1"/>
    <col min="17" max="17" width="10" bestFit="1" customWidth="1"/>
    <col min="18" max="18" width="9.85546875" customWidth="1"/>
    <col min="19" max="20" width="9.140625" hidden="1" customWidth="1"/>
    <col min="21" max="21" width="10" bestFit="1" customWidth="1"/>
    <col min="22" max="23" width="0" hidden="1" customWidth="1"/>
    <col min="24" max="24" width="10" bestFit="1" customWidth="1"/>
    <col min="25" max="25" width="9.85546875" customWidth="1"/>
    <col min="26" max="26" width="0" hidden="1" customWidth="1"/>
    <col min="27" max="27" width="8" customWidth="1"/>
    <col min="28" max="28" width="9.7109375" customWidth="1"/>
    <col min="29" max="29" width="0.28515625" hidden="1" customWidth="1"/>
    <col min="30" max="30" width="11.42578125" customWidth="1"/>
    <col min="32" max="32" width="9.5703125" bestFit="1" customWidth="1"/>
  </cols>
  <sheetData>
    <row r="1" spans="1:32" ht="36" x14ac:dyDescent="0.55000000000000004">
      <c r="A1" s="1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32" ht="26.25" x14ac:dyDescent="0.4">
      <c r="A2" s="1"/>
      <c r="B2" s="117" t="s">
        <v>117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"/>
      <c r="N2" s="1"/>
      <c r="O2" s="1"/>
      <c r="P2" s="1"/>
      <c r="Q2" s="1"/>
      <c r="R2" s="1"/>
      <c r="S2" s="1"/>
      <c r="T2" s="1"/>
      <c r="U2" s="1"/>
      <c r="V2" s="3"/>
      <c r="W2" s="1"/>
      <c r="X2" s="1"/>
      <c r="Y2" s="63" t="s">
        <v>96</v>
      </c>
      <c r="AC2" s="1"/>
      <c r="AD2" s="1"/>
    </row>
    <row r="3" spans="1:32" ht="20.25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2" ht="75.75" thickBot="1" x14ac:dyDescent="0.3">
      <c r="A4" s="13" t="s">
        <v>2</v>
      </c>
      <c r="B4" s="27" t="s">
        <v>3</v>
      </c>
      <c r="C4" s="15" t="s">
        <v>4</v>
      </c>
      <c r="D4" s="15" t="s">
        <v>5</v>
      </c>
      <c r="E4" s="17" t="s">
        <v>6</v>
      </c>
      <c r="F4" s="17" t="s">
        <v>7</v>
      </c>
      <c r="G4" s="17" t="s">
        <v>8</v>
      </c>
      <c r="H4" s="18" t="s">
        <v>9</v>
      </c>
      <c r="I4" s="17" t="s">
        <v>10</v>
      </c>
      <c r="J4" s="17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19" t="s">
        <v>17</v>
      </c>
      <c r="Q4" s="19" t="s">
        <v>18</v>
      </c>
      <c r="R4" s="19" t="s">
        <v>19</v>
      </c>
      <c r="S4" s="19" t="s">
        <v>20</v>
      </c>
      <c r="T4" s="19" t="s">
        <v>21</v>
      </c>
      <c r="U4" s="19" t="s">
        <v>22</v>
      </c>
      <c r="V4" s="19" t="s">
        <v>23</v>
      </c>
      <c r="W4" s="19" t="s">
        <v>24</v>
      </c>
      <c r="X4" s="19" t="s">
        <v>25</v>
      </c>
      <c r="Y4" s="19" t="s">
        <v>24</v>
      </c>
      <c r="Z4" s="19" t="s">
        <v>76</v>
      </c>
      <c r="AA4" s="19" t="s">
        <v>27</v>
      </c>
      <c r="AB4" s="19" t="s">
        <v>79</v>
      </c>
      <c r="AC4" s="19" t="s">
        <v>28</v>
      </c>
      <c r="AD4" s="20" t="s">
        <v>29</v>
      </c>
    </row>
    <row r="5" spans="1:32" ht="18.75" thickTop="1" x14ac:dyDescent="0.25">
      <c r="A5" s="35">
        <v>43496</v>
      </c>
      <c r="B5" s="29" t="s">
        <v>52</v>
      </c>
      <c r="C5" s="30" t="s">
        <v>30</v>
      </c>
      <c r="D5" s="64">
        <f t="shared" ref="D5:D20" si="0">SUM(E5:AD5)</f>
        <v>53093</v>
      </c>
      <c r="E5" s="24"/>
      <c r="F5" s="28">
        <f>2730+6500+1570+2220+500+1200+4000+9650+1692+2000+6885+11146+3000</f>
        <v>53093</v>
      </c>
      <c r="G5" s="24"/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</row>
    <row r="6" spans="1:32" ht="18" x14ac:dyDescent="0.25">
      <c r="A6" s="35">
        <v>43496</v>
      </c>
      <c r="B6" s="29" t="s">
        <v>53</v>
      </c>
      <c r="C6" s="30" t="s">
        <v>31</v>
      </c>
      <c r="D6" s="31">
        <f t="shared" si="0"/>
        <v>134530</v>
      </c>
      <c r="E6" s="24"/>
      <c r="F6" s="24">
        <v>0</v>
      </c>
      <c r="G6" s="24"/>
      <c r="H6" s="28">
        <f>7695+1200+2160+7800+13500+3410+1000+70000+13860+4500+3555+5850</f>
        <v>134530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</row>
    <row r="7" spans="1:32" ht="18" x14ac:dyDescent="0.25">
      <c r="A7" s="35">
        <v>43496</v>
      </c>
      <c r="B7" s="29" t="s">
        <v>50</v>
      </c>
      <c r="C7" s="30" t="s">
        <v>32</v>
      </c>
      <c r="D7" s="31">
        <f t="shared" si="0"/>
        <v>82516</v>
      </c>
      <c r="E7" s="24"/>
      <c r="F7" s="24">
        <v>0</v>
      </c>
      <c r="G7" s="24">
        <v>0</v>
      </c>
      <c r="H7" s="24">
        <v>0</v>
      </c>
      <c r="I7" s="24">
        <v>0</v>
      </c>
      <c r="J7" s="28">
        <f>960+300+3540+540+3870+1000+5580+3060+70+2500+1800+1630+160+1790+480+300+1140+9000+520+1500+550+6000+5500+2600+225+600+600+2040+1300+956+17800+2625+680+1300</f>
        <v>82516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</row>
    <row r="8" spans="1:32" ht="18" x14ac:dyDescent="0.25">
      <c r="A8" s="35">
        <v>43496</v>
      </c>
      <c r="B8" s="21" t="s">
        <v>56</v>
      </c>
      <c r="C8" s="30" t="s">
        <v>33</v>
      </c>
      <c r="D8" s="31">
        <f t="shared" si="0"/>
        <v>2040</v>
      </c>
      <c r="E8" s="24"/>
      <c r="F8" s="24">
        <v>0</v>
      </c>
      <c r="G8" s="24"/>
      <c r="H8" s="24">
        <v>0</v>
      </c>
      <c r="I8" s="24">
        <v>0</v>
      </c>
      <c r="J8" s="28">
        <v>0</v>
      </c>
      <c r="K8" s="11">
        <f>100+80+150+100+450+100+100+90+150+110+170+190+150+100</f>
        <v>2040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</row>
    <row r="9" spans="1:32" ht="18" x14ac:dyDescent="0.25">
      <c r="A9" s="35">
        <v>43496</v>
      </c>
      <c r="B9" s="21" t="s">
        <v>64</v>
      </c>
      <c r="C9" s="30" t="s">
        <v>35</v>
      </c>
      <c r="D9" s="31">
        <f t="shared" si="0"/>
        <v>56000</v>
      </c>
      <c r="E9" s="22"/>
      <c r="F9" s="24">
        <v>0</v>
      </c>
      <c r="G9" s="22"/>
      <c r="H9" s="24">
        <v>0</v>
      </c>
      <c r="I9" s="24">
        <v>0</v>
      </c>
      <c r="J9" s="28">
        <v>0</v>
      </c>
      <c r="K9" s="28">
        <v>0</v>
      </c>
      <c r="L9" s="11">
        <f>18000+27000+11000</f>
        <v>56000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</row>
    <row r="10" spans="1:32" ht="18" x14ac:dyDescent="0.25">
      <c r="A10" s="35">
        <v>43496</v>
      </c>
      <c r="B10" s="21" t="s">
        <v>68</v>
      </c>
      <c r="C10" s="30" t="s">
        <v>36</v>
      </c>
      <c r="D10" s="31">
        <f t="shared" si="0"/>
        <v>20545</v>
      </c>
      <c r="E10" s="24"/>
      <c r="F10" s="24">
        <v>0</v>
      </c>
      <c r="G10" s="24"/>
      <c r="H10" s="24">
        <v>0</v>
      </c>
      <c r="I10" s="24">
        <v>0</v>
      </c>
      <c r="J10" s="28">
        <v>0</v>
      </c>
      <c r="K10" s="28">
        <v>0</v>
      </c>
      <c r="L10" s="28">
        <v>0</v>
      </c>
      <c r="M10" s="11">
        <v>14641</v>
      </c>
      <c r="N10" s="32">
        <v>5904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</row>
    <row r="11" spans="1:32" ht="18" x14ac:dyDescent="0.25">
      <c r="A11" s="35">
        <v>43496</v>
      </c>
      <c r="B11" s="21" t="s">
        <v>58</v>
      </c>
      <c r="C11" s="30" t="s">
        <v>34</v>
      </c>
      <c r="D11" s="31">
        <f t="shared" si="0"/>
        <v>3740</v>
      </c>
      <c r="E11" s="24"/>
      <c r="F11" s="24">
        <v>0</v>
      </c>
      <c r="G11" s="24"/>
      <c r="H11" s="24">
        <v>0</v>
      </c>
      <c r="I11" s="24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10">
        <v>3740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</row>
    <row r="12" spans="1:32" ht="18" x14ac:dyDescent="0.25">
      <c r="A12" s="35">
        <v>43496</v>
      </c>
      <c r="B12" s="21" t="s">
        <v>61</v>
      </c>
      <c r="C12" s="30" t="s">
        <v>37</v>
      </c>
      <c r="D12" s="31">
        <f t="shared" si="0"/>
        <v>1700</v>
      </c>
      <c r="E12" s="24"/>
      <c r="F12" s="24">
        <v>0</v>
      </c>
      <c r="G12" s="24"/>
      <c r="H12" s="24">
        <v>0</v>
      </c>
      <c r="I12" s="24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4">
        <v>0</v>
      </c>
      <c r="P12" s="24">
        <v>0</v>
      </c>
      <c r="Q12" s="24">
        <v>0</v>
      </c>
      <c r="R12" s="24">
        <v>0</v>
      </c>
      <c r="S12" s="24"/>
      <c r="T12" s="24"/>
      <c r="U12" s="10">
        <f>1175+190+335</f>
        <v>1700</v>
      </c>
      <c r="V12" s="24"/>
      <c r="W12" s="24"/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</row>
    <row r="13" spans="1:32" ht="18" x14ac:dyDescent="0.25">
      <c r="A13" s="35">
        <v>43496</v>
      </c>
      <c r="B13" s="21" t="s">
        <v>63</v>
      </c>
      <c r="C13" s="30" t="s">
        <v>38</v>
      </c>
      <c r="D13" s="31">
        <f t="shared" si="0"/>
        <v>1660</v>
      </c>
      <c r="E13" s="24"/>
      <c r="F13" s="24">
        <v>0</v>
      </c>
      <c r="G13" s="24"/>
      <c r="H13" s="24">
        <v>0</v>
      </c>
      <c r="I13" s="24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4">
        <v>0</v>
      </c>
      <c r="P13" s="24">
        <v>0</v>
      </c>
      <c r="Q13" s="24">
        <v>0</v>
      </c>
      <c r="R13" s="24">
        <v>0</v>
      </c>
      <c r="S13" s="24"/>
      <c r="T13" s="24"/>
      <c r="U13" s="24">
        <v>0</v>
      </c>
      <c r="V13" s="24"/>
      <c r="W13" s="24"/>
      <c r="X13" s="10">
        <v>1660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F13" s="104">
        <v>1657</v>
      </c>
    </row>
    <row r="14" spans="1:32" ht="18" x14ac:dyDescent="0.25">
      <c r="A14" s="35">
        <v>43496</v>
      </c>
      <c r="B14" s="21" t="s">
        <v>82</v>
      </c>
      <c r="C14" s="30" t="s">
        <v>39</v>
      </c>
      <c r="D14" s="31">
        <f t="shared" si="0"/>
        <v>40</v>
      </c>
      <c r="E14" s="24"/>
      <c r="F14" s="24">
        <v>0</v>
      </c>
      <c r="G14" s="24"/>
      <c r="H14" s="24">
        <v>0</v>
      </c>
      <c r="I14" s="24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4">
        <v>0</v>
      </c>
      <c r="P14" s="24">
        <v>0</v>
      </c>
      <c r="Q14" s="24">
        <v>0</v>
      </c>
      <c r="R14" s="24">
        <v>0</v>
      </c>
      <c r="S14" s="24"/>
      <c r="T14" s="24"/>
      <c r="U14" s="24">
        <v>0</v>
      </c>
      <c r="V14" s="24"/>
      <c r="W14" s="24"/>
      <c r="X14" s="24">
        <v>0</v>
      </c>
      <c r="Y14" s="10">
        <f>40</f>
        <v>40</v>
      </c>
      <c r="Z14" s="25"/>
      <c r="AA14" s="25"/>
      <c r="AB14" s="24">
        <v>0</v>
      </c>
      <c r="AC14" s="24">
        <v>0</v>
      </c>
      <c r="AD14" s="24">
        <v>0</v>
      </c>
    </row>
    <row r="15" spans="1:32" ht="18" x14ac:dyDescent="0.25">
      <c r="A15" s="35">
        <v>43496</v>
      </c>
      <c r="B15" s="21" t="s">
        <v>65</v>
      </c>
      <c r="C15" s="30" t="s">
        <v>40</v>
      </c>
      <c r="D15" s="31">
        <f t="shared" si="0"/>
        <v>500</v>
      </c>
      <c r="E15" s="24"/>
      <c r="F15" s="24">
        <v>0</v>
      </c>
      <c r="G15" s="24"/>
      <c r="H15" s="24">
        <v>0</v>
      </c>
      <c r="I15" s="24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4"/>
      <c r="P15" s="24">
        <v>0</v>
      </c>
      <c r="Q15" s="24"/>
      <c r="R15" s="24">
        <v>0</v>
      </c>
      <c r="S15" s="24"/>
      <c r="T15" s="24"/>
      <c r="U15" s="24"/>
      <c r="V15" s="24"/>
      <c r="W15" s="24"/>
      <c r="X15" s="24"/>
      <c r="Y15" s="24"/>
      <c r="Z15" s="25"/>
      <c r="AA15" s="11">
        <f>500</f>
        <v>500</v>
      </c>
      <c r="AB15" s="24">
        <v>0</v>
      </c>
      <c r="AC15" s="24">
        <v>0</v>
      </c>
      <c r="AD15" s="24">
        <v>0</v>
      </c>
    </row>
    <row r="16" spans="1:32" ht="15.75" x14ac:dyDescent="0.25">
      <c r="A16" s="35">
        <v>43496</v>
      </c>
      <c r="B16" s="12" t="s">
        <v>67</v>
      </c>
      <c r="C16" s="30" t="s">
        <v>41</v>
      </c>
      <c r="D16" s="31">
        <f t="shared" si="0"/>
        <v>1270</v>
      </c>
      <c r="E16" s="24"/>
      <c r="F16" s="24">
        <v>0</v>
      </c>
      <c r="G16" s="24"/>
      <c r="H16" s="24">
        <v>0</v>
      </c>
      <c r="I16" s="24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4">
        <v>0</v>
      </c>
      <c r="P16" s="24">
        <f>1270</f>
        <v>1270</v>
      </c>
      <c r="Q16" s="24">
        <v>0</v>
      </c>
      <c r="R16" s="24">
        <v>0</v>
      </c>
      <c r="S16" s="24"/>
      <c r="T16" s="24"/>
      <c r="U16" s="24">
        <v>0</v>
      </c>
      <c r="V16" s="24"/>
      <c r="W16" s="24"/>
      <c r="X16" s="24">
        <v>0</v>
      </c>
      <c r="Y16" s="24">
        <v>0</v>
      </c>
      <c r="Z16" s="25"/>
      <c r="AA16" s="25"/>
      <c r="AB16" s="24">
        <v>0</v>
      </c>
      <c r="AC16" s="24">
        <v>0</v>
      </c>
      <c r="AD16" s="24">
        <v>0</v>
      </c>
    </row>
    <row r="17" spans="1:30" ht="15.75" x14ac:dyDescent="0.25">
      <c r="A17" s="35">
        <v>43496</v>
      </c>
      <c r="B17" s="39" t="s">
        <v>55</v>
      </c>
      <c r="C17" s="30" t="s">
        <v>42</v>
      </c>
      <c r="D17" s="31">
        <f t="shared" si="0"/>
        <v>1578</v>
      </c>
      <c r="E17" s="24"/>
      <c r="F17" s="24">
        <v>0</v>
      </c>
      <c r="G17" s="24"/>
      <c r="H17" s="24">
        <v>0</v>
      </c>
      <c r="I17" s="24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4">
        <v>0</v>
      </c>
      <c r="P17" s="24"/>
      <c r="Q17" s="24"/>
      <c r="R17" s="24">
        <f>754+824</f>
        <v>1578</v>
      </c>
      <c r="S17" s="24"/>
      <c r="T17" s="24"/>
      <c r="U17" s="24"/>
      <c r="V17" s="24"/>
      <c r="W17" s="24"/>
      <c r="X17" s="24"/>
      <c r="Y17" s="24"/>
      <c r="Z17" s="25"/>
      <c r="AA17" s="25"/>
      <c r="AB17" s="24">
        <v>0</v>
      </c>
      <c r="AC17" s="25"/>
      <c r="AD17" s="24"/>
    </row>
    <row r="18" spans="1:30" x14ac:dyDescent="0.25">
      <c r="A18" s="35">
        <v>43496</v>
      </c>
      <c r="B18" s="32" t="s">
        <v>123</v>
      </c>
      <c r="C18" s="30" t="s">
        <v>43</v>
      </c>
      <c r="D18" s="31">
        <f t="shared" si="0"/>
        <v>20000</v>
      </c>
      <c r="E18" s="24"/>
      <c r="F18" s="24">
        <v>0</v>
      </c>
      <c r="G18" s="24"/>
      <c r="H18" s="24">
        <v>0</v>
      </c>
      <c r="I18" s="24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4">
        <v>0</v>
      </c>
      <c r="P18" s="24">
        <v>0</v>
      </c>
      <c r="Q18" s="24">
        <v>0</v>
      </c>
      <c r="R18" s="24">
        <v>0</v>
      </c>
      <c r="S18" s="24"/>
      <c r="T18" s="24"/>
      <c r="U18" s="24">
        <v>0</v>
      </c>
      <c r="V18" s="24"/>
      <c r="W18" s="24"/>
      <c r="X18" s="24">
        <v>0</v>
      </c>
      <c r="Y18" s="24">
        <v>0</v>
      </c>
      <c r="Z18" s="24"/>
      <c r="AA18" s="24"/>
      <c r="AB18" s="24">
        <v>0</v>
      </c>
      <c r="AC18" s="24"/>
      <c r="AD18" s="24">
        <v>20000</v>
      </c>
    </row>
    <row r="19" spans="1:30" x14ac:dyDescent="0.25">
      <c r="A19" s="35">
        <v>43496</v>
      </c>
      <c r="B19" s="32" t="s">
        <v>124</v>
      </c>
      <c r="C19" s="30" t="s">
        <v>44</v>
      </c>
      <c r="D19" s="31">
        <f t="shared" si="0"/>
        <v>16250</v>
      </c>
      <c r="E19" s="24"/>
      <c r="F19" s="24">
        <v>0</v>
      </c>
      <c r="G19" s="24"/>
      <c r="H19" s="24">
        <v>0</v>
      </c>
      <c r="I19" s="24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4">
        <v>0</v>
      </c>
      <c r="P19" s="24">
        <v>0</v>
      </c>
      <c r="Q19" s="24">
        <v>0</v>
      </c>
      <c r="R19" s="24">
        <v>0</v>
      </c>
      <c r="S19" s="24"/>
      <c r="T19" s="24"/>
      <c r="U19" s="24">
        <v>0</v>
      </c>
      <c r="V19" s="24"/>
      <c r="W19" s="24"/>
      <c r="X19" s="24">
        <v>0</v>
      </c>
      <c r="Y19" s="24">
        <v>0</v>
      </c>
      <c r="Z19" s="24"/>
      <c r="AA19" s="24"/>
      <c r="AB19" s="24">
        <v>0</v>
      </c>
      <c r="AC19" s="24"/>
      <c r="AD19" s="24">
        <v>16250</v>
      </c>
    </row>
    <row r="20" spans="1:30" ht="15.75" thickBot="1" x14ac:dyDescent="0.3">
      <c r="A20" s="35">
        <v>43496</v>
      </c>
      <c r="B20" s="26" t="s">
        <v>135</v>
      </c>
      <c r="C20" s="30" t="s">
        <v>45</v>
      </c>
      <c r="D20" s="31">
        <f t="shared" si="0"/>
        <v>1030</v>
      </c>
      <c r="E20" s="41"/>
      <c r="F20" s="24">
        <v>0</v>
      </c>
      <c r="G20" s="41"/>
      <c r="H20" s="24">
        <v>0</v>
      </c>
      <c r="I20" s="24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41">
        <v>0</v>
      </c>
      <c r="P20" s="41">
        <v>0</v>
      </c>
      <c r="Q20" s="41">
        <v>0</v>
      </c>
      <c r="R20" s="24">
        <v>0</v>
      </c>
      <c r="S20" s="41"/>
      <c r="T20" s="41"/>
      <c r="U20" s="41">
        <v>0</v>
      </c>
      <c r="V20" s="41"/>
      <c r="W20" s="41"/>
      <c r="X20" s="41">
        <v>0</v>
      </c>
      <c r="Y20" s="41">
        <v>0</v>
      </c>
      <c r="Z20" s="41"/>
      <c r="AA20" s="41"/>
      <c r="AB20" s="41">
        <v>1030</v>
      </c>
      <c r="AC20" s="41"/>
      <c r="AD20" s="41">
        <v>0</v>
      </c>
    </row>
    <row r="21" spans="1:30" ht="16.5" thickBot="1" x14ac:dyDescent="0.3">
      <c r="A21" s="112" t="s">
        <v>66</v>
      </c>
      <c r="B21" s="107"/>
      <c r="C21" s="114"/>
      <c r="D21" s="78">
        <f t="shared" ref="D21:AD21" si="1">SUM(D5:D20)</f>
        <v>396492</v>
      </c>
      <c r="E21" s="34">
        <f t="shared" si="1"/>
        <v>0</v>
      </c>
      <c r="F21" s="73">
        <f t="shared" si="1"/>
        <v>53093</v>
      </c>
      <c r="G21" s="73">
        <f t="shared" si="1"/>
        <v>0</v>
      </c>
      <c r="H21" s="73">
        <f t="shared" si="1"/>
        <v>134530</v>
      </c>
      <c r="I21" s="73">
        <f t="shared" si="1"/>
        <v>0</v>
      </c>
      <c r="J21" s="73">
        <f t="shared" si="1"/>
        <v>82516</v>
      </c>
      <c r="K21" s="73">
        <f t="shared" si="1"/>
        <v>2040</v>
      </c>
      <c r="L21" s="73">
        <f t="shared" si="1"/>
        <v>56000</v>
      </c>
      <c r="M21" s="73">
        <f t="shared" si="1"/>
        <v>14641</v>
      </c>
      <c r="N21" s="73">
        <f t="shared" si="1"/>
        <v>5904</v>
      </c>
      <c r="O21" s="73">
        <f t="shared" si="1"/>
        <v>3740</v>
      </c>
      <c r="P21" s="73">
        <f t="shared" si="1"/>
        <v>1270</v>
      </c>
      <c r="Q21" s="73">
        <f t="shared" si="1"/>
        <v>0</v>
      </c>
      <c r="R21" s="73">
        <f t="shared" si="1"/>
        <v>1578</v>
      </c>
      <c r="S21" s="73">
        <f t="shared" si="1"/>
        <v>0</v>
      </c>
      <c r="T21" s="73">
        <f t="shared" si="1"/>
        <v>0</v>
      </c>
      <c r="U21" s="73">
        <f t="shared" si="1"/>
        <v>1700</v>
      </c>
      <c r="V21" s="73">
        <f t="shared" si="1"/>
        <v>0</v>
      </c>
      <c r="W21" s="73">
        <f t="shared" si="1"/>
        <v>0</v>
      </c>
      <c r="X21" s="73">
        <f t="shared" si="1"/>
        <v>1660</v>
      </c>
      <c r="Y21" s="73">
        <f t="shared" si="1"/>
        <v>40</v>
      </c>
      <c r="Z21" s="73">
        <f t="shared" si="1"/>
        <v>0</v>
      </c>
      <c r="AA21" s="73">
        <f t="shared" si="1"/>
        <v>500</v>
      </c>
      <c r="AB21" s="73">
        <f t="shared" si="1"/>
        <v>1030</v>
      </c>
      <c r="AC21" s="73">
        <f t="shared" si="1"/>
        <v>0</v>
      </c>
      <c r="AD21" s="73">
        <f t="shared" si="1"/>
        <v>36250</v>
      </c>
    </row>
    <row r="25" spans="1:30" x14ac:dyDescent="0.25">
      <c r="G25" s="37">
        <f>SUM(F21:J21)</f>
        <v>270139</v>
      </c>
    </row>
  </sheetData>
  <mergeCells count="3">
    <mergeCell ref="B1:L1"/>
    <mergeCell ref="B2:L2"/>
    <mergeCell ref="A21:C21"/>
  </mergeCells>
  <pageMargins left="1.6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A7" sqref="A7"/>
    </sheetView>
  </sheetViews>
  <sheetFormatPr defaultRowHeight="15" x14ac:dyDescent="0.25"/>
  <cols>
    <col min="1" max="1" width="6.85546875" bestFit="1" customWidth="1"/>
    <col min="2" max="2" width="32.42578125" bestFit="1" customWidth="1"/>
    <col min="3" max="3" width="6" bestFit="1" customWidth="1"/>
    <col min="4" max="4" width="12.7109375" bestFit="1" customWidth="1"/>
    <col min="5" max="5" width="7.42578125" hidden="1" customWidth="1"/>
    <col min="6" max="6" width="9.28515625" customWidth="1"/>
    <col min="7" max="7" width="7.42578125" customWidth="1"/>
    <col min="8" max="8" width="10.5703125" bestFit="1" customWidth="1"/>
    <col min="9" max="9" width="10.28515625" customWidth="1"/>
    <col min="10" max="10" width="8.140625" bestFit="1" customWidth="1"/>
    <col min="11" max="11" width="9.42578125" customWidth="1"/>
    <col min="12" max="12" width="9.28515625" bestFit="1" customWidth="1"/>
    <col min="13" max="13" width="8.140625" customWidth="1"/>
    <col min="14" max="14" width="7.85546875" customWidth="1"/>
    <col min="15" max="16" width="8.28515625" customWidth="1"/>
    <col min="17" max="17" width="7.42578125" customWidth="1"/>
    <col min="18" max="19" width="7.42578125" hidden="1" customWidth="1"/>
    <col min="20" max="20" width="9.140625" customWidth="1"/>
    <col min="21" max="21" width="8.28515625" customWidth="1"/>
    <col min="22" max="22" width="7.85546875" hidden="1" customWidth="1"/>
    <col min="23" max="23" width="0" hidden="1" customWidth="1"/>
    <col min="24" max="24" width="7.42578125" hidden="1" customWidth="1"/>
    <col min="25" max="25" width="10" hidden="1" customWidth="1"/>
    <col min="26" max="26" width="0.28515625" hidden="1" customWidth="1"/>
    <col min="27" max="27" width="9.7109375" customWidth="1"/>
  </cols>
  <sheetData>
    <row r="1" spans="1:28" ht="36" x14ac:dyDescent="0.55000000000000004">
      <c r="A1" s="1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</row>
    <row r="2" spans="1:28" ht="26.25" x14ac:dyDescent="0.4">
      <c r="A2" s="1"/>
      <c r="B2" s="117" t="s">
        <v>125</v>
      </c>
      <c r="C2" s="117"/>
      <c r="D2" s="117"/>
      <c r="E2" s="117"/>
      <c r="F2" s="117"/>
      <c r="G2" s="117"/>
      <c r="H2" s="117"/>
      <c r="I2" s="117"/>
      <c r="J2" s="117"/>
      <c r="K2" s="117"/>
      <c r="L2" s="1"/>
      <c r="M2" s="1"/>
      <c r="N2" s="1"/>
      <c r="O2" s="1"/>
      <c r="P2" s="1"/>
      <c r="Q2" s="1"/>
      <c r="R2" s="1"/>
      <c r="S2" s="1"/>
      <c r="T2" s="63" t="s">
        <v>97</v>
      </c>
      <c r="U2" s="1"/>
      <c r="Z2" s="1"/>
      <c r="AA2" s="1"/>
    </row>
    <row r="3" spans="1:28" ht="20.25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86"/>
      <c r="M3" s="8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6"/>
    </row>
    <row r="4" spans="1:28" ht="96" customHeight="1" thickBot="1" x14ac:dyDescent="0.3">
      <c r="A4" s="13" t="s">
        <v>2</v>
      </c>
      <c r="B4" s="27" t="s">
        <v>3</v>
      </c>
      <c r="C4" s="15" t="s">
        <v>4</v>
      </c>
      <c r="D4" s="15" t="s">
        <v>5</v>
      </c>
      <c r="E4" s="17" t="s">
        <v>6</v>
      </c>
      <c r="F4" s="17" t="s">
        <v>7</v>
      </c>
      <c r="G4" s="17" t="s">
        <v>126</v>
      </c>
      <c r="H4" s="18" t="s">
        <v>9</v>
      </c>
      <c r="I4" s="17" t="s">
        <v>11</v>
      </c>
      <c r="J4" s="19" t="s">
        <v>12</v>
      </c>
      <c r="K4" s="19" t="s">
        <v>13</v>
      </c>
      <c r="L4" s="85" t="s">
        <v>14</v>
      </c>
      <c r="M4" s="85" t="s">
        <v>15</v>
      </c>
      <c r="N4" s="19" t="s">
        <v>16</v>
      </c>
      <c r="O4" s="19" t="s">
        <v>17</v>
      </c>
      <c r="P4" s="19" t="s">
        <v>18</v>
      </c>
      <c r="Q4" s="19" t="s">
        <v>19</v>
      </c>
      <c r="R4" s="19" t="s">
        <v>20</v>
      </c>
      <c r="S4" s="19" t="s">
        <v>21</v>
      </c>
      <c r="T4" s="19" t="s">
        <v>22</v>
      </c>
      <c r="U4" s="19" t="s">
        <v>25</v>
      </c>
      <c r="V4" s="19" t="s">
        <v>26</v>
      </c>
      <c r="W4" s="19" t="s">
        <v>76</v>
      </c>
      <c r="X4" s="19" t="s">
        <v>27</v>
      </c>
      <c r="Y4" s="19" t="s">
        <v>79</v>
      </c>
      <c r="Z4" s="19" t="s">
        <v>28</v>
      </c>
      <c r="AA4" s="19" t="s">
        <v>29</v>
      </c>
      <c r="AB4" s="8"/>
    </row>
    <row r="5" spans="1:28" ht="18.75" thickTop="1" x14ac:dyDescent="0.25">
      <c r="A5" s="35">
        <v>43524</v>
      </c>
      <c r="B5" s="29" t="s">
        <v>52</v>
      </c>
      <c r="C5" s="30" t="s">
        <v>30</v>
      </c>
      <c r="D5" s="31">
        <f t="shared" ref="D5:D18" si="0">SUM(E5:AA5)</f>
        <v>66091</v>
      </c>
      <c r="E5" s="24"/>
      <c r="F5" s="32">
        <f>4490+6700+6000+7500+7140+6916+4465+1950+6880+6760+3000+1800+1000+640+850</f>
        <v>66091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1">
        <v>0</v>
      </c>
      <c r="M5" s="31">
        <v>0</v>
      </c>
      <c r="N5" s="32">
        <v>0</v>
      </c>
      <c r="O5" s="32">
        <v>0</v>
      </c>
      <c r="P5" s="32">
        <v>0</v>
      </c>
      <c r="Q5" s="32">
        <v>0</v>
      </c>
      <c r="R5" s="32"/>
      <c r="S5" s="32"/>
      <c r="T5" s="32">
        <v>0</v>
      </c>
      <c r="U5" s="32">
        <v>0</v>
      </c>
      <c r="V5" s="32"/>
      <c r="W5" s="87"/>
      <c r="X5" s="87"/>
      <c r="Y5" s="87"/>
      <c r="Z5" s="87"/>
      <c r="AA5" s="31">
        <v>0</v>
      </c>
    </row>
    <row r="6" spans="1:28" ht="18" x14ac:dyDescent="0.25">
      <c r="A6" s="35">
        <v>43524</v>
      </c>
      <c r="B6" s="29" t="s">
        <v>53</v>
      </c>
      <c r="C6" s="30" t="s">
        <v>31</v>
      </c>
      <c r="D6" s="31">
        <f t="shared" si="0"/>
        <v>177065</v>
      </c>
      <c r="E6" s="24"/>
      <c r="F6" s="32">
        <v>0</v>
      </c>
      <c r="G6" s="32">
        <v>0</v>
      </c>
      <c r="H6" s="32">
        <f>3195+2250+2070+2700+22000+3510+13725+10000+2250+3600+12600+1200+15345+5805+3450+22000+2565+15000+22000+10000+1800</f>
        <v>177065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/>
      <c r="S6" s="32"/>
      <c r="T6" s="32">
        <v>0</v>
      </c>
      <c r="U6" s="32">
        <v>0</v>
      </c>
      <c r="V6" s="32"/>
      <c r="W6" s="87"/>
      <c r="X6" s="87"/>
      <c r="Y6" s="87"/>
      <c r="Z6" s="87"/>
      <c r="AA6" s="32">
        <v>0</v>
      </c>
    </row>
    <row r="7" spans="1:28" ht="18" x14ac:dyDescent="0.25">
      <c r="A7" s="35">
        <v>43524</v>
      </c>
      <c r="B7" s="29" t="s">
        <v>50</v>
      </c>
      <c r="C7" s="30" t="s">
        <v>32</v>
      </c>
      <c r="D7" s="31">
        <f t="shared" si="0"/>
        <v>76755</v>
      </c>
      <c r="E7" s="24"/>
      <c r="F7" s="32">
        <v>0</v>
      </c>
      <c r="G7" s="32">
        <v>0</v>
      </c>
      <c r="H7" s="32">
        <v>0</v>
      </c>
      <c r="I7" s="28">
        <f>1760+100+10000+2730+1600+650+1690+70+5000+1930+100+760+430+7200+3930+2800+1900+1300+4220+900+4075+1020+3200+750+3000+640+9000+6000</f>
        <v>76755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/>
      <c r="S7" s="32"/>
      <c r="T7" s="32">
        <v>0</v>
      </c>
      <c r="U7" s="32">
        <v>0</v>
      </c>
      <c r="V7" s="32"/>
      <c r="W7" s="87"/>
      <c r="X7" s="87"/>
      <c r="Y7" s="87"/>
      <c r="Z7" s="87"/>
      <c r="AA7" s="32">
        <v>0</v>
      </c>
    </row>
    <row r="8" spans="1:28" ht="18" x14ac:dyDescent="0.25">
      <c r="A8" s="35">
        <v>43524</v>
      </c>
      <c r="B8" s="29" t="s">
        <v>70</v>
      </c>
      <c r="C8" s="30" t="s">
        <v>33</v>
      </c>
      <c r="D8" s="91">
        <f t="shared" si="0"/>
        <v>400</v>
      </c>
      <c r="E8" s="24"/>
      <c r="F8" s="32">
        <v>0</v>
      </c>
      <c r="G8" s="32">
        <v>400</v>
      </c>
      <c r="H8" s="32">
        <v>0</v>
      </c>
      <c r="I8" s="28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/>
      <c r="S8" s="32"/>
      <c r="T8" s="32">
        <v>0</v>
      </c>
      <c r="U8" s="32">
        <v>0</v>
      </c>
      <c r="V8" s="32"/>
      <c r="W8" s="87"/>
      <c r="X8" s="87"/>
      <c r="Y8" s="87"/>
      <c r="Z8" s="87"/>
      <c r="AA8" s="32">
        <v>0</v>
      </c>
    </row>
    <row r="9" spans="1:28" ht="18" x14ac:dyDescent="0.25">
      <c r="A9" s="35">
        <v>43524</v>
      </c>
      <c r="B9" s="21" t="s">
        <v>56</v>
      </c>
      <c r="C9" s="30" t="s">
        <v>35</v>
      </c>
      <c r="D9" s="31">
        <f t="shared" si="0"/>
        <v>1860</v>
      </c>
      <c r="E9" s="24"/>
      <c r="F9" s="32">
        <v>0</v>
      </c>
      <c r="G9" s="32">
        <v>0</v>
      </c>
      <c r="H9" s="32">
        <v>0</v>
      </c>
      <c r="I9" s="32">
        <v>0</v>
      </c>
      <c r="J9" s="11">
        <f>100+100+100+100+110+300+150+150+150+50+250+100+100+100</f>
        <v>1860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/>
      <c r="S9" s="32"/>
      <c r="T9" s="32">
        <v>0</v>
      </c>
      <c r="U9" s="32">
        <v>0</v>
      </c>
      <c r="V9" s="32"/>
      <c r="W9" s="87"/>
      <c r="X9" s="87"/>
      <c r="Y9" s="87"/>
      <c r="Z9" s="87"/>
      <c r="AA9" s="32">
        <v>0</v>
      </c>
    </row>
    <row r="10" spans="1:28" ht="18" x14ac:dyDescent="0.25">
      <c r="A10" s="35">
        <v>43524</v>
      </c>
      <c r="B10" s="21" t="s">
        <v>64</v>
      </c>
      <c r="C10" s="30" t="s">
        <v>36</v>
      </c>
      <c r="D10" s="31">
        <f t="shared" si="0"/>
        <v>56500</v>
      </c>
      <c r="E10" s="22"/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10">
        <f>11500+27000+18000</f>
        <v>56500</v>
      </c>
      <c r="L10" s="32">
        <v>0</v>
      </c>
      <c r="M10" s="32">
        <v>0</v>
      </c>
      <c r="N10" s="31">
        <v>0</v>
      </c>
      <c r="O10" s="31">
        <v>0</v>
      </c>
      <c r="P10" s="31">
        <v>0</v>
      </c>
      <c r="Q10" s="31">
        <v>0</v>
      </c>
      <c r="R10" s="31"/>
      <c r="S10" s="31"/>
      <c r="T10" s="31">
        <v>0</v>
      </c>
      <c r="U10" s="31">
        <v>0</v>
      </c>
      <c r="V10" s="31"/>
      <c r="W10" s="88"/>
      <c r="X10" s="88"/>
      <c r="Y10" s="88"/>
      <c r="Z10" s="88"/>
      <c r="AA10" s="32">
        <v>0</v>
      </c>
    </row>
    <row r="11" spans="1:28" ht="18" x14ac:dyDescent="0.25">
      <c r="A11" s="35">
        <v>43524</v>
      </c>
      <c r="B11" s="21" t="s">
        <v>68</v>
      </c>
      <c r="C11" s="30" t="s">
        <v>34</v>
      </c>
      <c r="D11" s="31">
        <f t="shared" si="0"/>
        <v>20545</v>
      </c>
      <c r="E11" s="24"/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11">
        <v>14641</v>
      </c>
      <c r="M11" s="32">
        <v>5904</v>
      </c>
      <c r="N11" s="32">
        <v>0</v>
      </c>
      <c r="O11" s="32">
        <v>0</v>
      </c>
      <c r="P11" s="32">
        <v>0</v>
      </c>
      <c r="Q11" s="32">
        <v>0</v>
      </c>
      <c r="R11" s="32"/>
      <c r="S11" s="32"/>
      <c r="T11" s="32">
        <v>0</v>
      </c>
      <c r="U11" s="32">
        <v>0</v>
      </c>
      <c r="V11" s="32"/>
      <c r="W11" s="87"/>
      <c r="X11" s="87"/>
      <c r="Y11" s="87"/>
      <c r="Z11" s="87"/>
      <c r="AA11" s="32">
        <v>0</v>
      </c>
    </row>
    <row r="12" spans="1:28" ht="18" x14ac:dyDescent="0.25">
      <c r="A12" s="35">
        <v>43524</v>
      </c>
      <c r="B12" s="21" t="s">
        <v>58</v>
      </c>
      <c r="C12" s="30" t="s">
        <v>37</v>
      </c>
      <c r="D12" s="31">
        <f t="shared" si="0"/>
        <v>3119</v>
      </c>
      <c r="E12" s="24"/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10">
        <v>3119</v>
      </c>
      <c r="O12" s="32">
        <v>0</v>
      </c>
      <c r="P12" s="32">
        <v>0</v>
      </c>
      <c r="Q12" s="32">
        <v>0</v>
      </c>
      <c r="R12" s="32"/>
      <c r="S12" s="32"/>
      <c r="T12" s="32">
        <v>0</v>
      </c>
      <c r="U12" s="32">
        <v>0</v>
      </c>
      <c r="V12" s="32"/>
      <c r="W12" s="87"/>
      <c r="X12" s="87"/>
      <c r="Y12" s="87"/>
      <c r="Z12" s="87"/>
      <c r="AA12" s="32">
        <v>0</v>
      </c>
    </row>
    <row r="13" spans="1:28" ht="18" x14ac:dyDescent="0.25">
      <c r="A13" s="35">
        <v>43524</v>
      </c>
      <c r="B13" s="21" t="s">
        <v>61</v>
      </c>
      <c r="C13" s="30" t="s">
        <v>38</v>
      </c>
      <c r="D13" s="31">
        <f t="shared" si="0"/>
        <v>1628</v>
      </c>
      <c r="E13" s="24"/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/>
      <c r="S13" s="32"/>
      <c r="T13" s="10">
        <f>1210+190+80+148</f>
        <v>1628</v>
      </c>
      <c r="U13" s="32">
        <v>0</v>
      </c>
      <c r="V13" s="32"/>
      <c r="W13" s="87"/>
      <c r="X13" s="87"/>
      <c r="Y13" s="87"/>
      <c r="Z13" s="87"/>
      <c r="AA13" s="32">
        <v>0</v>
      </c>
    </row>
    <row r="14" spans="1:28" ht="18" x14ac:dyDescent="0.25">
      <c r="A14" s="35">
        <v>43524</v>
      </c>
      <c r="B14" s="21" t="s">
        <v>63</v>
      </c>
      <c r="C14" s="30" t="s">
        <v>39</v>
      </c>
      <c r="D14" s="31">
        <f t="shared" si="0"/>
        <v>3470</v>
      </c>
      <c r="E14" s="24"/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/>
      <c r="S14" s="32"/>
      <c r="T14" s="32">
        <v>0</v>
      </c>
      <c r="U14" s="10">
        <f>1030+550+210+300+300+350+330+400</f>
        <v>3470</v>
      </c>
      <c r="V14" s="32"/>
      <c r="W14" s="87"/>
      <c r="X14" s="87"/>
      <c r="Y14" s="87"/>
      <c r="Z14" s="87"/>
      <c r="AA14" s="32">
        <v>0</v>
      </c>
    </row>
    <row r="15" spans="1:28" ht="15.75" x14ac:dyDescent="0.25">
      <c r="A15" s="35">
        <v>43524</v>
      </c>
      <c r="B15" s="12" t="s">
        <v>67</v>
      </c>
      <c r="C15" s="30" t="s">
        <v>40</v>
      </c>
      <c r="D15" s="31">
        <f t="shared" si="0"/>
        <v>1270</v>
      </c>
      <c r="E15" s="24"/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f>1270</f>
        <v>1270</v>
      </c>
      <c r="P15" s="32">
        <v>0</v>
      </c>
      <c r="Q15" s="32">
        <v>0</v>
      </c>
      <c r="R15" s="32"/>
      <c r="S15" s="32"/>
      <c r="T15" s="32">
        <v>0</v>
      </c>
      <c r="U15" s="32">
        <v>0</v>
      </c>
      <c r="V15" s="32"/>
      <c r="W15" s="87"/>
      <c r="X15" s="87"/>
      <c r="Y15" s="87"/>
      <c r="Z15" s="87"/>
      <c r="AA15" s="32">
        <v>0</v>
      </c>
    </row>
    <row r="16" spans="1:28" ht="15.75" x14ac:dyDescent="0.25">
      <c r="A16" s="35">
        <v>43524</v>
      </c>
      <c r="B16" s="38" t="s">
        <v>55</v>
      </c>
      <c r="C16" s="30" t="s">
        <v>41</v>
      </c>
      <c r="D16" s="31">
        <f t="shared" si="0"/>
        <v>640</v>
      </c>
      <c r="E16" s="24"/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640</v>
      </c>
      <c r="R16" s="32"/>
      <c r="S16" s="32"/>
      <c r="T16" s="32">
        <v>0</v>
      </c>
      <c r="U16" s="32">
        <v>0</v>
      </c>
      <c r="V16" s="32"/>
      <c r="W16" s="87"/>
      <c r="X16" s="87"/>
      <c r="Y16" s="87"/>
      <c r="Z16" s="87"/>
      <c r="AA16" s="32">
        <v>0</v>
      </c>
    </row>
    <row r="17" spans="1:27" ht="15.75" thickBot="1" x14ac:dyDescent="0.3">
      <c r="A17" s="35">
        <v>43524</v>
      </c>
      <c r="B17" s="92" t="s">
        <v>72</v>
      </c>
      <c r="C17" s="30" t="s">
        <v>42</v>
      </c>
      <c r="D17" s="91">
        <f t="shared" si="0"/>
        <v>10000</v>
      </c>
      <c r="E17" s="24"/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/>
      <c r="S17" s="32"/>
      <c r="T17" s="32">
        <v>0</v>
      </c>
      <c r="U17" s="32">
        <v>0</v>
      </c>
      <c r="V17" s="32"/>
      <c r="W17" s="32"/>
      <c r="X17" s="32"/>
      <c r="Y17" s="32"/>
      <c r="Z17" s="32"/>
      <c r="AA17" s="32">
        <v>10000</v>
      </c>
    </row>
    <row r="18" spans="1:27" ht="15.75" thickBot="1" x14ac:dyDescent="0.3">
      <c r="A18" s="35">
        <v>43524</v>
      </c>
      <c r="B18" s="105" t="s">
        <v>135</v>
      </c>
      <c r="C18" s="30" t="s">
        <v>43</v>
      </c>
      <c r="D18" s="91">
        <f t="shared" si="0"/>
        <v>1025</v>
      </c>
      <c r="E18" s="41"/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1025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v>0</v>
      </c>
      <c r="Z18" s="89">
        <v>0</v>
      </c>
      <c r="AA18" s="89">
        <v>0</v>
      </c>
    </row>
    <row r="19" spans="1:27" ht="15.75" thickBot="1" x14ac:dyDescent="0.3">
      <c r="A19" s="112" t="s">
        <v>66</v>
      </c>
      <c r="B19" s="107"/>
      <c r="C19" s="114"/>
      <c r="D19" s="78">
        <f>SUM(D5:D18)</f>
        <v>420368</v>
      </c>
      <c r="E19" s="78">
        <f t="shared" ref="E19:AA19" si="1">SUM(E5:E18)</f>
        <v>0</v>
      </c>
      <c r="F19" s="73">
        <f t="shared" si="1"/>
        <v>66091</v>
      </c>
      <c r="G19" s="73">
        <f t="shared" si="1"/>
        <v>400</v>
      </c>
      <c r="H19" s="73">
        <f t="shared" si="1"/>
        <v>177065</v>
      </c>
      <c r="I19" s="73">
        <f t="shared" si="1"/>
        <v>76755</v>
      </c>
      <c r="J19" s="73">
        <f t="shared" si="1"/>
        <v>1860</v>
      </c>
      <c r="K19" s="73">
        <f t="shared" si="1"/>
        <v>56500</v>
      </c>
      <c r="L19" s="73">
        <f t="shared" si="1"/>
        <v>14641</v>
      </c>
      <c r="M19" s="73">
        <f t="shared" si="1"/>
        <v>5904</v>
      </c>
      <c r="N19" s="73">
        <f t="shared" si="1"/>
        <v>3119</v>
      </c>
      <c r="O19" s="73">
        <f t="shared" si="1"/>
        <v>1270</v>
      </c>
      <c r="P19" s="73">
        <f t="shared" si="1"/>
        <v>1025</v>
      </c>
      <c r="Q19" s="73">
        <f t="shared" si="1"/>
        <v>640</v>
      </c>
      <c r="R19" s="73">
        <f t="shared" si="1"/>
        <v>0</v>
      </c>
      <c r="S19" s="73">
        <f t="shared" si="1"/>
        <v>0</v>
      </c>
      <c r="T19" s="73">
        <f t="shared" si="1"/>
        <v>1628</v>
      </c>
      <c r="U19" s="73">
        <f t="shared" si="1"/>
        <v>3470</v>
      </c>
      <c r="V19" s="73">
        <f t="shared" si="1"/>
        <v>0</v>
      </c>
      <c r="W19" s="73">
        <f t="shared" si="1"/>
        <v>0</v>
      </c>
      <c r="X19" s="73">
        <f t="shared" si="1"/>
        <v>0</v>
      </c>
      <c r="Y19" s="73">
        <f t="shared" si="1"/>
        <v>0</v>
      </c>
      <c r="Z19" s="73">
        <f t="shared" si="1"/>
        <v>0</v>
      </c>
      <c r="AA19" s="73">
        <f t="shared" si="1"/>
        <v>10000</v>
      </c>
    </row>
    <row r="36" spans="6:6" x14ac:dyDescent="0.25">
      <c r="F36" s="90"/>
    </row>
    <row r="37" spans="6:6" x14ac:dyDescent="0.25">
      <c r="F37" s="37"/>
    </row>
    <row r="57" spans="6:9" x14ac:dyDescent="0.25">
      <c r="F57" s="90">
        <v>0</v>
      </c>
      <c r="I57">
        <f>I55-I58</f>
        <v>-117335</v>
      </c>
    </row>
    <row r="58" spans="6:9" x14ac:dyDescent="0.25">
      <c r="F58" s="90">
        <v>0</v>
      </c>
      <c r="I58">
        <v>117335</v>
      </c>
    </row>
  </sheetData>
  <mergeCells count="3">
    <mergeCell ref="B1:K1"/>
    <mergeCell ref="B2:K2"/>
    <mergeCell ref="A19:C19"/>
  </mergeCells>
  <pageMargins left="1.6" right="0.25" top="0.75" bottom="0.75" header="0.3" footer="0.3"/>
  <pageSetup paperSize="9" orientation="landscape" verticalDpi="0" r:id="rId1"/>
  <headerFooter differentOddEven="1">
    <oddFooter xml:space="preserve">&amp;RContin...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8"/>
  <sheetViews>
    <sheetView tabSelected="1" topLeftCell="A6" zoomScaleNormal="100" workbookViewId="0">
      <selection activeCell="A24" sqref="A24"/>
    </sheetView>
  </sheetViews>
  <sheetFormatPr defaultRowHeight="15" x14ac:dyDescent="0.25"/>
  <cols>
    <col min="1" max="1" width="7.140625" bestFit="1" customWidth="1"/>
    <col min="2" max="2" width="32.42578125" bestFit="1" customWidth="1"/>
    <col min="3" max="3" width="6" bestFit="1" customWidth="1"/>
    <col min="4" max="4" width="12.7109375" bestFit="1" customWidth="1"/>
    <col min="5" max="5" width="7.42578125" hidden="1" customWidth="1"/>
    <col min="6" max="6" width="11.42578125" bestFit="1" customWidth="1"/>
    <col min="7" max="7" width="7.42578125" hidden="1" customWidth="1"/>
    <col min="8" max="8" width="12.140625" customWidth="1"/>
    <col min="9" max="9" width="10" bestFit="1" customWidth="1"/>
    <col min="10" max="10" width="11.140625" customWidth="1"/>
    <col min="11" max="11" width="9.5703125" customWidth="1"/>
    <col min="12" max="12" width="11.42578125" customWidth="1"/>
    <col min="13" max="13" width="11.140625" bestFit="1" customWidth="1"/>
    <col min="14" max="15" width="10" bestFit="1" customWidth="1"/>
    <col min="16" max="17" width="9.85546875" bestFit="1" customWidth="1"/>
    <col min="18" max="18" width="11.42578125" bestFit="1" customWidth="1"/>
    <col min="20" max="20" width="9.85546875" bestFit="1" customWidth="1"/>
    <col min="21" max="21" width="0" hidden="1" customWidth="1"/>
    <col min="22" max="22" width="11.42578125" bestFit="1" customWidth="1"/>
    <col min="23" max="23" width="10" bestFit="1" customWidth="1"/>
    <col min="24" max="27" width="0" hidden="1" customWidth="1"/>
    <col min="28" max="28" width="9.85546875" customWidth="1"/>
  </cols>
  <sheetData>
    <row r="1" spans="1:28" ht="36" x14ac:dyDescent="0.55000000000000004">
      <c r="A1" s="1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28" ht="26.25" x14ac:dyDescent="0.4">
      <c r="A2" s="1"/>
      <c r="B2" s="117" t="s">
        <v>127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"/>
      <c r="N2" s="1"/>
      <c r="O2" s="1"/>
      <c r="P2" s="1"/>
      <c r="Q2" s="1"/>
      <c r="R2" s="1"/>
      <c r="S2" s="1"/>
      <c r="T2" s="1"/>
      <c r="U2" s="3"/>
      <c r="V2" s="63" t="s">
        <v>98</v>
      </c>
      <c r="W2" s="1"/>
    </row>
    <row r="3" spans="1:28" ht="20.25" thickBot="1" x14ac:dyDescent="0.3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81.75" thickBot="1" x14ac:dyDescent="0.3">
      <c r="A4" s="13" t="s">
        <v>2</v>
      </c>
      <c r="B4" s="27" t="s">
        <v>3</v>
      </c>
      <c r="C4" s="15" t="s">
        <v>4</v>
      </c>
      <c r="D4" s="15" t="s">
        <v>5</v>
      </c>
      <c r="E4" s="17" t="s">
        <v>6</v>
      </c>
      <c r="F4" s="17" t="s">
        <v>7</v>
      </c>
      <c r="G4" s="17" t="s">
        <v>8</v>
      </c>
      <c r="H4" s="18" t="s">
        <v>9</v>
      </c>
      <c r="I4" s="17" t="s">
        <v>10</v>
      </c>
      <c r="J4" s="17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19" t="s">
        <v>17</v>
      </c>
      <c r="Q4" s="19" t="s">
        <v>19</v>
      </c>
      <c r="R4" s="19" t="s">
        <v>83</v>
      </c>
      <c r="S4" s="19" t="s">
        <v>21</v>
      </c>
      <c r="T4" s="19" t="s">
        <v>22</v>
      </c>
      <c r="U4" s="19" t="s">
        <v>23</v>
      </c>
      <c r="V4" s="19" t="s">
        <v>135</v>
      </c>
      <c r="W4" s="19" t="s">
        <v>25</v>
      </c>
      <c r="X4" s="19" t="s">
        <v>26</v>
      </c>
      <c r="Y4" s="19" t="s">
        <v>76</v>
      </c>
      <c r="Z4" s="19" t="s">
        <v>27</v>
      </c>
      <c r="AA4" s="19" t="s">
        <v>79</v>
      </c>
      <c r="AB4" s="20" t="s">
        <v>81</v>
      </c>
    </row>
    <row r="5" spans="1:28" ht="18.75" thickTop="1" x14ac:dyDescent="0.25">
      <c r="A5" s="35">
        <v>43555</v>
      </c>
      <c r="B5" s="29" t="s">
        <v>52</v>
      </c>
      <c r="C5" s="30" t="s">
        <v>30</v>
      </c>
      <c r="D5" s="31">
        <f t="shared" ref="D5:D20" si="0">SUM(E5:AB5)</f>
        <v>71908</v>
      </c>
      <c r="E5" s="24"/>
      <c r="F5" s="32">
        <f>2650+16300+558+15000+7400+800+1910+4000+5000+1275+1265+2250+13500</f>
        <v>71908</v>
      </c>
      <c r="G5" s="24"/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</row>
    <row r="6" spans="1:28" ht="18" x14ac:dyDescent="0.25">
      <c r="A6" s="35">
        <v>43555</v>
      </c>
      <c r="B6" s="29" t="s">
        <v>53</v>
      </c>
      <c r="C6" s="30" t="s">
        <v>31</v>
      </c>
      <c r="D6" s="31">
        <f t="shared" si="0"/>
        <v>51725</v>
      </c>
      <c r="E6" s="24"/>
      <c r="F6" s="24">
        <v>0</v>
      </c>
      <c r="G6" s="24"/>
      <c r="H6" s="32">
        <f>10575+10000+4000+1800+15300+5000+1000+450+3600</f>
        <v>51725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/>
      <c r="V6" s="24">
        <v>0</v>
      </c>
      <c r="W6" s="24">
        <v>0</v>
      </c>
      <c r="X6" s="24"/>
      <c r="Y6" s="25"/>
      <c r="Z6" s="25"/>
      <c r="AA6" s="25"/>
      <c r="AB6" s="24">
        <v>0</v>
      </c>
    </row>
    <row r="7" spans="1:28" ht="18" x14ac:dyDescent="0.25">
      <c r="A7" s="35">
        <v>43555</v>
      </c>
      <c r="B7" s="29" t="s">
        <v>50</v>
      </c>
      <c r="C7" s="30" t="s">
        <v>32</v>
      </c>
      <c r="D7" s="31">
        <f t="shared" si="0"/>
        <v>62895</v>
      </c>
      <c r="E7" s="24"/>
      <c r="F7" s="24">
        <v>0</v>
      </c>
      <c r="G7" s="24">
        <v>0</v>
      </c>
      <c r="H7" s="24">
        <v>0</v>
      </c>
      <c r="I7" s="24">
        <v>0</v>
      </c>
      <c r="J7" s="28">
        <f>1850+3000+6950+5290+3750+2000+2360+2950+600+1560+4200+6800+4430+4420+2610+550+1140+3945+350+4140</f>
        <v>62895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/>
      <c r="V7" s="24">
        <v>0</v>
      </c>
      <c r="W7" s="24">
        <v>0</v>
      </c>
      <c r="X7" s="24"/>
      <c r="Y7" s="25"/>
      <c r="Z7" s="25"/>
      <c r="AA7" s="25"/>
      <c r="AB7" s="24">
        <v>0</v>
      </c>
    </row>
    <row r="8" spans="1:28" ht="18" x14ac:dyDescent="0.25">
      <c r="A8" s="35">
        <v>43555</v>
      </c>
      <c r="B8" s="29" t="s">
        <v>69</v>
      </c>
      <c r="C8" s="30" t="s">
        <v>33</v>
      </c>
      <c r="D8" s="31">
        <f t="shared" si="0"/>
        <v>5295</v>
      </c>
      <c r="E8" s="24"/>
      <c r="F8" s="24">
        <v>0</v>
      </c>
      <c r="G8" s="24">
        <v>0</v>
      </c>
      <c r="H8" s="24">
        <v>0</v>
      </c>
      <c r="I8" s="32">
        <f>450+300+2825+1720</f>
        <v>5295</v>
      </c>
      <c r="J8" s="28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/>
      <c r="V8" s="24">
        <v>0</v>
      </c>
      <c r="W8" s="24">
        <v>0</v>
      </c>
      <c r="X8" s="24"/>
      <c r="Y8" s="25"/>
      <c r="Z8" s="25"/>
      <c r="AA8" s="25"/>
      <c r="AB8" s="24">
        <v>0</v>
      </c>
    </row>
    <row r="9" spans="1:28" ht="18" x14ac:dyDescent="0.25">
      <c r="A9" s="35">
        <v>43555</v>
      </c>
      <c r="B9" s="21" t="s">
        <v>56</v>
      </c>
      <c r="C9" s="30" t="s">
        <v>35</v>
      </c>
      <c r="D9" s="31">
        <f t="shared" si="0"/>
        <v>1400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11">
        <f>100+450+50+50+200+100+50+50+350</f>
        <v>1400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/>
      <c r="V9" s="24">
        <v>0</v>
      </c>
      <c r="W9" s="24">
        <v>0</v>
      </c>
      <c r="X9" s="24"/>
      <c r="Y9" s="25"/>
      <c r="Z9" s="25"/>
      <c r="AA9" s="25"/>
      <c r="AB9" s="24">
        <v>0</v>
      </c>
    </row>
    <row r="10" spans="1:28" ht="18" x14ac:dyDescent="0.25">
      <c r="A10" s="35">
        <v>43555</v>
      </c>
      <c r="B10" s="21" t="s">
        <v>64</v>
      </c>
      <c r="C10" s="30" t="s">
        <v>36</v>
      </c>
      <c r="D10" s="31">
        <f t="shared" si="0"/>
        <v>61000</v>
      </c>
      <c r="E10" s="22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10">
        <f>18000+16000+27000</f>
        <v>61000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2"/>
      <c r="V10" s="24">
        <v>0</v>
      </c>
      <c r="W10" s="24">
        <v>0</v>
      </c>
      <c r="X10" s="22"/>
      <c r="Y10" s="23"/>
      <c r="Z10" s="23"/>
      <c r="AA10" s="23"/>
      <c r="AB10" s="24">
        <v>0</v>
      </c>
    </row>
    <row r="11" spans="1:28" ht="18" x14ac:dyDescent="0.25">
      <c r="A11" s="35">
        <v>43555</v>
      </c>
      <c r="B11" s="21" t="s">
        <v>68</v>
      </c>
      <c r="C11" s="30" t="s">
        <v>34</v>
      </c>
      <c r="D11" s="31">
        <f t="shared" si="0"/>
        <v>20545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11">
        <v>14641</v>
      </c>
      <c r="N11" s="32">
        <v>5904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/>
      <c r="V11" s="24">
        <v>0</v>
      </c>
      <c r="W11" s="24">
        <v>0</v>
      </c>
      <c r="X11" s="24"/>
      <c r="Y11" s="25"/>
      <c r="Z11" s="25"/>
      <c r="AA11" s="25"/>
      <c r="AB11" s="24">
        <v>0</v>
      </c>
    </row>
    <row r="12" spans="1:28" ht="18" x14ac:dyDescent="0.25">
      <c r="A12" s="35">
        <v>43555</v>
      </c>
      <c r="B12" s="21" t="s">
        <v>58</v>
      </c>
      <c r="C12" s="30" t="s">
        <v>37</v>
      </c>
      <c r="D12" s="31">
        <f t="shared" si="0"/>
        <v>3768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10">
        <v>3768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/>
      <c r="V12" s="24">
        <v>0</v>
      </c>
      <c r="W12" s="24">
        <v>0</v>
      </c>
      <c r="X12" s="24"/>
      <c r="Y12" s="25"/>
      <c r="Z12" s="25"/>
      <c r="AA12" s="25"/>
      <c r="AB12" s="24">
        <v>0</v>
      </c>
    </row>
    <row r="13" spans="1:28" ht="18" x14ac:dyDescent="0.25">
      <c r="A13" s="35">
        <v>43555</v>
      </c>
      <c r="B13" s="21" t="s">
        <v>128</v>
      </c>
      <c r="C13" s="30" t="s">
        <v>38</v>
      </c>
      <c r="D13" s="31">
        <f t="shared" si="0"/>
        <v>23900</v>
      </c>
      <c r="E13" s="24"/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10">
        <v>23900</v>
      </c>
      <c r="S13" s="24">
        <v>0</v>
      </c>
      <c r="T13" s="24">
        <v>0</v>
      </c>
      <c r="U13" s="24"/>
      <c r="V13" s="24">
        <v>0</v>
      </c>
      <c r="W13" s="24">
        <v>0</v>
      </c>
      <c r="X13" s="24"/>
      <c r="Y13" s="25"/>
      <c r="Z13" s="25"/>
      <c r="AA13" s="25"/>
      <c r="AB13" s="24">
        <v>0</v>
      </c>
    </row>
    <row r="14" spans="1:28" ht="18" x14ac:dyDescent="0.25">
      <c r="A14" s="35">
        <v>43555</v>
      </c>
      <c r="B14" s="21" t="s">
        <v>61</v>
      </c>
      <c r="C14" s="30" t="s">
        <v>39</v>
      </c>
      <c r="D14" s="31">
        <f t="shared" si="0"/>
        <v>1320</v>
      </c>
      <c r="E14" s="24"/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10">
        <f>1320</f>
        <v>1320</v>
      </c>
      <c r="U14" s="24"/>
      <c r="V14" s="24">
        <v>0</v>
      </c>
      <c r="W14" s="24">
        <v>0</v>
      </c>
      <c r="X14" s="24"/>
      <c r="Y14" s="25"/>
      <c r="Z14" s="25"/>
      <c r="AA14" s="25"/>
      <c r="AB14" s="24">
        <v>0</v>
      </c>
    </row>
    <row r="15" spans="1:28" ht="18" x14ac:dyDescent="0.25">
      <c r="A15" s="35">
        <v>43555</v>
      </c>
      <c r="B15" s="21" t="s">
        <v>63</v>
      </c>
      <c r="C15" s="30" t="s">
        <v>40</v>
      </c>
      <c r="D15" s="31">
        <f t="shared" si="0"/>
        <v>2310</v>
      </c>
      <c r="E15" s="24"/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/>
      <c r="V15" s="24">
        <v>0</v>
      </c>
      <c r="W15" s="10">
        <f>490+580+150+250+40+800</f>
        <v>2310</v>
      </c>
      <c r="X15" s="24"/>
      <c r="Y15" s="25"/>
      <c r="Z15" s="25"/>
      <c r="AA15" s="25"/>
      <c r="AB15" s="24">
        <v>0</v>
      </c>
    </row>
    <row r="16" spans="1:28" ht="15.75" x14ac:dyDescent="0.25">
      <c r="A16" s="35">
        <v>43555</v>
      </c>
      <c r="B16" s="12" t="s">
        <v>67</v>
      </c>
      <c r="C16" s="30" t="s">
        <v>41</v>
      </c>
      <c r="D16" s="31">
        <f t="shared" si="0"/>
        <v>1280</v>
      </c>
      <c r="E16" s="24"/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32">
        <f>1280</f>
        <v>1280</v>
      </c>
      <c r="Q16" s="24">
        <v>0</v>
      </c>
      <c r="R16" s="24">
        <v>0</v>
      </c>
      <c r="S16" s="24">
        <v>0</v>
      </c>
      <c r="T16" s="24">
        <v>0</v>
      </c>
      <c r="U16" s="24"/>
      <c r="V16" s="24">
        <v>0</v>
      </c>
      <c r="W16" s="24">
        <v>0</v>
      </c>
      <c r="X16" s="24"/>
      <c r="Y16" s="25"/>
      <c r="Z16" s="25"/>
      <c r="AA16" s="25"/>
      <c r="AB16" s="24">
        <v>0</v>
      </c>
    </row>
    <row r="17" spans="1:28" ht="15.75" x14ac:dyDescent="0.25">
      <c r="A17" s="35">
        <v>43555</v>
      </c>
      <c r="B17" s="39" t="s">
        <v>57</v>
      </c>
      <c r="C17" s="30" t="s">
        <v>42</v>
      </c>
      <c r="D17" s="31">
        <f t="shared" si="0"/>
        <v>180</v>
      </c>
      <c r="E17" s="24"/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32">
        <f>130+50</f>
        <v>180</v>
      </c>
      <c r="T17" s="24">
        <v>0</v>
      </c>
      <c r="U17" s="24"/>
      <c r="V17" s="24">
        <v>0</v>
      </c>
      <c r="W17" s="24">
        <v>0</v>
      </c>
      <c r="X17" s="24"/>
      <c r="Y17" s="25"/>
      <c r="Z17" s="25"/>
      <c r="AA17" s="25"/>
      <c r="AB17" s="24">
        <v>0</v>
      </c>
    </row>
    <row r="18" spans="1:28" ht="15.75" x14ac:dyDescent="0.25">
      <c r="A18" s="35">
        <v>43555</v>
      </c>
      <c r="B18" s="39" t="s">
        <v>55</v>
      </c>
      <c r="C18" s="30" t="s">
        <v>43</v>
      </c>
      <c r="D18" s="31">
        <f t="shared" si="0"/>
        <v>895</v>
      </c>
      <c r="E18" s="24"/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32">
        <f>895</f>
        <v>895</v>
      </c>
      <c r="R18" s="24">
        <v>0</v>
      </c>
      <c r="S18" s="24">
        <v>0</v>
      </c>
      <c r="T18" s="24">
        <v>0</v>
      </c>
      <c r="U18" s="24"/>
      <c r="V18" s="24">
        <v>0</v>
      </c>
      <c r="W18" s="24">
        <v>0</v>
      </c>
      <c r="X18" s="24"/>
      <c r="Y18" s="25"/>
      <c r="Z18" s="25"/>
      <c r="AA18" s="25"/>
      <c r="AB18" s="24">
        <v>0</v>
      </c>
    </row>
    <row r="19" spans="1:28" x14ac:dyDescent="0.25">
      <c r="A19" s="35">
        <v>43555</v>
      </c>
      <c r="B19" s="26" t="s">
        <v>80</v>
      </c>
      <c r="C19" s="30" t="s">
        <v>44</v>
      </c>
      <c r="D19" s="31">
        <f t="shared" si="0"/>
        <v>9550</v>
      </c>
      <c r="E19" s="24"/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/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32">
        <v>9550</v>
      </c>
    </row>
    <row r="20" spans="1:28" ht="15.75" thickBot="1" x14ac:dyDescent="0.3">
      <c r="A20" s="35">
        <v>43555</v>
      </c>
      <c r="B20" s="26" t="s">
        <v>135</v>
      </c>
      <c r="C20" s="30" t="s">
        <v>45</v>
      </c>
      <c r="D20" s="31">
        <f t="shared" si="0"/>
        <v>0</v>
      </c>
      <c r="E20" s="24"/>
      <c r="F20" s="24">
        <v>0</v>
      </c>
      <c r="G20" s="24">
        <v>0</v>
      </c>
      <c r="H20" s="94">
        <v>0</v>
      </c>
      <c r="I20" s="94">
        <v>0</v>
      </c>
      <c r="J20" s="9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94">
        <v>0</v>
      </c>
      <c r="R20" s="94">
        <v>0</v>
      </c>
      <c r="S20" s="24">
        <v>0</v>
      </c>
      <c r="T20" s="24">
        <v>0</v>
      </c>
      <c r="U20" s="24"/>
      <c r="V20" s="9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</row>
    <row r="21" spans="1:28" ht="16.5" thickBot="1" x14ac:dyDescent="0.3">
      <c r="A21" s="112" t="s">
        <v>66</v>
      </c>
      <c r="B21" s="113"/>
      <c r="C21" s="114"/>
      <c r="D21" s="34">
        <f t="shared" ref="D21:AB21" si="1">SUM(D5:D20)</f>
        <v>317971</v>
      </c>
      <c r="E21" s="43">
        <f t="shared" si="1"/>
        <v>0</v>
      </c>
      <c r="F21" s="93">
        <f t="shared" si="1"/>
        <v>71908</v>
      </c>
      <c r="G21" s="43">
        <f t="shared" si="1"/>
        <v>0</v>
      </c>
      <c r="H21" s="43">
        <f t="shared" si="1"/>
        <v>51725</v>
      </c>
      <c r="I21" s="43">
        <f t="shared" si="1"/>
        <v>5295</v>
      </c>
      <c r="J21" s="43">
        <f t="shared" si="1"/>
        <v>62895</v>
      </c>
      <c r="K21" s="93">
        <f t="shared" si="1"/>
        <v>1400</v>
      </c>
      <c r="L21" s="93">
        <f t="shared" si="1"/>
        <v>61000</v>
      </c>
      <c r="M21" s="93">
        <f t="shared" si="1"/>
        <v>14641</v>
      </c>
      <c r="N21" s="93">
        <f t="shared" si="1"/>
        <v>5904</v>
      </c>
      <c r="O21" s="93">
        <f t="shared" si="1"/>
        <v>3768</v>
      </c>
      <c r="P21" s="93">
        <f t="shared" si="1"/>
        <v>1280</v>
      </c>
      <c r="Q21" s="43">
        <f t="shared" si="1"/>
        <v>895</v>
      </c>
      <c r="R21" s="43">
        <f t="shared" si="1"/>
        <v>23900</v>
      </c>
      <c r="S21" s="93">
        <f t="shared" si="1"/>
        <v>180</v>
      </c>
      <c r="T21" s="93">
        <f t="shared" si="1"/>
        <v>1320</v>
      </c>
      <c r="U21" s="43">
        <f t="shared" si="1"/>
        <v>0</v>
      </c>
      <c r="V21" s="43">
        <f t="shared" si="1"/>
        <v>0</v>
      </c>
      <c r="W21" s="93">
        <f t="shared" si="1"/>
        <v>2310</v>
      </c>
      <c r="X21" s="43">
        <f t="shared" si="1"/>
        <v>0</v>
      </c>
      <c r="Y21" s="43">
        <f t="shared" si="1"/>
        <v>0</v>
      </c>
      <c r="Z21" s="43">
        <f t="shared" si="1"/>
        <v>0</v>
      </c>
      <c r="AA21" s="43">
        <f t="shared" si="1"/>
        <v>0</v>
      </c>
      <c r="AB21" s="93">
        <f t="shared" si="1"/>
        <v>9550</v>
      </c>
    </row>
    <row r="23" spans="1:28" x14ac:dyDescent="0.25">
      <c r="F23" s="68"/>
      <c r="H23" s="68"/>
      <c r="I23" s="68"/>
      <c r="J23" s="68"/>
      <c r="W23" s="68"/>
    </row>
    <row r="24" spans="1:28" x14ac:dyDescent="0.25">
      <c r="F24" s="68"/>
      <c r="H24" s="68"/>
      <c r="I24" s="68"/>
      <c r="J24" s="68"/>
      <c r="W24" s="68"/>
    </row>
    <row r="25" spans="1:28" x14ac:dyDescent="0.25">
      <c r="F25" s="68"/>
      <c r="H25" s="68"/>
      <c r="I25" s="68"/>
      <c r="J25" s="68"/>
      <c r="W25" s="68"/>
    </row>
    <row r="26" spans="1:28" x14ac:dyDescent="0.25">
      <c r="F26" s="68"/>
      <c r="H26" s="68"/>
      <c r="I26" s="68"/>
      <c r="J26" s="68"/>
      <c r="W26" s="68"/>
    </row>
    <row r="27" spans="1:28" x14ac:dyDescent="0.25">
      <c r="F27" s="68"/>
      <c r="H27" s="68"/>
      <c r="I27" s="68"/>
      <c r="J27" s="68"/>
      <c r="W27" s="68"/>
    </row>
    <row r="28" spans="1:28" x14ac:dyDescent="0.25">
      <c r="F28" s="68"/>
      <c r="H28" s="68"/>
      <c r="I28" s="68"/>
      <c r="J28" s="68"/>
      <c r="W28" s="68"/>
    </row>
    <row r="29" spans="1:28" x14ac:dyDescent="0.25">
      <c r="F29" s="68"/>
      <c r="H29" s="68"/>
      <c r="I29" s="37"/>
      <c r="J29" s="68"/>
      <c r="W29" s="68"/>
    </row>
    <row r="30" spans="1:28" x14ac:dyDescent="0.25">
      <c r="F30" s="68"/>
      <c r="H30" s="68"/>
      <c r="J30" s="68"/>
      <c r="W30" s="68"/>
    </row>
    <row r="31" spans="1:28" x14ac:dyDescent="0.25">
      <c r="F31" s="68"/>
      <c r="H31" s="68"/>
      <c r="J31" s="68"/>
      <c r="W31" s="68"/>
    </row>
    <row r="32" spans="1:28" x14ac:dyDescent="0.25">
      <c r="F32" s="68"/>
      <c r="H32" s="68"/>
      <c r="J32" s="68"/>
      <c r="W32" s="68"/>
    </row>
    <row r="33" spans="6:23" x14ac:dyDescent="0.25">
      <c r="F33" s="68"/>
      <c r="H33" s="68"/>
      <c r="J33" s="68"/>
      <c r="W33" s="68"/>
    </row>
    <row r="34" spans="6:23" x14ac:dyDescent="0.25">
      <c r="F34" s="68"/>
      <c r="H34" s="68"/>
      <c r="J34" s="68"/>
    </row>
    <row r="35" spans="6:23" x14ac:dyDescent="0.25">
      <c r="F35" s="68"/>
      <c r="J35" s="68"/>
      <c r="W35" s="37"/>
    </row>
    <row r="36" spans="6:23" x14ac:dyDescent="0.25">
      <c r="F36" s="68"/>
      <c r="H36" s="37"/>
      <c r="J36" s="68"/>
    </row>
    <row r="37" spans="6:23" x14ac:dyDescent="0.25">
      <c r="F37" s="68"/>
      <c r="H37" s="37"/>
      <c r="J37" s="68"/>
    </row>
    <row r="38" spans="6:23" x14ac:dyDescent="0.25">
      <c r="F38" s="68"/>
      <c r="J38" s="68"/>
    </row>
    <row r="39" spans="6:23" x14ac:dyDescent="0.25">
      <c r="J39" s="68"/>
    </row>
    <row r="40" spans="6:23" x14ac:dyDescent="0.25">
      <c r="F40" s="37"/>
      <c r="J40" s="68"/>
    </row>
    <row r="41" spans="6:23" x14ac:dyDescent="0.25">
      <c r="F41" s="37"/>
      <c r="J41" s="68"/>
    </row>
    <row r="42" spans="6:23" x14ac:dyDescent="0.25">
      <c r="J42" s="68"/>
    </row>
    <row r="43" spans="6:23" x14ac:dyDescent="0.25">
      <c r="J43" s="68"/>
    </row>
    <row r="44" spans="6:23" x14ac:dyDescent="0.25">
      <c r="J44" s="68"/>
    </row>
    <row r="45" spans="6:23" x14ac:dyDescent="0.25">
      <c r="J45" s="68"/>
    </row>
    <row r="46" spans="6:23" x14ac:dyDescent="0.25">
      <c r="J46" s="37"/>
    </row>
    <row r="47" spans="6:23" x14ac:dyDescent="0.25">
      <c r="J47" s="37"/>
    </row>
    <row r="48" spans="6:23" x14ac:dyDescent="0.25">
      <c r="J48" s="68"/>
    </row>
  </sheetData>
  <mergeCells count="3">
    <mergeCell ref="B1:L1"/>
    <mergeCell ref="B2:L2"/>
    <mergeCell ref="A21:C21"/>
  </mergeCells>
  <pageMargins left="1.2" right="0" top="0" bottom="0" header="0.3" footer="0.3"/>
  <pageSetup paperSize="9" scale="95" orientation="landscape" r:id="rId1"/>
  <headerFooter differentOddEven="1">
    <oddFooter>&amp;RContinu...</oddFooter>
  </headerFooter>
  <colBreaks count="1" manualBreakCount="1">
    <brk id="12" max="3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July 2019</vt:lpstr>
      <vt:lpstr>August 2019</vt:lpstr>
      <vt:lpstr>Sept.19</vt:lpstr>
      <vt:lpstr>Oct.19</vt:lpstr>
      <vt:lpstr>Nov.19</vt:lpstr>
      <vt:lpstr>Dec.19</vt:lpstr>
      <vt:lpstr>Jan.2020</vt:lpstr>
      <vt:lpstr>Feb.2020</vt:lpstr>
      <vt:lpstr>Mar.2020</vt:lpstr>
      <vt:lpstr>April.2020</vt:lpstr>
      <vt:lpstr>May.2020</vt:lpstr>
      <vt:lpstr>June.19</vt:lpstr>
      <vt:lpstr>April.2020!Print_Area</vt:lpstr>
      <vt:lpstr>Dec.19!Print_Area</vt:lpstr>
      <vt:lpstr>Feb.2020!Print_Area</vt:lpstr>
      <vt:lpstr>'July 2019'!Print_Area</vt:lpstr>
      <vt:lpstr>Oct.19!Print_Area</vt:lpstr>
      <vt:lpstr>Sept.19!Print_Area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Huniza Computers</dc:creator>
  <cp:lastModifiedBy>SHAN-PC</cp:lastModifiedBy>
  <cp:lastPrinted>2020-03-20T14:00:58Z</cp:lastPrinted>
  <dcterms:created xsi:type="dcterms:W3CDTF">2017-09-12T12:17:12Z</dcterms:created>
  <dcterms:modified xsi:type="dcterms:W3CDTF">2020-10-17T16:45:52Z</dcterms:modified>
</cp:coreProperties>
</file>