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vicente/Google Drive/Other account/uni/Q1_2019_20/Thermal and fluid engineering/Lab/"/>
    </mc:Choice>
  </mc:AlternateContent>
  <xr:revisionPtr revIDLastSave="0" documentId="13_ncr:1_{9C64A4B1-4A42-2844-B0FA-1D16EC3F9865}" xr6:coauthVersionLast="38" xr6:coauthVersionMax="38" xr10:uidLastSave="{00000000-0000-0000-0000-000000000000}"/>
  <bookViews>
    <workbookView xWindow="41060" yWindow="460" windowWidth="26140" windowHeight="36260" activeTab="1" xr2:uid="{9E67C2E3-EFC0-8645-A4F6-1B732ECF8E6E}"/>
  </bookViews>
  <sheets>
    <sheet name="problema_1" sheetId="1" r:id="rId1"/>
    <sheet name="Problema_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9" i="2"/>
  <c r="V2" i="2" s="1"/>
  <c r="G21" i="2"/>
  <c r="I11" i="2"/>
  <c r="Q10" i="2"/>
  <c r="Q5" i="2"/>
  <c r="Q7" i="2"/>
  <c r="L7" i="2"/>
  <c r="Q6" i="2"/>
  <c r="Q4" i="2"/>
  <c r="Q3" i="2"/>
  <c r="V4" i="2" l="1"/>
  <c r="V3" i="2"/>
  <c r="F44" i="1"/>
  <c r="E26" i="1"/>
  <c r="E52" i="1"/>
  <c r="B26" i="1"/>
  <c r="E51" i="1"/>
  <c r="E49" i="1"/>
  <c r="E45" i="1"/>
  <c r="E46" i="1"/>
  <c r="E47" i="1"/>
  <c r="E44" i="1"/>
  <c r="E39" i="1"/>
  <c r="E37" i="1"/>
  <c r="E36" i="1"/>
  <c r="E35" i="1"/>
  <c r="E33" i="1"/>
  <c r="E28" i="1"/>
  <c r="E30" i="1"/>
  <c r="E32" i="1"/>
  <c r="E6" i="1"/>
  <c r="F6" i="1"/>
  <c r="E53" i="1" l="1"/>
  <c r="E38" i="1"/>
  <c r="E41" i="1" s="1"/>
  <c r="E42" i="1" s="1"/>
  <c r="W58" i="2"/>
  <c r="C9" i="2" l="1"/>
  <c r="G5" i="2" s="1"/>
  <c r="C16" i="2"/>
  <c r="B1" i="2"/>
  <c r="J7" i="2"/>
  <c r="B7" i="2"/>
  <c r="K3" i="2"/>
  <c r="H8" i="2"/>
  <c r="H9" i="2" s="1"/>
  <c r="G9" i="2"/>
  <c r="G8" i="2"/>
  <c r="B5" i="2"/>
  <c r="B4" i="2"/>
  <c r="B3" i="2"/>
  <c r="B32" i="1"/>
  <c r="D32" i="1" s="1"/>
  <c r="F19" i="1"/>
  <c r="B35" i="1" s="1"/>
  <c r="D35" i="1" s="1"/>
  <c r="E4" i="1"/>
  <c r="B37" i="1"/>
  <c r="D37" i="1" s="1"/>
  <c r="G21" i="1"/>
  <c r="I21" i="1"/>
  <c r="B39" i="1"/>
  <c r="D39" i="1" s="1"/>
  <c r="B44" i="1"/>
  <c r="D44" i="1" s="1"/>
  <c r="B45" i="1"/>
  <c r="D45" i="1" s="1"/>
  <c r="F12" i="1"/>
  <c r="H5" i="1" s="1"/>
  <c r="H12" i="1" s="1"/>
  <c r="G7" i="1"/>
  <c r="H19" i="1" s="1"/>
  <c r="B36" i="1"/>
  <c r="D36" i="1" s="1"/>
  <c r="I19" i="1"/>
  <c r="G19" i="1"/>
  <c r="H21" i="1"/>
  <c r="I20" i="1"/>
  <c r="H20" i="1"/>
  <c r="F21" i="1"/>
  <c r="G20" i="1"/>
  <c r="F20" i="1"/>
  <c r="G11" i="1"/>
  <c r="G9" i="1"/>
  <c r="B12" i="2" l="1"/>
  <c r="B13" i="2"/>
  <c r="H13" i="1"/>
  <c r="H14" i="1"/>
  <c r="H4" i="1"/>
  <c r="C26" i="1" s="1"/>
  <c r="G3" i="2"/>
  <c r="D38" i="1"/>
  <c r="D41" i="1" s="1"/>
  <c r="D42" i="1" s="1"/>
  <c r="G13" i="1"/>
  <c r="G14" i="1" s="1"/>
  <c r="G12" i="1"/>
  <c r="F13" i="1"/>
  <c r="B46" i="1" s="1"/>
  <c r="E12" i="1"/>
  <c r="E13" i="1"/>
  <c r="E21" i="1"/>
  <c r="D19" i="1"/>
  <c r="D21" i="1"/>
  <c r="E20" i="1"/>
  <c r="E19" i="1"/>
  <c r="D20" i="1"/>
  <c r="I5" i="1"/>
  <c r="I3" i="1"/>
  <c r="G6" i="1"/>
  <c r="G4" i="1"/>
  <c r="G5" i="1" s="1"/>
  <c r="F4" i="1"/>
  <c r="E14" i="1"/>
  <c r="I2" i="2" l="1"/>
  <c r="C14" i="2" s="1"/>
  <c r="C17" i="2" s="1"/>
  <c r="B28" i="1"/>
  <c r="D28" i="1" s="1"/>
  <c r="D33" i="1" s="1"/>
  <c r="D26" i="1"/>
  <c r="D52" i="1" s="1"/>
  <c r="C46" i="1"/>
  <c r="D46" i="1" s="1"/>
  <c r="D47" i="1" s="1"/>
  <c r="D49" i="1" s="1"/>
  <c r="C28" i="1"/>
  <c r="I4" i="2" l="1"/>
  <c r="C11" i="2" s="1"/>
  <c r="I3" i="2"/>
  <c r="I6" i="2"/>
  <c r="I7" i="2" s="1"/>
  <c r="C10" i="2"/>
  <c r="I5" i="2"/>
  <c r="B10" i="2"/>
  <c r="D53" i="1"/>
  <c r="D51" i="1"/>
  <c r="B11" i="2"/>
  <c r="C12" i="2" l="1"/>
  <c r="C15" i="2" s="1"/>
  <c r="I8" i="2"/>
  <c r="L8" i="2" s="1"/>
  <c r="U9" i="2"/>
  <c r="U10" i="2" s="1"/>
  <c r="U11" i="2"/>
  <c r="U12" i="2" s="1"/>
  <c r="C13" i="2" l="1"/>
  <c r="I9" i="2"/>
  <c r="I12" i="2"/>
  <c r="I10" i="2"/>
</calcChain>
</file>

<file path=xl/sharedStrings.xml><?xml version="1.0" encoding="utf-8"?>
<sst xmlns="http://schemas.openxmlformats.org/spreadsheetml/2006/main" count="243" uniqueCount="159">
  <si>
    <t>Punto</t>
  </si>
  <si>
    <t>Estado</t>
  </si>
  <si>
    <t>x</t>
  </si>
  <si>
    <t>P</t>
  </si>
  <si>
    <t>bar</t>
  </si>
  <si>
    <t>T</t>
  </si>
  <si>
    <t>ºC</t>
  </si>
  <si>
    <t>m kg/s</t>
  </si>
  <si>
    <t>Lsat</t>
  </si>
  <si>
    <t>Lsubenfr</t>
  </si>
  <si>
    <t>L</t>
  </si>
  <si>
    <t>Vsh</t>
  </si>
  <si>
    <t>V</t>
  </si>
  <si>
    <t>8a</t>
  </si>
  <si>
    <t>8b</t>
  </si>
  <si>
    <t>Vhum</t>
  </si>
  <si>
    <t xml:space="preserve">Propiedades termodinámicas del agua : líquido saturado ( l ) ‐ vapor saturado ( v ) </t>
  </si>
  <si>
    <t xml:space="preserve">P </t>
  </si>
  <si>
    <t xml:space="preserve">T </t>
  </si>
  <si>
    <t xml:space="preserve">bar </t>
  </si>
  <si>
    <t xml:space="preserve">oC </t>
  </si>
  <si>
    <t xml:space="preserve">kJ/kg </t>
  </si>
  <si>
    <t xml:space="preserve">kJ/kgK </t>
  </si>
  <si>
    <t xml:space="preserve">0,00611 (Ref) </t>
  </si>
  <si>
    <t xml:space="preserve">221 ( Crit ) </t>
  </si>
  <si>
    <t xml:space="preserve">0,01 (Ref) </t>
  </si>
  <si>
    <t xml:space="preserve">‐0,04 </t>
  </si>
  <si>
    <t xml:space="preserve">‐0,0002 </t>
  </si>
  <si>
    <t xml:space="preserve">374,14 (Crit) </t>
  </si>
  <si>
    <t xml:space="preserve">vl </t>
  </si>
  <si>
    <t xml:space="preserve">vv </t>
  </si>
  <si>
    <t xml:space="preserve">ul </t>
  </si>
  <si>
    <t xml:space="preserve">uv </t>
  </si>
  <si>
    <t xml:space="preserve">hl </t>
  </si>
  <si>
    <t xml:space="preserve">hv </t>
  </si>
  <si>
    <t xml:space="preserve">sl </t>
  </si>
  <si>
    <t xml:space="preserve">sv </t>
  </si>
  <si>
    <t xml:space="preserve">m 3 /kg </t>
  </si>
  <si>
    <t>density (m^3/kg)</t>
  </si>
  <si>
    <t>s kJ/kgK.  Entropy</t>
  </si>
  <si>
    <t>h kJ /kg Enthalpy</t>
  </si>
  <si>
    <t>L+V (0,855)</t>
  </si>
  <si>
    <t>condenser</t>
  </si>
  <si>
    <t>Q [KW]</t>
  </si>
  <si>
    <t>Pump_1</t>
  </si>
  <si>
    <t>Pump_2</t>
  </si>
  <si>
    <t>Open regen</t>
  </si>
  <si>
    <t>Evaporator</t>
  </si>
  <si>
    <t>Vap gen</t>
  </si>
  <si>
    <t>super vap</t>
  </si>
  <si>
    <t>vap regen</t>
  </si>
  <si>
    <t>Boiler</t>
  </si>
  <si>
    <t>HP_t</t>
  </si>
  <si>
    <t>MP_t</t>
  </si>
  <si>
    <t>LP_t</t>
  </si>
  <si>
    <t>spec_Q [KW/kg]</t>
  </si>
  <si>
    <t>flow [kg/s]</t>
  </si>
  <si>
    <t>total turbine</t>
  </si>
  <si>
    <t>combination</t>
  </si>
  <si>
    <t>electric_gen</t>
  </si>
  <si>
    <t>combustion</t>
  </si>
  <si>
    <t>total pumps</t>
  </si>
  <si>
    <t>efficency_elec</t>
  </si>
  <si>
    <t>efiency_thermal</t>
  </si>
  <si>
    <t>effiency_tot</t>
  </si>
  <si>
    <t>Elec_power</t>
  </si>
  <si>
    <t>Qc</t>
  </si>
  <si>
    <t>Qf</t>
  </si>
  <si>
    <t>Elec_Gen_eff</t>
  </si>
  <si>
    <t>COP_abs</t>
  </si>
  <si>
    <t>Cp_air</t>
  </si>
  <si>
    <t>Cp/Cv</t>
  </si>
  <si>
    <t>Fluido</t>
  </si>
  <si>
    <t>T (ºC)</t>
  </si>
  <si>
    <t>P (bar)</t>
  </si>
  <si>
    <t>Caudal (kg/s)</t>
  </si>
  <si>
    <t>Aire</t>
  </si>
  <si>
    <t>Símbolo</t>
  </si>
  <si>
    <t>Variable</t>
  </si>
  <si>
    <t>Potencia (kW)</t>
  </si>
  <si>
    <r>
      <t>W</t>
    </r>
    <r>
      <rPr>
        <sz val="5.5"/>
        <color theme="1"/>
        <rFont val="Arial"/>
        <family val="2"/>
      </rPr>
      <t>e</t>
    </r>
  </si>
  <si>
    <t>Potencia eléctrica generada</t>
  </si>
  <si>
    <r>
      <t>Q</t>
    </r>
    <r>
      <rPr>
        <sz val="5.5"/>
        <color theme="1"/>
        <rFont val="Arial"/>
        <family val="2"/>
      </rPr>
      <t>F</t>
    </r>
  </si>
  <si>
    <r>
      <t>Q</t>
    </r>
    <r>
      <rPr>
        <sz val="5.5"/>
        <color theme="1"/>
        <rFont val="Arial"/>
        <family val="2"/>
      </rPr>
      <t>C</t>
    </r>
  </si>
  <si>
    <r>
      <t>P</t>
    </r>
    <r>
      <rPr>
        <sz val="6"/>
        <color theme="1"/>
        <rFont val="Arial"/>
        <family val="2"/>
      </rPr>
      <t>GE</t>
    </r>
  </si>
  <si>
    <t>Pérdidas térmicas GE</t>
  </si>
  <si>
    <r>
      <t>P</t>
    </r>
    <r>
      <rPr>
        <sz val="6"/>
        <color theme="1"/>
        <rFont val="Arial"/>
        <family val="2"/>
      </rPr>
      <t>GC</t>
    </r>
  </si>
  <si>
    <r>
      <t>Q</t>
    </r>
    <r>
      <rPr>
        <sz val="6"/>
        <color theme="1"/>
        <rFont val="Arial"/>
        <family val="2"/>
      </rPr>
      <t>TR</t>
    </r>
  </si>
  <si>
    <t>Potencia térmica TR</t>
  </si>
  <si>
    <r>
      <t>Q</t>
    </r>
    <r>
      <rPr>
        <sz val="6"/>
        <color theme="1"/>
        <rFont val="Arial"/>
        <family val="2"/>
      </rPr>
      <t>Comb</t>
    </r>
  </si>
  <si>
    <t>Calor generado en CC</t>
  </si>
  <si>
    <t>E</t>
  </si>
  <si>
    <t>Suma energías entrada a la planta</t>
  </si>
  <si>
    <t>S</t>
  </si>
  <si>
    <t>Suma energías salida de la planta</t>
  </si>
  <si>
    <t>Cálculo</t>
  </si>
  <si>
    <t>Valor</t>
  </si>
  <si>
    <r>
      <t>h</t>
    </r>
    <r>
      <rPr>
        <sz val="6"/>
        <color theme="1"/>
        <rFont val="Arial"/>
        <family val="2"/>
      </rPr>
      <t>e</t>
    </r>
  </si>
  <si>
    <t>Rendimiento eléctrico</t>
  </si>
  <si>
    <r>
      <t>W</t>
    </r>
    <r>
      <rPr>
        <sz val="6"/>
        <color theme="1"/>
        <rFont val="Arial"/>
        <family val="2"/>
      </rPr>
      <t xml:space="preserve">e </t>
    </r>
    <r>
      <rPr>
        <sz val="8.5"/>
        <color theme="1"/>
        <rFont val="Arial"/>
        <family val="2"/>
      </rPr>
      <t>/ Q</t>
    </r>
    <r>
      <rPr>
        <sz val="6"/>
        <color theme="1"/>
        <rFont val="Arial"/>
        <family val="2"/>
      </rPr>
      <t>Comb</t>
    </r>
  </si>
  <si>
    <r>
      <t>h</t>
    </r>
    <r>
      <rPr>
        <sz val="6"/>
        <color theme="1"/>
        <rFont val="Arial"/>
        <family val="2"/>
      </rPr>
      <t>t</t>
    </r>
  </si>
  <si>
    <t>Rendimiento térmico</t>
  </si>
  <si>
    <r>
      <t>(Q</t>
    </r>
    <r>
      <rPr>
        <sz val="5.5"/>
        <color theme="1"/>
        <rFont val="Arial"/>
        <family val="2"/>
      </rPr>
      <t xml:space="preserve">C </t>
    </r>
    <r>
      <rPr>
        <sz val="8.5"/>
        <color theme="1"/>
        <rFont val="Arial"/>
        <family val="2"/>
      </rPr>
      <t>+ Q</t>
    </r>
    <r>
      <rPr>
        <sz val="5.5"/>
        <color theme="1"/>
        <rFont val="Arial"/>
        <family val="2"/>
      </rPr>
      <t>F</t>
    </r>
    <r>
      <rPr>
        <sz val="8.5"/>
        <color theme="1"/>
        <rFont val="Arial"/>
        <family val="2"/>
      </rPr>
      <t>) / Q</t>
    </r>
    <r>
      <rPr>
        <sz val="5.5"/>
        <color theme="1"/>
        <rFont val="Arial"/>
        <family val="2"/>
      </rPr>
      <t>Comb</t>
    </r>
  </si>
  <si>
    <r>
      <t>h</t>
    </r>
    <r>
      <rPr>
        <sz val="6"/>
        <color theme="1"/>
        <rFont val="Arial"/>
        <family val="2"/>
      </rPr>
      <t>g</t>
    </r>
  </si>
  <si>
    <t>Rendim global (FUE)</t>
  </si>
  <si>
    <r>
      <t>(W</t>
    </r>
    <r>
      <rPr>
        <sz val="5.5"/>
        <color theme="1"/>
        <rFont val="Arial"/>
        <family val="2"/>
      </rPr>
      <t>e</t>
    </r>
    <r>
      <rPr>
        <sz val="8.5"/>
        <color theme="1"/>
        <rFont val="Arial"/>
        <family val="2"/>
      </rPr>
      <t>+ Q</t>
    </r>
    <r>
      <rPr>
        <sz val="5.5"/>
        <color theme="1"/>
        <rFont val="Arial"/>
        <family val="2"/>
      </rPr>
      <t xml:space="preserve">C </t>
    </r>
    <r>
      <rPr>
        <sz val="8.5"/>
        <color theme="1"/>
        <rFont val="Arial"/>
        <family val="2"/>
      </rPr>
      <t>+ Q</t>
    </r>
    <r>
      <rPr>
        <sz val="5.5"/>
        <color theme="1"/>
        <rFont val="Arial"/>
        <family val="2"/>
      </rPr>
      <t>F</t>
    </r>
    <r>
      <rPr>
        <sz val="8.5"/>
        <color theme="1"/>
        <rFont val="Arial"/>
        <family val="2"/>
      </rPr>
      <t>) / Q</t>
    </r>
    <r>
      <rPr>
        <sz val="5.5"/>
        <color theme="1"/>
        <rFont val="Arial"/>
        <family val="2"/>
      </rPr>
      <t>Comb</t>
    </r>
  </si>
  <si>
    <r>
      <t>Q</t>
    </r>
    <r>
      <rPr>
        <sz val="5.5"/>
        <color theme="1"/>
        <rFont val="Arial"/>
        <family val="2"/>
      </rPr>
      <t>CR</t>
    </r>
  </si>
  <si>
    <t>Potencia térmica caldera recuperación (kW)</t>
  </si>
  <si>
    <t>entropy [kJ/kg·K]</t>
  </si>
  <si>
    <t>enthalpy [kJ/kg]</t>
  </si>
  <si>
    <t>Cv</t>
  </si>
  <si>
    <t>W_compressor</t>
  </si>
  <si>
    <t>W_turbine</t>
  </si>
  <si>
    <t>W_mec</t>
  </si>
  <si>
    <t>W_elec</t>
  </si>
  <si>
    <t>Q_boiler</t>
  </si>
  <si>
    <t>eff_boiler</t>
  </si>
  <si>
    <t>eff_rel_comp</t>
  </si>
  <si>
    <t>m_HE</t>
  </si>
  <si>
    <t>m_Hot</t>
  </si>
  <si>
    <t>m_Cold</t>
  </si>
  <si>
    <t>q_hot</t>
  </si>
  <si>
    <t>Cp_h20</t>
  </si>
  <si>
    <t>Q_cold</t>
  </si>
  <si>
    <t>eff_elec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</si>
  <si>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</si>
  <si>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</si>
  <si>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</si>
  <si>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</si>
  <si>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</si>
  <si>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</si>
  <si>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</si>
  <si>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</si>
  <si>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Economizador</t>
  </si>
  <si>
    <t>Generador vapor</t>
  </si>
  <si>
    <t>Sobrecalentador vapor</t>
  </si>
  <si>
    <t>Column9</t>
  </si>
  <si>
    <t>Pin</t>
  </si>
  <si>
    <t>Pout</t>
  </si>
  <si>
    <t>Tin</t>
  </si>
  <si>
    <t>Tout</t>
  </si>
  <si>
    <t>Hin</t>
  </si>
  <si>
    <t>Hout</t>
  </si>
  <si>
    <t>Sin</t>
  </si>
  <si>
    <t>Sout</t>
  </si>
  <si>
    <t>q_paragua</t>
  </si>
  <si>
    <t>Aire comprimido</t>
  </si>
  <si>
    <t>Gases combustion</t>
  </si>
  <si>
    <t>Vapor Saturado</t>
  </si>
  <si>
    <t>Agua cir. Absorción</t>
  </si>
  <si>
    <t>Gases combustion calientes</t>
  </si>
  <si>
    <t>Gases combustion frios</t>
  </si>
  <si>
    <t>Vapor Saturado calor</t>
  </si>
  <si>
    <t>Vapor Saturado frio</t>
  </si>
  <si>
    <t>energia</t>
  </si>
  <si>
    <t>agua cir. Calef</t>
  </si>
  <si>
    <t>Potencia frigorífica generada (Máquina absorción)</t>
  </si>
  <si>
    <t>Potencia calorífica generada (Intercambiador IC)</t>
  </si>
  <si>
    <t>Pérdidas térmicas gases comb ( Caldera de recuperación)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</si>
</sst>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7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5.5"/>
      <color theme="1"/>
      <name val="Arial"/>
      <family val="2"/>
    </font>
    <font>
      <sz val="6"/>
      <color theme="1"/>
      <name val="Arial"/>
      <family val="2"/>
    </font>
    <font>
      <sz val="8.5"/>
      <color theme="1"/>
      <name val="Symbol"/>
      <charset val="2"/>
    </font>
    <font>
      <sz val="12"/>
      <color rgb="FFFFC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7" fillId="0" borderId="0" xfId="0" applyFont="1"/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/>
    <xf numFmtId="0" fontId="9" fillId="0" borderId="0" xfId="0" applyFont="1"/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 indent="2"/>
    </xf>
    <xf numFmtId="0" fontId="12" fillId="2" borderId="7" xfId="0" applyFont="1" applyFill="1" applyBorder="1" applyAlignment="1">
      <alignment horizontal="left" vertical="center" wrapText="1" inden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6" fillId="0" borderId="0" xfId="0" applyFont="1" applyAlignment="1"/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left" vertical="center" wrapText="1" indent="2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righ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right" vertical="center" wrapText="1"/>
    </xf>
    <xf numFmtId="0" fontId="15" fillId="2" borderId="7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vertical="center" wrapText="1"/>
    </xf>
    <xf numFmtId="0" fontId="0" fillId="0" borderId="0" xfId="0" applyFont="1"/>
    <xf numFmtId="0" fontId="20" fillId="0" borderId="5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2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wrapText="1"/>
    </xf>
    <xf numFmtId="2" fontId="2" fillId="0" borderId="14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8" fontId="14" fillId="0" borderId="4" xfId="0" applyNumberFormat="1" applyFont="1" applyBorder="1" applyAlignment="1">
      <alignment vertical="center" wrapText="1"/>
    </xf>
    <xf numFmtId="168" fontId="11" fillId="0" borderId="4" xfId="0" applyNumberFormat="1" applyFont="1" applyBorder="1" applyAlignment="1">
      <alignment vertical="center" wrapText="1"/>
    </xf>
    <xf numFmtId="168" fontId="11" fillId="0" borderId="1" xfId="0" applyNumberFormat="1" applyFont="1" applyBorder="1" applyAlignment="1">
      <alignment vertical="center" wrapText="1"/>
    </xf>
    <xf numFmtId="168" fontId="21" fillId="0" borderId="4" xfId="0" applyNumberFormat="1" applyFont="1" applyBorder="1" applyAlignment="1">
      <alignment vertical="center" wrapText="1"/>
    </xf>
    <xf numFmtId="167" fontId="1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02984-F5CB-B545-A677-21B81D67D71B}" name="Table1" displayName="Table1" ref="A1:H14" totalsRowShown="0" dataDxfId="9" tableBorderDxfId="8">
  <autoFilter ref="A1:H14" xr:uid="{2AC4F2BD-399F-0542-A3D2-C5E56BCD1D04}"/>
  <tableColumns count="8">
    <tableColumn id="1" xr3:uid="{5B865118-E33B-7346-9007-CCE6C431FF03}" name="Column1" dataDxfId="7"/>
    <tableColumn id="2" xr3:uid="{6B5E68A4-B1D1-4845-837D-06028E9A615F}" name="Column2" dataDxfId="6"/>
    <tableColumn id="3" xr3:uid="{316B5BEE-F006-884D-A64D-F3E70BCFAF3A}" name="Column3" dataDxfId="5"/>
    <tableColumn id="4" xr3:uid="{D77B390C-F1E7-F642-81B8-A4B751534119}" name="Column4" dataDxfId="4"/>
    <tableColumn id="5" xr3:uid="{014F78CC-B846-3345-A199-0C88A2C26E89}" name="Column5" dataDxfId="3"/>
    <tableColumn id="6" xr3:uid="{E242E79B-EFBD-AD4D-B152-2BC0B4090F56}" name="Column6" dataDxfId="2"/>
    <tableColumn id="7" xr3:uid="{2DA9E896-C170-744B-8C24-DDF11F250E77}" name="Column7" dataDxfId="1"/>
    <tableColumn id="8" xr3:uid="{FDFBF555-A4DE-A748-8498-4C404E2CE4CF}" name="Column8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D678E-4C80-3F47-A849-712ACCA4A6F5}" name="Table2" displayName="Table2" ref="A17:I21" totalsRowShown="0">
  <autoFilter ref="A17:I21" xr:uid="{1615CF42-F94F-2F4E-BB18-4EAA99EB1AD0}"/>
  <tableColumns count="9">
    <tableColumn id="1" xr3:uid="{6BDF0E86-6C47-6440-9E60-E642C342D8C5}" name="Column1"/>
    <tableColumn id="2" xr3:uid="{585B2469-7C00-2845-8748-14D3F8D73083}" name="Column2"/>
    <tableColumn id="3" xr3:uid="{D25011E9-AD67-0547-81C4-CE0BA1E43CDB}" name="Column3"/>
    <tableColumn id="4" xr3:uid="{7E3155F8-D525-3D4A-8D3E-4FDF4C772960}" name="Column4"/>
    <tableColumn id="5" xr3:uid="{89254E11-C025-214F-86CD-B84060CA2B70}" name="Column5"/>
    <tableColumn id="6" xr3:uid="{E438F383-6F33-534E-807E-D5209F5B2DA0}" name="Column6"/>
    <tableColumn id="7" xr3:uid="{87FA9420-E5E0-F641-ACD1-4DDE8E849E27}" name="Column7"/>
    <tableColumn id="8" xr3:uid="{F79D06B5-04C3-124E-94E0-FD49613479F8}" name="Column8"/>
    <tableColumn id="9" xr3:uid="{375B1334-BD3E-3F49-90DA-8ECF261899A7}" name="Column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6E9C-6D7B-C141-BAE6-EBF37555FDFD}">
  <dimension ref="A1:AE69"/>
  <sheetViews>
    <sheetView zoomScale="110" zoomScaleNormal="110" workbookViewId="0">
      <selection activeCell="E32" sqref="E32"/>
    </sheetView>
  </sheetViews>
  <sheetFormatPr baseColWidth="10" defaultRowHeight="16"/>
  <cols>
    <col min="4" max="4" width="11" customWidth="1"/>
    <col min="5" max="5" width="12.1640625" bestFit="1" customWidth="1"/>
    <col min="6" max="6" width="14" customWidth="1"/>
    <col min="7" max="7" width="12.5" customWidth="1"/>
    <col min="8" max="8" width="12.1640625" bestFit="1" customWidth="1"/>
    <col min="9" max="9" width="14.83203125" customWidth="1"/>
    <col min="10" max="10" width="12.5" bestFit="1" customWidth="1"/>
  </cols>
  <sheetData>
    <row r="1" spans="1:31" ht="20" thickBot="1">
      <c r="A1" s="39" t="s">
        <v>125</v>
      </c>
      <c r="B1" s="39" t="s">
        <v>126</v>
      </c>
      <c r="C1" s="39" t="s">
        <v>127</v>
      </c>
      <c r="D1" s="40" t="s">
        <v>128</v>
      </c>
      <c r="E1" s="40" t="s">
        <v>129</v>
      </c>
      <c r="F1" s="41" t="s">
        <v>130</v>
      </c>
      <c r="G1" s="42" t="s">
        <v>131</v>
      </c>
      <c r="H1" s="43" t="s">
        <v>132</v>
      </c>
      <c r="K1" s="54" t="s">
        <v>16</v>
      </c>
      <c r="L1" s="54"/>
      <c r="M1" s="54"/>
      <c r="N1" s="54"/>
      <c r="O1" s="54"/>
      <c r="P1" s="54"/>
      <c r="Q1" s="54"/>
      <c r="R1" s="54"/>
      <c r="S1" s="54"/>
      <c r="T1" s="54"/>
      <c r="U1" s="4"/>
      <c r="V1" s="54" t="s">
        <v>16</v>
      </c>
      <c r="W1" s="54"/>
      <c r="X1" s="54"/>
      <c r="Y1" s="54"/>
      <c r="Z1" s="54"/>
      <c r="AA1" s="54"/>
      <c r="AB1" s="54"/>
      <c r="AC1" s="54"/>
      <c r="AD1" s="54"/>
      <c r="AE1" s="54"/>
    </row>
    <row r="2" spans="1:31" ht="30">
      <c r="A2" s="5"/>
      <c r="B2" s="5"/>
      <c r="C2" s="5"/>
      <c r="D2" s="6" t="s">
        <v>3</v>
      </c>
      <c r="E2" s="6" t="s">
        <v>5</v>
      </c>
      <c r="F2" s="36" t="s">
        <v>40</v>
      </c>
      <c r="G2" s="37" t="s">
        <v>39</v>
      </c>
      <c r="H2" s="38" t="s">
        <v>7</v>
      </c>
      <c r="I2" t="s">
        <v>38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spans="1:31" ht="20" thickBot="1">
      <c r="A3" s="7" t="s">
        <v>0</v>
      </c>
      <c r="B3" s="46" t="s">
        <v>1</v>
      </c>
      <c r="C3" s="40" t="s">
        <v>2</v>
      </c>
      <c r="D3" s="40" t="s">
        <v>4</v>
      </c>
      <c r="E3" s="40" t="s">
        <v>6</v>
      </c>
      <c r="F3" s="41"/>
      <c r="G3" s="42"/>
      <c r="H3" s="43"/>
      <c r="I3">
        <f>M14+(D4-K14)*((M15-M14)/(K15-K14))</f>
        <v>1.0062000000000001E-3</v>
      </c>
      <c r="K3" s="53" t="s">
        <v>17</v>
      </c>
      <c r="L3" s="53" t="s">
        <v>18</v>
      </c>
      <c r="M3" s="53" t="s">
        <v>29</v>
      </c>
      <c r="N3" s="53" t="s">
        <v>30</v>
      </c>
      <c r="O3" s="53" t="s">
        <v>31</v>
      </c>
      <c r="P3" s="53" t="s">
        <v>32</v>
      </c>
      <c r="Q3" s="53" t="s">
        <v>33</v>
      </c>
      <c r="R3" s="53" t="s">
        <v>34</v>
      </c>
      <c r="S3" s="53" t="s">
        <v>35</v>
      </c>
      <c r="T3" s="53" t="s">
        <v>36</v>
      </c>
      <c r="U3" s="4"/>
      <c r="V3" s="53" t="s">
        <v>18</v>
      </c>
      <c r="W3" s="53" t="s">
        <v>17</v>
      </c>
      <c r="X3" s="53" t="s">
        <v>29</v>
      </c>
      <c r="Y3" s="53" t="s">
        <v>30</v>
      </c>
      <c r="Z3" s="53" t="s">
        <v>31</v>
      </c>
      <c r="AA3" s="53" t="s">
        <v>32</v>
      </c>
      <c r="AB3" s="53" t="s">
        <v>33</v>
      </c>
      <c r="AC3" s="53" t="s">
        <v>34</v>
      </c>
      <c r="AD3" s="53" t="s">
        <v>35</v>
      </c>
      <c r="AE3" s="53" t="s">
        <v>36</v>
      </c>
    </row>
    <row r="4" spans="1:31" ht="20" thickBot="1">
      <c r="A4" s="44">
        <v>1</v>
      </c>
      <c r="B4" s="47" t="s">
        <v>8</v>
      </c>
      <c r="C4" s="47" t="s">
        <v>10</v>
      </c>
      <c r="D4" s="47">
        <v>0.06</v>
      </c>
      <c r="E4" s="47">
        <f>35.84</f>
        <v>35.840000000000003</v>
      </c>
      <c r="F4" s="47">
        <f>Q14+(D4-K14)*((Q15-Q14)/(K15-K14))</f>
        <v>150.17000000000002</v>
      </c>
      <c r="G4" s="47">
        <f>S14+(D4-K14)*((S15-S14)/(K15-K14))</f>
        <v>0.51629999999999998</v>
      </c>
      <c r="H4" s="48">
        <f>H5</f>
        <v>208.53678132794781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4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20" thickBot="1">
      <c r="A5" s="44">
        <v>2</v>
      </c>
      <c r="B5" s="47" t="s">
        <v>9</v>
      </c>
      <c r="C5" s="47" t="s">
        <v>10</v>
      </c>
      <c r="D5" s="47">
        <v>4</v>
      </c>
      <c r="E5" s="47">
        <v>35.85</v>
      </c>
      <c r="F5" s="49">
        <v>150.56</v>
      </c>
      <c r="G5" s="49">
        <f>G4</f>
        <v>0.51629999999999998</v>
      </c>
      <c r="H5" s="48">
        <f>((F6*H6)-(F12*H6))/(F5-F12)</f>
        <v>208.53678132794781</v>
      </c>
      <c r="I5">
        <f>M29</f>
        <v>1.0839999999999999E-3</v>
      </c>
      <c r="K5" s="53" t="s">
        <v>19</v>
      </c>
      <c r="L5" s="53" t="s">
        <v>20</v>
      </c>
      <c r="M5" s="54" t="s">
        <v>37</v>
      </c>
      <c r="N5" s="54"/>
      <c r="O5" s="54" t="s">
        <v>21</v>
      </c>
      <c r="P5" s="54"/>
      <c r="Q5" s="54" t="s">
        <v>21</v>
      </c>
      <c r="R5" s="54"/>
      <c r="S5" s="54" t="s">
        <v>22</v>
      </c>
      <c r="T5" s="54"/>
      <c r="U5" s="4"/>
      <c r="V5" s="53" t="s">
        <v>20</v>
      </c>
      <c r="W5" s="53" t="s">
        <v>19</v>
      </c>
      <c r="X5" s="54" t="s">
        <v>37</v>
      </c>
      <c r="Y5" s="54"/>
      <c r="Z5" s="54" t="s">
        <v>21</v>
      </c>
      <c r="AA5" s="54"/>
      <c r="AB5" s="54" t="s">
        <v>21</v>
      </c>
      <c r="AC5" s="54"/>
      <c r="AD5" s="54" t="s">
        <v>22</v>
      </c>
      <c r="AE5" s="54"/>
    </row>
    <row r="6" spans="1:31" ht="20" thickBot="1">
      <c r="A6" s="44">
        <v>3</v>
      </c>
      <c r="B6" s="47" t="s">
        <v>8</v>
      </c>
      <c r="C6" s="47" t="s">
        <v>10</v>
      </c>
      <c r="D6" s="47">
        <v>4</v>
      </c>
      <c r="E6" s="47">
        <f>143.63</f>
        <v>143.63</v>
      </c>
      <c r="F6" s="47">
        <f>604.7</f>
        <v>604.70000000000005</v>
      </c>
      <c r="G6" s="47">
        <f>S29</f>
        <v>1.7764</v>
      </c>
      <c r="H6" s="48">
        <v>250</v>
      </c>
      <c r="K6" s="53"/>
      <c r="L6" s="53"/>
      <c r="M6" s="54"/>
      <c r="N6" s="54"/>
      <c r="O6" s="54"/>
      <c r="P6" s="54"/>
      <c r="Q6" s="54"/>
      <c r="R6" s="54"/>
      <c r="S6" s="54"/>
      <c r="T6" s="54"/>
      <c r="U6" s="4"/>
      <c r="V6" s="53"/>
      <c r="W6" s="53"/>
      <c r="X6" s="54"/>
      <c r="Y6" s="54"/>
      <c r="Z6" s="54"/>
      <c r="AA6" s="54"/>
      <c r="AB6" s="54"/>
      <c r="AC6" s="54"/>
      <c r="AD6" s="54"/>
      <c r="AE6" s="54"/>
    </row>
    <row r="7" spans="1:31" ht="17" thickBot="1">
      <c r="A7" s="44">
        <v>4</v>
      </c>
      <c r="B7" s="47" t="s">
        <v>9</v>
      </c>
      <c r="C7" s="47" t="s">
        <v>10</v>
      </c>
      <c r="D7" s="47">
        <v>150</v>
      </c>
      <c r="E7" s="47">
        <v>145.11000000000001</v>
      </c>
      <c r="F7" s="47">
        <v>620.47</v>
      </c>
      <c r="G7" s="47">
        <f>G6</f>
        <v>1.7764</v>
      </c>
      <c r="H7" s="48">
        <v>250</v>
      </c>
      <c r="K7" s="2" t="s">
        <v>23</v>
      </c>
      <c r="L7" s="2">
        <v>0.01</v>
      </c>
      <c r="M7" s="2">
        <v>9.9979999999999991E-4</v>
      </c>
      <c r="N7" s="2">
        <v>206.18</v>
      </c>
      <c r="O7" s="2">
        <v>0</v>
      </c>
      <c r="P7" s="2">
        <v>2375</v>
      </c>
      <c r="Q7" s="2">
        <v>6.1129999999999995E-4</v>
      </c>
      <c r="R7" s="2">
        <v>2501</v>
      </c>
      <c r="S7" s="2">
        <v>0</v>
      </c>
      <c r="T7" s="2">
        <v>9.1560000000000006</v>
      </c>
      <c r="U7" s="3"/>
      <c r="V7" s="2" t="s">
        <v>25</v>
      </c>
      <c r="W7" s="2">
        <v>6.11E-3</v>
      </c>
      <c r="X7" s="2">
        <v>9.9979999999999991E-4</v>
      </c>
      <c r="Y7" s="2">
        <v>206.18</v>
      </c>
      <c r="Z7" s="2">
        <v>0</v>
      </c>
      <c r="AA7" s="2">
        <v>2375</v>
      </c>
      <c r="AB7" s="2">
        <v>6.1129999999999995E-4</v>
      </c>
      <c r="AC7" s="2">
        <v>2501</v>
      </c>
      <c r="AD7" s="2">
        <v>0</v>
      </c>
      <c r="AE7" s="2">
        <v>9.1560000000000006</v>
      </c>
    </row>
    <row r="8" spans="1:31" ht="17" thickBot="1">
      <c r="A8" s="44">
        <v>5</v>
      </c>
      <c r="B8" s="47" t="s">
        <v>11</v>
      </c>
      <c r="C8" s="47" t="s">
        <v>12</v>
      </c>
      <c r="D8" s="47">
        <v>150</v>
      </c>
      <c r="E8" s="47">
        <v>540</v>
      </c>
      <c r="F8" s="47">
        <v>3423.2244000000001</v>
      </c>
      <c r="G8" s="47">
        <v>6.4897359999999997</v>
      </c>
      <c r="H8" s="48">
        <v>250</v>
      </c>
      <c r="K8" s="2">
        <v>0.01</v>
      </c>
      <c r="L8" s="2">
        <v>6.98</v>
      </c>
      <c r="M8" s="2">
        <v>1E-3</v>
      </c>
      <c r="N8" s="2">
        <v>129.21</v>
      </c>
      <c r="O8" s="2">
        <v>29.3</v>
      </c>
      <c r="P8" s="2">
        <v>2385</v>
      </c>
      <c r="Q8" s="2">
        <v>29.34</v>
      </c>
      <c r="R8" s="2">
        <v>2514.4</v>
      </c>
      <c r="S8" s="2">
        <v>0.106</v>
      </c>
      <c r="T8" s="2">
        <v>8.9766999999999992</v>
      </c>
      <c r="U8" s="3"/>
      <c r="V8" s="2">
        <v>0</v>
      </c>
      <c r="W8" s="2">
        <v>6.0000000000000001E-3</v>
      </c>
      <c r="X8" s="2">
        <v>1E-3</v>
      </c>
      <c r="Y8" s="2">
        <v>206.31</v>
      </c>
      <c r="Z8" s="2">
        <v>0</v>
      </c>
      <c r="AA8" s="2">
        <v>2376</v>
      </c>
      <c r="AB8" s="2" t="s">
        <v>26</v>
      </c>
      <c r="AC8" s="2">
        <v>2501.6</v>
      </c>
      <c r="AD8" s="2" t="s">
        <v>27</v>
      </c>
      <c r="AE8" s="2">
        <v>9.1577000000000002</v>
      </c>
    </row>
    <row r="9" spans="1:31" ht="17" thickBot="1">
      <c r="A9" s="44">
        <v>6</v>
      </c>
      <c r="B9" s="47" t="s">
        <v>11</v>
      </c>
      <c r="C9" s="47" t="s">
        <v>12</v>
      </c>
      <c r="D9" s="47">
        <v>40</v>
      </c>
      <c r="E9" s="47">
        <v>328</v>
      </c>
      <c r="F9" s="47">
        <v>3040</v>
      </c>
      <c r="G9" s="47">
        <f>G8</f>
        <v>6.4897359999999997</v>
      </c>
      <c r="H9" s="48">
        <v>250</v>
      </c>
      <c r="K9" s="2">
        <v>1.4999999999999999E-2</v>
      </c>
      <c r="L9" s="2">
        <v>13.04</v>
      </c>
      <c r="M9" s="2">
        <v>1.0009999999999999E-3</v>
      </c>
      <c r="N9" s="2">
        <v>87.98</v>
      </c>
      <c r="O9" s="2">
        <v>54.7</v>
      </c>
      <c r="P9" s="2">
        <v>2393</v>
      </c>
      <c r="Q9" s="2">
        <v>54.71</v>
      </c>
      <c r="R9" s="2">
        <v>2525.5</v>
      </c>
      <c r="S9" s="2">
        <v>0.19570000000000001</v>
      </c>
      <c r="T9" s="2">
        <v>8.8287999999999993</v>
      </c>
      <c r="U9" s="3"/>
      <c r="V9" s="2">
        <v>1</v>
      </c>
      <c r="W9" s="2">
        <v>7.0000000000000001E-3</v>
      </c>
      <c r="X9" s="2">
        <v>1E-3</v>
      </c>
      <c r="Y9" s="2">
        <v>192.61</v>
      </c>
      <c r="Z9" s="2">
        <v>4.2</v>
      </c>
      <c r="AA9" s="2">
        <v>2376</v>
      </c>
      <c r="AB9" s="2">
        <v>4.17</v>
      </c>
      <c r="AC9" s="2">
        <v>2503.4</v>
      </c>
      <c r="AD9" s="2">
        <v>1.5299999999999999E-2</v>
      </c>
      <c r="AE9" s="2">
        <v>9.1311</v>
      </c>
    </row>
    <row r="10" spans="1:31" ht="17" thickBot="1">
      <c r="A10" s="44">
        <v>7</v>
      </c>
      <c r="B10" s="47" t="s">
        <v>11</v>
      </c>
      <c r="C10" s="47" t="s">
        <v>12</v>
      </c>
      <c r="D10" s="47">
        <v>40</v>
      </c>
      <c r="E10" s="47">
        <v>540</v>
      </c>
      <c r="F10" s="47">
        <v>3537.3398000000002</v>
      </c>
      <c r="G10" s="47">
        <v>7.3230000000000004</v>
      </c>
      <c r="H10" s="48">
        <v>250</v>
      </c>
      <c r="K10" s="2">
        <v>0.02</v>
      </c>
      <c r="L10" s="2">
        <v>17.510000000000002</v>
      </c>
      <c r="M10" s="2">
        <v>1.0009999999999999E-3</v>
      </c>
      <c r="N10" s="2">
        <v>67.010000000000005</v>
      </c>
      <c r="O10" s="2">
        <v>73.5</v>
      </c>
      <c r="P10" s="2">
        <v>2400</v>
      </c>
      <c r="Q10" s="2">
        <v>73.459999999999994</v>
      </c>
      <c r="R10" s="2">
        <v>2533.6999999999998</v>
      </c>
      <c r="S10" s="2">
        <v>0.26069999999999999</v>
      </c>
      <c r="T10" s="2">
        <v>8.7246000000000006</v>
      </c>
      <c r="U10" s="3"/>
      <c r="V10" s="2">
        <v>3</v>
      </c>
      <c r="W10" s="2">
        <v>8.0000000000000002E-3</v>
      </c>
      <c r="X10" s="2">
        <v>1E-3</v>
      </c>
      <c r="Y10" s="2">
        <v>168.17</v>
      </c>
      <c r="Z10" s="2">
        <v>12.6</v>
      </c>
      <c r="AA10" s="2">
        <v>2379</v>
      </c>
      <c r="AB10" s="2">
        <v>12.6</v>
      </c>
      <c r="AC10" s="2">
        <v>2507.1</v>
      </c>
      <c r="AD10" s="2">
        <v>4.5900000000000003E-2</v>
      </c>
      <c r="AE10" s="2">
        <v>9.0785</v>
      </c>
    </row>
    <row r="11" spans="1:31" ht="17" thickBot="1">
      <c r="A11" s="44">
        <v>8</v>
      </c>
      <c r="B11" s="47" t="s">
        <v>11</v>
      </c>
      <c r="C11" s="47" t="s">
        <v>12</v>
      </c>
      <c r="D11" s="47">
        <v>4</v>
      </c>
      <c r="E11" s="47">
        <v>213.52</v>
      </c>
      <c r="F11" s="50">
        <v>2888.77</v>
      </c>
      <c r="G11" s="51">
        <f>G10</f>
        <v>7.3230000000000004</v>
      </c>
      <c r="H11" s="48">
        <v>250</v>
      </c>
      <c r="K11" s="2">
        <v>2.5000000000000001E-2</v>
      </c>
      <c r="L11" s="2">
        <v>21.1</v>
      </c>
      <c r="M11" s="2">
        <v>1.0020000000000001E-3</v>
      </c>
      <c r="N11" s="2">
        <v>54.26</v>
      </c>
      <c r="O11" s="2">
        <v>88.4</v>
      </c>
      <c r="P11" s="2">
        <v>2405</v>
      </c>
      <c r="Q11" s="2">
        <v>88.45</v>
      </c>
      <c r="R11" s="2">
        <v>2540.1999999999998</v>
      </c>
      <c r="S11" s="2">
        <v>0.31190000000000001</v>
      </c>
      <c r="T11" s="2">
        <v>8.6440000000000001</v>
      </c>
      <c r="U11" s="3"/>
      <c r="V11" s="2">
        <v>5</v>
      </c>
      <c r="W11" s="2">
        <v>8.9999999999999993E-3</v>
      </c>
      <c r="X11" s="2">
        <v>1E-3</v>
      </c>
      <c r="Y11" s="2">
        <v>147.16</v>
      </c>
      <c r="Z11" s="2">
        <v>21</v>
      </c>
      <c r="AA11" s="2">
        <v>2383</v>
      </c>
      <c r="AB11" s="2">
        <v>21.01</v>
      </c>
      <c r="AC11" s="2">
        <v>2510.6999999999998</v>
      </c>
      <c r="AD11" s="2">
        <v>7.6200000000000004E-2</v>
      </c>
      <c r="AE11" s="2">
        <v>9.0268999999999995</v>
      </c>
    </row>
    <row r="12" spans="1:31" ht="17" thickBot="1">
      <c r="A12" s="44" t="s">
        <v>13</v>
      </c>
      <c r="B12" s="47" t="s">
        <v>11</v>
      </c>
      <c r="C12" s="47" t="s">
        <v>12</v>
      </c>
      <c r="D12" s="47">
        <v>4</v>
      </c>
      <c r="E12" s="47">
        <f>E11</f>
        <v>213.52</v>
      </c>
      <c r="F12" s="47">
        <f>F11</f>
        <v>2888.77</v>
      </c>
      <c r="G12" s="47">
        <f>G11</f>
        <v>7.3230000000000004</v>
      </c>
      <c r="H12" s="48">
        <f>H6-H5</f>
        <v>41.463218672052193</v>
      </c>
      <c r="K12" s="2">
        <v>0.03</v>
      </c>
      <c r="L12" s="2">
        <v>24.1</v>
      </c>
      <c r="M12" s="2">
        <v>1.003E-3</v>
      </c>
      <c r="N12" s="2">
        <v>45.67</v>
      </c>
      <c r="O12" s="2">
        <v>101</v>
      </c>
      <c r="P12" s="2">
        <v>2409</v>
      </c>
      <c r="Q12" s="2">
        <v>101</v>
      </c>
      <c r="R12" s="2">
        <v>2545.6999999999998</v>
      </c>
      <c r="S12" s="2">
        <v>0.35439999999999999</v>
      </c>
      <c r="T12" s="2">
        <v>8.5785</v>
      </c>
      <c r="U12" s="3"/>
      <c r="V12" s="2">
        <v>10</v>
      </c>
      <c r="W12" s="2">
        <v>1.2E-2</v>
      </c>
      <c r="X12" s="2">
        <v>1E-3</v>
      </c>
      <c r="Y12" s="2">
        <v>106.43</v>
      </c>
      <c r="Z12" s="2">
        <v>42</v>
      </c>
      <c r="AA12" s="2">
        <v>2389</v>
      </c>
      <c r="AB12" s="2">
        <v>41.99</v>
      </c>
      <c r="AC12" s="2">
        <v>2519.9</v>
      </c>
      <c r="AD12" s="2">
        <v>0.151</v>
      </c>
      <c r="AE12" s="2">
        <v>8.9019999999999992</v>
      </c>
    </row>
    <row r="13" spans="1:31" ht="17" thickBot="1">
      <c r="A13" s="44" t="s">
        <v>14</v>
      </c>
      <c r="B13" s="47" t="s">
        <v>11</v>
      </c>
      <c r="C13" s="47" t="s">
        <v>12</v>
      </c>
      <c r="D13" s="47">
        <v>4</v>
      </c>
      <c r="E13" s="47">
        <f>E11</f>
        <v>213.52</v>
      </c>
      <c r="F13" s="47">
        <f>F11</f>
        <v>2888.77</v>
      </c>
      <c r="G13" s="47">
        <f>G11</f>
        <v>7.3230000000000004</v>
      </c>
      <c r="H13" s="48">
        <f>H5</f>
        <v>208.53678132794781</v>
      </c>
      <c r="K13" s="2">
        <v>0.04</v>
      </c>
      <c r="L13" s="2">
        <v>28.98</v>
      </c>
      <c r="M13" s="2">
        <v>1.0039999999999999E-3</v>
      </c>
      <c r="N13" s="2">
        <v>34.799999999999997</v>
      </c>
      <c r="O13" s="2">
        <v>121.4</v>
      </c>
      <c r="P13" s="2">
        <v>2415</v>
      </c>
      <c r="Q13" s="2">
        <v>121.41</v>
      </c>
      <c r="R13" s="2">
        <v>2554.5</v>
      </c>
      <c r="S13" s="2">
        <v>0.42249999999999999</v>
      </c>
      <c r="T13" s="2">
        <v>8.4755000000000003</v>
      </c>
      <c r="U13" s="3"/>
      <c r="V13" s="2">
        <v>15</v>
      </c>
      <c r="W13" s="2">
        <v>1.7000000000000001E-2</v>
      </c>
      <c r="X13" s="2">
        <v>1.0009999999999999E-3</v>
      </c>
      <c r="Y13" s="2">
        <v>77.98</v>
      </c>
      <c r="Z13" s="2">
        <v>62.9</v>
      </c>
      <c r="AA13" s="2">
        <v>2396</v>
      </c>
      <c r="AB13" s="2">
        <v>62.94</v>
      </c>
      <c r="AC13" s="2">
        <v>2529.1</v>
      </c>
      <c r="AD13" s="2">
        <v>0.2243</v>
      </c>
      <c r="AE13" s="2">
        <v>8.7826000000000004</v>
      </c>
    </row>
    <row r="14" spans="1:31">
      <c r="A14" s="45">
        <v>9</v>
      </c>
      <c r="B14" s="47" t="s">
        <v>15</v>
      </c>
      <c r="C14" s="47" t="s">
        <v>41</v>
      </c>
      <c r="D14" s="47">
        <v>0.06</v>
      </c>
      <c r="E14" s="47">
        <f>E4</f>
        <v>35.840000000000003</v>
      </c>
      <c r="F14" s="47">
        <v>2220</v>
      </c>
      <c r="G14" s="47">
        <f>G13</f>
        <v>7.3230000000000004</v>
      </c>
      <c r="H14" s="48">
        <f>H5</f>
        <v>208.53678132794781</v>
      </c>
      <c r="K14" s="2">
        <v>0.05</v>
      </c>
      <c r="L14" s="2">
        <v>32.9</v>
      </c>
      <c r="M14" s="2">
        <v>1.005E-3</v>
      </c>
      <c r="N14" s="2">
        <v>28.19</v>
      </c>
      <c r="O14" s="2">
        <v>137.80000000000001</v>
      </c>
      <c r="P14" s="2">
        <v>2421</v>
      </c>
      <c r="Q14" s="2">
        <v>137.77000000000001</v>
      </c>
      <c r="R14" s="2">
        <v>2561.6</v>
      </c>
      <c r="S14" s="2">
        <v>0.4763</v>
      </c>
      <c r="T14" s="2">
        <v>8.3960000000000008</v>
      </c>
      <c r="U14" s="3"/>
      <c r="V14" s="2">
        <v>20</v>
      </c>
      <c r="W14" s="2">
        <v>2.3E-2</v>
      </c>
      <c r="X14" s="2">
        <v>1.0020000000000001E-3</v>
      </c>
      <c r="Y14" s="2">
        <v>57.84</v>
      </c>
      <c r="Z14" s="2">
        <v>83.9</v>
      </c>
      <c r="AA14" s="2">
        <v>2403</v>
      </c>
      <c r="AB14" s="2">
        <v>83.86</v>
      </c>
      <c r="AC14" s="2">
        <v>2538.1999999999998</v>
      </c>
      <c r="AD14" s="2">
        <v>0.29630000000000001</v>
      </c>
      <c r="AE14" s="2">
        <v>8.6684000000000001</v>
      </c>
    </row>
    <row r="15" spans="1:31">
      <c r="K15" s="2">
        <v>7.4999999999999997E-2</v>
      </c>
      <c r="L15" s="2">
        <v>40.32</v>
      </c>
      <c r="M15" s="2">
        <v>1.008E-3</v>
      </c>
      <c r="N15" s="2">
        <v>19.239000000000001</v>
      </c>
      <c r="O15" s="2">
        <v>168.8</v>
      </c>
      <c r="P15" s="2">
        <v>2431</v>
      </c>
      <c r="Q15" s="2">
        <v>168.77</v>
      </c>
      <c r="R15" s="2">
        <v>2574.9</v>
      </c>
      <c r="S15" s="2">
        <v>0.57630000000000003</v>
      </c>
      <c r="T15" s="2">
        <v>8.2523</v>
      </c>
      <c r="U15" s="3"/>
      <c r="V15" s="2">
        <v>25</v>
      </c>
      <c r="W15" s="2">
        <v>3.2000000000000001E-2</v>
      </c>
      <c r="X15" s="2">
        <v>1.003E-3</v>
      </c>
      <c r="Y15" s="2">
        <v>43.4</v>
      </c>
      <c r="Z15" s="2">
        <v>104.8</v>
      </c>
      <c r="AA15" s="2">
        <v>2410</v>
      </c>
      <c r="AB15" s="2">
        <v>104.77</v>
      </c>
      <c r="AC15" s="2">
        <v>2547.3000000000002</v>
      </c>
      <c r="AD15" s="2">
        <v>0.36699999999999999</v>
      </c>
      <c r="AE15" s="2">
        <v>8.5592000000000006</v>
      </c>
    </row>
    <row r="16" spans="1:31">
      <c r="K16" s="2">
        <v>0.1</v>
      </c>
      <c r="L16" s="2">
        <v>45.83</v>
      </c>
      <c r="M16" s="2">
        <v>1.01E-3</v>
      </c>
      <c r="N16" s="2">
        <v>14.675000000000001</v>
      </c>
      <c r="O16" s="2">
        <v>191.8</v>
      </c>
      <c r="P16" s="2">
        <v>2438</v>
      </c>
      <c r="Q16" s="2">
        <v>191.83</v>
      </c>
      <c r="R16" s="2">
        <v>2584.8000000000002</v>
      </c>
      <c r="S16" s="2">
        <v>0.64929999999999999</v>
      </c>
      <c r="T16" s="2">
        <v>8.1510999999999996</v>
      </c>
      <c r="U16" s="3"/>
      <c r="V16" s="2">
        <v>30</v>
      </c>
      <c r="W16" s="2">
        <v>4.2000000000000003E-2</v>
      </c>
      <c r="X16" s="2">
        <v>1.0039999999999999E-3</v>
      </c>
      <c r="Y16" s="2">
        <v>32.93</v>
      </c>
      <c r="Z16" s="2">
        <v>125.7</v>
      </c>
      <c r="AA16" s="2">
        <v>2417</v>
      </c>
      <c r="AB16" s="2">
        <v>125.66</v>
      </c>
      <c r="AC16" s="2">
        <v>2556.4</v>
      </c>
      <c r="AD16" s="2">
        <v>0.4365</v>
      </c>
      <c r="AE16" s="2">
        <v>8.4545999999999992</v>
      </c>
    </row>
    <row r="17" spans="1:31">
      <c r="A17" t="s">
        <v>125</v>
      </c>
      <c r="B17" t="s">
        <v>126</v>
      </c>
      <c r="C17" t="s">
        <v>127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136</v>
      </c>
      <c r="K17" s="2">
        <v>0.15</v>
      </c>
      <c r="L17" s="2">
        <v>54</v>
      </c>
      <c r="M17" s="2">
        <v>1.0139999999999999E-3</v>
      </c>
      <c r="N17" s="2">
        <v>10.023</v>
      </c>
      <c r="O17" s="2">
        <v>226</v>
      </c>
      <c r="P17" s="2">
        <v>2449</v>
      </c>
      <c r="Q17" s="2">
        <v>225.97</v>
      </c>
      <c r="R17" s="2">
        <v>2599.1999999999998</v>
      </c>
      <c r="S17" s="2">
        <v>0.75490000000000002</v>
      </c>
      <c r="T17" s="2">
        <v>8.0092999999999996</v>
      </c>
      <c r="U17" s="3"/>
      <c r="V17" s="2">
        <v>35</v>
      </c>
      <c r="W17" s="2">
        <v>5.6000000000000001E-2</v>
      </c>
      <c r="X17" s="2">
        <v>1.0059999999999999E-3</v>
      </c>
      <c r="Y17" s="2">
        <v>25.245000000000001</v>
      </c>
      <c r="Z17" s="2">
        <v>146.6</v>
      </c>
      <c r="AA17" s="2">
        <v>2424</v>
      </c>
      <c r="AB17" s="2">
        <v>146.56</v>
      </c>
      <c r="AC17" s="2">
        <v>2565.4</v>
      </c>
      <c r="AD17" s="2">
        <v>0.50490000000000002</v>
      </c>
      <c r="AE17" s="2">
        <v>8.3543000000000003</v>
      </c>
    </row>
    <row r="18" spans="1:31">
      <c r="B18" t="s">
        <v>137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 t="s">
        <v>143</v>
      </c>
      <c r="I18" t="s">
        <v>144</v>
      </c>
      <c r="K18" s="2">
        <v>0.2</v>
      </c>
      <c r="L18" s="2">
        <v>60.09</v>
      </c>
      <c r="M18" s="2">
        <v>1.0169999999999999E-3</v>
      </c>
      <c r="N18" s="2">
        <v>7.6497669999999998</v>
      </c>
      <c r="O18" s="2">
        <v>251.4</v>
      </c>
      <c r="P18" s="2">
        <v>2457</v>
      </c>
      <c r="Q18" s="2">
        <v>251.45</v>
      </c>
      <c r="R18" s="2">
        <v>2609.9</v>
      </c>
      <c r="S18" s="2">
        <v>0.83209999999999995</v>
      </c>
      <c r="T18" s="2">
        <v>7.9093999999999998</v>
      </c>
      <c r="U18" s="3"/>
      <c r="V18" s="2">
        <v>40</v>
      </c>
      <c r="W18" s="2">
        <v>7.3999999999999996E-2</v>
      </c>
      <c r="X18" s="2">
        <v>1.008E-3</v>
      </c>
      <c r="Y18" s="2">
        <v>19.545999999999999</v>
      </c>
      <c r="Z18" s="2">
        <v>167.4</v>
      </c>
      <c r="AA18" s="2">
        <v>2430</v>
      </c>
      <c r="AB18" s="2">
        <v>167.45</v>
      </c>
      <c r="AC18" s="2">
        <v>2574.4</v>
      </c>
      <c r="AD18" s="2">
        <v>0.57210000000000005</v>
      </c>
      <c r="AE18" s="2">
        <v>8.2583000000000002</v>
      </c>
    </row>
    <row r="19" spans="1:31">
      <c r="A19" t="s">
        <v>133</v>
      </c>
      <c r="B19">
        <v>150</v>
      </c>
      <c r="C19">
        <v>150</v>
      </c>
      <c r="D19">
        <f>E7</f>
        <v>145.11000000000001</v>
      </c>
      <c r="E19">
        <f>L55</f>
        <v>342.13</v>
      </c>
      <c r="F19">
        <f>F7</f>
        <v>620.47</v>
      </c>
      <c r="G19">
        <f>Q55</f>
        <v>1611</v>
      </c>
      <c r="H19">
        <f>G7</f>
        <v>1.7764</v>
      </c>
      <c r="I19">
        <f>S55</f>
        <v>3.6859000000000002</v>
      </c>
      <c r="K19" s="2">
        <v>0.25</v>
      </c>
      <c r="L19" s="2">
        <v>64.989999999999995</v>
      </c>
      <c r="M19" s="2">
        <v>1.0200000000000001E-3</v>
      </c>
      <c r="N19" s="2">
        <v>6.2044689999999996</v>
      </c>
      <c r="O19" s="2">
        <v>272</v>
      </c>
      <c r="P19" s="2">
        <v>2463</v>
      </c>
      <c r="Q19" s="2">
        <v>271.99</v>
      </c>
      <c r="R19" s="2">
        <v>2618.4</v>
      </c>
      <c r="S19" s="2">
        <v>0.89319999999999999</v>
      </c>
      <c r="T19" s="2">
        <v>7.8323</v>
      </c>
      <c r="U19" s="3"/>
      <c r="V19" s="2">
        <v>45</v>
      </c>
      <c r="W19" s="2">
        <v>9.6000000000000002E-2</v>
      </c>
      <c r="X19" s="2">
        <v>1.01E-3</v>
      </c>
      <c r="Y19" s="2">
        <v>15.276</v>
      </c>
      <c r="Z19" s="2">
        <v>188.3</v>
      </c>
      <c r="AA19" s="2">
        <v>2437</v>
      </c>
      <c r="AB19" s="2">
        <v>188.35</v>
      </c>
      <c r="AC19" s="2">
        <v>2583.3000000000002</v>
      </c>
      <c r="AD19" s="2">
        <v>0.63829999999999998</v>
      </c>
      <c r="AE19" s="2">
        <v>8.1661000000000001</v>
      </c>
    </row>
    <row r="20" spans="1:31">
      <c r="A20" t="s">
        <v>134</v>
      </c>
      <c r="B20">
        <v>150</v>
      </c>
      <c r="C20">
        <v>150</v>
      </c>
      <c r="D20">
        <f>L55</f>
        <v>342.13</v>
      </c>
      <c r="E20">
        <f>L55</f>
        <v>342.13</v>
      </c>
      <c r="F20">
        <f>Q55</f>
        <v>1611</v>
      </c>
      <c r="G20">
        <f>R55</f>
        <v>2615</v>
      </c>
      <c r="H20">
        <f>S55</f>
        <v>3.6859000000000002</v>
      </c>
      <c r="I20">
        <f>T55</f>
        <v>5.3178000000000001</v>
      </c>
      <c r="K20" s="2">
        <v>0.3</v>
      </c>
      <c r="L20" s="2">
        <v>69.12</v>
      </c>
      <c r="M20" s="2">
        <v>1.0219999999999999E-3</v>
      </c>
      <c r="N20" s="2">
        <v>5.2293019999999997</v>
      </c>
      <c r="O20" s="2">
        <v>289.3</v>
      </c>
      <c r="P20" s="2">
        <v>2469</v>
      </c>
      <c r="Q20" s="2">
        <v>289.3</v>
      </c>
      <c r="R20" s="2">
        <v>2625.4</v>
      </c>
      <c r="S20" s="2">
        <v>0.94410000000000005</v>
      </c>
      <c r="T20" s="2">
        <v>7.7694999999999999</v>
      </c>
      <c r="U20" s="3"/>
      <c r="V20" s="2">
        <v>50</v>
      </c>
      <c r="W20" s="2">
        <v>0.12</v>
      </c>
      <c r="X20" s="2">
        <v>1.0120000000000001E-3</v>
      </c>
      <c r="Y20" s="2">
        <v>12.045999999999999</v>
      </c>
      <c r="Z20" s="2">
        <v>209.2</v>
      </c>
      <c r="AA20" s="2">
        <v>2444</v>
      </c>
      <c r="AB20" s="2">
        <v>209.26</v>
      </c>
      <c r="AC20" s="2">
        <v>2592.1999999999998</v>
      </c>
      <c r="AD20" s="2">
        <v>0.70350000000000001</v>
      </c>
      <c r="AE20" s="2">
        <v>8.0776000000000003</v>
      </c>
    </row>
    <row r="21" spans="1:31">
      <c r="A21" t="s">
        <v>135</v>
      </c>
      <c r="B21">
        <v>150</v>
      </c>
      <c r="C21">
        <v>150</v>
      </c>
      <c r="D21">
        <f>L55</f>
        <v>342.13</v>
      </c>
      <c r="E21">
        <f>E8</f>
        <v>540</v>
      </c>
      <c r="F21">
        <f>R55</f>
        <v>2615</v>
      </c>
      <c r="G21">
        <f>F8</f>
        <v>3423.2244000000001</v>
      </c>
      <c r="H21">
        <f>T55</f>
        <v>5.3178000000000001</v>
      </c>
      <c r="I21">
        <f>G8</f>
        <v>6.4897359999999997</v>
      </c>
      <c r="K21" s="2">
        <v>0.4</v>
      </c>
      <c r="L21" s="2">
        <v>75.89</v>
      </c>
      <c r="M21" s="2">
        <v>1.0269999999999999E-3</v>
      </c>
      <c r="N21" s="2">
        <v>3.9934240000000001</v>
      </c>
      <c r="O21" s="2">
        <v>317.60000000000002</v>
      </c>
      <c r="P21" s="2">
        <v>2477</v>
      </c>
      <c r="Q21" s="2">
        <v>317.64999999999998</v>
      </c>
      <c r="R21" s="2">
        <v>2636.9</v>
      </c>
      <c r="S21" s="2">
        <v>1.0261</v>
      </c>
      <c r="T21" s="2">
        <v>7.6708999999999996</v>
      </c>
      <c r="U21" s="3"/>
      <c r="V21" s="2">
        <v>55</v>
      </c>
      <c r="W21" s="2">
        <v>0.16</v>
      </c>
      <c r="X21" s="2">
        <v>1.0150000000000001E-3</v>
      </c>
      <c r="Y21" s="2">
        <v>9.5790000000000006</v>
      </c>
      <c r="Z21" s="2">
        <v>230.2</v>
      </c>
      <c r="AA21" s="2">
        <v>2450</v>
      </c>
      <c r="AB21" s="2">
        <v>230.17</v>
      </c>
      <c r="AC21" s="2">
        <v>2601</v>
      </c>
      <c r="AD21" s="2">
        <v>0.76770000000000005</v>
      </c>
      <c r="AE21" s="2">
        <v>7.9926000000000004</v>
      </c>
    </row>
    <row r="22" spans="1:31">
      <c r="K22" s="2">
        <v>0.5</v>
      </c>
      <c r="L22" s="2">
        <v>81.349999999999994</v>
      </c>
      <c r="M22" s="2">
        <v>1.0300000000000001E-3</v>
      </c>
      <c r="N22" s="2">
        <v>3.2402220000000002</v>
      </c>
      <c r="O22" s="2">
        <v>340.5</v>
      </c>
      <c r="P22" s="2">
        <v>2484</v>
      </c>
      <c r="Q22" s="2">
        <v>340.56</v>
      </c>
      <c r="R22" s="2">
        <v>2646</v>
      </c>
      <c r="S22" s="2">
        <v>1.0911999999999999</v>
      </c>
      <c r="T22" s="2">
        <v>7.5946999999999996</v>
      </c>
      <c r="U22" s="3"/>
      <c r="V22" s="2">
        <v>60</v>
      </c>
      <c r="W22" s="2">
        <v>0.2</v>
      </c>
      <c r="X22" s="2">
        <v>1.0169999999999999E-3</v>
      </c>
      <c r="Y22" s="2">
        <v>7.6790000000000003</v>
      </c>
      <c r="Z22" s="2">
        <v>251.1</v>
      </c>
      <c r="AA22" s="2">
        <v>2457</v>
      </c>
      <c r="AB22" s="2">
        <v>251.09</v>
      </c>
      <c r="AC22" s="2">
        <v>2609.6999999999998</v>
      </c>
      <c r="AD22" s="2">
        <v>0.83099999999999996</v>
      </c>
      <c r="AE22" s="2">
        <v>7.9108000000000001</v>
      </c>
    </row>
    <row r="23" spans="1:31">
      <c r="K23" s="2">
        <v>0.75</v>
      </c>
      <c r="L23" s="2">
        <v>91.79</v>
      </c>
      <c r="M23" s="2">
        <v>1.0369999999999999E-3</v>
      </c>
      <c r="N23" s="2">
        <v>2.216879</v>
      </c>
      <c r="O23" s="2">
        <v>384.4</v>
      </c>
      <c r="P23" s="2">
        <v>2497</v>
      </c>
      <c r="Q23" s="2">
        <v>384.45</v>
      </c>
      <c r="R23" s="2">
        <v>2663</v>
      </c>
      <c r="S23" s="2">
        <v>1.2132000000000001</v>
      </c>
      <c r="T23" s="2">
        <v>7.4569999999999999</v>
      </c>
      <c r="U23" s="3"/>
      <c r="V23" s="2">
        <v>65</v>
      </c>
      <c r="W23" s="2">
        <v>0.25</v>
      </c>
      <c r="X23" s="2">
        <v>1.0200000000000001E-3</v>
      </c>
      <c r="Y23" s="2">
        <v>6.202</v>
      </c>
      <c r="Z23" s="2">
        <v>272</v>
      </c>
      <c r="AA23" s="2">
        <v>2463</v>
      </c>
      <c r="AB23" s="2">
        <v>272.02999999999997</v>
      </c>
      <c r="AC23" s="2">
        <v>2618.4</v>
      </c>
      <c r="AD23" s="2">
        <v>0.89329999999999998</v>
      </c>
      <c r="AE23" s="2">
        <v>7.8322000000000003</v>
      </c>
    </row>
    <row r="24" spans="1:31">
      <c r="B24" s="10" t="s">
        <v>55</v>
      </c>
      <c r="C24" t="s">
        <v>56</v>
      </c>
      <c r="D24" t="s">
        <v>43</v>
      </c>
      <c r="E24" t="s">
        <v>145</v>
      </c>
      <c r="K24" s="2">
        <v>1</v>
      </c>
      <c r="L24" s="2">
        <v>99.63</v>
      </c>
      <c r="M24" s="2">
        <v>1.0430000000000001E-3</v>
      </c>
      <c r="N24" s="2">
        <v>1.6937310000000001</v>
      </c>
      <c r="O24" s="2">
        <v>417</v>
      </c>
      <c r="P24" s="2">
        <v>2506</v>
      </c>
      <c r="Q24" s="2">
        <v>417.51</v>
      </c>
      <c r="R24" s="2">
        <v>2675.4</v>
      </c>
      <c r="S24" s="2">
        <v>1.3027</v>
      </c>
      <c r="T24" s="2">
        <v>7.3597999999999999</v>
      </c>
      <c r="U24" s="3"/>
      <c r="V24" s="2">
        <v>70</v>
      </c>
      <c r="W24" s="2">
        <v>0.31</v>
      </c>
      <c r="X24" s="2">
        <v>1.023E-3</v>
      </c>
      <c r="Y24" s="2">
        <v>5.0460000000000003</v>
      </c>
      <c r="Z24" s="2">
        <v>292.89999999999998</v>
      </c>
      <c r="AA24" s="2">
        <v>2470</v>
      </c>
      <c r="AB24" s="2">
        <v>292.97000000000003</v>
      </c>
      <c r="AC24" s="2">
        <v>2626.9</v>
      </c>
      <c r="AD24" s="2">
        <v>0.95479999999999998</v>
      </c>
      <c r="AE24" s="2">
        <v>7.7565</v>
      </c>
    </row>
    <row r="25" spans="1:31">
      <c r="K25" s="2">
        <v>1.5</v>
      </c>
      <c r="L25" s="2">
        <v>111.37</v>
      </c>
      <c r="M25" s="2">
        <v>1.0529999999999999E-3</v>
      </c>
      <c r="N25" s="2">
        <v>1.1590370000000001</v>
      </c>
      <c r="O25" s="2">
        <v>467</v>
      </c>
      <c r="P25" s="2">
        <v>2520</v>
      </c>
      <c r="Q25" s="2">
        <v>467.13</v>
      </c>
      <c r="R25" s="2">
        <v>2693.4</v>
      </c>
      <c r="S25" s="2">
        <v>1.4336</v>
      </c>
      <c r="T25" s="2">
        <v>7.2233999999999998</v>
      </c>
      <c r="U25" s="3"/>
      <c r="V25" s="2">
        <v>75</v>
      </c>
      <c r="W25" s="2">
        <v>0.39</v>
      </c>
      <c r="X25" s="2">
        <v>1.026E-3</v>
      </c>
      <c r="Y25" s="2">
        <v>4.1340000000000003</v>
      </c>
      <c r="Z25" s="2">
        <v>313.89999999999998</v>
      </c>
      <c r="AA25" s="2">
        <v>2476</v>
      </c>
      <c r="AB25" s="2">
        <v>313.94</v>
      </c>
      <c r="AC25" s="2">
        <v>2635.4</v>
      </c>
      <c r="AD25" s="2">
        <v>1.0154000000000001</v>
      </c>
      <c r="AE25" s="2">
        <v>7.6835000000000004</v>
      </c>
    </row>
    <row r="26" spans="1:31">
      <c r="A26" t="s">
        <v>42</v>
      </c>
      <c r="B26">
        <f>F14-F4</f>
        <v>2069.83</v>
      </c>
      <c r="C26">
        <f>H4</f>
        <v>208.53678132794781</v>
      </c>
      <c r="D26">
        <f>B26*C26</f>
        <v>431635.68609602621</v>
      </c>
      <c r="E26">
        <f>B26*C26</f>
        <v>431635.68609602621</v>
      </c>
      <c r="K26" s="2">
        <v>2</v>
      </c>
      <c r="L26" s="2">
        <v>120.23</v>
      </c>
      <c r="M26" s="2">
        <v>1.0610000000000001E-3</v>
      </c>
      <c r="N26" s="2">
        <v>0.88544100000000003</v>
      </c>
      <c r="O26" s="2">
        <v>504</v>
      </c>
      <c r="P26" s="2">
        <v>2529</v>
      </c>
      <c r="Q26" s="2">
        <v>504.7</v>
      </c>
      <c r="R26" s="2">
        <v>2706.3</v>
      </c>
      <c r="S26" s="2">
        <v>1.5301</v>
      </c>
      <c r="T26" s="2">
        <v>7.1268000000000002</v>
      </c>
      <c r="U26" s="3"/>
      <c r="V26" s="2">
        <v>80</v>
      </c>
      <c r="W26" s="2">
        <v>0.47</v>
      </c>
      <c r="X26" s="2">
        <v>1.029E-3</v>
      </c>
      <c r="Y26" s="2">
        <v>3.4091</v>
      </c>
      <c r="Z26" s="2">
        <v>334.9</v>
      </c>
      <c r="AA26" s="2">
        <v>2482</v>
      </c>
      <c r="AB26" s="2">
        <v>334.92</v>
      </c>
      <c r="AC26" s="2">
        <v>2643.8</v>
      </c>
      <c r="AD26" s="2">
        <v>1.0752999999999999</v>
      </c>
      <c r="AE26" s="2">
        <v>7.6132</v>
      </c>
    </row>
    <row r="27" spans="1:31">
      <c r="K27" s="2">
        <v>2.5</v>
      </c>
      <c r="L27" s="2">
        <v>127.43</v>
      </c>
      <c r="M27" s="2">
        <v>1.0679999999999999E-3</v>
      </c>
      <c r="N27" s="2">
        <v>0.71843900000000005</v>
      </c>
      <c r="O27" s="2">
        <v>535</v>
      </c>
      <c r="P27" s="2">
        <v>2537</v>
      </c>
      <c r="Q27" s="2">
        <v>535.34</v>
      </c>
      <c r="R27" s="2">
        <v>2716.4</v>
      </c>
      <c r="S27" s="2">
        <v>1.6071</v>
      </c>
      <c r="T27" s="2">
        <v>7.0519999999999996</v>
      </c>
      <c r="U27" s="3"/>
      <c r="V27" s="2">
        <v>85</v>
      </c>
      <c r="W27" s="2">
        <v>0.57999999999999996</v>
      </c>
      <c r="X27" s="2">
        <v>1.0330000000000001E-3</v>
      </c>
      <c r="Y27" s="2">
        <v>2.8288000000000002</v>
      </c>
      <c r="Z27" s="2">
        <v>355.9</v>
      </c>
      <c r="AA27" s="2">
        <v>2489</v>
      </c>
      <c r="AB27" s="2">
        <v>355.92</v>
      </c>
      <c r="AC27" s="2">
        <v>2652</v>
      </c>
      <c r="AD27" s="2">
        <v>1.1343000000000001</v>
      </c>
      <c r="AE27" s="2">
        <v>7.5453999999999999</v>
      </c>
    </row>
    <row r="28" spans="1:31">
      <c r="A28" t="s">
        <v>44</v>
      </c>
      <c r="B28">
        <f>F5-F4</f>
        <v>0.38999999999998636</v>
      </c>
      <c r="C28">
        <f>C26</f>
        <v>208.53678132794781</v>
      </c>
      <c r="D28">
        <f>B28*C32</f>
        <v>97.499999999996589</v>
      </c>
      <c r="E28">
        <f>31375.656-31296.4</f>
        <v>79.255999999997584</v>
      </c>
      <c r="K28" s="2">
        <v>3</v>
      </c>
      <c r="L28" s="2">
        <v>133.54</v>
      </c>
      <c r="M28" s="2">
        <v>1.0740000000000001E-3</v>
      </c>
      <c r="N28" s="2">
        <v>0.60556200000000004</v>
      </c>
      <c r="O28" s="2">
        <v>561</v>
      </c>
      <c r="P28" s="2">
        <v>2543</v>
      </c>
      <c r="Q28" s="2">
        <v>561.42999999999995</v>
      </c>
      <c r="R28" s="2">
        <v>2724.7</v>
      </c>
      <c r="S28" s="2">
        <v>1.6716</v>
      </c>
      <c r="T28" s="2">
        <v>6.9908999999999999</v>
      </c>
      <c r="U28" s="3"/>
      <c r="V28" s="2">
        <v>90</v>
      </c>
      <c r="W28" s="2">
        <v>0.7</v>
      </c>
      <c r="X28" s="2">
        <v>1.036E-3</v>
      </c>
      <c r="Y28" s="2">
        <v>2.3613</v>
      </c>
      <c r="Z28" s="2">
        <v>376.9</v>
      </c>
      <c r="AA28" s="2">
        <v>2495</v>
      </c>
      <c r="AB28" s="2">
        <v>376.94</v>
      </c>
      <c r="AC28" s="2">
        <v>2660.1</v>
      </c>
      <c r="AD28" s="2">
        <v>1.1924999999999999</v>
      </c>
      <c r="AE28" s="2">
        <v>7.4798999999999998</v>
      </c>
    </row>
    <row r="29" spans="1:31">
      <c r="K29" s="2">
        <v>4</v>
      </c>
      <c r="L29" s="2">
        <v>143.62</v>
      </c>
      <c r="M29" s="2">
        <v>1.0839999999999999E-3</v>
      </c>
      <c r="N29" s="2">
        <v>0.46222400000000002</v>
      </c>
      <c r="O29" s="2">
        <v>604</v>
      </c>
      <c r="P29" s="2">
        <v>2553</v>
      </c>
      <c r="Q29" s="2">
        <v>604.66999999999996</v>
      </c>
      <c r="R29" s="2">
        <v>2737.6</v>
      </c>
      <c r="S29" s="2">
        <v>1.7764</v>
      </c>
      <c r="T29" s="2">
        <v>6.8943000000000003</v>
      </c>
      <c r="U29" s="3"/>
      <c r="V29" s="2">
        <v>95</v>
      </c>
      <c r="W29" s="2">
        <v>0.85</v>
      </c>
      <c r="X29" s="2">
        <v>1.0399999999999999E-3</v>
      </c>
      <c r="Y29" s="2">
        <v>1.9822</v>
      </c>
      <c r="Z29" s="2">
        <v>397.9</v>
      </c>
      <c r="AA29" s="2">
        <v>2501</v>
      </c>
      <c r="AB29" s="2">
        <v>397.99</v>
      </c>
      <c r="AC29" s="2">
        <v>2668.1</v>
      </c>
      <c r="AD29" s="2">
        <v>1.2501</v>
      </c>
      <c r="AE29" s="2">
        <v>7.4165999999999999</v>
      </c>
    </row>
    <row r="30" spans="1:31">
      <c r="A30" t="s">
        <v>46</v>
      </c>
      <c r="B30">
        <v>0</v>
      </c>
      <c r="C30">
        <v>250</v>
      </c>
      <c r="D30">
        <v>0</v>
      </c>
      <c r="E30">
        <f>151175.016-(31375.656+119799.359)</f>
        <v>1.0000000183936208E-3</v>
      </c>
      <c r="K30" s="2">
        <v>5</v>
      </c>
      <c r="L30" s="2">
        <v>151.84</v>
      </c>
      <c r="M30" s="2">
        <v>1.093E-3</v>
      </c>
      <c r="N30" s="2">
        <v>0.37467600000000001</v>
      </c>
      <c r="O30" s="2">
        <v>640</v>
      </c>
      <c r="P30" s="2">
        <v>2560</v>
      </c>
      <c r="Q30" s="2">
        <v>640.12</v>
      </c>
      <c r="R30" s="2">
        <v>2747.5</v>
      </c>
      <c r="S30" s="2">
        <v>1.8604000000000001</v>
      </c>
      <c r="T30" s="2">
        <v>6.8192000000000004</v>
      </c>
      <c r="U30" s="3"/>
      <c r="V30" s="2">
        <v>100</v>
      </c>
      <c r="W30" s="2">
        <v>1.0129999999999999</v>
      </c>
      <c r="X30" s="2">
        <v>1.044E-3</v>
      </c>
      <c r="Y30" s="2">
        <v>1.673</v>
      </c>
      <c r="Z30" s="2">
        <v>419</v>
      </c>
      <c r="AA30" s="2">
        <v>2506</v>
      </c>
      <c r="AB30" s="2">
        <v>419.06</v>
      </c>
      <c r="AC30" s="2">
        <v>2676</v>
      </c>
      <c r="AD30" s="2">
        <v>1.3069</v>
      </c>
      <c r="AE30" s="2">
        <v>7.3554000000000004</v>
      </c>
    </row>
    <row r="31" spans="1:31">
      <c r="K31" s="2">
        <v>6</v>
      </c>
      <c r="L31" s="2">
        <v>158.84</v>
      </c>
      <c r="M31" s="2">
        <v>1.101E-3</v>
      </c>
      <c r="N31" s="2">
        <v>0.31547399999999998</v>
      </c>
      <c r="O31" s="2">
        <v>670</v>
      </c>
      <c r="P31" s="2">
        <v>2566</v>
      </c>
      <c r="Q31" s="2">
        <v>670.42</v>
      </c>
      <c r="R31" s="2">
        <v>2755.5</v>
      </c>
      <c r="S31" s="2">
        <v>1.9308000000000001</v>
      </c>
      <c r="T31" s="2">
        <v>6.7575000000000003</v>
      </c>
      <c r="U31" s="3"/>
      <c r="V31" s="2">
        <v>105</v>
      </c>
      <c r="W31" s="2">
        <v>1.2</v>
      </c>
      <c r="X31" s="2">
        <v>1.0480000000000001E-3</v>
      </c>
      <c r="Y31" s="2">
        <v>1.4193</v>
      </c>
      <c r="Z31" s="2">
        <v>440</v>
      </c>
      <c r="AA31" s="2">
        <v>2512</v>
      </c>
      <c r="AB31" s="2">
        <v>440.17</v>
      </c>
      <c r="AC31" s="2">
        <v>2683.7</v>
      </c>
      <c r="AD31" s="2">
        <v>1.363</v>
      </c>
      <c r="AE31" s="2">
        <v>7.2961999999999998</v>
      </c>
    </row>
    <row r="32" spans="1:31">
      <c r="A32" t="s">
        <v>45</v>
      </c>
      <c r="B32">
        <f>F7-F6</f>
        <v>15.769999999999982</v>
      </c>
      <c r="C32">
        <v>250</v>
      </c>
      <c r="D32">
        <f>B32*C32</f>
        <v>3942.4999999999955</v>
      </c>
      <c r="E32">
        <f>155117.797-151175.016</f>
        <v>3942.7809999999881</v>
      </c>
      <c r="K32" s="2">
        <v>8</v>
      </c>
      <c r="L32" s="2">
        <v>170.41</v>
      </c>
      <c r="M32" s="2">
        <v>1.1150000000000001E-3</v>
      </c>
      <c r="N32" s="2">
        <v>0.240257</v>
      </c>
      <c r="O32" s="2">
        <v>720</v>
      </c>
      <c r="P32" s="2">
        <v>2575</v>
      </c>
      <c r="Q32" s="2">
        <v>720.94</v>
      </c>
      <c r="R32" s="2">
        <v>2767.5</v>
      </c>
      <c r="S32" s="2">
        <v>2.0457000000000001</v>
      </c>
      <c r="T32" s="2">
        <v>6.6596000000000002</v>
      </c>
      <c r="U32" s="3"/>
      <c r="V32" s="2">
        <v>110</v>
      </c>
      <c r="W32" s="2">
        <v>1.4</v>
      </c>
      <c r="X32" s="2">
        <v>1.052E-3</v>
      </c>
      <c r="Y32" s="2">
        <v>1.2099</v>
      </c>
      <c r="Z32" s="2">
        <v>461.2</v>
      </c>
      <c r="AA32" s="2">
        <v>2518</v>
      </c>
      <c r="AB32" s="2">
        <v>461.32</v>
      </c>
      <c r="AC32" s="2">
        <v>2691.3</v>
      </c>
      <c r="AD32" s="2">
        <v>1.4185000000000001</v>
      </c>
      <c r="AE32" s="2">
        <v>7.2388000000000003</v>
      </c>
    </row>
    <row r="33" spans="1:31">
      <c r="A33" t="s">
        <v>61</v>
      </c>
      <c r="D33">
        <f>D32+D28</f>
        <v>4039.9999999999918</v>
      </c>
      <c r="E33">
        <f>E32+E28</f>
        <v>4022.0369999999857</v>
      </c>
      <c r="K33" s="2">
        <v>10</v>
      </c>
      <c r="L33" s="2">
        <v>179.88</v>
      </c>
      <c r="M33" s="2">
        <v>1.127E-3</v>
      </c>
      <c r="N33" s="2">
        <v>0.19429299999999999</v>
      </c>
      <c r="O33" s="2">
        <v>761</v>
      </c>
      <c r="P33" s="2">
        <v>2582</v>
      </c>
      <c r="Q33" s="2">
        <v>762.61</v>
      </c>
      <c r="R33" s="2">
        <v>2776.2</v>
      </c>
      <c r="S33" s="2">
        <v>2.1381999999999999</v>
      </c>
      <c r="T33" s="2">
        <v>6.5827999999999998</v>
      </c>
      <c r="U33" s="3"/>
      <c r="V33" s="2">
        <v>115</v>
      </c>
      <c r="W33" s="2">
        <v>1.7</v>
      </c>
      <c r="X33" s="2">
        <v>1.0560000000000001E-3</v>
      </c>
      <c r="Y33" s="2">
        <v>1.0363</v>
      </c>
      <c r="Z33" s="2">
        <v>482.3</v>
      </c>
      <c r="AA33" s="2">
        <v>2524</v>
      </c>
      <c r="AB33" s="2">
        <v>482.5</v>
      </c>
      <c r="AC33" s="2">
        <v>2698.7</v>
      </c>
      <c r="AD33" s="2">
        <v>1.4733000000000001</v>
      </c>
      <c r="AE33" s="2">
        <v>7.1832000000000003</v>
      </c>
    </row>
    <row r="34" spans="1:31">
      <c r="K34" s="2">
        <v>12</v>
      </c>
      <c r="L34" s="2">
        <v>187.96</v>
      </c>
      <c r="M34" s="2">
        <v>1.139E-3</v>
      </c>
      <c r="N34" s="2">
        <v>0.16320000000000001</v>
      </c>
      <c r="O34" s="2">
        <v>797</v>
      </c>
      <c r="P34" s="2">
        <v>2587</v>
      </c>
      <c r="Q34" s="2">
        <v>798.43</v>
      </c>
      <c r="R34" s="2">
        <v>2782.7</v>
      </c>
      <c r="S34" s="2">
        <v>2.2161</v>
      </c>
      <c r="T34" s="2">
        <v>6.5194000000000001</v>
      </c>
      <c r="U34" s="3"/>
      <c r="V34" s="2">
        <v>120</v>
      </c>
      <c r="W34" s="2">
        <v>2</v>
      </c>
      <c r="X34" s="2">
        <v>1.0610000000000001E-3</v>
      </c>
      <c r="Y34" s="2">
        <v>0.89149999999999996</v>
      </c>
      <c r="Z34" s="2">
        <v>503.5</v>
      </c>
      <c r="AA34" s="2">
        <v>2529</v>
      </c>
      <c r="AB34" s="2">
        <v>503.72</v>
      </c>
      <c r="AC34" s="2">
        <v>2706</v>
      </c>
      <c r="AD34" s="2">
        <v>1.5276000000000001</v>
      </c>
      <c r="AE34" s="2">
        <v>7.1292999999999997</v>
      </c>
    </row>
    <row r="35" spans="1:31">
      <c r="A35" t="s">
        <v>47</v>
      </c>
      <c r="B35">
        <f>G19-F19</f>
        <v>990.53</v>
      </c>
      <c r="C35">
        <v>250</v>
      </c>
      <c r="D35">
        <f>B35*C35</f>
        <v>247632.5</v>
      </c>
      <c r="E35">
        <f>B35*C35</f>
        <v>247632.5</v>
      </c>
      <c r="K35" s="2">
        <v>14</v>
      </c>
      <c r="L35" s="2">
        <v>195.04</v>
      </c>
      <c r="M35" s="2">
        <v>1.1490000000000001E-3</v>
      </c>
      <c r="N35" s="2">
        <v>0.14072100000000001</v>
      </c>
      <c r="O35" s="2">
        <v>828</v>
      </c>
      <c r="P35" s="2">
        <v>2591</v>
      </c>
      <c r="Q35" s="2">
        <v>830.07</v>
      </c>
      <c r="R35" s="2">
        <v>2787.8</v>
      </c>
      <c r="S35" s="2">
        <v>2.2837000000000001</v>
      </c>
      <c r="T35" s="2">
        <v>6.4650999999999996</v>
      </c>
      <c r="U35" s="3"/>
      <c r="V35" s="2">
        <v>130</v>
      </c>
      <c r="W35" s="2">
        <v>2.7</v>
      </c>
      <c r="X35" s="2">
        <v>1.07E-3</v>
      </c>
      <c r="Y35" s="2">
        <v>0.66810000000000003</v>
      </c>
      <c r="Z35" s="2">
        <v>546</v>
      </c>
      <c r="AA35" s="2">
        <v>2539</v>
      </c>
      <c r="AB35" s="2">
        <v>546.30999999999995</v>
      </c>
      <c r="AC35" s="2">
        <v>2719.9</v>
      </c>
      <c r="AD35" s="2">
        <v>1.6344000000000001</v>
      </c>
      <c r="AE35" s="2">
        <v>7.0260999999999996</v>
      </c>
    </row>
    <row r="36" spans="1:31">
      <c r="A36" t="s">
        <v>48</v>
      </c>
      <c r="B36">
        <f>G20-F20</f>
        <v>1004</v>
      </c>
      <c r="C36">
        <v>250</v>
      </c>
      <c r="D36">
        <f>C36*B36</f>
        <v>251000</v>
      </c>
      <c r="E36">
        <f>C36*B36</f>
        <v>251000</v>
      </c>
      <c r="K36" s="2">
        <v>16</v>
      </c>
      <c r="L36" s="2">
        <v>201.37</v>
      </c>
      <c r="M36" s="2">
        <v>1.1590000000000001E-3</v>
      </c>
      <c r="N36" s="2">
        <v>0.12368700000000001</v>
      </c>
      <c r="O36" s="2">
        <v>857</v>
      </c>
      <c r="P36" s="2">
        <v>2594</v>
      </c>
      <c r="Q36" s="2">
        <v>858.56</v>
      </c>
      <c r="R36" s="2">
        <v>2791.8</v>
      </c>
      <c r="S36" s="2">
        <v>2.3435999999999999</v>
      </c>
      <c r="T36" s="2">
        <v>6.4175000000000004</v>
      </c>
      <c r="U36" s="3"/>
      <c r="V36" s="2">
        <v>140</v>
      </c>
      <c r="W36" s="2">
        <v>3.6</v>
      </c>
      <c r="X36" s="2">
        <v>1.08E-3</v>
      </c>
      <c r="Y36" s="2">
        <v>0.50849999999999995</v>
      </c>
      <c r="Z36" s="2">
        <v>588.70000000000005</v>
      </c>
      <c r="AA36" s="2">
        <v>2549</v>
      </c>
      <c r="AB36" s="2">
        <v>589.1</v>
      </c>
      <c r="AC36" s="2">
        <v>2733.1</v>
      </c>
      <c r="AD36" s="2">
        <v>1.7390000000000001</v>
      </c>
      <c r="AE36" s="2">
        <v>6.9283999999999999</v>
      </c>
    </row>
    <row r="37" spans="1:31">
      <c r="A37" t="s">
        <v>49</v>
      </c>
      <c r="B37">
        <f>G21-F21</f>
        <v>808.22440000000006</v>
      </c>
      <c r="C37">
        <v>250</v>
      </c>
      <c r="D37">
        <f>C37*B37</f>
        <v>202056.1</v>
      </c>
      <c r="E37">
        <f>C37*B37</f>
        <v>202056.1</v>
      </c>
      <c r="K37" s="2">
        <v>18</v>
      </c>
      <c r="L37" s="2">
        <v>207.11</v>
      </c>
      <c r="M37" s="2">
        <v>1.168E-3</v>
      </c>
      <c r="N37" s="2">
        <v>0.110317</v>
      </c>
      <c r="O37" s="2">
        <v>882</v>
      </c>
      <c r="P37" s="2">
        <v>2596</v>
      </c>
      <c r="Q37" s="2">
        <v>884.57</v>
      </c>
      <c r="R37" s="2">
        <v>2794.8</v>
      </c>
      <c r="S37" s="2">
        <v>2.3976000000000002</v>
      </c>
      <c r="T37" s="2">
        <v>6.3750999999999998</v>
      </c>
      <c r="U37" s="3"/>
      <c r="V37" s="2">
        <v>150</v>
      </c>
      <c r="W37" s="2">
        <v>4.8</v>
      </c>
      <c r="X37" s="2">
        <v>1.091E-3</v>
      </c>
      <c r="Y37" s="2">
        <v>0.39240000000000003</v>
      </c>
      <c r="Z37" s="2">
        <v>631.6</v>
      </c>
      <c r="AA37" s="2">
        <v>2559</v>
      </c>
      <c r="AB37" s="2">
        <v>632.15</v>
      </c>
      <c r="AC37" s="2">
        <v>2745.4</v>
      </c>
      <c r="AD37" s="2">
        <v>1.8415999999999999</v>
      </c>
      <c r="AE37" s="2">
        <v>6.8357999999999999</v>
      </c>
    </row>
    <row r="38" spans="1:31">
      <c r="A38" t="s">
        <v>58</v>
      </c>
      <c r="C38">
        <v>250</v>
      </c>
      <c r="D38">
        <f>SUM(D35:D37)</f>
        <v>700688.6</v>
      </c>
      <c r="E38">
        <f>SUM(E35:E37)</f>
        <v>700688.6</v>
      </c>
      <c r="K38" s="2">
        <v>20</v>
      </c>
      <c r="L38" s="2">
        <v>212.37</v>
      </c>
      <c r="M38" s="2">
        <v>1.1770000000000001E-3</v>
      </c>
      <c r="N38" s="2">
        <v>9.9535999999999999E-2</v>
      </c>
      <c r="O38" s="2">
        <v>906</v>
      </c>
      <c r="P38" s="2">
        <v>2598</v>
      </c>
      <c r="Q38" s="2">
        <v>908.59</v>
      </c>
      <c r="R38" s="2">
        <v>2797.2</v>
      </c>
      <c r="S38" s="2">
        <v>2.4468999999999999</v>
      </c>
      <c r="T38" s="2">
        <v>6.3367000000000004</v>
      </c>
      <c r="U38" s="3"/>
      <c r="V38" s="2">
        <v>160</v>
      </c>
      <c r="W38" s="2">
        <v>6.2</v>
      </c>
      <c r="X38" s="2">
        <v>1.1019999999999999E-3</v>
      </c>
      <c r="Y38" s="2">
        <v>0.30680000000000002</v>
      </c>
      <c r="Z38" s="2">
        <v>674.8</v>
      </c>
      <c r="AA38" s="2">
        <v>2567</v>
      </c>
      <c r="AB38" s="2">
        <v>675.47</v>
      </c>
      <c r="AC38" s="2">
        <v>2756.7</v>
      </c>
      <c r="AD38" s="2">
        <v>1.9424999999999999</v>
      </c>
      <c r="AE38" s="2">
        <v>6.7474999999999996</v>
      </c>
    </row>
    <row r="39" spans="1:31">
      <c r="A39" t="s">
        <v>50</v>
      </c>
      <c r="B39">
        <f>F10-F9</f>
        <v>497.3398000000002</v>
      </c>
      <c r="C39">
        <v>250</v>
      </c>
      <c r="D39">
        <f>B39*C39</f>
        <v>124334.95000000006</v>
      </c>
      <c r="E39">
        <f>B39*C39</f>
        <v>124334.95000000006</v>
      </c>
      <c r="K39" s="2">
        <v>22</v>
      </c>
      <c r="L39" s="2">
        <v>217.24</v>
      </c>
      <c r="M39" s="2">
        <v>1.1850000000000001E-3</v>
      </c>
      <c r="N39" s="2">
        <v>9.0651999999999996E-2</v>
      </c>
      <c r="O39" s="2">
        <v>928</v>
      </c>
      <c r="P39" s="2">
        <v>2600</v>
      </c>
      <c r="Q39" s="2">
        <v>930.95</v>
      </c>
      <c r="R39" s="2">
        <v>2799.1</v>
      </c>
      <c r="S39" s="2">
        <v>2.4922</v>
      </c>
      <c r="T39" s="2">
        <v>6.3014999999999999</v>
      </c>
      <c r="U39" s="3"/>
      <c r="V39" s="2">
        <v>170</v>
      </c>
      <c r="W39" s="2">
        <v>7.9</v>
      </c>
      <c r="X39" s="2">
        <v>1.114E-3</v>
      </c>
      <c r="Y39" s="2">
        <v>0.24260000000000001</v>
      </c>
      <c r="Z39" s="2">
        <v>718.2</v>
      </c>
      <c r="AA39" s="2">
        <v>2575</v>
      </c>
      <c r="AB39" s="2">
        <v>719.12</v>
      </c>
      <c r="AC39" s="2">
        <v>2767.1</v>
      </c>
      <c r="AD39" s="2">
        <v>2.0415999999999999</v>
      </c>
      <c r="AE39" s="2">
        <v>6.6630000000000003</v>
      </c>
    </row>
    <row r="40" spans="1:31">
      <c r="K40" s="2">
        <v>25</v>
      </c>
      <c r="L40" s="2">
        <v>223.94</v>
      </c>
      <c r="M40" s="2">
        <v>1.1969999999999999E-3</v>
      </c>
      <c r="N40" s="2">
        <v>7.9905000000000004E-2</v>
      </c>
      <c r="O40" s="2">
        <v>959</v>
      </c>
      <c r="P40" s="2">
        <v>2601</v>
      </c>
      <c r="Q40" s="2">
        <v>961.96</v>
      </c>
      <c r="R40" s="2">
        <v>2800.9</v>
      </c>
      <c r="S40" s="2">
        <v>2.5543</v>
      </c>
      <c r="T40" s="2">
        <v>6.2539999999999996</v>
      </c>
      <c r="U40" s="3"/>
      <c r="V40" s="2">
        <v>180</v>
      </c>
      <c r="W40" s="2">
        <v>10</v>
      </c>
      <c r="X40" s="2">
        <v>1.1280000000000001E-3</v>
      </c>
      <c r="Y40" s="2">
        <v>0.1938</v>
      </c>
      <c r="Z40" s="2">
        <v>762</v>
      </c>
      <c r="AA40" s="2">
        <v>2582</v>
      </c>
      <c r="AB40" s="2">
        <v>763.12</v>
      </c>
      <c r="AC40" s="2">
        <v>2776.3</v>
      </c>
      <c r="AD40" s="2">
        <v>2.1393</v>
      </c>
      <c r="AE40" s="2">
        <v>6.5819000000000001</v>
      </c>
    </row>
    <row r="41" spans="1:31">
      <c r="A41" t="s">
        <v>51</v>
      </c>
      <c r="C41">
        <v>250</v>
      </c>
      <c r="D41" s="8">
        <f>SUM(D38:D39)</f>
        <v>825023.55</v>
      </c>
      <c r="E41" s="8">
        <f>SUM(E38:E39)</f>
        <v>825023.55</v>
      </c>
      <c r="K41" s="2">
        <v>30</v>
      </c>
      <c r="L41" s="2">
        <v>233.84</v>
      </c>
      <c r="M41" s="2">
        <v>1.2160000000000001E-3</v>
      </c>
      <c r="N41" s="2">
        <v>6.6626000000000005E-2</v>
      </c>
      <c r="O41" s="2">
        <v>1005</v>
      </c>
      <c r="P41" s="2">
        <v>2602</v>
      </c>
      <c r="Q41" s="2">
        <v>1008.35</v>
      </c>
      <c r="R41" s="2">
        <v>2802.3</v>
      </c>
      <c r="S41" s="2">
        <v>2.6455000000000002</v>
      </c>
      <c r="T41" s="2">
        <v>6.1837</v>
      </c>
      <c r="U41" s="3"/>
      <c r="V41" s="2">
        <v>190</v>
      </c>
      <c r="W41" s="2">
        <v>13</v>
      </c>
      <c r="X41" s="2">
        <v>1.142E-3</v>
      </c>
      <c r="Y41" s="2">
        <v>0.15629999999999999</v>
      </c>
      <c r="Z41" s="2">
        <v>806.1</v>
      </c>
      <c r="AA41" s="2">
        <v>2588</v>
      </c>
      <c r="AB41" s="2">
        <v>807.52</v>
      </c>
      <c r="AC41" s="2">
        <v>2784.3</v>
      </c>
      <c r="AD41" s="2">
        <v>2.2355999999999998</v>
      </c>
      <c r="AE41" s="2">
        <v>6.5035999999999996</v>
      </c>
    </row>
    <row r="42" spans="1:31">
      <c r="A42" t="s">
        <v>60</v>
      </c>
      <c r="D42" s="8">
        <f>D41/0.85</f>
        <v>970615.94117647072</v>
      </c>
      <c r="E42" s="8">
        <f>E41/0.85</f>
        <v>970615.94117647072</v>
      </c>
      <c r="K42" s="2">
        <v>35</v>
      </c>
      <c r="L42" s="2">
        <v>242.54</v>
      </c>
      <c r="M42" s="2">
        <v>1.235E-3</v>
      </c>
      <c r="N42" s="2">
        <v>5.7024999999999999E-2</v>
      </c>
      <c r="O42" s="2">
        <v>1045</v>
      </c>
      <c r="P42" s="2">
        <v>2602</v>
      </c>
      <c r="Q42" s="2">
        <v>1049.76</v>
      </c>
      <c r="R42" s="2">
        <v>2802</v>
      </c>
      <c r="S42" s="2">
        <v>2.7252999999999998</v>
      </c>
      <c r="T42" s="2">
        <v>6.1228999999999996</v>
      </c>
      <c r="U42" s="3"/>
      <c r="V42" s="2">
        <v>200</v>
      </c>
      <c r="W42" s="2">
        <v>16</v>
      </c>
      <c r="X42" s="2">
        <v>1.1559999999999999E-3</v>
      </c>
      <c r="Y42" s="2">
        <v>0.12720000000000001</v>
      </c>
      <c r="Z42" s="2">
        <v>850.6</v>
      </c>
      <c r="AA42" s="2">
        <v>2593</v>
      </c>
      <c r="AB42" s="2">
        <v>852.37</v>
      </c>
      <c r="AC42" s="2">
        <v>2790.9</v>
      </c>
      <c r="AD42" s="2">
        <v>2.3307000000000002</v>
      </c>
      <c r="AE42" s="2">
        <v>6.4278000000000004</v>
      </c>
    </row>
    <row r="43" spans="1:31">
      <c r="K43" s="2">
        <v>40</v>
      </c>
      <c r="L43" s="2">
        <v>250.33</v>
      </c>
      <c r="M43" s="2">
        <v>1.2520000000000001E-3</v>
      </c>
      <c r="N43" s="2">
        <v>4.9749000000000002E-2</v>
      </c>
      <c r="O43" s="2">
        <v>1082</v>
      </c>
      <c r="P43" s="2">
        <v>2601</v>
      </c>
      <c r="Q43" s="2">
        <v>1087.4000000000001</v>
      </c>
      <c r="R43" s="2">
        <v>2800.3</v>
      </c>
      <c r="S43" s="2">
        <v>2.7965</v>
      </c>
      <c r="T43" s="2">
        <v>6.0685000000000002</v>
      </c>
      <c r="U43" s="3"/>
      <c r="V43" s="2">
        <v>210</v>
      </c>
      <c r="W43" s="2">
        <v>19</v>
      </c>
      <c r="X43" s="2">
        <v>1.173E-3</v>
      </c>
      <c r="Y43" s="2">
        <v>0.1042</v>
      </c>
      <c r="Z43" s="2">
        <v>895.5</v>
      </c>
      <c r="AA43" s="2">
        <v>2597</v>
      </c>
      <c r="AB43" s="2">
        <v>897.73</v>
      </c>
      <c r="AC43" s="2">
        <v>2796.2</v>
      </c>
      <c r="AD43" s="2">
        <v>2.4247000000000001</v>
      </c>
      <c r="AE43" s="2">
        <v>6.3539000000000003</v>
      </c>
    </row>
    <row r="44" spans="1:31">
      <c r="A44" s="9" t="s">
        <v>52</v>
      </c>
      <c r="B44">
        <f>F8-F9</f>
        <v>383.22440000000006</v>
      </c>
      <c r="C44">
        <v>250</v>
      </c>
      <c r="D44">
        <f>B44*C44</f>
        <v>95806.10000000002</v>
      </c>
      <c r="E44">
        <f>D44</f>
        <v>95806.10000000002</v>
      </c>
      <c r="F44">
        <f>250*(F8-F9)</f>
        <v>95806.10000000002</v>
      </c>
      <c r="K44" s="2">
        <v>50</v>
      </c>
      <c r="L44" s="2">
        <v>263.91000000000003</v>
      </c>
      <c r="M44" s="2">
        <v>1.286E-3</v>
      </c>
      <c r="N44" s="2">
        <v>3.9428999999999999E-2</v>
      </c>
      <c r="O44" s="2">
        <v>1148</v>
      </c>
      <c r="P44" s="2">
        <v>2597</v>
      </c>
      <c r="Q44" s="2">
        <v>1154.5</v>
      </c>
      <c r="R44" s="2">
        <v>2794.2</v>
      </c>
      <c r="S44" s="2">
        <v>2.9205999999999999</v>
      </c>
      <c r="T44" s="2">
        <v>5.9734999999999996</v>
      </c>
      <c r="U44" s="3"/>
      <c r="V44" s="2">
        <v>220</v>
      </c>
      <c r="W44" s="2">
        <v>23</v>
      </c>
      <c r="X44" s="2">
        <v>1.1900000000000001E-3</v>
      </c>
      <c r="Y44" s="2">
        <v>8.5999999999999993E-2</v>
      </c>
      <c r="Z44" s="2">
        <v>940.9</v>
      </c>
      <c r="AA44" s="2">
        <v>2600</v>
      </c>
      <c r="AB44" s="2">
        <v>943.67</v>
      </c>
      <c r="AC44" s="2">
        <v>2799.9</v>
      </c>
      <c r="AD44" s="2">
        <v>2.5177999999999998</v>
      </c>
      <c r="AE44" s="2">
        <v>6.2816999999999998</v>
      </c>
    </row>
    <row r="45" spans="1:31">
      <c r="A45" s="9" t="s">
        <v>53</v>
      </c>
      <c r="B45">
        <f>F10-F11</f>
        <v>648.56980000000021</v>
      </c>
      <c r="C45">
        <v>250</v>
      </c>
      <c r="D45">
        <f t="shared" ref="D45:D46" si="0">B45*C45</f>
        <v>162142.45000000004</v>
      </c>
      <c r="E45">
        <f t="shared" ref="E45:E47" si="1">D45</f>
        <v>162142.45000000004</v>
      </c>
      <c r="K45" s="2">
        <v>60</v>
      </c>
      <c r="L45" s="2">
        <v>275.55</v>
      </c>
      <c r="M45" s="2">
        <v>1.3190000000000001E-3</v>
      </c>
      <c r="N45" s="2">
        <v>3.2438000000000002E-2</v>
      </c>
      <c r="O45" s="2">
        <v>1206</v>
      </c>
      <c r="P45" s="2">
        <v>2590</v>
      </c>
      <c r="Q45" s="2">
        <v>1213.7</v>
      </c>
      <c r="R45" s="2">
        <v>2785</v>
      </c>
      <c r="S45" s="2">
        <v>3.0272999999999999</v>
      </c>
      <c r="T45" s="2">
        <v>5.8907999999999996</v>
      </c>
      <c r="U45" s="3"/>
      <c r="V45" s="2">
        <v>230</v>
      </c>
      <c r="W45" s="2">
        <v>28</v>
      </c>
      <c r="X45" s="2">
        <v>1.209E-3</v>
      </c>
      <c r="Y45" s="2">
        <v>7.1400000000000005E-2</v>
      </c>
      <c r="Z45" s="2">
        <v>986.9</v>
      </c>
      <c r="AA45" s="2">
        <v>2602</v>
      </c>
      <c r="AB45" s="2">
        <v>990.27</v>
      </c>
      <c r="AC45" s="2">
        <v>2802</v>
      </c>
      <c r="AD45" s="2">
        <v>2.6101999999999999</v>
      </c>
      <c r="AE45" s="2">
        <v>6.2107000000000001</v>
      </c>
    </row>
    <row r="46" spans="1:31">
      <c r="A46" s="9" t="s">
        <v>54</v>
      </c>
      <c r="B46">
        <f>F13-F14</f>
        <v>668.77</v>
      </c>
      <c r="C46">
        <f>C26</f>
        <v>208.53678132794781</v>
      </c>
      <c r="D46">
        <f t="shared" si="0"/>
        <v>139463.14324869166</v>
      </c>
      <c r="E46">
        <f t="shared" si="1"/>
        <v>139463.14324869166</v>
      </c>
      <c r="K46" s="2">
        <v>70</v>
      </c>
      <c r="L46" s="2">
        <v>285.79000000000002</v>
      </c>
      <c r="M46" s="2">
        <v>1.351E-3</v>
      </c>
      <c r="N46" s="2">
        <v>2.7373000000000001E-2</v>
      </c>
      <c r="O46" s="2">
        <v>1258</v>
      </c>
      <c r="P46" s="2">
        <v>2582</v>
      </c>
      <c r="Q46" s="2">
        <v>1267.4000000000001</v>
      </c>
      <c r="R46" s="2">
        <v>2773.5</v>
      </c>
      <c r="S46" s="2">
        <v>3.1219000000000001</v>
      </c>
      <c r="T46" s="2">
        <v>5.8162000000000003</v>
      </c>
      <c r="U46" s="3"/>
      <c r="V46" s="2">
        <v>240</v>
      </c>
      <c r="W46" s="2">
        <v>33</v>
      </c>
      <c r="X46" s="2">
        <v>1.2290000000000001E-3</v>
      </c>
      <c r="Y46" s="2">
        <v>5.9700000000000003E-2</v>
      </c>
      <c r="Z46" s="2">
        <v>1033.5</v>
      </c>
      <c r="AA46" s="2">
        <v>2602</v>
      </c>
      <c r="AB46" s="2">
        <v>1037.5999999999999</v>
      </c>
      <c r="AC46" s="2">
        <v>2802.2</v>
      </c>
      <c r="AD46" s="2">
        <v>2.702</v>
      </c>
      <c r="AE46" s="2">
        <v>6.1406000000000001</v>
      </c>
    </row>
    <row r="47" spans="1:31">
      <c r="A47" s="9" t="s">
        <v>57</v>
      </c>
      <c r="D47">
        <f>SUM(D44:D46)</f>
        <v>397411.69324869174</v>
      </c>
      <c r="E47">
        <f t="shared" si="1"/>
        <v>397411.69324869174</v>
      </c>
      <c r="K47" s="2">
        <v>80</v>
      </c>
      <c r="L47" s="2">
        <v>294.97000000000003</v>
      </c>
      <c r="M47" s="2">
        <v>1.384E-3</v>
      </c>
      <c r="N47" s="2">
        <v>2.3525000000000001E-2</v>
      </c>
      <c r="O47" s="2">
        <v>1306</v>
      </c>
      <c r="P47" s="2">
        <v>2572</v>
      </c>
      <c r="Q47" s="2">
        <v>1317.1</v>
      </c>
      <c r="R47" s="2">
        <v>2759.9</v>
      </c>
      <c r="S47" s="2">
        <v>3.2075999999999998</v>
      </c>
      <c r="T47" s="2">
        <v>5.7470999999999997</v>
      </c>
      <c r="U47" s="3"/>
      <c r="V47" s="2">
        <v>250</v>
      </c>
      <c r="W47" s="2">
        <v>40</v>
      </c>
      <c r="X47" s="2">
        <v>1.2509999999999999E-3</v>
      </c>
      <c r="Y47" s="2">
        <v>0.05</v>
      </c>
      <c r="Z47" s="2">
        <v>1081</v>
      </c>
      <c r="AA47" s="2">
        <v>2601</v>
      </c>
      <c r="AB47" s="2">
        <v>1085.78</v>
      </c>
      <c r="AC47" s="2">
        <v>2800.4</v>
      </c>
      <c r="AD47" s="2">
        <v>2.7934999999999999</v>
      </c>
      <c r="AE47" s="2">
        <v>6.0708000000000002</v>
      </c>
    </row>
    <row r="48" spans="1:31">
      <c r="B48" s="9"/>
      <c r="K48" s="2">
        <v>90</v>
      </c>
      <c r="L48" s="2">
        <v>303.31</v>
      </c>
      <c r="M48" s="2">
        <v>1.418E-3</v>
      </c>
      <c r="N48" s="2">
        <v>2.0494999999999999E-2</v>
      </c>
      <c r="O48" s="2">
        <v>1351</v>
      </c>
      <c r="P48" s="2">
        <v>2560</v>
      </c>
      <c r="Q48" s="2">
        <v>1363.7</v>
      </c>
      <c r="R48" s="2">
        <v>2744.6</v>
      </c>
      <c r="S48" s="2">
        <v>3.2867000000000002</v>
      </c>
      <c r="T48" s="2">
        <v>5.6820000000000004</v>
      </c>
      <c r="U48" s="3"/>
      <c r="V48" s="2">
        <v>260</v>
      </c>
      <c r="W48" s="2">
        <v>47</v>
      </c>
      <c r="X48" s="2">
        <v>1.276E-3</v>
      </c>
      <c r="Y48" s="2">
        <v>4.2099999999999999E-2</v>
      </c>
      <c r="Z48" s="2">
        <v>1129</v>
      </c>
      <c r="AA48" s="2">
        <v>2599</v>
      </c>
      <c r="AB48" s="2">
        <v>1134.9000000000001</v>
      </c>
      <c r="AC48" s="2">
        <v>2796.4</v>
      </c>
      <c r="AD48" s="2">
        <v>2.8849</v>
      </c>
      <c r="AE48" s="2">
        <v>6.0010000000000003</v>
      </c>
    </row>
    <row r="49" spans="1:31">
      <c r="A49" t="s">
        <v>59</v>
      </c>
      <c r="B49" s="9"/>
      <c r="D49" s="8">
        <f>D47*0.9</f>
        <v>357670.52392382256</v>
      </c>
      <c r="E49" s="8">
        <f>E47*0.9</f>
        <v>357670.52392382256</v>
      </c>
      <c r="K49" s="2">
        <v>100</v>
      </c>
      <c r="L49" s="2">
        <v>310.95999999999998</v>
      </c>
      <c r="M49" s="2">
        <v>1.4530000000000001E-3</v>
      </c>
      <c r="N49" s="2">
        <v>1.8041000000000001E-2</v>
      </c>
      <c r="O49" s="2">
        <v>1394</v>
      </c>
      <c r="P49" s="2">
        <v>2547</v>
      </c>
      <c r="Q49" s="2">
        <v>1408</v>
      </c>
      <c r="R49" s="2">
        <v>2727.7</v>
      </c>
      <c r="S49" s="2">
        <v>3.3605999999999998</v>
      </c>
      <c r="T49" s="2">
        <v>5.6197999999999997</v>
      </c>
      <c r="U49" s="3"/>
      <c r="V49" s="2">
        <v>270</v>
      </c>
      <c r="W49" s="2">
        <v>55</v>
      </c>
      <c r="X49" s="2">
        <v>1.3029999999999999E-3</v>
      </c>
      <c r="Y49" s="2">
        <v>3.5589999999999997E-2</v>
      </c>
      <c r="Z49" s="2">
        <v>1178</v>
      </c>
      <c r="AA49" s="2">
        <v>2594</v>
      </c>
      <c r="AB49" s="2">
        <v>1185.2</v>
      </c>
      <c r="AC49" s="2">
        <v>2789.9</v>
      </c>
      <c r="AD49" s="2">
        <v>2.9763999999999999</v>
      </c>
      <c r="AE49" s="2">
        <v>5.9305000000000003</v>
      </c>
    </row>
    <row r="50" spans="1:31">
      <c r="K50" s="2">
        <v>110</v>
      </c>
      <c r="L50" s="2">
        <v>318.05</v>
      </c>
      <c r="M50" s="2">
        <v>1.4890000000000001E-3</v>
      </c>
      <c r="N50" s="2">
        <v>1.6005999999999999E-2</v>
      </c>
      <c r="O50" s="2">
        <v>1434</v>
      </c>
      <c r="P50" s="2">
        <v>2533</v>
      </c>
      <c r="Q50" s="2">
        <v>1450.6</v>
      </c>
      <c r="R50" s="2">
        <v>2709.3</v>
      </c>
      <c r="S50" s="2">
        <v>3.4304000000000001</v>
      </c>
      <c r="T50" s="2">
        <v>5.5594999999999999</v>
      </c>
      <c r="U50" s="3"/>
      <c r="V50" s="2">
        <v>280</v>
      </c>
      <c r="W50" s="2">
        <v>64</v>
      </c>
      <c r="X50" s="2">
        <v>1.3320000000000001E-3</v>
      </c>
      <c r="Y50" s="2">
        <v>3.0130000000000001E-2</v>
      </c>
      <c r="Z50" s="2">
        <v>1228</v>
      </c>
      <c r="AA50" s="2">
        <v>2587</v>
      </c>
      <c r="AB50" s="2">
        <v>1236.8</v>
      </c>
      <c r="AC50" s="2">
        <v>2780.4</v>
      </c>
      <c r="AD50" s="2">
        <v>3.0682999999999998</v>
      </c>
      <c r="AE50" s="2">
        <v>5.8586</v>
      </c>
    </row>
    <row r="51" spans="1:31">
      <c r="A51" t="s">
        <v>62</v>
      </c>
      <c r="D51">
        <f>D49/D42</f>
        <v>0.36849850569144255</v>
      </c>
      <c r="E51">
        <f>E49/E42</f>
        <v>0.36849850569144255</v>
      </c>
      <c r="K51" s="2">
        <v>120</v>
      </c>
      <c r="L51" s="2">
        <v>324.64999999999998</v>
      </c>
      <c r="M51" s="2">
        <v>1.5269999999999999E-3</v>
      </c>
      <c r="N51" s="2">
        <v>1.4283000000000001E-2</v>
      </c>
      <c r="O51" s="2">
        <v>1473</v>
      </c>
      <c r="P51" s="2">
        <v>2518</v>
      </c>
      <c r="Q51" s="2">
        <v>1491.8</v>
      </c>
      <c r="R51" s="2">
        <v>2689.2</v>
      </c>
      <c r="S51" s="2">
        <v>3.4971999999999999</v>
      </c>
      <c r="T51" s="2">
        <v>5.5002000000000004</v>
      </c>
      <c r="U51" s="3"/>
      <c r="V51" s="2">
        <v>290</v>
      </c>
      <c r="W51" s="2">
        <v>74</v>
      </c>
      <c r="X51" s="2">
        <v>1.366E-3</v>
      </c>
      <c r="Y51" s="2">
        <v>2.554E-2</v>
      </c>
      <c r="Z51" s="2">
        <v>1280</v>
      </c>
      <c r="AA51" s="2">
        <v>2578</v>
      </c>
      <c r="AB51" s="2">
        <v>1290</v>
      </c>
      <c r="AC51" s="2">
        <v>2767.6</v>
      </c>
      <c r="AD51" s="2">
        <v>3.1610999999999998</v>
      </c>
      <c r="AE51" s="2">
        <v>5.7847999999999997</v>
      </c>
    </row>
    <row r="52" spans="1:31">
      <c r="A52" t="s">
        <v>63</v>
      </c>
      <c r="D52">
        <f>D26/D42</f>
        <v>0.44470286112635482</v>
      </c>
      <c r="E52">
        <f>E26/E42</f>
        <v>0.44470286112635482</v>
      </c>
      <c r="K52" s="2">
        <v>125</v>
      </c>
      <c r="L52" s="2">
        <v>327.79</v>
      </c>
      <c r="M52" s="2">
        <v>1.547E-3</v>
      </c>
      <c r="N52" s="2">
        <v>1.3514E-2</v>
      </c>
      <c r="O52" s="2">
        <v>1493</v>
      </c>
      <c r="P52" s="2">
        <v>2509</v>
      </c>
      <c r="Q52" s="2">
        <v>1512</v>
      </c>
      <c r="R52" s="2">
        <v>2678.4</v>
      </c>
      <c r="S52" s="2">
        <v>3.5295999999999998</v>
      </c>
      <c r="T52" s="2">
        <v>5.4706000000000001</v>
      </c>
      <c r="U52" s="3"/>
      <c r="V52" s="2">
        <v>300</v>
      </c>
      <c r="W52" s="2">
        <v>86</v>
      </c>
      <c r="X52" s="2">
        <v>1.4040000000000001E-3</v>
      </c>
      <c r="Y52" s="2">
        <v>2.1649999999999999E-2</v>
      </c>
      <c r="Z52" s="2">
        <v>1333</v>
      </c>
      <c r="AA52" s="2">
        <v>2565</v>
      </c>
      <c r="AB52" s="2">
        <v>1345.1</v>
      </c>
      <c r="AC52" s="2">
        <v>2751</v>
      </c>
      <c r="AD52" s="2">
        <v>3.2551999999999999</v>
      </c>
      <c r="AE52" s="2">
        <v>5.7081</v>
      </c>
    </row>
    <row r="53" spans="1:31">
      <c r="A53" t="s">
        <v>64</v>
      </c>
      <c r="D53">
        <f>(D49+D26)/(D42+D33)</f>
        <v>0.80983060449732325</v>
      </c>
      <c r="E53">
        <f>(E49+E26)/(E42+E33)</f>
        <v>0.8098455300260573</v>
      </c>
      <c r="K53" s="2">
        <v>130</v>
      </c>
      <c r="L53" s="2">
        <v>330.83</v>
      </c>
      <c r="M53" s="2">
        <v>1.567E-3</v>
      </c>
      <c r="N53" s="2">
        <v>1.2796999999999999E-2</v>
      </c>
      <c r="O53" s="2">
        <v>1512</v>
      </c>
      <c r="P53" s="2">
        <v>2501</v>
      </c>
      <c r="Q53" s="2">
        <v>1532</v>
      </c>
      <c r="R53" s="2">
        <v>2667</v>
      </c>
      <c r="S53" s="2">
        <v>3.5615999999999999</v>
      </c>
      <c r="T53" s="2">
        <v>5.4408000000000003</v>
      </c>
      <c r="U53" s="3"/>
      <c r="V53" s="2">
        <v>310</v>
      </c>
      <c r="W53" s="2">
        <v>99</v>
      </c>
      <c r="X53" s="2">
        <v>1.4480000000000001E-3</v>
      </c>
      <c r="Y53" s="2">
        <v>1.8329999999999999E-2</v>
      </c>
      <c r="Z53" s="2">
        <v>1388</v>
      </c>
      <c r="AA53" s="2">
        <v>2549</v>
      </c>
      <c r="AB53" s="2">
        <v>1402.4</v>
      </c>
      <c r="AC53" s="2">
        <v>2730</v>
      </c>
      <c r="AD53" s="2">
        <v>3.3512</v>
      </c>
      <c r="AE53" s="2">
        <v>5.6277999999999997</v>
      </c>
    </row>
    <row r="54" spans="1:31">
      <c r="K54" s="2">
        <v>140</v>
      </c>
      <c r="L54" s="2">
        <v>336.64</v>
      </c>
      <c r="M54" s="2">
        <v>1.611E-3</v>
      </c>
      <c r="N54" s="2">
        <v>1.1495E-2</v>
      </c>
      <c r="O54" s="2">
        <v>1549</v>
      </c>
      <c r="P54" s="2">
        <v>2481</v>
      </c>
      <c r="Q54" s="2">
        <v>1571.6</v>
      </c>
      <c r="R54" s="2">
        <v>2642.4</v>
      </c>
      <c r="S54" s="2">
        <v>3.6242999999999999</v>
      </c>
      <c r="T54" s="2">
        <v>5.3803000000000001</v>
      </c>
      <c r="U54" s="3"/>
      <c r="V54" s="2">
        <v>320</v>
      </c>
      <c r="W54" s="2">
        <v>113</v>
      </c>
      <c r="X54" s="2">
        <v>1.5E-3</v>
      </c>
      <c r="Y54" s="2">
        <v>1.5480000000000001E-2</v>
      </c>
      <c r="Z54" s="2">
        <v>1446</v>
      </c>
      <c r="AA54" s="2">
        <v>2529</v>
      </c>
      <c r="AB54" s="2">
        <v>1462.6</v>
      </c>
      <c r="AC54" s="2">
        <v>2703.7</v>
      </c>
      <c r="AD54" s="2">
        <v>3.45</v>
      </c>
      <c r="AE54" s="2">
        <v>5.5423</v>
      </c>
    </row>
    <row r="55" spans="1:31">
      <c r="K55" s="2">
        <v>150</v>
      </c>
      <c r="L55" s="2">
        <v>342.13</v>
      </c>
      <c r="M55" s="2">
        <v>1.658E-3</v>
      </c>
      <c r="N55" s="2">
        <v>1.034E-2</v>
      </c>
      <c r="O55" s="2">
        <v>1586</v>
      </c>
      <c r="P55" s="2">
        <v>2460</v>
      </c>
      <c r="Q55" s="2">
        <v>1611</v>
      </c>
      <c r="R55" s="2">
        <v>2615</v>
      </c>
      <c r="S55" s="2">
        <v>3.6859000000000002</v>
      </c>
      <c r="T55" s="2">
        <v>5.3178000000000001</v>
      </c>
      <c r="U55" s="3"/>
      <c r="V55" s="2">
        <v>330</v>
      </c>
      <c r="W55" s="2">
        <v>129</v>
      </c>
      <c r="X55" s="2">
        <v>1.5610000000000001E-3</v>
      </c>
      <c r="Y55" s="2">
        <v>1.299E-2</v>
      </c>
      <c r="Z55" s="2">
        <v>1506</v>
      </c>
      <c r="AA55" s="2">
        <v>2503</v>
      </c>
      <c r="AB55" s="2">
        <v>1526.5</v>
      </c>
      <c r="AC55" s="2">
        <v>2670.2</v>
      </c>
      <c r="AD55" s="2">
        <v>3.5528</v>
      </c>
      <c r="AE55" s="2">
        <v>5.4489999999999998</v>
      </c>
    </row>
    <row r="56" spans="1:31">
      <c r="K56" s="2">
        <v>160</v>
      </c>
      <c r="L56" s="2">
        <v>347.33</v>
      </c>
      <c r="M56" s="2">
        <v>1.7099999999999999E-3</v>
      </c>
      <c r="N56" s="2">
        <v>9.3080000000000003E-3</v>
      </c>
      <c r="O56" s="2">
        <v>1623</v>
      </c>
      <c r="P56" s="2">
        <v>2436</v>
      </c>
      <c r="Q56" s="2">
        <v>1650.5</v>
      </c>
      <c r="R56" s="2">
        <v>2584.9</v>
      </c>
      <c r="S56" s="2">
        <v>3.7471000000000001</v>
      </c>
      <c r="T56" s="2">
        <v>5.2530999999999999</v>
      </c>
      <c r="U56" s="3"/>
      <c r="V56" s="2">
        <v>340</v>
      </c>
      <c r="W56" s="2">
        <v>146</v>
      </c>
      <c r="X56" s="2">
        <v>1.639E-3</v>
      </c>
      <c r="Y56" s="2">
        <v>1.078E-2</v>
      </c>
      <c r="Z56" s="2">
        <v>1572</v>
      </c>
      <c r="AA56" s="2">
        <v>2469</v>
      </c>
      <c r="AB56" s="2">
        <v>1595.5</v>
      </c>
      <c r="AC56" s="2">
        <v>2626.2</v>
      </c>
      <c r="AD56" s="2">
        <v>3.6616</v>
      </c>
      <c r="AE56" s="2">
        <v>5.3426999999999998</v>
      </c>
    </row>
    <row r="57" spans="1:31">
      <c r="K57" s="2">
        <v>170</v>
      </c>
      <c r="L57" s="2">
        <v>352.26</v>
      </c>
      <c r="M57" s="2">
        <v>1.7700000000000001E-3</v>
      </c>
      <c r="N57" s="2">
        <v>8.371E-3</v>
      </c>
      <c r="O57" s="2">
        <v>1662</v>
      </c>
      <c r="P57" s="2">
        <v>2409</v>
      </c>
      <c r="Q57" s="2">
        <v>1691.7</v>
      </c>
      <c r="R57" s="2">
        <v>2551.6</v>
      </c>
      <c r="S57" s="2">
        <v>3.8107000000000002</v>
      </c>
      <c r="T57" s="2">
        <v>5.1855000000000002</v>
      </c>
      <c r="U57" s="3"/>
      <c r="V57" s="2">
        <v>350</v>
      </c>
      <c r="W57" s="2">
        <v>165</v>
      </c>
      <c r="X57" s="2">
        <v>1.7409999999999999E-3</v>
      </c>
      <c r="Y57" s="2">
        <v>8.8000000000000005E-3</v>
      </c>
      <c r="Z57" s="2">
        <v>1643</v>
      </c>
      <c r="AA57" s="2">
        <v>2422</v>
      </c>
      <c r="AB57" s="2">
        <v>1671.9</v>
      </c>
      <c r="AC57" s="2">
        <v>2567.6999999999998</v>
      </c>
      <c r="AD57" s="2">
        <v>3.78</v>
      </c>
      <c r="AE57" s="2">
        <v>5.2176999999999998</v>
      </c>
    </row>
    <row r="58" spans="1:31">
      <c r="K58" s="2">
        <v>175</v>
      </c>
      <c r="L58" s="2">
        <v>354.64</v>
      </c>
      <c r="M58" s="2">
        <v>1.8029999999999999E-3</v>
      </c>
      <c r="N58" s="2">
        <v>7.9260000000000008E-3</v>
      </c>
      <c r="O58" s="2">
        <v>1682</v>
      </c>
      <c r="P58" s="2">
        <v>2395</v>
      </c>
      <c r="Q58" s="2">
        <v>1713.3</v>
      </c>
      <c r="R58" s="2">
        <v>2533.3000000000002</v>
      </c>
      <c r="S58" s="2">
        <v>3.8437999999999999</v>
      </c>
      <c r="T58" s="2">
        <v>5.1497999999999999</v>
      </c>
      <c r="U58" s="3"/>
      <c r="V58" s="2">
        <v>360</v>
      </c>
      <c r="W58" s="2">
        <v>187</v>
      </c>
      <c r="X58" s="2">
        <v>1.8959999999999999E-3</v>
      </c>
      <c r="Y58" s="2">
        <v>6.94E-3</v>
      </c>
      <c r="Z58" s="2">
        <v>1729</v>
      </c>
      <c r="AA58" s="2">
        <v>2356</v>
      </c>
      <c r="AB58" s="2">
        <v>1764.2</v>
      </c>
      <c r="AC58" s="2">
        <v>2485.4</v>
      </c>
      <c r="AD58" s="2">
        <v>3.9209999999999998</v>
      </c>
      <c r="AE58" s="2">
        <v>5.0599999999999996</v>
      </c>
    </row>
    <row r="59" spans="1:31">
      <c r="K59" s="2">
        <v>180</v>
      </c>
      <c r="L59" s="2">
        <v>356.96</v>
      </c>
      <c r="M59" s="2">
        <v>1.8400000000000001E-3</v>
      </c>
      <c r="N59" s="2">
        <v>7.4980000000000003E-3</v>
      </c>
      <c r="O59" s="2">
        <v>1702</v>
      </c>
      <c r="P59" s="2">
        <v>2379</v>
      </c>
      <c r="Q59" s="2">
        <v>1734.8</v>
      </c>
      <c r="R59" s="2">
        <v>2513.9</v>
      </c>
      <c r="S59" s="2">
        <v>3.8765000000000001</v>
      </c>
      <c r="T59" s="2">
        <v>5.1128</v>
      </c>
      <c r="U59" s="3"/>
      <c r="V59" s="2">
        <v>370</v>
      </c>
      <c r="W59" s="2">
        <v>211</v>
      </c>
      <c r="X59" s="2">
        <v>2.2139999999999998E-3</v>
      </c>
      <c r="Y59" s="2">
        <v>4.9699999999999996E-3</v>
      </c>
      <c r="Z59" s="2">
        <v>1844</v>
      </c>
      <c r="AA59" s="2">
        <v>2238</v>
      </c>
      <c r="AB59" s="2">
        <v>1890.2</v>
      </c>
      <c r="AC59" s="2">
        <v>2342.8000000000002</v>
      </c>
      <c r="AD59" s="2">
        <v>4.1108000000000002</v>
      </c>
      <c r="AE59" s="2">
        <v>4.8144</v>
      </c>
    </row>
    <row r="60" spans="1:31">
      <c r="K60" s="2">
        <v>190</v>
      </c>
      <c r="L60" s="2">
        <v>361.43</v>
      </c>
      <c r="M60" s="2">
        <v>1.926E-3</v>
      </c>
      <c r="N60" s="2">
        <v>6.6779999999999999E-3</v>
      </c>
      <c r="O60" s="2">
        <v>1742</v>
      </c>
      <c r="P60" s="2">
        <v>2344</v>
      </c>
      <c r="Q60" s="2">
        <v>1778.7</v>
      </c>
      <c r="R60" s="2">
        <v>2470.6</v>
      </c>
      <c r="S60" s="2">
        <v>3.9428999999999998</v>
      </c>
      <c r="T60" s="2">
        <v>5.0331999999999999</v>
      </c>
      <c r="U60" s="3"/>
      <c r="V60" s="2">
        <v>373</v>
      </c>
      <c r="W60" s="2">
        <v>218</v>
      </c>
      <c r="X60" s="2">
        <v>2.496E-3</v>
      </c>
      <c r="Y60" s="2">
        <v>4.0800000000000003E-3</v>
      </c>
      <c r="Z60" s="2">
        <v>1916</v>
      </c>
      <c r="AA60" s="2">
        <v>2155</v>
      </c>
      <c r="AB60" s="2">
        <v>1970.5</v>
      </c>
      <c r="AC60" s="2">
        <v>2244</v>
      </c>
      <c r="AD60" s="2">
        <v>4.2325999999999997</v>
      </c>
      <c r="AE60" s="2">
        <v>4.6558999999999999</v>
      </c>
    </row>
    <row r="61" spans="1:31">
      <c r="K61" s="2">
        <v>200</v>
      </c>
      <c r="L61" s="2">
        <v>365.7</v>
      </c>
      <c r="M61" s="2">
        <v>2.0370000000000002E-3</v>
      </c>
      <c r="N61" s="2">
        <v>5.8770000000000003E-3</v>
      </c>
      <c r="O61" s="2">
        <v>1786</v>
      </c>
      <c r="P61" s="2">
        <v>2301</v>
      </c>
      <c r="Q61" s="2">
        <v>1826.5</v>
      </c>
      <c r="R61" s="2">
        <v>2418.4</v>
      </c>
      <c r="S61" s="2">
        <v>4.0148999999999999</v>
      </c>
      <c r="T61" s="2">
        <v>4.9412000000000003</v>
      </c>
      <c r="U61" s="3"/>
      <c r="V61" s="2">
        <v>374</v>
      </c>
      <c r="W61" s="2">
        <v>221</v>
      </c>
      <c r="X61" s="2">
        <v>2.843E-3</v>
      </c>
      <c r="Y61" s="2">
        <v>3.47E-3</v>
      </c>
      <c r="Z61" s="2">
        <v>1984</v>
      </c>
      <c r="AA61" s="2">
        <v>2080</v>
      </c>
      <c r="AB61" s="2">
        <v>2046.7</v>
      </c>
      <c r="AC61" s="2">
        <v>2156.1999999999998</v>
      </c>
      <c r="AD61" s="2">
        <v>4.3493000000000004</v>
      </c>
      <c r="AE61" s="2">
        <v>4.5185000000000004</v>
      </c>
    </row>
    <row r="62" spans="1:31">
      <c r="K62" s="2" t="s">
        <v>24</v>
      </c>
      <c r="L62" s="2">
        <v>374.1</v>
      </c>
      <c r="M62" s="2">
        <v>3.1549999999999998E-3</v>
      </c>
      <c r="N62" s="2">
        <v>3.1549999999999998E-3</v>
      </c>
      <c r="O62" s="2">
        <v>2026</v>
      </c>
      <c r="P62" s="2">
        <v>2026</v>
      </c>
      <c r="Q62" s="2">
        <v>2095</v>
      </c>
      <c r="R62" s="2">
        <v>2095</v>
      </c>
      <c r="S62" s="2">
        <v>4.4240000000000004</v>
      </c>
      <c r="T62" s="2">
        <v>4.4240000000000004</v>
      </c>
      <c r="U62" s="3"/>
      <c r="V62" s="2" t="s">
        <v>28</v>
      </c>
      <c r="W62" s="2">
        <v>221.2</v>
      </c>
      <c r="X62" s="2">
        <v>3.1549999999999998E-3</v>
      </c>
      <c r="Y62" s="2">
        <v>3.1549999999999998E-3</v>
      </c>
      <c r="Z62" s="2">
        <v>2025</v>
      </c>
      <c r="AA62" s="2">
        <v>2025</v>
      </c>
      <c r="AB62" s="2">
        <v>2095</v>
      </c>
      <c r="AC62" s="2">
        <v>2095</v>
      </c>
      <c r="AD62" s="2">
        <v>4.4240000000000004</v>
      </c>
      <c r="AE62" s="2">
        <v>4.4240000000000004</v>
      </c>
    </row>
    <row r="63" spans="1:31"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9" spans="11:20">
      <c r="K69" s="1"/>
      <c r="L69" s="1"/>
      <c r="M69" s="1"/>
      <c r="N69" s="1"/>
      <c r="O69" s="1"/>
      <c r="P69" s="1"/>
      <c r="Q69" s="1"/>
      <c r="R69" s="1"/>
      <c r="S69" s="1"/>
      <c r="T69" s="1"/>
    </row>
  </sheetData>
  <mergeCells count="34">
    <mergeCell ref="X3:X4"/>
    <mergeCell ref="Y3:Y4"/>
    <mergeCell ref="Q3:Q4"/>
    <mergeCell ref="R3:R4"/>
    <mergeCell ref="V1:AE2"/>
    <mergeCell ref="X5:Y6"/>
    <mergeCell ref="Z5:AA6"/>
    <mergeCell ref="AB5:AC6"/>
    <mergeCell ref="AD5:AE6"/>
    <mergeCell ref="AA3:AA4"/>
    <mergeCell ref="AB3:AB4"/>
    <mergeCell ref="AC3:AC4"/>
    <mergeCell ref="AD3:AD4"/>
    <mergeCell ref="AE3:AE4"/>
    <mergeCell ref="V5:V6"/>
    <mergeCell ref="W5:W6"/>
    <mergeCell ref="V3:V4"/>
    <mergeCell ref="W3:W4"/>
    <mergeCell ref="K3:K4"/>
    <mergeCell ref="L3:L4"/>
    <mergeCell ref="Z3:Z4"/>
    <mergeCell ref="K1:T2"/>
    <mergeCell ref="M5:N6"/>
    <mergeCell ref="O5:P6"/>
    <mergeCell ref="Q5:R6"/>
    <mergeCell ref="S5:T6"/>
    <mergeCell ref="S3:S4"/>
    <mergeCell ref="T3:T4"/>
    <mergeCell ref="K5:K6"/>
    <mergeCell ref="L5:L6"/>
    <mergeCell ref="M3:M4"/>
    <mergeCell ref="N3:N4"/>
    <mergeCell ref="O3:O4"/>
    <mergeCell ref="P3:P4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F154-BE17-1045-B741-27A7A9A6C0DF}">
  <dimension ref="A1:Y86"/>
  <sheetViews>
    <sheetView tabSelected="1" topLeftCell="J1" zoomScale="125" zoomScaleNormal="110" workbookViewId="0">
      <selection activeCell="L18" sqref="L18"/>
    </sheetView>
  </sheetViews>
  <sheetFormatPr baseColWidth="10" defaultRowHeight="16"/>
  <cols>
    <col min="7" max="7" width="12.6640625" bestFit="1" customWidth="1"/>
    <col min="8" max="8" width="11" bestFit="1" customWidth="1"/>
    <col min="9" max="9" width="11.83203125" bestFit="1" customWidth="1"/>
    <col min="17" max="17" width="11.6640625" bestFit="1" customWidth="1"/>
  </cols>
  <sheetData>
    <row r="1" spans="1:22" ht="35" thickBot="1">
      <c r="A1" t="s">
        <v>65</v>
      </c>
      <c r="B1">
        <f>3000000*10^-3</f>
        <v>3000</v>
      </c>
      <c r="E1" s="11" t="s">
        <v>0</v>
      </c>
      <c r="F1" s="12" t="s">
        <v>72</v>
      </c>
      <c r="G1" s="13" t="s">
        <v>73</v>
      </c>
      <c r="H1" s="14" t="s">
        <v>74</v>
      </c>
      <c r="I1" s="14" t="s">
        <v>75</v>
      </c>
      <c r="J1" s="33" t="s">
        <v>109</v>
      </c>
      <c r="K1" s="33" t="s">
        <v>108</v>
      </c>
      <c r="L1" t="s">
        <v>154</v>
      </c>
      <c r="O1" s="19" t="s">
        <v>77</v>
      </c>
      <c r="P1" s="20" t="s">
        <v>78</v>
      </c>
      <c r="Q1" s="21" t="s">
        <v>79</v>
      </c>
      <c r="S1" s="19" t="s">
        <v>77</v>
      </c>
      <c r="T1" s="20" t="s">
        <v>78</v>
      </c>
      <c r="U1" s="20" t="s">
        <v>95</v>
      </c>
      <c r="V1" s="28" t="s">
        <v>96</v>
      </c>
    </row>
    <row r="2" spans="1:22" ht="40" thickBot="1">
      <c r="A2" t="s">
        <v>66</v>
      </c>
      <c r="E2" s="15">
        <v>1</v>
      </c>
      <c r="F2" s="16" t="s">
        <v>76</v>
      </c>
      <c r="G2" s="58">
        <v>15</v>
      </c>
      <c r="H2" s="58">
        <v>1</v>
      </c>
      <c r="I2" s="58">
        <f>(B1/B4)/(B6*(G4+G2-G5-G3))</f>
        <v>7.2925198358893786</v>
      </c>
      <c r="J2" s="32">
        <v>414.37799999999999</v>
      </c>
      <c r="K2">
        <v>3.85</v>
      </c>
      <c r="O2" s="22" t="s">
        <v>80</v>
      </c>
      <c r="P2" s="23" t="s">
        <v>81</v>
      </c>
      <c r="Q2" s="59">
        <v>3000</v>
      </c>
      <c r="S2" s="29" t="s">
        <v>97</v>
      </c>
      <c r="T2" s="23" t="s">
        <v>98</v>
      </c>
      <c r="U2" s="23" t="s">
        <v>99</v>
      </c>
      <c r="V2" s="62">
        <f>Q2/Q9</f>
        <v>0.31245143816709803</v>
      </c>
    </row>
    <row r="3" spans="1:22" ht="66" thickBot="1">
      <c r="A3" t="s">
        <v>67</v>
      </c>
      <c r="B3">
        <f>B2</f>
        <v>0</v>
      </c>
      <c r="E3" s="15">
        <v>2</v>
      </c>
      <c r="F3" s="17" t="s">
        <v>146</v>
      </c>
      <c r="G3" s="58">
        <f>((273.15+G2)*C9)-273.15</f>
        <v>351.51143987688124</v>
      </c>
      <c r="H3" s="58">
        <v>15</v>
      </c>
      <c r="I3" s="58">
        <f>I2</f>
        <v>7.2925198358893786</v>
      </c>
      <c r="J3" s="32">
        <v>759.35199999999998</v>
      </c>
      <c r="K3">
        <f>K2</f>
        <v>3.85</v>
      </c>
      <c r="M3" s="17">
        <v>344.5</v>
      </c>
      <c r="O3" s="30" t="s">
        <v>82</v>
      </c>
      <c r="P3" s="24" t="s">
        <v>156</v>
      </c>
      <c r="Q3" s="60">
        <f>L8</f>
        <v>983.04217072774168</v>
      </c>
      <c r="S3" s="29" t="s">
        <v>100</v>
      </c>
      <c r="T3" s="23" t="s">
        <v>101</v>
      </c>
      <c r="U3" s="23" t="s">
        <v>102</v>
      </c>
      <c r="V3" s="62">
        <f>(Q3+Q4)/Q9</f>
        <v>0.20476862668185919</v>
      </c>
    </row>
    <row r="4" spans="1:22" ht="66" thickBot="1">
      <c r="A4" t="s">
        <v>68</v>
      </c>
      <c r="B4">
        <f>0.9</f>
        <v>0.9</v>
      </c>
      <c r="E4" s="15">
        <v>3</v>
      </c>
      <c r="F4" s="16" t="s">
        <v>147</v>
      </c>
      <c r="G4" s="58">
        <v>1200</v>
      </c>
      <c r="H4" s="58">
        <v>15</v>
      </c>
      <c r="I4" s="58">
        <f>I2</f>
        <v>7.2925198358893786</v>
      </c>
      <c r="J4" s="32">
        <v>1731</v>
      </c>
      <c r="K4" s="32">
        <v>9.0990000000000002</v>
      </c>
      <c r="O4" s="30" t="s">
        <v>83</v>
      </c>
      <c r="P4" s="24" t="s">
        <v>157</v>
      </c>
      <c r="Q4" s="60">
        <f>L8</f>
        <v>983.04217072774168</v>
      </c>
      <c r="S4" s="29" t="s">
        <v>103</v>
      </c>
      <c r="T4" s="23" t="s">
        <v>104</v>
      </c>
      <c r="U4" s="23" t="s">
        <v>105</v>
      </c>
      <c r="V4" s="62">
        <f>(Q2+Q3+Q4)/Q9</f>
        <v>0.51722006484895722</v>
      </c>
    </row>
    <row r="5" spans="1:22" ht="52" thickBot="1">
      <c r="A5" t="s">
        <v>69</v>
      </c>
      <c r="B5">
        <f>0.7</f>
        <v>0.7</v>
      </c>
      <c r="E5" s="15">
        <v>4</v>
      </c>
      <c r="F5" s="17" t="s">
        <v>150</v>
      </c>
      <c r="G5" s="58">
        <f>((273.15+G4)/C9)-273.15</f>
        <v>406.39918520929552</v>
      </c>
      <c r="H5" s="58">
        <v>1</v>
      </c>
      <c r="I5" s="58">
        <f>I2</f>
        <v>7.2925198358893786</v>
      </c>
      <c r="J5" s="35">
        <v>817.78300000000002</v>
      </c>
      <c r="K5" s="32">
        <v>9.0990000000000002</v>
      </c>
      <c r="M5">
        <v>600</v>
      </c>
      <c r="O5" s="22" t="s">
        <v>84</v>
      </c>
      <c r="P5" s="23" t="s">
        <v>85</v>
      </c>
      <c r="Q5" s="61">
        <f>B12-B1</f>
        <v>333.33333333333303</v>
      </c>
    </row>
    <row r="6" spans="1:22" ht="66" thickBot="1">
      <c r="A6" t="s">
        <v>70</v>
      </c>
      <c r="B6">
        <v>1</v>
      </c>
      <c r="E6" s="15">
        <v>5</v>
      </c>
      <c r="F6" s="17" t="s">
        <v>151</v>
      </c>
      <c r="G6" s="58">
        <v>170</v>
      </c>
      <c r="H6" s="58">
        <v>1</v>
      </c>
      <c r="I6" s="58">
        <f>I2</f>
        <v>7.2925198358893786</v>
      </c>
      <c r="J6" s="34">
        <v>571.13699999999994</v>
      </c>
      <c r="O6" s="30" t="s">
        <v>86</v>
      </c>
      <c r="P6" s="24" t="s">
        <v>158</v>
      </c>
      <c r="Q6" s="60">
        <f>B6*I6*(G6-15)</f>
        <v>1130.3405745628536</v>
      </c>
    </row>
    <row r="7" spans="1:22" ht="35" thickBot="1">
      <c r="A7" t="s">
        <v>110</v>
      </c>
      <c r="B7">
        <f>B6/B9</f>
        <v>0.7142857142857143</v>
      </c>
      <c r="E7" s="15">
        <v>6</v>
      </c>
      <c r="F7" s="17" t="s">
        <v>148</v>
      </c>
      <c r="G7" s="58">
        <v>120</v>
      </c>
      <c r="H7" s="58">
        <v>2</v>
      </c>
      <c r="I7" s="58">
        <f>(B6*I6*(G5-G6))/(J7-R58)</f>
        <v>0.78280043742252337</v>
      </c>
      <c r="J7" s="32">
        <f>S58</f>
        <v>2706</v>
      </c>
      <c r="L7">
        <f>I5*B6*(G5-G6)</f>
        <v>1723.9457473268747</v>
      </c>
      <c r="O7" s="22" t="s">
        <v>87</v>
      </c>
      <c r="P7" s="23" t="s">
        <v>88</v>
      </c>
      <c r="Q7" s="59">
        <f>I5*B6*(G5-G6)</f>
        <v>1723.9457473268747</v>
      </c>
    </row>
    <row r="8" spans="1:22" ht="52" thickBot="1">
      <c r="A8" t="s">
        <v>122</v>
      </c>
      <c r="B8">
        <v>4.1840000000000002</v>
      </c>
      <c r="E8" s="15">
        <v>7</v>
      </c>
      <c r="F8" s="17" t="s">
        <v>153</v>
      </c>
      <c r="G8" s="58">
        <f>G7</f>
        <v>120</v>
      </c>
      <c r="H8" s="58">
        <f>H7</f>
        <v>2</v>
      </c>
      <c r="I8" s="58">
        <f>I7/(1.7)</f>
        <v>0.46047084554266082</v>
      </c>
      <c r="L8">
        <f>I8*(J7-J6)</f>
        <v>983.04217072774168</v>
      </c>
      <c r="O8" s="22" t="s">
        <v>89</v>
      </c>
      <c r="P8" s="23" t="s">
        <v>90</v>
      </c>
      <c r="Q8" s="59">
        <f>G21</f>
        <v>9601.4920513683464</v>
      </c>
      <c r="T8" t="s">
        <v>118</v>
      </c>
    </row>
    <row r="9" spans="1:22" ht="53" thickBot="1">
      <c r="A9" t="s">
        <v>71</v>
      </c>
      <c r="B9">
        <v>1.4</v>
      </c>
      <c r="C9">
        <f>(H3/H2)^((B9-1)/B9)</f>
        <v>2.1678342525659597</v>
      </c>
      <c r="E9" s="15">
        <v>8</v>
      </c>
      <c r="F9" s="17" t="s">
        <v>152</v>
      </c>
      <c r="G9" s="58">
        <f>G7</f>
        <v>120</v>
      </c>
      <c r="H9" s="58">
        <f>H8</f>
        <v>2</v>
      </c>
      <c r="I9" s="58">
        <f>I7-I8</f>
        <v>0.32232959187986254</v>
      </c>
      <c r="O9" s="25" t="s">
        <v>91</v>
      </c>
      <c r="P9" s="26" t="s">
        <v>92</v>
      </c>
      <c r="Q9">
        <f>I3*(J4-J2)</f>
        <v>9601.4920513683464</v>
      </c>
      <c r="T9" t="s">
        <v>119</v>
      </c>
      <c r="U9">
        <f>I7/5</f>
        <v>0.15656008748450467</v>
      </c>
    </row>
    <row r="10" spans="1:22" ht="53" thickBot="1">
      <c r="A10" t="s">
        <v>111</v>
      </c>
      <c r="B10">
        <f>I2*(J3-J2)</f>
        <v>2515.7297378661024</v>
      </c>
      <c r="C10">
        <f>I2*B6*(G3-G2)</f>
        <v>2454.0163503058525</v>
      </c>
      <c r="E10" s="15">
        <v>9</v>
      </c>
      <c r="F10" s="17" t="s">
        <v>149</v>
      </c>
      <c r="G10" s="58">
        <v>35</v>
      </c>
      <c r="H10" s="58"/>
      <c r="I10" s="58">
        <f>L8/(B8*5)</f>
        <v>46.990543533830859</v>
      </c>
      <c r="O10" s="27" t="s">
        <v>93</v>
      </c>
      <c r="P10" s="23" t="s">
        <v>94</v>
      </c>
      <c r="Q10" s="59">
        <f>Q4+Q3+Q2</f>
        <v>4966.0843414554838</v>
      </c>
      <c r="T10" t="s">
        <v>121</v>
      </c>
      <c r="U10">
        <f>U9*B8*20</f>
        <v>13.10094812070335</v>
      </c>
    </row>
    <row r="11" spans="1:22" ht="49" customHeight="1" thickBot="1">
      <c r="A11" t="s">
        <v>112</v>
      </c>
      <c r="B11">
        <f>I4*(J4-J5)</f>
        <v>6659.6530869713906</v>
      </c>
      <c r="C11">
        <f>I4*B6*(G4-G5)</f>
        <v>5787.3496836391851</v>
      </c>
      <c r="E11" s="31" t="s">
        <v>106</v>
      </c>
      <c r="F11" s="55" t="s">
        <v>107</v>
      </c>
      <c r="G11" s="56"/>
      <c r="H11" s="57"/>
      <c r="I11" s="17">
        <f>I7*(J7-R58)</f>
        <v>1723.9457473268747</v>
      </c>
      <c r="T11" t="s">
        <v>120</v>
      </c>
      <c r="U11">
        <f>I7*(4/5)</f>
        <v>0.62624034993801869</v>
      </c>
    </row>
    <row r="12" spans="1:22" ht="34">
      <c r="A12" t="s">
        <v>113</v>
      </c>
      <c r="B12">
        <f>B1/B4</f>
        <v>3333.333333333333</v>
      </c>
      <c r="C12">
        <f>C11-C10</f>
        <v>3333.3333333333326</v>
      </c>
      <c r="F12" s="35" t="s">
        <v>155</v>
      </c>
      <c r="I12">
        <f>L8/(B8*20)</f>
        <v>11.747635883457715</v>
      </c>
      <c r="T12" t="s">
        <v>123</v>
      </c>
      <c r="U12">
        <f>U11*B8*5</f>
        <v>13.10094812070335</v>
      </c>
    </row>
    <row r="13" spans="1:22">
      <c r="A13" t="s">
        <v>114</v>
      </c>
      <c r="B13">
        <f>B1*10^-3</f>
        <v>3</v>
      </c>
      <c r="C13">
        <f>B12-C12</f>
        <v>0</v>
      </c>
    </row>
    <row r="14" spans="1:22">
      <c r="A14" t="s">
        <v>115</v>
      </c>
      <c r="C14">
        <f>I2*B6*(G4-G3)</f>
        <v>6187.6196552230613</v>
      </c>
    </row>
    <row r="15" spans="1:22">
      <c r="A15" t="s">
        <v>116</v>
      </c>
      <c r="C15" s="8">
        <f>C12/C14</f>
        <v>0.53871012102685023</v>
      </c>
    </row>
    <row r="16" spans="1:22">
      <c r="A16" t="s">
        <v>117</v>
      </c>
      <c r="C16" s="8">
        <f>1-(1/((H3/H2)^((B9-1)/B9)))</f>
        <v>0.53871012102685034</v>
      </c>
    </row>
    <row r="17" spans="1:21">
      <c r="A17" t="s">
        <v>124</v>
      </c>
      <c r="C17">
        <f>B1/C14</f>
        <v>0.48483910892416532</v>
      </c>
    </row>
    <row r="21" spans="1:21">
      <c r="G21">
        <f>I3*(J4-J2)</f>
        <v>9601.4920513683464</v>
      </c>
    </row>
    <row r="25" spans="1:21" ht="19">
      <c r="O25" s="52"/>
      <c r="P25" s="52"/>
      <c r="Q25" s="52"/>
    </row>
    <row r="26" spans="1:21" ht="19">
      <c r="O26" s="18" t="s">
        <v>30</v>
      </c>
      <c r="P26" s="18" t="s">
        <v>31</v>
      </c>
      <c r="Q26" s="18" t="s">
        <v>32</v>
      </c>
    </row>
    <row r="27" spans="1:21" ht="19">
      <c r="O27" s="18"/>
      <c r="P27" s="18" t="s">
        <v>21</v>
      </c>
      <c r="Q27" s="18"/>
    </row>
    <row r="28" spans="1:21" ht="19">
      <c r="A28" s="18" t="s">
        <v>16</v>
      </c>
      <c r="B28" s="18"/>
      <c r="C28" s="18"/>
      <c r="D28" s="18"/>
      <c r="E28" s="18"/>
      <c r="F28" s="18"/>
      <c r="G28" s="18"/>
      <c r="H28" s="18"/>
      <c r="I28" s="18"/>
      <c r="J28" s="18"/>
      <c r="K28" s="4"/>
      <c r="L28" s="52" t="s">
        <v>16</v>
      </c>
      <c r="M28" s="52"/>
      <c r="N28" s="52"/>
      <c r="O28" s="2">
        <v>206.18</v>
      </c>
      <c r="P28" s="2">
        <v>0</v>
      </c>
      <c r="Q28" s="2">
        <v>2375</v>
      </c>
      <c r="R28" s="52"/>
      <c r="S28" s="52"/>
      <c r="T28" s="52"/>
      <c r="U28" s="52"/>
    </row>
    <row r="29" spans="1:21" ht="19">
      <c r="A29" s="18" t="s">
        <v>17</v>
      </c>
      <c r="B29" s="18" t="s">
        <v>18</v>
      </c>
      <c r="C29" s="18" t="s">
        <v>29</v>
      </c>
      <c r="D29" s="18" t="s">
        <v>30</v>
      </c>
      <c r="E29" s="18" t="s">
        <v>31</v>
      </c>
      <c r="F29" s="18" t="s">
        <v>32</v>
      </c>
      <c r="G29" s="18" t="s">
        <v>33</v>
      </c>
      <c r="H29" s="18" t="s">
        <v>34</v>
      </c>
      <c r="I29" s="18" t="s">
        <v>35</v>
      </c>
      <c r="J29" s="18" t="s">
        <v>36</v>
      </c>
      <c r="K29" s="4"/>
      <c r="L29" s="18" t="s">
        <v>18</v>
      </c>
      <c r="M29" s="18" t="s">
        <v>17</v>
      </c>
      <c r="N29" s="18" t="s">
        <v>29</v>
      </c>
      <c r="O29" s="2">
        <v>206.31</v>
      </c>
      <c r="P29" s="2">
        <v>0</v>
      </c>
      <c r="Q29" s="2">
        <v>2376</v>
      </c>
      <c r="R29" s="18" t="s">
        <v>33</v>
      </c>
      <c r="S29" s="18" t="s">
        <v>34</v>
      </c>
      <c r="T29" s="18" t="s">
        <v>35</v>
      </c>
      <c r="U29" s="18" t="s">
        <v>36</v>
      </c>
    </row>
    <row r="30" spans="1:21" ht="19">
      <c r="A30" s="18" t="s">
        <v>19</v>
      </c>
      <c r="B30" s="18" t="s">
        <v>20</v>
      </c>
      <c r="C30" s="18" t="s">
        <v>37</v>
      </c>
      <c r="D30" s="18"/>
      <c r="E30" s="18" t="s">
        <v>21</v>
      </c>
      <c r="F30" s="18"/>
      <c r="G30" s="18" t="s">
        <v>21</v>
      </c>
      <c r="H30" s="18"/>
      <c r="I30" s="18" t="s">
        <v>22</v>
      </c>
      <c r="J30" s="18"/>
      <c r="K30" s="4"/>
      <c r="L30" s="18" t="s">
        <v>20</v>
      </c>
      <c r="M30" s="18" t="s">
        <v>19</v>
      </c>
      <c r="N30" s="18" t="s">
        <v>37</v>
      </c>
      <c r="O30" s="2">
        <v>192.61</v>
      </c>
      <c r="P30" s="2">
        <v>4.2</v>
      </c>
      <c r="Q30" s="2">
        <v>2376</v>
      </c>
      <c r="R30" s="18" t="s">
        <v>21</v>
      </c>
      <c r="S30" s="18"/>
      <c r="T30" s="18" t="s">
        <v>22</v>
      </c>
      <c r="U30" s="18"/>
    </row>
    <row r="31" spans="1:21" ht="19">
      <c r="A31" s="2" t="s">
        <v>23</v>
      </c>
      <c r="B31" s="2">
        <v>0.01</v>
      </c>
      <c r="C31" s="2">
        <v>9.9979999999999991E-4</v>
      </c>
      <c r="D31" s="2">
        <v>206.18</v>
      </c>
      <c r="E31" s="2">
        <v>0</v>
      </c>
      <c r="F31" s="2">
        <v>2375</v>
      </c>
      <c r="G31" s="2">
        <v>6.1129999999999995E-4</v>
      </c>
      <c r="H31" s="2">
        <v>2501</v>
      </c>
      <c r="I31" s="2">
        <v>0</v>
      </c>
      <c r="J31" s="2">
        <v>9.1560000000000006</v>
      </c>
      <c r="K31" s="4"/>
      <c r="L31" s="2" t="s">
        <v>25</v>
      </c>
      <c r="M31" s="2">
        <v>6.11E-3</v>
      </c>
      <c r="N31" s="2">
        <v>9.9979999999999991E-4</v>
      </c>
      <c r="O31" s="2">
        <v>168.17</v>
      </c>
      <c r="P31" s="2">
        <v>12.6</v>
      </c>
      <c r="Q31" s="2">
        <v>2379</v>
      </c>
      <c r="R31" s="2">
        <v>6.1129999999999995E-4</v>
      </c>
      <c r="S31" s="2">
        <v>2501</v>
      </c>
      <c r="T31" s="2">
        <v>0</v>
      </c>
      <c r="U31" s="2">
        <v>9.1560000000000006</v>
      </c>
    </row>
    <row r="32" spans="1:21" ht="19">
      <c r="A32" s="2">
        <v>0.01</v>
      </c>
      <c r="B32" s="2">
        <v>6.98</v>
      </c>
      <c r="C32" s="2">
        <v>1E-3</v>
      </c>
      <c r="D32" s="2">
        <v>129.21</v>
      </c>
      <c r="E32" s="2">
        <v>29.3</v>
      </c>
      <c r="F32" s="2">
        <v>2385</v>
      </c>
      <c r="G32" s="2">
        <v>29.34</v>
      </c>
      <c r="H32" s="2">
        <v>2514.4</v>
      </c>
      <c r="I32" s="2">
        <v>0.106</v>
      </c>
      <c r="J32" s="2">
        <v>8.9766999999999992</v>
      </c>
      <c r="K32" s="4"/>
      <c r="L32" s="2">
        <v>0</v>
      </c>
      <c r="M32" s="2">
        <v>6.0000000000000001E-3</v>
      </c>
      <c r="N32" s="2">
        <v>1E-3</v>
      </c>
      <c r="O32" s="2">
        <v>147.16</v>
      </c>
      <c r="P32" s="2">
        <v>21</v>
      </c>
      <c r="Q32" s="2">
        <v>2383</v>
      </c>
      <c r="R32" s="2" t="s">
        <v>26</v>
      </c>
      <c r="S32" s="2">
        <v>2501.6</v>
      </c>
      <c r="T32" s="2" t="s">
        <v>27</v>
      </c>
      <c r="U32" s="2">
        <v>9.1577000000000002</v>
      </c>
    </row>
    <row r="33" spans="1:21" ht="19">
      <c r="A33" s="2">
        <v>1.4999999999999999E-2</v>
      </c>
      <c r="B33" s="2">
        <v>13.04</v>
      </c>
      <c r="C33" s="2">
        <v>1.0009999999999999E-3</v>
      </c>
      <c r="D33" s="2">
        <v>87.98</v>
      </c>
      <c r="E33" s="2">
        <v>54.7</v>
      </c>
      <c r="F33" s="2">
        <v>2393</v>
      </c>
      <c r="G33" s="2">
        <v>54.71</v>
      </c>
      <c r="H33" s="2">
        <v>2525.5</v>
      </c>
      <c r="I33" s="2">
        <v>0.19570000000000001</v>
      </c>
      <c r="J33" s="2">
        <v>8.8287999999999993</v>
      </c>
      <c r="K33" s="4"/>
      <c r="L33" s="2">
        <v>1</v>
      </c>
      <c r="M33" s="2">
        <v>7.0000000000000001E-3</v>
      </c>
      <c r="N33" s="2">
        <v>1E-3</v>
      </c>
      <c r="O33" s="2">
        <v>106.43</v>
      </c>
      <c r="P33" s="2">
        <v>42</v>
      </c>
      <c r="Q33" s="2">
        <v>2389</v>
      </c>
      <c r="R33" s="2">
        <v>4.17</v>
      </c>
      <c r="S33" s="2">
        <v>2503.4</v>
      </c>
      <c r="T33" s="2">
        <v>1.5299999999999999E-2</v>
      </c>
      <c r="U33" s="2">
        <v>9.1311</v>
      </c>
    </row>
    <row r="34" spans="1:21">
      <c r="A34" s="2">
        <v>0.02</v>
      </c>
      <c r="B34" s="2">
        <v>17.510000000000002</v>
      </c>
      <c r="C34" s="2">
        <v>1.0009999999999999E-3</v>
      </c>
      <c r="D34" s="2">
        <v>67.010000000000005</v>
      </c>
      <c r="E34" s="2">
        <v>73.5</v>
      </c>
      <c r="F34" s="2">
        <v>2400</v>
      </c>
      <c r="G34" s="2">
        <v>73.459999999999994</v>
      </c>
      <c r="H34" s="2">
        <v>2533.6999999999998</v>
      </c>
      <c r="I34" s="2">
        <v>0.26069999999999999</v>
      </c>
      <c r="J34" s="2">
        <v>8.7246000000000006</v>
      </c>
      <c r="K34" s="3"/>
      <c r="L34" s="2">
        <v>3</v>
      </c>
      <c r="M34" s="2">
        <v>8.0000000000000002E-3</v>
      </c>
      <c r="N34" s="2">
        <v>1E-3</v>
      </c>
      <c r="O34" s="2">
        <v>77.98</v>
      </c>
      <c r="P34" s="2">
        <v>62.9</v>
      </c>
      <c r="Q34" s="2">
        <v>2396</v>
      </c>
      <c r="R34" s="2">
        <v>12.6</v>
      </c>
      <c r="S34" s="2">
        <v>2507.1</v>
      </c>
      <c r="T34" s="2">
        <v>4.5900000000000003E-2</v>
      </c>
      <c r="U34" s="2">
        <v>9.0785</v>
      </c>
    </row>
    <row r="35" spans="1:21">
      <c r="A35" s="2">
        <v>2.5000000000000001E-2</v>
      </c>
      <c r="B35" s="2">
        <v>21.1</v>
      </c>
      <c r="C35" s="2">
        <v>1.0020000000000001E-3</v>
      </c>
      <c r="D35" s="2">
        <v>54.26</v>
      </c>
      <c r="E35" s="2">
        <v>88.4</v>
      </c>
      <c r="F35" s="2">
        <v>2405</v>
      </c>
      <c r="G35" s="2">
        <v>88.45</v>
      </c>
      <c r="H35" s="2">
        <v>2540.1999999999998</v>
      </c>
      <c r="I35" s="2">
        <v>0.31190000000000001</v>
      </c>
      <c r="J35" s="2">
        <v>8.6440000000000001</v>
      </c>
      <c r="K35" s="3"/>
      <c r="L35" s="2">
        <v>5</v>
      </c>
      <c r="M35" s="2">
        <v>8.9999999999999993E-3</v>
      </c>
      <c r="N35" s="2">
        <v>1E-3</v>
      </c>
      <c r="O35" s="2">
        <v>57.84</v>
      </c>
      <c r="P35" s="2">
        <v>83.9</v>
      </c>
      <c r="Q35" s="2">
        <v>2403</v>
      </c>
      <c r="R35" s="2">
        <v>21.01</v>
      </c>
      <c r="S35" s="2">
        <v>2510.6999999999998</v>
      </c>
      <c r="T35" s="2">
        <v>7.6200000000000004E-2</v>
      </c>
      <c r="U35" s="2">
        <v>9.0268999999999995</v>
      </c>
    </row>
    <row r="36" spans="1:21">
      <c r="A36" s="2">
        <v>0.03</v>
      </c>
      <c r="B36" s="2">
        <v>24.1</v>
      </c>
      <c r="C36" s="2">
        <v>1.003E-3</v>
      </c>
      <c r="D36" s="2">
        <v>45.67</v>
      </c>
      <c r="E36" s="2">
        <v>101</v>
      </c>
      <c r="F36" s="2">
        <v>2409</v>
      </c>
      <c r="G36" s="2">
        <v>101</v>
      </c>
      <c r="H36" s="2">
        <v>2545.6999999999998</v>
      </c>
      <c r="I36" s="2">
        <v>0.35439999999999999</v>
      </c>
      <c r="J36" s="2">
        <v>8.5785</v>
      </c>
      <c r="K36" s="3"/>
      <c r="L36" s="2">
        <v>10</v>
      </c>
      <c r="M36" s="2">
        <v>1.2E-2</v>
      </c>
      <c r="N36" s="2">
        <v>1E-3</v>
      </c>
      <c r="O36" s="2">
        <v>43.4</v>
      </c>
      <c r="P36" s="2">
        <v>104.8</v>
      </c>
      <c r="Q36" s="2">
        <v>2410</v>
      </c>
      <c r="R36" s="2">
        <v>41.99</v>
      </c>
      <c r="S36" s="2">
        <v>2519.9</v>
      </c>
      <c r="T36" s="2">
        <v>0.151</v>
      </c>
      <c r="U36" s="2">
        <v>8.9019999999999992</v>
      </c>
    </row>
    <row r="37" spans="1:21">
      <c r="A37" s="2">
        <v>0.04</v>
      </c>
      <c r="B37" s="2">
        <v>28.98</v>
      </c>
      <c r="C37" s="2">
        <v>1.0039999999999999E-3</v>
      </c>
      <c r="D37" s="2">
        <v>34.799999999999997</v>
      </c>
      <c r="E37" s="2">
        <v>121.4</v>
      </c>
      <c r="F37" s="2">
        <v>2415</v>
      </c>
      <c r="G37" s="2">
        <v>121.41</v>
      </c>
      <c r="H37" s="2">
        <v>2554.5</v>
      </c>
      <c r="I37" s="2">
        <v>0.42249999999999999</v>
      </c>
      <c r="J37" s="2">
        <v>8.4755000000000003</v>
      </c>
      <c r="K37" s="3"/>
      <c r="L37" s="2">
        <v>15</v>
      </c>
      <c r="M37" s="2">
        <v>1.7000000000000001E-2</v>
      </c>
      <c r="N37" s="2">
        <v>1.0009999999999999E-3</v>
      </c>
      <c r="O37" s="2">
        <v>32.93</v>
      </c>
      <c r="P37" s="2">
        <v>125.7</v>
      </c>
      <c r="Q37" s="2">
        <v>2417</v>
      </c>
      <c r="R37" s="2">
        <v>62.94</v>
      </c>
      <c r="S37" s="2">
        <v>2529.1</v>
      </c>
      <c r="T37" s="2">
        <v>0.2243</v>
      </c>
      <c r="U37" s="2">
        <v>8.7826000000000004</v>
      </c>
    </row>
    <row r="38" spans="1:21">
      <c r="A38" s="2">
        <v>0.05</v>
      </c>
      <c r="B38" s="2">
        <v>32.9</v>
      </c>
      <c r="C38" s="2">
        <v>1.005E-3</v>
      </c>
      <c r="D38" s="2">
        <v>28.19</v>
      </c>
      <c r="E38" s="2">
        <v>137.80000000000001</v>
      </c>
      <c r="F38" s="2">
        <v>2421</v>
      </c>
      <c r="G38" s="2">
        <v>137.77000000000001</v>
      </c>
      <c r="H38" s="2">
        <v>2561.6</v>
      </c>
      <c r="I38" s="2">
        <v>0.4763</v>
      </c>
      <c r="J38" s="2">
        <v>8.3960000000000008</v>
      </c>
      <c r="K38" s="3"/>
      <c r="L38" s="2">
        <v>20</v>
      </c>
      <c r="M38" s="2">
        <v>2.3E-2</v>
      </c>
      <c r="N38" s="2">
        <v>1.0020000000000001E-3</v>
      </c>
      <c r="O38" s="2">
        <v>25.245000000000001</v>
      </c>
      <c r="P38" s="2">
        <v>146.6</v>
      </c>
      <c r="Q38" s="2">
        <v>2424</v>
      </c>
      <c r="R38" s="2">
        <v>83.86</v>
      </c>
      <c r="S38" s="2">
        <v>2538.1999999999998</v>
      </c>
      <c r="T38" s="2">
        <v>0.29630000000000001</v>
      </c>
      <c r="U38" s="2">
        <v>8.6684000000000001</v>
      </c>
    </row>
    <row r="39" spans="1:21">
      <c r="A39" s="2">
        <v>7.4999999999999997E-2</v>
      </c>
      <c r="B39" s="2">
        <v>40.32</v>
      </c>
      <c r="C39" s="2">
        <v>1.008E-3</v>
      </c>
      <c r="D39" s="2">
        <v>19.239000000000001</v>
      </c>
      <c r="E39" s="2">
        <v>168.8</v>
      </c>
      <c r="F39" s="2">
        <v>2431</v>
      </c>
      <c r="G39" s="2">
        <v>168.77</v>
      </c>
      <c r="H39" s="2">
        <v>2574.9</v>
      </c>
      <c r="I39" s="2">
        <v>0.57630000000000003</v>
      </c>
      <c r="J39" s="2">
        <v>8.2523</v>
      </c>
      <c r="K39" s="3"/>
      <c r="L39" s="2">
        <v>25</v>
      </c>
      <c r="M39" s="2">
        <v>3.2000000000000001E-2</v>
      </c>
      <c r="N39" s="2">
        <v>1.003E-3</v>
      </c>
      <c r="O39" s="2">
        <v>19.545999999999999</v>
      </c>
      <c r="P39" s="2">
        <v>167.4</v>
      </c>
      <c r="Q39" s="2">
        <v>2430</v>
      </c>
      <c r="R39" s="2">
        <v>104.77</v>
      </c>
      <c r="S39" s="2">
        <v>2547.3000000000002</v>
      </c>
      <c r="T39" s="2">
        <v>0.36699999999999999</v>
      </c>
      <c r="U39" s="2">
        <v>8.5592000000000006</v>
      </c>
    </row>
    <row r="40" spans="1:21">
      <c r="A40" s="2">
        <v>0.1</v>
      </c>
      <c r="B40" s="2">
        <v>45.83</v>
      </c>
      <c r="C40" s="2">
        <v>1.01E-3</v>
      </c>
      <c r="D40" s="2">
        <v>14.675000000000001</v>
      </c>
      <c r="E40" s="2">
        <v>191.8</v>
      </c>
      <c r="F40" s="2">
        <v>2438</v>
      </c>
      <c r="G40" s="2">
        <v>191.83</v>
      </c>
      <c r="H40" s="2">
        <v>2584.8000000000002</v>
      </c>
      <c r="I40" s="2">
        <v>0.64929999999999999</v>
      </c>
      <c r="J40" s="2">
        <v>8.1510999999999996</v>
      </c>
      <c r="K40" s="3"/>
      <c r="L40" s="2">
        <v>30</v>
      </c>
      <c r="M40" s="2">
        <v>4.2000000000000003E-2</v>
      </c>
      <c r="N40" s="2">
        <v>1.0039999999999999E-3</v>
      </c>
      <c r="O40" s="2">
        <v>15.276</v>
      </c>
      <c r="P40" s="2">
        <v>188.3</v>
      </c>
      <c r="Q40" s="2">
        <v>2437</v>
      </c>
      <c r="R40" s="2">
        <v>125.66</v>
      </c>
      <c r="S40" s="2">
        <v>2556.4</v>
      </c>
      <c r="T40" s="2">
        <v>0.4365</v>
      </c>
      <c r="U40" s="2">
        <v>8.4545999999999992</v>
      </c>
    </row>
    <row r="41" spans="1:21">
      <c r="A41" s="2">
        <v>0.15</v>
      </c>
      <c r="B41" s="2">
        <v>54</v>
      </c>
      <c r="C41" s="2">
        <v>1.0139999999999999E-3</v>
      </c>
      <c r="D41" s="2">
        <v>10.023</v>
      </c>
      <c r="E41" s="2">
        <v>226</v>
      </c>
      <c r="F41" s="2">
        <v>2449</v>
      </c>
      <c r="G41" s="2">
        <v>225.97</v>
      </c>
      <c r="H41" s="2">
        <v>2599.1999999999998</v>
      </c>
      <c r="I41" s="2">
        <v>0.75490000000000002</v>
      </c>
      <c r="J41" s="2">
        <v>8.0092999999999996</v>
      </c>
      <c r="K41" s="3"/>
      <c r="L41" s="2">
        <v>35</v>
      </c>
      <c r="M41" s="2">
        <v>5.6000000000000001E-2</v>
      </c>
      <c r="N41" s="2">
        <v>1.0059999999999999E-3</v>
      </c>
      <c r="O41" s="2">
        <v>12.045999999999999</v>
      </c>
      <c r="P41" s="2">
        <v>209.2</v>
      </c>
      <c r="Q41" s="2">
        <v>2444</v>
      </c>
      <c r="R41" s="2">
        <v>146.56</v>
      </c>
      <c r="S41" s="2">
        <v>2565.4</v>
      </c>
      <c r="T41" s="2">
        <v>0.50490000000000002</v>
      </c>
      <c r="U41" s="2">
        <v>8.3543000000000003</v>
      </c>
    </row>
    <row r="42" spans="1:21">
      <c r="A42" s="2">
        <v>0.2</v>
      </c>
      <c r="B42" s="2">
        <v>60.09</v>
      </c>
      <c r="C42" s="2">
        <v>1.0169999999999999E-3</v>
      </c>
      <c r="D42" s="2">
        <v>7.6497669999999998</v>
      </c>
      <c r="E42" s="2">
        <v>251.4</v>
      </c>
      <c r="F42" s="2">
        <v>2457</v>
      </c>
      <c r="G42" s="2">
        <v>251.45</v>
      </c>
      <c r="H42" s="2">
        <v>2609.9</v>
      </c>
      <c r="I42" s="2">
        <v>0.83209999999999995</v>
      </c>
      <c r="J42" s="2">
        <v>7.9093999999999998</v>
      </c>
      <c r="K42" s="3"/>
      <c r="L42" s="2">
        <v>40</v>
      </c>
      <c r="M42" s="2">
        <v>7.3999999999999996E-2</v>
      </c>
      <c r="N42" s="2">
        <v>1.008E-3</v>
      </c>
      <c r="O42" s="2">
        <v>9.5790000000000006</v>
      </c>
      <c r="P42" s="2">
        <v>230.2</v>
      </c>
      <c r="Q42" s="2">
        <v>2450</v>
      </c>
      <c r="R42" s="2">
        <v>167.45</v>
      </c>
      <c r="S42" s="2">
        <v>2574.4</v>
      </c>
      <c r="T42" s="2">
        <v>0.57210000000000005</v>
      </c>
      <c r="U42" s="2">
        <v>8.2583000000000002</v>
      </c>
    </row>
    <row r="43" spans="1:21">
      <c r="A43" s="2">
        <v>0.25</v>
      </c>
      <c r="B43" s="2">
        <v>64.989999999999995</v>
      </c>
      <c r="C43" s="2">
        <v>1.0200000000000001E-3</v>
      </c>
      <c r="D43" s="2">
        <v>6.2044689999999996</v>
      </c>
      <c r="E43" s="2">
        <v>272</v>
      </c>
      <c r="F43" s="2">
        <v>2463</v>
      </c>
      <c r="G43" s="2">
        <v>271.99</v>
      </c>
      <c r="H43" s="2">
        <v>2618.4</v>
      </c>
      <c r="I43" s="2">
        <v>0.89319999999999999</v>
      </c>
      <c r="J43" s="2">
        <v>7.8323</v>
      </c>
      <c r="K43" s="3"/>
      <c r="L43" s="2">
        <v>45</v>
      </c>
      <c r="M43" s="2">
        <v>9.6000000000000002E-2</v>
      </c>
      <c r="N43" s="2">
        <v>1.01E-3</v>
      </c>
      <c r="O43" s="2">
        <v>7.6790000000000003</v>
      </c>
      <c r="P43" s="2">
        <v>251.1</v>
      </c>
      <c r="Q43" s="2">
        <v>2457</v>
      </c>
      <c r="R43" s="2">
        <v>188.35</v>
      </c>
      <c r="S43" s="2">
        <v>2583.3000000000002</v>
      </c>
      <c r="T43" s="2">
        <v>0.63829999999999998</v>
      </c>
      <c r="U43" s="2">
        <v>8.1661000000000001</v>
      </c>
    </row>
    <row r="44" spans="1:21">
      <c r="A44" s="2">
        <v>0.3</v>
      </c>
      <c r="B44" s="2">
        <v>69.12</v>
      </c>
      <c r="C44" s="2">
        <v>1.0219999999999999E-3</v>
      </c>
      <c r="D44" s="2">
        <v>5.2293019999999997</v>
      </c>
      <c r="E44" s="2">
        <v>289.3</v>
      </c>
      <c r="F44" s="2">
        <v>2469</v>
      </c>
      <c r="G44" s="2">
        <v>289.3</v>
      </c>
      <c r="H44" s="2">
        <v>2625.4</v>
      </c>
      <c r="I44" s="2">
        <v>0.94410000000000005</v>
      </c>
      <c r="J44" s="2">
        <v>7.7694999999999999</v>
      </c>
      <c r="K44" s="3"/>
      <c r="L44" s="2">
        <v>50</v>
      </c>
      <c r="M44" s="2">
        <v>0.12</v>
      </c>
      <c r="N44" s="2">
        <v>1.0120000000000001E-3</v>
      </c>
      <c r="O44" s="2">
        <v>6.202</v>
      </c>
      <c r="P44" s="2">
        <v>272</v>
      </c>
      <c r="Q44" s="2">
        <v>2463</v>
      </c>
      <c r="R44" s="2">
        <v>209.26</v>
      </c>
      <c r="S44" s="2">
        <v>2592.1999999999998</v>
      </c>
      <c r="T44" s="2">
        <v>0.70350000000000001</v>
      </c>
      <c r="U44" s="2">
        <v>8.0776000000000003</v>
      </c>
    </row>
    <row r="45" spans="1:21">
      <c r="A45" s="2">
        <v>0.4</v>
      </c>
      <c r="B45" s="2">
        <v>75.89</v>
      </c>
      <c r="C45" s="2">
        <v>1.0269999999999999E-3</v>
      </c>
      <c r="D45" s="2">
        <v>3.9934240000000001</v>
      </c>
      <c r="E45" s="2">
        <v>317.60000000000002</v>
      </c>
      <c r="F45" s="2">
        <v>2477</v>
      </c>
      <c r="G45" s="2">
        <v>317.64999999999998</v>
      </c>
      <c r="H45" s="2">
        <v>2636.9</v>
      </c>
      <c r="I45" s="2">
        <v>1.0261</v>
      </c>
      <c r="J45" s="2">
        <v>7.6708999999999996</v>
      </c>
      <c r="K45" s="3"/>
      <c r="L45" s="2">
        <v>55</v>
      </c>
      <c r="M45" s="2">
        <v>0.16</v>
      </c>
      <c r="N45" s="2">
        <v>1.0150000000000001E-3</v>
      </c>
      <c r="O45" s="2">
        <v>5.0460000000000003</v>
      </c>
      <c r="P45" s="2">
        <v>292.89999999999998</v>
      </c>
      <c r="Q45" s="2">
        <v>2470</v>
      </c>
      <c r="R45" s="2">
        <v>230.17</v>
      </c>
      <c r="S45" s="2">
        <v>2601</v>
      </c>
      <c r="T45" s="2">
        <v>0.76770000000000005</v>
      </c>
      <c r="U45" s="2">
        <v>7.9926000000000004</v>
      </c>
    </row>
    <row r="46" spans="1:21">
      <c r="A46" s="2">
        <v>0.5</v>
      </c>
      <c r="B46" s="2">
        <v>81.349999999999994</v>
      </c>
      <c r="C46" s="2">
        <v>1.0300000000000001E-3</v>
      </c>
      <c r="D46" s="2">
        <v>3.2402220000000002</v>
      </c>
      <c r="E46" s="2">
        <v>340.5</v>
      </c>
      <c r="F46" s="2">
        <v>2484</v>
      </c>
      <c r="G46" s="2">
        <v>340.56</v>
      </c>
      <c r="H46" s="2">
        <v>2646</v>
      </c>
      <c r="I46" s="2">
        <v>1.0911999999999999</v>
      </c>
      <c r="J46" s="2">
        <v>7.5946999999999996</v>
      </c>
      <c r="K46" s="3"/>
      <c r="L46" s="2">
        <v>60</v>
      </c>
      <c r="M46" s="2">
        <v>0.2</v>
      </c>
      <c r="N46" s="2">
        <v>1.0169999999999999E-3</v>
      </c>
      <c r="O46" s="2">
        <v>4.1340000000000003</v>
      </c>
      <c r="P46" s="2">
        <v>313.89999999999998</v>
      </c>
      <c r="Q46" s="2">
        <v>2476</v>
      </c>
      <c r="R46" s="2">
        <v>251.09</v>
      </c>
      <c r="S46" s="2">
        <v>2609.6999999999998</v>
      </c>
      <c r="T46" s="2">
        <v>0.83099999999999996</v>
      </c>
      <c r="U46" s="2">
        <v>7.9108000000000001</v>
      </c>
    </row>
    <row r="47" spans="1:21">
      <c r="A47" s="2">
        <v>0.75</v>
      </c>
      <c r="B47" s="2">
        <v>91.79</v>
      </c>
      <c r="C47" s="2">
        <v>1.0369999999999999E-3</v>
      </c>
      <c r="D47" s="2">
        <v>2.216879</v>
      </c>
      <c r="E47" s="2">
        <v>384.4</v>
      </c>
      <c r="F47" s="2">
        <v>2497</v>
      </c>
      <c r="G47" s="2">
        <v>384.45</v>
      </c>
      <c r="H47" s="2">
        <v>2663</v>
      </c>
      <c r="I47" s="2">
        <v>1.2132000000000001</v>
      </c>
      <c r="J47" s="2">
        <v>7.4569999999999999</v>
      </c>
      <c r="K47" s="3"/>
      <c r="L47" s="2">
        <v>65</v>
      </c>
      <c r="M47" s="2">
        <v>0.25</v>
      </c>
      <c r="N47" s="2">
        <v>1.0200000000000001E-3</v>
      </c>
      <c r="O47" s="2">
        <v>3.4091</v>
      </c>
      <c r="P47" s="2">
        <v>334.9</v>
      </c>
      <c r="Q47" s="2">
        <v>2482</v>
      </c>
      <c r="R47" s="2">
        <v>272.02999999999997</v>
      </c>
      <c r="S47" s="2">
        <v>2618.4</v>
      </c>
      <c r="T47" s="2">
        <v>0.89329999999999998</v>
      </c>
      <c r="U47" s="2">
        <v>7.8322000000000003</v>
      </c>
    </row>
    <row r="48" spans="1:21">
      <c r="A48" s="2">
        <v>1</v>
      </c>
      <c r="B48" s="2">
        <v>99.63</v>
      </c>
      <c r="C48" s="2">
        <v>1.0430000000000001E-3</v>
      </c>
      <c r="D48" s="2">
        <v>1.6937310000000001</v>
      </c>
      <c r="E48" s="2">
        <v>417</v>
      </c>
      <c r="F48" s="2">
        <v>2506</v>
      </c>
      <c r="G48" s="2">
        <v>417.51</v>
      </c>
      <c r="H48" s="2">
        <v>2675.4</v>
      </c>
      <c r="I48" s="2">
        <v>1.3027</v>
      </c>
      <c r="J48" s="2">
        <v>7.3597999999999999</v>
      </c>
      <c r="K48" s="3"/>
      <c r="L48" s="2">
        <v>70</v>
      </c>
      <c r="M48" s="2">
        <v>0.31</v>
      </c>
      <c r="N48" s="2">
        <v>1.023E-3</v>
      </c>
      <c r="O48" s="2">
        <v>2.8288000000000002</v>
      </c>
      <c r="P48" s="2">
        <v>355.9</v>
      </c>
      <c r="Q48" s="2">
        <v>2489</v>
      </c>
      <c r="R48" s="2">
        <v>292.97000000000003</v>
      </c>
      <c r="S48" s="2">
        <v>2626.9</v>
      </c>
      <c r="T48" s="2">
        <v>0.95479999999999998</v>
      </c>
      <c r="U48" s="2">
        <v>7.7565</v>
      </c>
    </row>
    <row r="49" spans="1:25">
      <c r="A49" s="2">
        <v>1.5</v>
      </c>
      <c r="B49" s="2">
        <v>111.37</v>
      </c>
      <c r="C49" s="2">
        <v>1.0529999999999999E-3</v>
      </c>
      <c r="D49" s="2">
        <v>1.1590370000000001</v>
      </c>
      <c r="E49" s="2">
        <v>467</v>
      </c>
      <c r="F49" s="2">
        <v>2520</v>
      </c>
      <c r="G49" s="2">
        <v>467.13</v>
      </c>
      <c r="H49" s="2">
        <v>2693.4</v>
      </c>
      <c r="I49" s="2">
        <v>1.4336</v>
      </c>
      <c r="J49" s="2">
        <v>7.2233999999999998</v>
      </c>
      <c r="K49" s="3"/>
      <c r="L49" s="2">
        <v>75</v>
      </c>
      <c r="M49" s="2">
        <v>0.39</v>
      </c>
      <c r="N49" s="2">
        <v>1.026E-3</v>
      </c>
      <c r="O49" s="2">
        <v>2.3613</v>
      </c>
      <c r="P49" s="2">
        <v>376.9</v>
      </c>
      <c r="Q49" s="2">
        <v>2495</v>
      </c>
      <c r="R49" s="2">
        <v>313.94</v>
      </c>
      <c r="S49" s="2">
        <v>2635.4</v>
      </c>
      <c r="T49" s="2">
        <v>1.0154000000000001</v>
      </c>
      <c r="U49" s="2">
        <v>7.6835000000000004</v>
      </c>
    </row>
    <row r="50" spans="1:25">
      <c r="A50" s="2">
        <v>2</v>
      </c>
      <c r="B50" s="2">
        <v>120.23</v>
      </c>
      <c r="C50" s="2">
        <v>1.0610000000000001E-3</v>
      </c>
      <c r="D50" s="2">
        <v>0.88544100000000003</v>
      </c>
      <c r="E50" s="2">
        <v>504</v>
      </c>
      <c r="F50" s="2">
        <v>2529</v>
      </c>
      <c r="G50" s="2">
        <v>504.7</v>
      </c>
      <c r="H50" s="2">
        <v>2706.3</v>
      </c>
      <c r="I50" s="2">
        <v>1.5301</v>
      </c>
      <c r="J50" s="2">
        <v>7.1268000000000002</v>
      </c>
      <c r="K50" s="3"/>
      <c r="L50" s="2">
        <v>80</v>
      </c>
      <c r="M50" s="2">
        <v>0.47</v>
      </c>
      <c r="N50" s="2">
        <v>1.029E-3</v>
      </c>
      <c r="O50" s="2">
        <v>1.9822</v>
      </c>
      <c r="P50" s="2">
        <v>397.9</v>
      </c>
      <c r="Q50" s="2">
        <v>2501</v>
      </c>
      <c r="R50" s="2">
        <v>334.92</v>
      </c>
      <c r="S50" s="2">
        <v>2643.8</v>
      </c>
      <c r="T50" s="2">
        <v>1.0752999999999999</v>
      </c>
      <c r="U50" s="2">
        <v>7.6132</v>
      </c>
    </row>
    <row r="51" spans="1:25">
      <c r="A51" s="2">
        <v>2.5</v>
      </c>
      <c r="B51" s="2">
        <v>127.43</v>
      </c>
      <c r="C51" s="2">
        <v>1.0679999999999999E-3</v>
      </c>
      <c r="D51" s="2">
        <v>0.71843900000000005</v>
      </c>
      <c r="E51" s="2">
        <v>535</v>
      </c>
      <c r="F51" s="2">
        <v>2537</v>
      </c>
      <c r="G51" s="2">
        <v>535.34</v>
      </c>
      <c r="H51" s="2">
        <v>2716.4</v>
      </c>
      <c r="I51" s="2">
        <v>1.6071</v>
      </c>
      <c r="J51" s="2">
        <v>7.0519999999999996</v>
      </c>
      <c r="K51" s="3"/>
      <c r="L51" s="2">
        <v>85</v>
      </c>
      <c r="M51" s="2">
        <v>0.57999999999999996</v>
      </c>
      <c r="N51" s="2">
        <v>1.0330000000000001E-3</v>
      </c>
      <c r="O51" s="2">
        <v>1.673</v>
      </c>
      <c r="P51" s="2">
        <v>419</v>
      </c>
      <c r="Q51" s="2">
        <v>2506</v>
      </c>
      <c r="R51" s="2">
        <v>355.92</v>
      </c>
      <c r="S51" s="2">
        <v>2652</v>
      </c>
      <c r="T51" s="2">
        <v>1.1343000000000001</v>
      </c>
      <c r="U51" s="2">
        <v>7.5453999999999999</v>
      </c>
    </row>
    <row r="52" spans="1:25">
      <c r="A52" s="2">
        <v>3</v>
      </c>
      <c r="B52" s="2">
        <v>133.54</v>
      </c>
      <c r="C52" s="2">
        <v>1.0740000000000001E-3</v>
      </c>
      <c r="D52" s="2">
        <v>0.60556200000000004</v>
      </c>
      <c r="E52" s="2">
        <v>561</v>
      </c>
      <c r="F52" s="2">
        <v>2543</v>
      </c>
      <c r="G52" s="2">
        <v>561.42999999999995</v>
      </c>
      <c r="H52" s="2">
        <v>2724.7</v>
      </c>
      <c r="I52" s="2">
        <v>1.6716</v>
      </c>
      <c r="J52" s="2">
        <v>6.9908999999999999</v>
      </c>
      <c r="K52" s="3"/>
      <c r="L52" s="2">
        <v>90</v>
      </c>
      <c r="M52" s="2">
        <v>0.7</v>
      </c>
      <c r="N52" s="2">
        <v>1.036E-3</v>
      </c>
      <c r="O52" s="2">
        <v>1.4193</v>
      </c>
      <c r="P52" s="2">
        <v>440</v>
      </c>
      <c r="Q52" s="2">
        <v>2512</v>
      </c>
      <c r="R52" s="2">
        <v>376.94</v>
      </c>
      <c r="S52" s="2">
        <v>2660.1</v>
      </c>
      <c r="T52" s="2">
        <v>1.1924999999999999</v>
      </c>
      <c r="U52" s="2">
        <v>7.4798999999999998</v>
      </c>
    </row>
    <row r="53" spans="1:25">
      <c r="A53" s="2">
        <v>4</v>
      </c>
      <c r="B53" s="2">
        <v>143.62</v>
      </c>
      <c r="C53" s="2">
        <v>1.0839999999999999E-3</v>
      </c>
      <c r="D53" s="2">
        <v>0.46222400000000002</v>
      </c>
      <c r="E53" s="2">
        <v>604</v>
      </c>
      <c r="F53" s="2">
        <v>2553</v>
      </c>
      <c r="G53" s="2">
        <v>604.66999999999996</v>
      </c>
      <c r="H53" s="2">
        <v>2737.6</v>
      </c>
      <c r="I53" s="2">
        <v>1.7764</v>
      </c>
      <c r="J53" s="2">
        <v>6.8943000000000003</v>
      </c>
      <c r="K53" s="3"/>
      <c r="L53" s="2">
        <v>95</v>
      </c>
      <c r="M53" s="2">
        <v>0.85</v>
      </c>
      <c r="N53" s="2">
        <v>1.0399999999999999E-3</v>
      </c>
      <c r="O53" s="2">
        <v>1.2099</v>
      </c>
      <c r="P53" s="2">
        <v>461.2</v>
      </c>
      <c r="Q53" s="2">
        <v>2518</v>
      </c>
      <c r="R53" s="2">
        <v>397.99</v>
      </c>
      <c r="S53" s="2">
        <v>2668.1</v>
      </c>
      <c r="T53" s="2">
        <v>1.2501</v>
      </c>
      <c r="U53" s="2">
        <v>7.4165999999999999</v>
      </c>
    </row>
    <row r="54" spans="1:25">
      <c r="A54" s="2">
        <v>5</v>
      </c>
      <c r="B54" s="2">
        <v>151.84</v>
      </c>
      <c r="C54" s="2">
        <v>1.093E-3</v>
      </c>
      <c r="D54" s="2">
        <v>0.37467600000000001</v>
      </c>
      <c r="E54" s="2">
        <v>640</v>
      </c>
      <c r="F54" s="2">
        <v>2560</v>
      </c>
      <c r="G54" s="2">
        <v>640.12</v>
      </c>
      <c r="H54" s="2">
        <v>2747.5</v>
      </c>
      <c r="I54" s="2">
        <v>1.8604000000000001</v>
      </c>
      <c r="J54" s="2">
        <v>6.8192000000000004</v>
      </c>
      <c r="K54" s="3"/>
      <c r="L54" s="2">
        <v>100</v>
      </c>
      <c r="M54" s="2">
        <v>1.0129999999999999</v>
      </c>
      <c r="N54" s="2">
        <v>1.044E-3</v>
      </c>
      <c r="O54" s="2">
        <v>1.0363</v>
      </c>
      <c r="P54" s="2">
        <v>482.3</v>
      </c>
      <c r="Q54" s="2">
        <v>2524</v>
      </c>
      <c r="R54" s="2">
        <v>419.06</v>
      </c>
      <c r="S54" s="2">
        <v>2676</v>
      </c>
      <c r="T54" s="2">
        <v>1.3069</v>
      </c>
      <c r="U54" s="2">
        <v>7.3554000000000004</v>
      </c>
    </row>
    <row r="55" spans="1:25">
      <c r="A55" s="2">
        <v>6</v>
      </c>
      <c r="B55" s="2">
        <v>158.84</v>
      </c>
      <c r="C55" s="2">
        <v>1.101E-3</v>
      </c>
      <c r="D55" s="2">
        <v>0.31547399999999998</v>
      </c>
      <c r="E55" s="2">
        <v>670</v>
      </c>
      <c r="F55" s="2">
        <v>2566</v>
      </c>
      <c r="G55" s="2">
        <v>670.42</v>
      </c>
      <c r="H55" s="2">
        <v>2755.5</v>
      </c>
      <c r="I55" s="2">
        <v>1.9308000000000001</v>
      </c>
      <c r="J55" s="2">
        <v>6.7575000000000003</v>
      </c>
      <c r="K55" s="3"/>
      <c r="L55" s="2">
        <v>105</v>
      </c>
      <c r="M55" s="2">
        <v>1.2</v>
      </c>
      <c r="N55" s="2">
        <v>1.0480000000000001E-3</v>
      </c>
      <c r="O55" s="2">
        <v>0.89149999999999996</v>
      </c>
      <c r="P55" s="2">
        <v>503.5</v>
      </c>
      <c r="Q55" s="2">
        <v>2529</v>
      </c>
      <c r="R55" s="2">
        <v>440.17</v>
      </c>
      <c r="S55" s="2">
        <v>2683.7</v>
      </c>
      <c r="T55" s="2">
        <v>1.363</v>
      </c>
      <c r="U55" s="2">
        <v>7.2961999999999998</v>
      </c>
    </row>
    <row r="56" spans="1:25">
      <c r="A56" s="2">
        <v>8</v>
      </c>
      <c r="B56" s="2">
        <v>170.41</v>
      </c>
      <c r="C56" s="2">
        <v>1.1150000000000001E-3</v>
      </c>
      <c r="D56" s="2">
        <v>0.240257</v>
      </c>
      <c r="E56" s="2">
        <v>720</v>
      </c>
      <c r="F56" s="2">
        <v>2575</v>
      </c>
      <c r="G56" s="2">
        <v>720.94</v>
      </c>
      <c r="H56" s="2">
        <v>2767.5</v>
      </c>
      <c r="I56" s="2">
        <v>2.0457000000000001</v>
      </c>
      <c r="J56" s="2">
        <v>6.6596000000000002</v>
      </c>
      <c r="K56" s="3"/>
      <c r="L56" s="2">
        <v>110</v>
      </c>
      <c r="M56" s="2">
        <v>1.4</v>
      </c>
      <c r="N56" s="2">
        <v>1.052E-3</v>
      </c>
      <c r="O56" s="2">
        <v>0.66810000000000003</v>
      </c>
      <c r="P56" s="2">
        <v>546</v>
      </c>
      <c r="Q56" s="2">
        <v>2539</v>
      </c>
      <c r="R56" s="2">
        <v>461.32</v>
      </c>
      <c r="S56" s="2">
        <v>2691.3</v>
      </c>
      <c r="T56" s="2">
        <v>1.4185000000000001</v>
      </c>
      <c r="U56" s="2">
        <v>7.2388000000000003</v>
      </c>
    </row>
    <row r="57" spans="1:25">
      <c r="A57" s="2">
        <v>10</v>
      </c>
      <c r="B57" s="2">
        <v>179.88</v>
      </c>
      <c r="C57" s="2">
        <v>1.127E-3</v>
      </c>
      <c r="D57" s="2">
        <v>0.19429299999999999</v>
      </c>
      <c r="E57" s="2">
        <v>761</v>
      </c>
      <c r="F57" s="2">
        <v>2582</v>
      </c>
      <c r="G57" s="2">
        <v>762.61</v>
      </c>
      <c r="H57" s="2">
        <v>2776.2</v>
      </c>
      <c r="I57" s="2">
        <v>2.1381999999999999</v>
      </c>
      <c r="J57" s="2">
        <v>6.5827999999999998</v>
      </c>
      <c r="K57" s="3"/>
      <c r="L57" s="2">
        <v>115</v>
      </c>
      <c r="M57" s="2">
        <v>1.7</v>
      </c>
      <c r="N57" s="2">
        <v>1.0560000000000001E-3</v>
      </c>
      <c r="O57" s="2">
        <v>0.50849999999999995</v>
      </c>
      <c r="P57" s="2">
        <v>588.70000000000005</v>
      </c>
      <c r="Q57" s="2">
        <v>2549</v>
      </c>
      <c r="R57" s="2">
        <v>482.5</v>
      </c>
      <c r="S57" s="2">
        <v>2698.7</v>
      </c>
      <c r="T57" s="2">
        <v>1.4733000000000001</v>
      </c>
      <c r="U57" s="2">
        <v>7.1832000000000003</v>
      </c>
    </row>
    <row r="58" spans="1:25">
      <c r="A58" s="2">
        <v>12</v>
      </c>
      <c r="B58" s="2">
        <v>187.96</v>
      </c>
      <c r="C58" s="2">
        <v>1.139E-3</v>
      </c>
      <c r="D58" s="2">
        <v>0.16320000000000001</v>
      </c>
      <c r="E58" s="2">
        <v>797</v>
      </c>
      <c r="F58" s="2">
        <v>2587</v>
      </c>
      <c r="G58" s="2">
        <v>798.43</v>
      </c>
      <c r="H58" s="2">
        <v>2782.7</v>
      </c>
      <c r="I58" s="2">
        <v>2.2161</v>
      </c>
      <c r="J58" s="2">
        <v>6.5194000000000001</v>
      </c>
      <c r="K58" s="3"/>
      <c r="L58" s="2">
        <v>120</v>
      </c>
      <c r="M58" s="2">
        <v>2</v>
      </c>
      <c r="N58" s="2">
        <v>1.0610000000000001E-3</v>
      </c>
      <c r="O58" s="2">
        <v>0.39240000000000003</v>
      </c>
      <c r="P58" s="2">
        <v>631.6</v>
      </c>
      <c r="Q58" s="2">
        <v>2559</v>
      </c>
      <c r="R58" s="2">
        <v>503.72</v>
      </c>
      <c r="S58" s="2">
        <v>2706</v>
      </c>
      <c r="T58" s="2">
        <v>1.5276000000000001</v>
      </c>
      <c r="U58" s="2">
        <v>7.1292999999999997</v>
      </c>
      <c r="W58">
        <f>S58-R58</f>
        <v>2202.2799999999997</v>
      </c>
    </row>
    <row r="59" spans="1:25">
      <c r="A59" s="2">
        <v>14</v>
      </c>
      <c r="B59" s="2">
        <v>195.04</v>
      </c>
      <c r="C59" s="2">
        <v>1.1490000000000001E-3</v>
      </c>
      <c r="D59" s="2">
        <v>0.14072100000000001</v>
      </c>
      <c r="E59" s="2">
        <v>828</v>
      </c>
      <c r="F59" s="2">
        <v>2591</v>
      </c>
      <c r="G59" s="2">
        <v>830.07</v>
      </c>
      <c r="H59" s="2">
        <v>2787.8</v>
      </c>
      <c r="I59" s="2">
        <v>2.2837000000000001</v>
      </c>
      <c r="J59" s="2">
        <v>6.4650999999999996</v>
      </c>
      <c r="K59" s="3"/>
      <c r="L59" s="2">
        <v>130</v>
      </c>
      <c r="M59" s="2">
        <v>2.7</v>
      </c>
      <c r="N59" s="2">
        <v>1.07E-3</v>
      </c>
      <c r="O59" s="2">
        <v>0.30680000000000002</v>
      </c>
      <c r="P59" s="2">
        <v>674.8</v>
      </c>
      <c r="Q59" s="2">
        <v>2567</v>
      </c>
      <c r="R59" s="2">
        <v>546.30999999999995</v>
      </c>
      <c r="S59" s="2">
        <v>2719.9</v>
      </c>
      <c r="T59" s="2">
        <v>1.6344000000000001</v>
      </c>
      <c r="U59" s="2">
        <v>7.0260999999999996</v>
      </c>
    </row>
    <row r="60" spans="1:25">
      <c r="A60" s="2">
        <v>16</v>
      </c>
      <c r="B60" s="2">
        <v>201.37</v>
      </c>
      <c r="C60" s="2">
        <v>1.1590000000000001E-3</v>
      </c>
      <c r="D60" s="2">
        <v>0.12368700000000001</v>
      </c>
      <c r="E60" s="2">
        <v>857</v>
      </c>
      <c r="F60" s="2">
        <v>2594</v>
      </c>
      <c r="G60" s="2">
        <v>858.56</v>
      </c>
      <c r="H60" s="2">
        <v>2791.8</v>
      </c>
      <c r="I60" s="2">
        <v>2.3435999999999999</v>
      </c>
      <c r="J60" s="2">
        <v>6.4175000000000004</v>
      </c>
      <c r="K60" s="3"/>
      <c r="L60" s="2">
        <v>140</v>
      </c>
      <c r="M60" s="2">
        <v>3.6</v>
      </c>
      <c r="N60" s="2">
        <v>1.08E-3</v>
      </c>
      <c r="O60" s="2">
        <v>0.24260000000000001</v>
      </c>
      <c r="P60" s="2">
        <v>718.2</v>
      </c>
      <c r="Q60" s="2">
        <v>2575</v>
      </c>
      <c r="R60" s="2">
        <v>589.1</v>
      </c>
      <c r="S60" s="2">
        <v>2733.1</v>
      </c>
      <c r="T60" s="2">
        <v>1.7390000000000001</v>
      </c>
      <c r="U60" s="2">
        <v>6.9283999999999999</v>
      </c>
      <c r="Y60" s="3"/>
    </row>
    <row r="61" spans="1:25">
      <c r="A61" s="2">
        <v>18</v>
      </c>
      <c r="B61" s="2">
        <v>207.11</v>
      </c>
      <c r="C61" s="2">
        <v>1.168E-3</v>
      </c>
      <c r="D61" s="2">
        <v>0.110317</v>
      </c>
      <c r="E61" s="2">
        <v>882</v>
      </c>
      <c r="F61" s="2">
        <v>2596</v>
      </c>
      <c r="G61" s="2">
        <v>884.57</v>
      </c>
      <c r="H61" s="2">
        <v>2794.8</v>
      </c>
      <c r="I61" s="2">
        <v>2.3976000000000002</v>
      </c>
      <c r="J61" s="2">
        <v>6.3750999999999998</v>
      </c>
      <c r="K61" s="3"/>
      <c r="L61" s="2">
        <v>150</v>
      </c>
      <c r="M61" s="2">
        <v>4.8</v>
      </c>
      <c r="N61" s="2">
        <v>1.091E-3</v>
      </c>
      <c r="O61" s="2">
        <v>0.1938</v>
      </c>
      <c r="P61" s="2">
        <v>762</v>
      </c>
      <c r="Q61" s="2">
        <v>2582</v>
      </c>
      <c r="R61" s="2">
        <v>632.15</v>
      </c>
      <c r="S61" s="2">
        <v>2745.4</v>
      </c>
      <c r="T61" s="2">
        <v>1.8415999999999999</v>
      </c>
      <c r="U61" s="2">
        <v>6.8357999999999999</v>
      </c>
      <c r="Y61" s="3"/>
    </row>
    <row r="62" spans="1:25">
      <c r="A62" s="2">
        <v>20</v>
      </c>
      <c r="B62" s="2">
        <v>212.37</v>
      </c>
      <c r="C62" s="2">
        <v>1.1770000000000001E-3</v>
      </c>
      <c r="D62" s="2">
        <v>9.9535999999999999E-2</v>
      </c>
      <c r="E62" s="2">
        <v>906</v>
      </c>
      <c r="F62" s="2">
        <v>2598</v>
      </c>
      <c r="G62" s="2">
        <v>908.59</v>
      </c>
      <c r="H62" s="2">
        <v>2797.2</v>
      </c>
      <c r="I62" s="2">
        <v>2.4468999999999999</v>
      </c>
      <c r="J62" s="2">
        <v>6.3367000000000004</v>
      </c>
      <c r="K62" s="3"/>
      <c r="L62" s="2">
        <v>160</v>
      </c>
      <c r="M62" s="2">
        <v>6.2</v>
      </c>
      <c r="N62" s="2">
        <v>1.1019999999999999E-3</v>
      </c>
      <c r="O62" s="2">
        <v>0.15629999999999999</v>
      </c>
      <c r="P62" s="2">
        <v>806.1</v>
      </c>
      <c r="Q62" s="2">
        <v>2588</v>
      </c>
      <c r="R62" s="2">
        <v>675.47</v>
      </c>
      <c r="S62" s="2">
        <v>2756.7</v>
      </c>
      <c r="T62" s="2">
        <v>1.9424999999999999</v>
      </c>
      <c r="U62" s="2">
        <v>6.7474999999999996</v>
      </c>
      <c r="Y62" s="3"/>
    </row>
    <row r="63" spans="1:25">
      <c r="A63" s="2">
        <v>22</v>
      </c>
      <c r="B63" s="2">
        <v>217.24</v>
      </c>
      <c r="C63" s="2">
        <v>1.1850000000000001E-3</v>
      </c>
      <c r="D63" s="2">
        <v>9.0651999999999996E-2</v>
      </c>
      <c r="E63" s="2">
        <v>928</v>
      </c>
      <c r="F63" s="2">
        <v>2600</v>
      </c>
      <c r="G63" s="2">
        <v>930.95</v>
      </c>
      <c r="H63" s="2">
        <v>2799.1</v>
      </c>
      <c r="I63" s="2">
        <v>2.4922</v>
      </c>
      <c r="J63" s="2">
        <v>6.3014999999999999</v>
      </c>
      <c r="K63" s="3"/>
      <c r="L63" s="2">
        <v>170</v>
      </c>
      <c r="M63" s="2">
        <v>7.9</v>
      </c>
      <c r="N63" s="2">
        <v>1.114E-3</v>
      </c>
      <c r="O63" s="2">
        <v>0.12720000000000001</v>
      </c>
      <c r="P63" s="2">
        <v>850.6</v>
      </c>
      <c r="Q63" s="2">
        <v>2593</v>
      </c>
      <c r="R63" s="2">
        <v>719.12</v>
      </c>
      <c r="S63" s="2">
        <v>2767.1</v>
      </c>
      <c r="T63" s="2">
        <v>2.0415999999999999</v>
      </c>
      <c r="U63" s="2">
        <v>6.6630000000000003</v>
      </c>
    </row>
    <row r="64" spans="1:25">
      <c r="A64" s="2">
        <v>25</v>
      </c>
      <c r="B64" s="2">
        <v>223.94</v>
      </c>
      <c r="C64" s="2">
        <v>1.1969999999999999E-3</v>
      </c>
      <c r="D64" s="2">
        <v>7.9905000000000004E-2</v>
      </c>
      <c r="E64" s="2">
        <v>959</v>
      </c>
      <c r="F64" s="2">
        <v>2601</v>
      </c>
      <c r="G64" s="2">
        <v>961.96</v>
      </c>
      <c r="H64" s="2">
        <v>2800.9</v>
      </c>
      <c r="I64" s="2">
        <v>2.5543</v>
      </c>
      <c r="J64" s="2">
        <v>6.2539999999999996</v>
      </c>
      <c r="K64" s="3"/>
      <c r="L64" s="2">
        <v>180</v>
      </c>
      <c r="M64" s="2">
        <v>10</v>
      </c>
      <c r="N64" s="2">
        <v>1.1280000000000001E-3</v>
      </c>
      <c r="O64" s="2">
        <v>0.1042</v>
      </c>
      <c r="P64" s="2">
        <v>895.5</v>
      </c>
      <c r="Q64" s="2">
        <v>2597</v>
      </c>
      <c r="R64" s="2">
        <v>763.12</v>
      </c>
      <c r="S64" s="2">
        <v>2776.3</v>
      </c>
      <c r="T64" s="2">
        <v>2.1393</v>
      </c>
      <c r="U64" s="2">
        <v>6.5819000000000001</v>
      </c>
    </row>
    <row r="65" spans="1:21">
      <c r="A65" s="2">
        <v>30</v>
      </c>
      <c r="B65" s="2">
        <v>233.84</v>
      </c>
      <c r="C65" s="2">
        <v>1.2160000000000001E-3</v>
      </c>
      <c r="D65" s="2">
        <v>6.6626000000000005E-2</v>
      </c>
      <c r="E65" s="2">
        <v>1005</v>
      </c>
      <c r="F65" s="2">
        <v>2602</v>
      </c>
      <c r="G65" s="2">
        <v>1008.35</v>
      </c>
      <c r="H65" s="2">
        <v>2802.3</v>
      </c>
      <c r="I65" s="2">
        <v>2.6455000000000002</v>
      </c>
      <c r="J65" s="2">
        <v>6.1837</v>
      </c>
      <c r="K65" s="3"/>
      <c r="L65" s="2">
        <v>190</v>
      </c>
      <c r="M65" s="2">
        <v>13</v>
      </c>
      <c r="N65" s="2">
        <v>1.142E-3</v>
      </c>
      <c r="O65" s="2">
        <v>8.5999999999999993E-2</v>
      </c>
      <c r="P65" s="2">
        <v>940.9</v>
      </c>
      <c r="Q65" s="2">
        <v>2600</v>
      </c>
      <c r="R65" s="2">
        <v>807.52</v>
      </c>
      <c r="S65" s="2">
        <v>2784.3</v>
      </c>
      <c r="T65" s="2">
        <v>2.2355999999999998</v>
      </c>
      <c r="U65" s="2">
        <v>6.5035999999999996</v>
      </c>
    </row>
    <row r="66" spans="1:21">
      <c r="A66" s="2">
        <v>35</v>
      </c>
      <c r="B66" s="2">
        <v>242.54</v>
      </c>
      <c r="C66" s="2">
        <v>1.235E-3</v>
      </c>
      <c r="D66" s="2">
        <v>5.7024999999999999E-2</v>
      </c>
      <c r="E66" s="2">
        <v>1045</v>
      </c>
      <c r="F66" s="2">
        <v>2602</v>
      </c>
      <c r="G66" s="2">
        <v>1049.76</v>
      </c>
      <c r="H66" s="2">
        <v>2802</v>
      </c>
      <c r="I66" s="2">
        <v>2.7252999999999998</v>
      </c>
      <c r="J66" s="2">
        <v>6.1228999999999996</v>
      </c>
      <c r="K66" s="3"/>
      <c r="L66" s="2">
        <v>200</v>
      </c>
      <c r="M66" s="2">
        <v>16</v>
      </c>
      <c r="N66" s="2">
        <v>1.1559999999999999E-3</v>
      </c>
      <c r="O66" s="2">
        <v>7.1400000000000005E-2</v>
      </c>
      <c r="P66" s="2">
        <v>986.9</v>
      </c>
      <c r="Q66" s="2">
        <v>2602</v>
      </c>
      <c r="R66" s="2">
        <v>852.37</v>
      </c>
      <c r="S66" s="2">
        <v>2790.9</v>
      </c>
      <c r="T66" s="2">
        <v>2.3307000000000002</v>
      </c>
      <c r="U66" s="2">
        <v>6.4278000000000004</v>
      </c>
    </row>
    <row r="67" spans="1:21">
      <c r="A67" s="2">
        <v>40</v>
      </c>
      <c r="B67" s="2">
        <v>250.33</v>
      </c>
      <c r="C67" s="2">
        <v>1.2520000000000001E-3</v>
      </c>
      <c r="D67" s="2">
        <v>4.9749000000000002E-2</v>
      </c>
      <c r="E67" s="2">
        <v>1082</v>
      </c>
      <c r="F67" s="2">
        <v>2601</v>
      </c>
      <c r="G67" s="2">
        <v>1087.4000000000001</v>
      </c>
      <c r="H67" s="2">
        <v>2800.3</v>
      </c>
      <c r="I67" s="2">
        <v>2.7965</v>
      </c>
      <c r="J67" s="2">
        <v>6.0685000000000002</v>
      </c>
      <c r="K67" s="3"/>
      <c r="L67" s="2">
        <v>210</v>
      </c>
      <c r="M67" s="2">
        <v>19</v>
      </c>
      <c r="N67" s="2">
        <v>1.173E-3</v>
      </c>
      <c r="O67" s="2">
        <v>5.9700000000000003E-2</v>
      </c>
      <c r="P67" s="2">
        <v>1033.5</v>
      </c>
      <c r="Q67" s="2">
        <v>2602</v>
      </c>
      <c r="R67" s="2">
        <v>897.73</v>
      </c>
      <c r="S67" s="2">
        <v>2796.2</v>
      </c>
      <c r="T67" s="2">
        <v>2.4247000000000001</v>
      </c>
      <c r="U67" s="2">
        <v>6.3539000000000003</v>
      </c>
    </row>
    <row r="68" spans="1:21">
      <c r="A68" s="2">
        <v>50</v>
      </c>
      <c r="B68" s="2">
        <v>263.91000000000003</v>
      </c>
      <c r="C68" s="2">
        <v>1.286E-3</v>
      </c>
      <c r="D68" s="2">
        <v>3.9428999999999999E-2</v>
      </c>
      <c r="E68" s="2">
        <v>1148</v>
      </c>
      <c r="F68" s="2">
        <v>2597</v>
      </c>
      <c r="G68" s="2">
        <v>1154.5</v>
      </c>
      <c r="H68" s="2">
        <v>2794.2</v>
      </c>
      <c r="I68" s="2">
        <v>2.9205999999999999</v>
      </c>
      <c r="J68" s="2">
        <v>5.9734999999999996</v>
      </c>
      <c r="K68" s="3"/>
      <c r="L68" s="2">
        <v>220</v>
      </c>
      <c r="M68" s="2">
        <v>23</v>
      </c>
      <c r="N68" s="2">
        <v>1.1900000000000001E-3</v>
      </c>
      <c r="O68" s="2">
        <v>0.05</v>
      </c>
      <c r="P68" s="2">
        <v>1081</v>
      </c>
      <c r="Q68" s="2">
        <v>2601</v>
      </c>
      <c r="R68" s="2">
        <v>943.67</v>
      </c>
      <c r="S68" s="2">
        <v>2799.9</v>
      </c>
      <c r="T68" s="2">
        <v>2.5177999999999998</v>
      </c>
      <c r="U68" s="2">
        <v>6.2816999999999998</v>
      </c>
    </row>
    <row r="69" spans="1:21">
      <c r="A69" s="2">
        <v>60</v>
      </c>
      <c r="B69" s="2">
        <v>275.55</v>
      </c>
      <c r="C69" s="2">
        <v>1.3190000000000001E-3</v>
      </c>
      <c r="D69" s="2">
        <v>3.2438000000000002E-2</v>
      </c>
      <c r="E69" s="2">
        <v>1206</v>
      </c>
      <c r="F69" s="2">
        <v>2590</v>
      </c>
      <c r="G69" s="2">
        <v>1213.7</v>
      </c>
      <c r="H69" s="2">
        <v>2785</v>
      </c>
      <c r="I69" s="2">
        <v>3.0272999999999999</v>
      </c>
      <c r="J69" s="2">
        <v>5.8907999999999996</v>
      </c>
      <c r="K69" s="3"/>
      <c r="L69" s="2">
        <v>230</v>
      </c>
      <c r="M69" s="2">
        <v>28</v>
      </c>
      <c r="N69" s="2">
        <v>1.209E-3</v>
      </c>
      <c r="O69" s="2">
        <v>4.2099999999999999E-2</v>
      </c>
      <c r="P69" s="2">
        <v>1129</v>
      </c>
      <c r="Q69" s="2">
        <v>2599</v>
      </c>
      <c r="R69" s="2">
        <v>990.27</v>
      </c>
      <c r="S69" s="2">
        <v>2802</v>
      </c>
      <c r="T69" s="2">
        <v>2.6101999999999999</v>
      </c>
      <c r="U69" s="2">
        <v>6.2107000000000001</v>
      </c>
    </row>
    <row r="70" spans="1:21">
      <c r="A70" s="2">
        <v>70</v>
      </c>
      <c r="B70" s="2">
        <v>285.79000000000002</v>
      </c>
      <c r="C70" s="2">
        <v>1.351E-3</v>
      </c>
      <c r="D70" s="2">
        <v>2.7373000000000001E-2</v>
      </c>
      <c r="E70" s="2">
        <v>1258</v>
      </c>
      <c r="F70" s="2">
        <v>2582</v>
      </c>
      <c r="G70" s="2">
        <v>1267.4000000000001</v>
      </c>
      <c r="H70" s="2">
        <v>2773.5</v>
      </c>
      <c r="I70" s="2">
        <v>3.1219000000000001</v>
      </c>
      <c r="J70" s="2">
        <v>5.8162000000000003</v>
      </c>
      <c r="K70" s="3"/>
      <c r="L70" s="2">
        <v>240</v>
      </c>
      <c r="M70" s="2">
        <v>33</v>
      </c>
      <c r="N70" s="2">
        <v>1.2290000000000001E-3</v>
      </c>
      <c r="O70" s="2">
        <v>3.5589999999999997E-2</v>
      </c>
      <c r="P70" s="2">
        <v>1178</v>
      </c>
      <c r="Q70" s="2">
        <v>2594</v>
      </c>
      <c r="R70" s="2">
        <v>1037.5999999999999</v>
      </c>
      <c r="S70" s="2">
        <v>2802.2</v>
      </c>
      <c r="T70" s="2">
        <v>2.702</v>
      </c>
      <c r="U70" s="2">
        <v>6.1406000000000001</v>
      </c>
    </row>
    <row r="71" spans="1:21">
      <c r="A71" s="2">
        <v>80</v>
      </c>
      <c r="B71" s="2">
        <v>294.97000000000003</v>
      </c>
      <c r="C71" s="2">
        <v>1.384E-3</v>
      </c>
      <c r="D71" s="2">
        <v>2.3525000000000001E-2</v>
      </c>
      <c r="E71" s="2">
        <v>1306</v>
      </c>
      <c r="F71" s="2">
        <v>2572</v>
      </c>
      <c r="G71" s="2">
        <v>1317.1</v>
      </c>
      <c r="H71" s="2">
        <v>2759.9</v>
      </c>
      <c r="I71" s="2">
        <v>3.2075999999999998</v>
      </c>
      <c r="J71" s="2">
        <v>5.7470999999999997</v>
      </c>
      <c r="K71" s="3"/>
      <c r="L71" s="2">
        <v>250</v>
      </c>
      <c r="M71" s="2">
        <v>40</v>
      </c>
      <c r="N71" s="2">
        <v>1.2509999999999999E-3</v>
      </c>
      <c r="O71" s="2">
        <v>3.0130000000000001E-2</v>
      </c>
      <c r="P71" s="2">
        <v>1228</v>
      </c>
      <c r="Q71" s="2">
        <v>2587</v>
      </c>
      <c r="R71" s="2">
        <v>1085.78</v>
      </c>
      <c r="S71" s="2">
        <v>2800.4</v>
      </c>
      <c r="T71" s="2">
        <v>2.7934999999999999</v>
      </c>
      <c r="U71" s="2">
        <v>6.0708000000000002</v>
      </c>
    </row>
    <row r="72" spans="1:21">
      <c r="A72" s="2">
        <v>90</v>
      </c>
      <c r="B72" s="2">
        <v>303.31</v>
      </c>
      <c r="C72" s="2">
        <v>1.418E-3</v>
      </c>
      <c r="D72" s="2">
        <v>2.0494999999999999E-2</v>
      </c>
      <c r="E72" s="2">
        <v>1351</v>
      </c>
      <c r="F72" s="2">
        <v>2560</v>
      </c>
      <c r="G72" s="2">
        <v>1363.7</v>
      </c>
      <c r="H72" s="2">
        <v>2744.6</v>
      </c>
      <c r="I72" s="2">
        <v>3.2867000000000002</v>
      </c>
      <c r="J72" s="2">
        <v>5.6820000000000004</v>
      </c>
      <c r="K72" s="3"/>
      <c r="L72" s="2">
        <v>260</v>
      </c>
      <c r="M72" s="2">
        <v>47</v>
      </c>
      <c r="N72" s="2">
        <v>1.276E-3</v>
      </c>
      <c r="O72" s="2">
        <v>2.554E-2</v>
      </c>
      <c r="P72" s="2">
        <v>1280</v>
      </c>
      <c r="Q72" s="2">
        <v>2578</v>
      </c>
      <c r="R72" s="2">
        <v>1134.9000000000001</v>
      </c>
      <c r="S72" s="2">
        <v>2796.4</v>
      </c>
      <c r="T72" s="2">
        <v>2.8849</v>
      </c>
      <c r="U72" s="2">
        <v>6.0010000000000003</v>
      </c>
    </row>
    <row r="73" spans="1:21">
      <c r="A73" s="2">
        <v>100</v>
      </c>
      <c r="B73" s="2">
        <v>310.95999999999998</v>
      </c>
      <c r="C73" s="2">
        <v>1.4530000000000001E-3</v>
      </c>
      <c r="D73" s="2">
        <v>1.8041000000000001E-2</v>
      </c>
      <c r="E73" s="2">
        <v>1394</v>
      </c>
      <c r="F73" s="2">
        <v>2547</v>
      </c>
      <c r="G73" s="2">
        <v>1408</v>
      </c>
      <c r="H73" s="2">
        <v>2727.7</v>
      </c>
      <c r="I73" s="2">
        <v>3.3605999999999998</v>
      </c>
      <c r="J73" s="2">
        <v>5.6197999999999997</v>
      </c>
      <c r="K73" s="3"/>
      <c r="L73" s="2">
        <v>270</v>
      </c>
      <c r="M73" s="2">
        <v>55</v>
      </c>
      <c r="N73" s="2">
        <v>1.3029999999999999E-3</v>
      </c>
      <c r="O73" s="2">
        <v>2.1649999999999999E-2</v>
      </c>
      <c r="P73" s="2">
        <v>1333</v>
      </c>
      <c r="Q73" s="2">
        <v>2565</v>
      </c>
      <c r="R73" s="2">
        <v>1185.2</v>
      </c>
      <c r="S73" s="2">
        <v>2789.9</v>
      </c>
      <c r="T73" s="2">
        <v>2.9763999999999999</v>
      </c>
      <c r="U73" s="2">
        <v>5.9305000000000003</v>
      </c>
    </row>
    <row r="74" spans="1:21">
      <c r="A74" s="2">
        <v>110</v>
      </c>
      <c r="B74" s="2">
        <v>318.05</v>
      </c>
      <c r="C74" s="2">
        <v>1.4890000000000001E-3</v>
      </c>
      <c r="D74" s="2">
        <v>1.6005999999999999E-2</v>
      </c>
      <c r="E74" s="2">
        <v>1434</v>
      </c>
      <c r="F74" s="2">
        <v>2533</v>
      </c>
      <c r="G74" s="2">
        <v>1450.6</v>
      </c>
      <c r="H74" s="2">
        <v>2709.3</v>
      </c>
      <c r="I74" s="2">
        <v>3.4304000000000001</v>
      </c>
      <c r="J74" s="2">
        <v>5.5594999999999999</v>
      </c>
      <c r="K74" s="3"/>
      <c r="L74" s="2">
        <v>280</v>
      </c>
      <c r="M74" s="2">
        <v>64</v>
      </c>
      <c r="N74" s="2">
        <v>1.3320000000000001E-3</v>
      </c>
      <c r="O74" s="2">
        <v>1.8329999999999999E-2</v>
      </c>
      <c r="P74" s="2">
        <v>1388</v>
      </c>
      <c r="Q74" s="2">
        <v>2549</v>
      </c>
      <c r="R74" s="2">
        <v>1236.8</v>
      </c>
      <c r="S74" s="2">
        <v>2780.4</v>
      </c>
      <c r="T74" s="2">
        <v>3.0682999999999998</v>
      </c>
      <c r="U74" s="2">
        <v>5.8586</v>
      </c>
    </row>
    <row r="75" spans="1:21">
      <c r="A75" s="2">
        <v>120</v>
      </c>
      <c r="B75" s="2">
        <v>324.64999999999998</v>
      </c>
      <c r="C75" s="2">
        <v>1.5269999999999999E-3</v>
      </c>
      <c r="D75" s="2">
        <v>1.4283000000000001E-2</v>
      </c>
      <c r="E75" s="2">
        <v>1473</v>
      </c>
      <c r="F75" s="2">
        <v>2518</v>
      </c>
      <c r="G75" s="2">
        <v>1491.8</v>
      </c>
      <c r="H75" s="2">
        <v>2689.2</v>
      </c>
      <c r="I75" s="2">
        <v>3.4971999999999999</v>
      </c>
      <c r="J75" s="2">
        <v>5.5002000000000004</v>
      </c>
      <c r="K75" s="3"/>
      <c r="L75" s="2">
        <v>290</v>
      </c>
      <c r="M75" s="2">
        <v>74</v>
      </c>
      <c r="N75" s="2">
        <v>1.366E-3</v>
      </c>
      <c r="O75" s="2">
        <v>1.5480000000000001E-2</v>
      </c>
      <c r="P75" s="2">
        <v>1446</v>
      </c>
      <c r="Q75" s="2">
        <v>2529</v>
      </c>
      <c r="R75" s="2">
        <v>1290</v>
      </c>
      <c r="S75" s="2">
        <v>2767.6</v>
      </c>
      <c r="T75" s="2">
        <v>3.1610999999999998</v>
      </c>
      <c r="U75" s="2">
        <v>5.7847999999999997</v>
      </c>
    </row>
    <row r="76" spans="1:21">
      <c r="A76" s="2">
        <v>125</v>
      </c>
      <c r="B76" s="2">
        <v>327.79</v>
      </c>
      <c r="C76" s="2">
        <v>1.547E-3</v>
      </c>
      <c r="D76" s="2">
        <v>1.3514E-2</v>
      </c>
      <c r="E76" s="2">
        <v>1493</v>
      </c>
      <c r="F76" s="2">
        <v>2509</v>
      </c>
      <c r="G76" s="2">
        <v>1512</v>
      </c>
      <c r="H76" s="2">
        <v>2678.4</v>
      </c>
      <c r="I76" s="2">
        <v>3.5295999999999998</v>
      </c>
      <c r="J76" s="2">
        <v>5.4706000000000001</v>
      </c>
      <c r="K76" s="3"/>
      <c r="L76" s="2">
        <v>300</v>
      </c>
      <c r="M76" s="2">
        <v>86</v>
      </c>
      <c r="N76" s="2">
        <v>1.4040000000000001E-3</v>
      </c>
      <c r="O76" s="2">
        <v>1.299E-2</v>
      </c>
      <c r="P76" s="2">
        <v>1506</v>
      </c>
      <c r="Q76" s="2">
        <v>2503</v>
      </c>
      <c r="R76" s="2">
        <v>1345.1</v>
      </c>
      <c r="S76" s="2">
        <v>2751</v>
      </c>
      <c r="T76" s="2">
        <v>3.2551999999999999</v>
      </c>
      <c r="U76" s="2">
        <v>5.7081</v>
      </c>
    </row>
    <row r="77" spans="1:21">
      <c r="A77" s="2">
        <v>130</v>
      </c>
      <c r="B77" s="2">
        <v>330.83</v>
      </c>
      <c r="C77" s="2">
        <v>1.567E-3</v>
      </c>
      <c r="D77" s="2">
        <v>1.2796999999999999E-2</v>
      </c>
      <c r="E77" s="2">
        <v>1512</v>
      </c>
      <c r="F77" s="2">
        <v>2501</v>
      </c>
      <c r="G77" s="2">
        <v>1532</v>
      </c>
      <c r="H77" s="2">
        <v>2667</v>
      </c>
      <c r="I77" s="2">
        <v>3.5615999999999999</v>
      </c>
      <c r="J77" s="2">
        <v>5.4408000000000003</v>
      </c>
      <c r="K77" s="3"/>
      <c r="L77" s="2">
        <v>310</v>
      </c>
      <c r="M77" s="2">
        <v>99</v>
      </c>
      <c r="N77" s="2">
        <v>1.4480000000000001E-3</v>
      </c>
      <c r="O77" s="2">
        <v>1.078E-2</v>
      </c>
      <c r="P77" s="2">
        <v>1572</v>
      </c>
      <c r="Q77" s="2">
        <v>2469</v>
      </c>
      <c r="R77" s="2">
        <v>1402.4</v>
      </c>
      <c r="S77" s="2">
        <v>2730</v>
      </c>
      <c r="T77" s="2">
        <v>3.3512</v>
      </c>
      <c r="U77" s="2">
        <v>5.6277999999999997</v>
      </c>
    </row>
    <row r="78" spans="1:21">
      <c r="A78" s="2">
        <v>140</v>
      </c>
      <c r="B78" s="2">
        <v>336.64</v>
      </c>
      <c r="C78" s="2">
        <v>1.611E-3</v>
      </c>
      <c r="D78" s="2">
        <v>1.1495E-2</v>
      </c>
      <c r="E78" s="2">
        <v>1549</v>
      </c>
      <c r="F78" s="2">
        <v>2481</v>
      </c>
      <c r="G78" s="2">
        <v>1571.6</v>
      </c>
      <c r="H78" s="2">
        <v>2642.4</v>
      </c>
      <c r="I78" s="2">
        <v>3.6242999999999999</v>
      </c>
      <c r="J78" s="2">
        <v>5.3803000000000001</v>
      </c>
      <c r="K78" s="3"/>
      <c r="L78" s="2">
        <v>320</v>
      </c>
      <c r="M78" s="2">
        <v>113</v>
      </c>
      <c r="N78" s="2">
        <v>1.5E-3</v>
      </c>
      <c r="O78" s="2">
        <v>8.8000000000000005E-3</v>
      </c>
      <c r="P78" s="2">
        <v>1643</v>
      </c>
      <c r="Q78" s="2">
        <v>2422</v>
      </c>
      <c r="R78" s="2">
        <v>1462.6</v>
      </c>
      <c r="S78" s="2">
        <v>2703.7</v>
      </c>
      <c r="T78" s="2">
        <v>3.45</v>
      </c>
      <c r="U78" s="2">
        <v>5.5423</v>
      </c>
    </row>
    <row r="79" spans="1:21">
      <c r="A79" s="2">
        <v>150</v>
      </c>
      <c r="B79" s="2">
        <v>342.13</v>
      </c>
      <c r="C79" s="2">
        <v>1.658E-3</v>
      </c>
      <c r="D79" s="2">
        <v>1.034E-2</v>
      </c>
      <c r="E79" s="2">
        <v>1586</v>
      </c>
      <c r="F79" s="2">
        <v>2460</v>
      </c>
      <c r="G79" s="2">
        <v>1611</v>
      </c>
      <c r="H79" s="2">
        <v>2615</v>
      </c>
      <c r="I79" s="2">
        <v>3.6859000000000002</v>
      </c>
      <c r="J79" s="2">
        <v>5.3178000000000001</v>
      </c>
      <c r="K79" s="3"/>
      <c r="L79" s="2">
        <v>330</v>
      </c>
      <c r="M79" s="2">
        <v>129</v>
      </c>
      <c r="N79" s="2">
        <v>1.5610000000000001E-3</v>
      </c>
      <c r="O79" s="2">
        <v>6.94E-3</v>
      </c>
      <c r="P79" s="2">
        <v>1729</v>
      </c>
      <c r="Q79" s="2">
        <v>2356</v>
      </c>
      <c r="R79" s="2">
        <v>1526.5</v>
      </c>
      <c r="S79" s="2">
        <v>2670.2</v>
      </c>
      <c r="T79" s="2">
        <v>3.5528</v>
      </c>
      <c r="U79" s="2">
        <v>5.4489999999999998</v>
      </c>
    </row>
    <row r="80" spans="1:21">
      <c r="A80" s="2">
        <v>160</v>
      </c>
      <c r="B80" s="2">
        <v>347.33</v>
      </c>
      <c r="C80" s="2">
        <v>1.7099999999999999E-3</v>
      </c>
      <c r="D80" s="2">
        <v>9.3080000000000003E-3</v>
      </c>
      <c r="E80" s="2">
        <v>1623</v>
      </c>
      <c r="F80" s="2">
        <v>2436</v>
      </c>
      <c r="G80" s="2">
        <v>1650.5</v>
      </c>
      <c r="H80" s="2">
        <v>2584.9</v>
      </c>
      <c r="I80" s="2">
        <v>3.7471000000000001</v>
      </c>
      <c r="J80" s="2">
        <v>5.2530999999999999</v>
      </c>
      <c r="K80" s="3"/>
      <c r="L80" s="2">
        <v>340</v>
      </c>
      <c r="M80" s="2">
        <v>146</v>
      </c>
      <c r="N80" s="2">
        <v>1.639E-3</v>
      </c>
      <c r="O80" s="2">
        <v>4.9699999999999996E-3</v>
      </c>
      <c r="P80" s="2">
        <v>1844</v>
      </c>
      <c r="Q80" s="2">
        <v>2238</v>
      </c>
      <c r="R80" s="2">
        <v>1595.5</v>
      </c>
      <c r="S80" s="2">
        <v>2626.2</v>
      </c>
      <c r="T80" s="2">
        <v>3.6616</v>
      </c>
      <c r="U80" s="2">
        <v>5.3426999999999998</v>
      </c>
    </row>
    <row r="81" spans="1:21">
      <c r="A81" s="2">
        <v>170</v>
      </c>
      <c r="B81" s="2">
        <v>352.26</v>
      </c>
      <c r="C81" s="2">
        <v>1.7700000000000001E-3</v>
      </c>
      <c r="D81" s="2">
        <v>8.371E-3</v>
      </c>
      <c r="E81" s="2">
        <v>1662</v>
      </c>
      <c r="F81" s="2">
        <v>2409</v>
      </c>
      <c r="G81" s="2">
        <v>1691.7</v>
      </c>
      <c r="H81" s="2">
        <v>2551.6</v>
      </c>
      <c r="I81" s="2">
        <v>3.8107000000000002</v>
      </c>
      <c r="J81" s="2">
        <v>5.1855000000000002</v>
      </c>
      <c r="K81" s="3"/>
      <c r="L81" s="2">
        <v>350</v>
      </c>
      <c r="M81" s="2">
        <v>165</v>
      </c>
      <c r="N81" s="2">
        <v>1.7409999999999999E-3</v>
      </c>
      <c r="O81" s="2">
        <v>4.0800000000000003E-3</v>
      </c>
      <c r="P81" s="2">
        <v>1916</v>
      </c>
      <c r="Q81" s="2">
        <v>2155</v>
      </c>
      <c r="R81" s="2">
        <v>1671.9</v>
      </c>
      <c r="S81" s="2">
        <v>2567.6999999999998</v>
      </c>
      <c r="T81" s="2">
        <v>3.78</v>
      </c>
      <c r="U81" s="2">
        <v>5.2176999999999998</v>
      </c>
    </row>
    <row r="82" spans="1:21">
      <c r="A82" s="2">
        <v>175</v>
      </c>
      <c r="B82" s="2">
        <v>354.64</v>
      </c>
      <c r="C82" s="2">
        <v>1.8029999999999999E-3</v>
      </c>
      <c r="D82" s="2">
        <v>7.9260000000000008E-3</v>
      </c>
      <c r="E82" s="2">
        <v>1682</v>
      </c>
      <c r="F82" s="2">
        <v>2395</v>
      </c>
      <c r="G82" s="2">
        <v>1713.3</v>
      </c>
      <c r="H82" s="2">
        <v>2533.3000000000002</v>
      </c>
      <c r="I82" s="2">
        <v>3.8437999999999999</v>
      </c>
      <c r="J82" s="2">
        <v>5.1497999999999999</v>
      </c>
      <c r="K82" s="3"/>
      <c r="L82" s="2">
        <v>360</v>
      </c>
      <c r="M82" s="2">
        <v>187</v>
      </c>
      <c r="N82" s="2">
        <v>1.8959999999999999E-3</v>
      </c>
      <c r="O82" s="2">
        <v>3.47E-3</v>
      </c>
      <c r="P82" s="2">
        <v>1984</v>
      </c>
      <c r="Q82" s="2">
        <v>2080</v>
      </c>
      <c r="R82" s="2">
        <v>1764.2</v>
      </c>
      <c r="S82" s="2">
        <v>2485.4</v>
      </c>
      <c r="T82" s="2">
        <v>3.9209999999999998</v>
      </c>
      <c r="U82" s="2">
        <v>5.0599999999999996</v>
      </c>
    </row>
    <row r="83" spans="1:21">
      <c r="A83" s="2">
        <v>180</v>
      </c>
      <c r="B83" s="2">
        <v>356.96</v>
      </c>
      <c r="C83" s="2">
        <v>1.8400000000000001E-3</v>
      </c>
      <c r="D83" s="2">
        <v>7.4980000000000003E-3</v>
      </c>
      <c r="E83" s="2">
        <v>1702</v>
      </c>
      <c r="F83" s="2">
        <v>2379</v>
      </c>
      <c r="G83" s="2">
        <v>1734.8</v>
      </c>
      <c r="H83" s="2">
        <v>2513.9</v>
      </c>
      <c r="I83" s="2">
        <v>3.8765000000000001</v>
      </c>
      <c r="J83" s="2">
        <v>5.1128</v>
      </c>
      <c r="K83" s="3"/>
      <c r="L83" s="2">
        <v>370</v>
      </c>
      <c r="M83" s="2">
        <v>211</v>
      </c>
      <c r="N83" s="2">
        <v>2.2139999999999998E-3</v>
      </c>
      <c r="O83" s="2">
        <v>3.1549999999999998E-3</v>
      </c>
      <c r="P83" s="2">
        <v>2025</v>
      </c>
      <c r="Q83" s="2">
        <v>2025</v>
      </c>
      <c r="R83" s="2">
        <v>1890.2</v>
      </c>
      <c r="S83" s="2">
        <v>2342.8000000000002</v>
      </c>
      <c r="T83" s="2">
        <v>4.1108000000000002</v>
      </c>
      <c r="U83" s="2">
        <v>4.8144</v>
      </c>
    </row>
    <row r="84" spans="1:21">
      <c r="A84" s="2">
        <v>190</v>
      </c>
      <c r="B84" s="2">
        <v>361.43</v>
      </c>
      <c r="C84" s="2">
        <v>1.926E-3</v>
      </c>
      <c r="D84" s="2">
        <v>6.6779999999999999E-3</v>
      </c>
      <c r="E84" s="2">
        <v>1742</v>
      </c>
      <c r="F84" s="2">
        <v>2344</v>
      </c>
      <c r="G84" s="2">
        <v>1778.7</v>
      </c>
      <c r="H84" s="2">
        <v>2470.6</v>
      </c>
      <c r="I84" s="2">
        <v>3.9428999999999998</v>
      </c>
      <c r="J84" s="2">
        <v>5.0331999999999999</v>
      </c>
      <c r="K84" s="3"/>
      <c r="L84" s="2">
        <v>373</v>
      </c>
      <c r="M84" s="2">
        <v>218</v>
      </c>
      <c r="N84" s="2">
        <v>2.496E-3</v>
      </c>
      <c r="R84" s="2">
        <v>1970.5</v>
      </c>
      <c r="S84" s="2">
        <v>2244</v>
      </c>
      <c r="T84" s="2">
        <v>4.2325999999999997</v>
      </c>
      <c r="U84" s="2">
        <v>4.6558999999999999</v>
      </c>
    </row>
    <row r="85" spans="1:21">
      <c r="A85" s="2">
        <v>200</v>
      </c>
      <c r="B85" s="2">
        <v>365.7</v>
      </c>
      <c r="C85" s="2">
        <v>2.0370000000000002E-3</v>
      </c>
      <c r="D85" s="2">
        <v>5.8770000000000003E-3</v>
      </c>
      <c r="E85" s="2">
        <v>1786</v>
      </c>
      <c r="F85" s="2">
        <v>2301</v>
      </c>
      <c r="G85" s="2">
        <v>1826.5</v>
      </c>
      <c r="H85" s="2">
        <v>2418.4</v>
      </c>
      <c r="I85" s="2">
        <v>4.0148999999999999</v>
      </c>
      <c r="J85" s="2">
        <v>4.9412000000000003</v>
      </c>
      <c r="K85" s="3"/>
      <c r="L85" s="2">
        <v>374</v>
      </c>
      <c r="M85" s="2">
        <v>221</v>
      </c>
      <c r="N85" s="2">
        <v>2.843E-3</v>
      </c>
      <c r="R85" s="2">
        <v>2046.7</v>
      </c>
      <c r="S85" s="2">
        <v>2156.1999999999998</v>
      </c>
      <c r="T85" s="2">
        <v>4.3493000000000004</v>
      </c>
      <c r="U85" s="2">
        <v>4.5185000000000004</v>
      </c>
    </row>
    <row r="86" spans="1:21">
      <c r="A86" s="2" t="s">
        <v>24</v>
      </c>
      <c r="B86" s="2">
        <v>374.1</v>
      </c>
      <c r="C86" s="2">
        <v>3.1549999999999998E-3</v>
      </c>
      <c r="D86" s="2">
        <v>3.1549999999999998E-3</v>
      </c>
      <c r="E86" s="2">
        <v>2026</v>
      </c>
      <c r="F86" s="2">
        <v>2026</v>
      </c>
      <c r="G86" s="2">
        <v>2095</v>
      </c>
      <c r="H86" s="2">
        <v>2095</v>
      </c>
      <c r="I86" s="2">
        <v>4.4240000000000004</v>
      </c>
      <c r="J86" s="2">
        <v>4.4240000000000004</v>
      </c>
      <c r="K86" s="3"/>
      <c r="L86" s="2" t="s">
        <v>28</v>
      </c>
      <c r="M86" s="2">
        <v>221.2</v>
      </c>
      <c r="N86" s="2">
        <v>3.1549999999999998E-3</v>
      </c>
      <c r="R86" s="2">
        <v>2095</v>
      </c>
      <c r="S86" s="2">
        <v>2095</v>
      </c>
      <c r="T86" s="2">
        <v>4.4240000000000004</v>
      </c>
      <c r="U86" s="2">
        <v>4.4240000000000004</v>
      </c>
    </row>
  </sheetData>
  <mergeCells count="1">
    <mergeCell ref="F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problema_1</vt:lpstr>
      <vt:lpstr>Problema_2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2019-12-27T19:15:45Z</dcterms:created>
  <dcterms:modified xsi:type="dcterms:W3CDTF">2020-01-07T18:33:13Z</dcterms:modified>
</cp:coreProperties>
</file>